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tables/table4.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90" windowHeight="9600" tabRatio="858" activeTab="0"/>
  </bookViews>
  <sheets>
    <sheet name="Finding Data" sheetId="1" r:id="rId1"/>
    <sheet name="Transformation" sheetId="2" r:id="rId2"/>
    <sheet name="Rating Bundle Measures - SOO" sheetId="3" r:id="rId3"/>
    <sheet name="Rating Bundle Measures - SOJ" sheetId="4" r:id="rId4"/>
    <sheet name="Traditional Aggregate" sheetId="5" r:id="rId5"/>
    <sheet name="EDW_FEEDER" sheetId="6" state="hidden" r:id="rId6"/>
    <sheet name="Accuracy" sheetId="7" state="hidden" r:id="rId7"/>
  </sheets>
  <definedNames>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fullCalcOnLoad="1"/>
</workbook>
</file>

<file path=xl/comments3.xml><?xml version="1.0" encoding="utf-8"?>
<comments xmlns="http://schemas.openxmlformats.org/spreadsheetml/2006/main">
  <authors>
    <author>McFadden, Patrick, VBAVACO</author>
  </authors>
  <commentList>
    <comment ref="B14" authorId="0">
      <text>
        <r>
          <rPr>
            <b/>
            <sz val="11"/>
            <rFont val="Tahoma"/>
            <family val="2"/>
          </rPr>
          <t>Click on cell B14 to enable a drop-down menu with additional Regional Office data, by Area</t>
        </r>
      </text>
    </comment>
  </commentList>
</comments>
</file>

<file path=xl/comments4.xml><?xml version="1.0" encoding="utf-8"?>
<comments xmlns="http://schemas.openxmlformats.org/spreadsheetml/2006/main">
  <authors>
    <author>McFadden, Patrick, VBAVACO</author>
  </authors>
  <commentList>
    <comment ref="B14" authorId="0">
      <text>
        <r>
          <rPr>
            <b/>
            <sz val="11"/>
            <rFont val="Tahoma"/>
            <family val="2"/>
          </rPr>
          <t>Click on cell B14 to enable a drop-down menu with additional Regional Office data, by Area</t>
        </r>
      </text>
    </comment>
  </commentList>
</comments>
</file>

<file path=xl/comments5.xml><?xml version="1.0" encoding="utf-8"?>
<comments xmlns="http://schemas.openxmlformats.org/spreadsheetml/2006/main">
  <authors>
    <author>McFadden, Patrick, VBAVACO</author>
  </authors>
  <commentList>
    <comment ref="R50" authorId="0">
      <text>
        <r>
          <rPr>
            <b/>
            <sz val="12"/>
            <rFont val="Tahoma"/>
            <family val="2"/>
          </rPr>
          <t>Compensation Accrued End Products:</t>
        </r>
        <r>
          <rPr>
            <b/>
            <sz val="9"/>
            <rFont val="Tahoma"/>
            <family val="2"/>
          </rPr>
          <t xml:space="preserve"> 
</t>
        </r>
        <r>
          <rPr>
            <sz val="12"/>
            <rFont val="Tahoma"/>
            <family val="2"/>
          </rPr>
          <t>EP 165</t>
        </r>
      </text>
    </comment>
    <comment ref="E85" authorId="0">
      <text>
        <r>
          <rPr>
            <b/>
            <sz val="12"/>
            <rFont val="Tahoma"/>
            <family val="2"/>
          </rPr>
          <t>Compensation Entitlement Bundle End Products:</t>
        </r>
        <r>
          <rPr>
            <sz val="12"/>
            <rFont val="Tahoma"/>
            <family val="2"/>
          </rPr>
          <t xml:space="preserve">  
EP 095, EP 010, EP 110, 
EP 140,  EP 410, EP 020,
EP 320, EP 420, EP 681, 
EP 687, EP 687, EP 405, 
EP 409 </t>
        </r>
      </text>
    </comment>
    <comment ref="H85" authorId="0">
      <text>
        <r>
          <rPr>
            <b/>
            <sz val="12"/>
            <rFont val="Tahoma"/>
            <family val="2"/>
          </rPr>
          <t xml:space="preserve">Compensation Award Adjustment Bundle End Products:  </t>
        </r>
        <r>
          <rPr>
            <sz val="12"/>
            <rFont val="Tahoma"/>
            <family val="2"/>
          </rPr>
          <t xml:space="preserve">
EP 130, EP 133,  EP 135, 
EP 290, EP 450, EP 310, 
EP 600</t>
        </r>
      </text>
    </comment>
    <comment ref="K85" authorId="0">
      <text>
        <r>
          <rPr>
            <b/>
            <sz val="12"/>
            <rFont val="Tahoma"/>
            <family val="2"/>
          </rPr>
          <t xml:space="preserve">Compensation Program Review Bundle End Products:  </t>
        </r>
        <r>
          <rPr>
            <sz val="12"/>
            <rFont val="Tahoma"/>
            <family val="2"/>
          </rPr>
          <t xml:space="preserve">
EP 314, EP 680, EP 682, 
EP 684, EP 685, EP 690</t>
        </r>
      </text>
    </comment>
    <comment ref="N85" authorId="0">
      <text>
        <r>
          <rPr>
            <b/>
            <sz val="12"/>
            <rFont val="Tahoma"/>
            <family val="2"/>
          </rPr>
          <t xml:space="preserve">Compensation Other Bundle End Products: </t>
        </r>
        <r>
          <rPr>
            <sz val="12"/>
            <rFont val="Tahoma"/>
            <family val="2"/>
          </rPr>
          <t xml:space="preserve">
EP 173, EP 400, EP 500,
EP 510, EP 930, EP 960</t>
        </r>
      </text>
    </comment>
    <comment ref="Q85" authorId="0">
      <text>
        <r>
          <rPr>
            <b/>
            <sz val="12"/>
            <rFont val="Tahoma"/>
            <family val="2"/>
          </rPr>
          <t xml:space="preserve">Compensation Burial End Products: </t>
        </r>
        <r>
          <rPr>
            <b/>
            <sz val="9"/>
            <rFont val="Tahoma"/>
            <family val="2"/>
          </rPr>
          <t xml:space="preserve">
</t>
        </r>
        <r>
          <rPr>
            <sz val="12"/>
            <rFont val="Tahoma"/>
            <family val="2"/>
          </rPr>
          <t>EP 160</t>
        </r>
      </text>
    </comment>
    <comment ref="R85" authorId="0">
      <text>
        <r>
          <rPr>
            <b/>
            <sz val="12"/>
            <rFont val="Tahoma"/>
            <family val="2"/>
          </rPr>
          <t>Compensation Accrued End Products:</t>
        </r>
        <r>
          <rPr>
            <b/>
            <sz val="9"/>
            <rFont val="Tahoma"/>
            <family val="2"/>
          </rPr>
          <t xml:space="preserve"> 
</t>
        </r>
        <r>
          <rPr>
            <sz val="12"/>
            <rFont val="Tahoma"/>
            <family val="2"/>
          </rPr>
          <t>EP 165</t>
        </r>
      </text>
    </comment>
    <comment ref="E122" authorId="0">
      <text>
        <r>
          <rPr>
            <b/>
            <sz val="12"/>
            <rFont val="Tahoma"/>
            <family val="2"/>
          </rPr>
          <t>Pension Entitlement Bundle End Products:</t>
        </r>
        <r>
          <rPr>
            <sz val="12"/>
            <rFont val="Tahoma"/>
            <family val="2"/>
          </rPr>
          <t xml:space="preserve">  
EP 180, EP 120, EP 190</t>
        </r>
      </text>
    </comment>
    <comment ref="H122" authorId="0">
      <text>
        <r>
          <rPr>
            <b/>
            <sz val="12"/>
            <rFont val="Tahoma"/>
            <family val="2"/>
          </rPr>
          <t xml:space="preserve">Pension Award Bundle End Products:  </t>
        </r>
        <r>
          <rPr>
            <sz val="12"/>
            <rFont val="Tahoma"/>
            <family val="2"/>
          </rPr>
          <t xml:space="preserve">
EP 135, EP 137,  EP 150, 
EP 155, EP 297, EP 607</t>
        </r>
      </text>
    </comment>
    <comment ref="K122" authorId="0">
      <text>
        <r>
          <rPr>
            <b/>
            <sz val="12"/>
            <rFont val="Tahoma"/>
            <family val="2"/>
          </rPr>
          <t xml:space="preserve">Pension Program Review Bundle End Products:  </t>
        </r>
        <r>
          <rPr>
            <sz val="12"/>
            <rFont val="Tahoma"/>
            <family val="2"/>
          </rPr>
          <t xml:space="preserve">
EP 154, EP 696, EP 697</t>
        </r>
      </text>
    </comment>
    <comment ref="N122" authorId="0">
      <text>
        <r>
          <rPr>
            <b/>
            <sz val="12"/>
            <rFont val="Tahoma"/>
            <family val="2"/>
          </rPr>
          <t xml:space="preserve">Pension Other Bundle End Products: </t>
        </r>
        <r>
          <rPr>
            <sz val="12"/>
            <rFont val="Tahoma"/>
            <family val="2"/>
          </rPr>
          <t xml:space="preserve">
EP 407, EP 507, EP 937</t>
        </r>
      </text>
    </comment>
    <comment ref="Q122" authorId="0">
      <text>
        <r>
          <rPr>
            <b/>
            <sz val="12"/>
            <rFont val="Tahoma"/>
            <family val="2"/>
          </rPr>
          <t xml:space="preserve">Pension Burial End Products: </t>
        </r>
        <r>
          <rPr>
            <b/>
            <sz val="9"/>
            <rFont val="Tahoma"/>
            <family val="2"/>
          </rPr>
          <t xml:space="preserve">
</t>
        </r>
        <r>
          <rPr>
            <sz val="12"/>
            <rFont val="Tahoma"/>
            <family val="2"/>
          </rPr>
          <t>EP 160</t>
        </r>
      </text>
    </comment>
    <comment ref="R122" authorId="0">
      <text>
        <r>
          <rPr>
            <b/>
            <sz val="12"/>
            <rFont val="Tahoma"/>
            <family val="2"/>
          </rPr>
          <t>Pension Accrued End Products:</t>
        </r>
        <r>
          <rPr>
            <b/>
            <sz val="9"/>
            <rFont val="Tahoma"/>
            <family val="2"/>
          </rPr>
          <t xml:space="preserve"> 
</t>
        </r>
        <r>
          <rPr>
            <sz val="12"/>
            <rFont val="Tahoma"/>
            <family val="2"/>
          </rPr>
          <t>EP 165</t>
        </r>
      </text>
    </comment>
    <comment ref="E50" authorId="0">
      <text>
        <r>
          <rPr>
            <b/>
            <sz val="12"/>
            <rFont val="Tahoma"/>
            <family val="2"/>
          </rPr>
          <t>Compensation Entitlement Bundle End Products:</t>
        </r>
        <r>
          <rPr>
            <sz val="12"/>
            <rFont val="Tahoma"/>
            <family val="2"/>
          </rPr>
          <t xml:space="preserve">  
EP 095, EP 010, EP 110, 
EP 140,  EP 410, EP 020,
EP 320, EP 420, EP 681, 
EP 687, EP 687, EP 405, 
EP 409 </t>
        </r>
      </text>
    </comment>
    <comment ref="H50" authorId="0">
      <text>
        <r>
          <rPr>
            <b/>
            <sz val="12"/>
            <rFont val="Tahoma"/>
            <family val="2"/>
          </rPr>
          <t xml:space="preserve">Compensation Award Adjustment Bundle End Products:  </t>
        </r>
        <r>
          <rPr>
            <sz val="12"/>
            <rFont val="Tahoma"/>
            <family val="2"/>
          </rPr>
          <t xml:space="preserve">
EP 130, EP 133,  EP 135, 
EP 290, EP 450, EP 310, 
EP 600</t>
        </r>
      </text>
    </comment>
    <comment ref="K50" authorId="0">
      <text>
        <r>
          <rPr>
            <b/>
            <sz val="12"/>
            <rFont val="Tahoma"/>
            <family val="2"/>
          </rPr>
          <t xml:space="preserve">Compensation Program Review Bundle End Products:  </t>
        </r>
        <r>
          <rPr>
            <sz val="12"/>
            <rFont val="Tahoma"/>
            <family val="2"/>
          </rPr>
          <t xml:space="preserve">
EP 314, EP 680, EP 682, 
EP 684, EP 685, EP 690</t>
        </r>
      </text>
    </comment>
    <comment ref="N50" authorId="0">
      <text>
        <r>
          <rPr>
            <b/>
            <sz val="12"/>
            <rFont val="Tahoma"/>
            <family val="2"/>
          </rPr>
          <t xml:space="preserve">Compensation Other Bundle End Products: </t>
        </r>
        <r>
          <rPr>
            <sz val="12"/>
            <rFont val="Tahoma"/>
            <family val="2"/>
          </rPr>
          <t xml:space="preserve">
EP 173, EP 400, EP 500,
EP 510, EP 930, EP 960</t>
        </r>
      </text>
    </comment>
    <comment ref="Q50" authorId="0">
      <text>
        <r>
          <rPr>
            <b/>
            <sz val="12"/>
            <rFont val="Tahoma"/>
            <family val="2"/>
          </rPr>
          <t xml:space="preserve">Compensation Burial End Products: </t>
        </r>
        <r>
          <rPr>
            <b/>
            <sz val="9"/>
            <rFont val="Tahoma"/>
            <family val="2"/>
          </rPr>
          <t xml:space="preserve">
</t>
        </r>
        <r>
          <rPr>
            <sz val="12"/>
            <rFont val="Tahoma"/>
            <family val="2"/>
          </rPr>
          <t>EP 160</t>
        </r>
      </text>
    </comment>
    <comment ref="C50" authorId="0">
      <text>
        <r>
          <rPr>
            <b/>
            <sz val="12"/>
            <rFont val="Tahoma"/>
            <family val="2"/>
          </rPr>
          <t>Compensation Non-Rating Bundle End Products:</t>
        </r>
        <r>
          <rPr>
            <sz val="9"/>
            <rFont val="Tahoma"/>
            <family val="2"/>
          </rPr>
          <t xml:space="preserve">
</t>
        </r>
        <r>
          <rPr>
            <sz val="12"/>
            <rFont val="Tahoma"/>
            <family val="2"/>
          </rPr>
          <t>EP 130, EP 290, EP 165</t>
        </r>
      </text>
    </comment>
    <comment ref="C85" authorId="0">
      <text>
        <r>
          <rPr>
            <b/>
            <sz val="12"/>
            <rFont val="Tahoma"/>
            <family val="2"/>
          </rPr>
          <t>Compensation Non-Rating Bundle End Products:</t>
        </r>
        <r>
          <rPr>
            <sz val="9"/>
            <rFont val="Tahoma"/>
            <family val="2"/>
          </rPr>
          <t xml:space="preserve">
</t>
        </r>
        <r>
          <rPr>
            <sz val="12"/>
            <rFont val="Tahoma"/>
            <family val="2"/>
          </rPr>
          <t>EP 130, EP 290, EP 165</t>
        </r>
      </text>
    </comment>
    <comment ref="C122" authorId="0">
      <text>
        <r>
          <rPr>
            <b/>
            <sz val="12"/>
            <rFont val="Tahoma"/>
            <family val="2"/>
          </rPr>
          <t>Pension Non-Rating Bundle End Products:</t>
        </r>
        <r>
          <rPr>
            <sz val="9"/>
            <rFont val="Tahoma"/>
            <family val="2"/>
          </rPr>
          <t xml:space="preserve">
</t>
        </r>
        <r>
          <rPr>
            <sz val="12"/>
            <rFont val="Tahoma"/>
            <family val="2"/>
          </rPr>
          <t>EP 137, EP 297, EP 150</t>
        </r>
      </text>
    </comment>
  </commentList>
</comments>
</file>

<file path=xl/comments7.xml><?xml version="1.0" encoding="utf-8"?>
<comments xmlns="http://schemas.openxmlformats.org/spreadsheetml/2006/main">
  <authors>
    <author>Mikuliak, Alex, VBAVACO</author>
  </authors>
  <commentList>
    <comment ref="B75" authorId="0">
      <text>
        <r>
          <rPr>
            <b/>
            <sz val="8"/>
            <rFont val="Tahoma"/>
            <family val="2"/>
          </rPr>
          <t>ALWAYS TYPE IN A 1 TO MAKE LOOKUP WORK</t>
        </r>
      </text>
    </comment>
    <comment ref="N75" authorId="0">
      <text>
        <r>
          <rPr>
            <b/>
            <sz val="8"/>
            <rFont val="Tahoma"/>
            <family val="2"/>
          </rPr>
          <t>ALWAYS TYPE IN A 1 TO MAKE LOOKUP WORK</t>
        </r>
      </text>
    </comment>
    <comment ref="T75" authorId="0">
      <text>
        <r>
          <rPr>
            <b/>
            <sz val="8"/>
            <rFont val="Tahoma"/>
            <family val="2"/>
          </rPr>
          <t>ALWAYS TYPE IN A 1 TO MAKE LOOKUP WORK</t>
        </r>
      </text>
    </comment>
  </commentList>
</comments>
</file>

<file path=xl/sharedStrings.xml><?xml version="1.0" encoding="utf-8"?>
<sst xmlns="http://schemas.openxmlformats.org/spreadsheetml/2006/main" count="1585" uniqueCount="460">
  <si>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</si>
  <si>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</si>
  <si>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</si>
  <si>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</si>
  <si>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</si>
  <si>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</si>
  <si>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</si>
  <si>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</si>
  <si>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</si>
  <si>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</si>
  <si>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</si>
  <si>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</si>
  <si>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</si>
  <si>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</si>
  <si>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</si>
  <si>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</si>
  <si>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</si>
  <si>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</si>
  <si>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</si>
  <si>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</si>
  <si>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</si>
  <si>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</si>
  <si>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</si>
  <si>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</si>
  <si>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</si>
  <si>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</si>
  <si>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</si>
  <si>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</si>
  <si>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</si>
  <si>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</si>
  <si>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</si>
  <si>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</si>
  <si>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</si>
  <si>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</si>
  <si>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</si>
  <si>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</si>
  <si>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</si>
  <si>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</si>
  <si>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</si>
  <si>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</si>
  <si>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</si>
  <si>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</si>
  <si>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</si>
  <si>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</si>
  <si>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</si>
  <si>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</si>
  <si>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</si>
  <si>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</si>
  <si>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</si>
  <si>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</si>
  <si>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</si>
  <si>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</si>
  <si>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</si>
  <si>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</si>
  <si>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</si>
  <si>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</si>
  <si>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</si>
  <si>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</si>
  <si>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</si>
  <si>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</si>
  <si>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</si>
  <si>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</si>
  <si>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</si>
  <si>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</si>
  <si>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</si>
  <si>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</si>
  <si>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</si>
  <si>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</si>
  <si>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</si>
  <si>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</si>
  <si>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</si>
  <si>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</si>
  <si>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</si>
  <si>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</si>
  <si>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</si>
  <si>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</si>
  <si>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</si>
  <si>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</si>
  <si>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</si>
  <si>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</si>
  <si>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</si>
  <si>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</si>
  <si>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</si>
  <si>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</si>
  <si>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</si>
  <si>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</si>
  <si>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</si>
  <si>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</si>
  <si>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</si>
  <si>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</si>
  <si>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</si>
  <si>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</si>
  <si>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</si>
  <si>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</si>
  <si>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</si>
  <si>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</si>
  <si>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</si>
  <si>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</si>
  <si>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</si>
  <si>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</si>
  <si>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</si>
  <si>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</si>
  <si>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</si>
  <si>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</si>
  <si>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</si>
  <si>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</si>
  <si>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</si>
  <si>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</si>
  <si>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</si>
  <si>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</si>
  <si>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</si>
  <si>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</si>
  <si>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</si>
  <si>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</si>
  <si>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</si>
  <si>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</si>
  <si>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</si>
  <si>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</si>
  <si>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</si>
  <si>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</si>
  <si>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</si>
  <si>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</si>
  <si>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</si>
  <si>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</si>
  <si>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</si>
  <si>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</si>
  <si>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</si>
  <si>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</si>
  <si>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</si>
  <si>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</si>
  <si>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</si>
  <si>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</si>
  <si>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</si>
  <si>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</si>
  <si>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</si>
  <si>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</si>
  <si>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</si>
  <si>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</si>
  <si>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</si>
  <si>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</si>
  <si>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</si>
  <si>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</si>
  <si>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</si>
  <si>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</si>
  <si>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</si>
  <si>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</si>
  <si>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</si>
  <si>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</si>
  <si>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</si>
  <si>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</si>
  <si>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</si>
  <si>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</si>
  <si>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</si>
  <si>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</si>
  <si>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</si>
  <si>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</si>
  <si>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</si>
  <si>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</si>
  <si>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</si>
  <si>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</si>
  <si>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</si>
  <si>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</si>
  <si>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</si>
  <si>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</si>
  <si>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</si>
  <si>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</si>
  <si>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</si>
  <si>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</si>
  <si>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</si>
  <si>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</si>
  <si>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</si>
  <si>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</si>
  <si>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</si>
  <si>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</si>
  <si>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</si>
  <si>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</si>
  <si>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</si>
  <si>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</si>
  <si>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</si>
  <si>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</si>
  <si>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</si>
  <si>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</si>
  <si>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</si>
  <si>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</si>
  <si>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</si>
  <si>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</si>
  <si>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</si>
  <si>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</si>
  <si>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</si>
  <si>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</si>
  <si>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</si>
  <si>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</si>
  <si>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</si>
  <si>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</si>
  <si>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</si>
  <si>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</si>
  <si>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</si>
  <si>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</si>
  <si>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</si>
  <si>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</si>
  <si>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</si>
  <si>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</si>
  <si>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</si>
  <si>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</si>
  <si>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</si>
  <si>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</si>
  <si>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</si>
  <si>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</si>
  <si>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</si>
  <si>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</si>
  <si>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</si>
  <si>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</si>
  <si>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</si>
  <si>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</si>
  <si>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</si>
  <si>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LOOKUP Table</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</si>
  <si>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</si>
  <si>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</si>
  <si>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</si>
  <si>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</si>
  <si>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</si>
  <si>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</si>
  <si>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</si>
  <si>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</si>
  <si>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</si>
  <si>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</si>
  <si>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</si>
  <si>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</si>
  <si>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</si>
  <si>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</si>
  <si>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</si>
  <si>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</si>
  <si>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</si>
  <si>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</si>
  <si>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</si>
  <si>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</si>
  <si>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</si>
  <si>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</si>
  <si>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</si>
  <si>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</si>
  <si>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</si>
  <si>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</si>
  <si>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Compensation Accuracy</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</si>
  <si>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</si>
  <si>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</si>
  <si>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</si>
  <si>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</si>
  <si>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</si>
  <si>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</si>
  <si>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</si>
  <si>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</si>
  <si>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</si>
  <si>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</si>
  <si>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</si>
  <si>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</si>
  <si>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</si>
  <si>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</si>
  <si>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</si>
  <si>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</si>
  <si>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</si>
  <si>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</si>
  <si>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</si>
  <si>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</si>
  <si>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</si>
  <si>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</si>
  <si>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</si>
  <si>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</si>
  <si>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</si>
  <si>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</si>
  <si>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</si>
  <si>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</si>
  <si>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</si>
  <si>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</si>
  <si>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</si>
  <si>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</si>
  <si>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</si>
  <si>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</si>
  <si>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</si>
  <si>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</si>
  <si>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</si>
  <si>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</si>
  <si>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</si>
  <si>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</si>
  <si>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</si>
  <si>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</si>
  <si>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</si>
  <si>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</si>
  <si>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</si>
  <si>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</si>
  <si>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</si>
  <si>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</si>
  <si>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</si>
  <si>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</si>
  <si>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</si>
  <si>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</si>
  <si>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</si>
  <si>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</si>
  <si>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</si>
  <si>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</si>
  <si>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</si>
  <si>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</si>
  <si>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</si>
  <si>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</si>
  <si>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</si>
  <si>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</si>
  <si>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</si>
  <si>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</si>
  <si>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</si>
  <si>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</si>
  <si>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</si>
  <si>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</si>
  <si>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</si>
  <si>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</si>
  <si>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</si>
  <si>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</si>
  <si>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</si>
  <si>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</si>
  <si>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</si>
  <si>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</si>
  <si>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</si>
  <si>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</si>
  <si>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</si>
  <si>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</si>
  <si>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</si>
  <si>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</si>
  <si>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</si>
  <si>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</si>
  <si>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</si>
  <si>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</si>
  <si>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</si>
  <si>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</si>
  <si>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</si>
  <si>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</si>
  <si>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</si>
  <si>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</si>
  <si>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</si>
  <si>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</si>
  <si>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</si>
  <si>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</si>
  <si>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</si>
  <si>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</si>
  <si>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</si>
  <si>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</si>
  <si>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</si>
  <si>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</si>
  <si>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</si>
  <si>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</si>
  <si>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</si>
  <si>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</si>
  <si>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</si>
  <si>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</si>
  <si>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</si>
  <si>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</si>
  <si>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</si>
  <si>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</si>
  <si>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</si>
  <si>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</si>
  <si>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</si>
  <si>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</si>
  <si>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</si>
  <si>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</si>
  <si>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</si>
  <si>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</si>
  <si>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</si>
  <si>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</si>
  <si>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</si>
  <si>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</si>
  <si>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</si>
  <si>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</si>
  <si>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</si>
  <si>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</si>
  <si>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</si>
  <si>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</si>
  <si>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</si>
  <si>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</si>
  <si>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</si>
  <si>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</si>
  <si>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</si>
  <si>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</si>
  <si>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</si>
  <si>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</si>
  <si>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</si>
  <si>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</si>
  <si>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</si>
  <si>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</si>
  <si>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</si>
  <si>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</si>
  <si>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</si>
  <si>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</si>
  <si>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</si>
  <si>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</si>
  <si>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</si>
  <si>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</si>
  <si>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</si>
  <si>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</si>
  <si>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</si>
  <si>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</si>
  <si>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</si>
  <si>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</si>
  <si>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</si>
  <si>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</si>
  <si>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</si>
  <si>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</si>
  <si>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</si>
  <si>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</si>
  <si>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</si>
  <si>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</si>
  <si>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</si>
  <si>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</si>
  <si>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</si>
  <si>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</si>
  <si>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</si>
  <si>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</si>
  <si>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</si>
  <si>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</si>
  <si>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</si>
  <si>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</si>
  <si>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</si>
  <si>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</si>
  <si>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</si>
  <si>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</si>
  <si>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</si>
  <si>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</si>
  <si>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</si>
  <si>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</si>
  <si>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</si>
  <si>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</si>
  <si>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</si>
  <si>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</si>
  <si>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</si>
  <si>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val="single"/>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</si>
  <si>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</si>
  <si>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</si>
  <si>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</si>
  <si>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</si>
  <si>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</si>
  <si>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</si>
  <si>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</si>
  <si>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</si>
  <si>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</si>
  <si>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</si>
  <si>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</si>
  <si>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</si>
  <si>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</si>
  <si>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</si>
  <si>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Entitlement (Rating) Claims Accuracy</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</si>
  <si>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</si>
  <si>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</si>
  <si>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</si>
  <si>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rPr>
      <t>¬</t>
    </r>
  </si>
  <si>
    <t>Arrow indicates an EP included
in the Rating Bundle group</t>
  </si>
  <si>
    <t>EP 967 - Correction of errors</t>
  </si>
  <si>
    <t>A</t>
  </si>
  <si>
    <t>B</t>
  </si>
  <si>
    <t>C</t>
  </si>
  <si>
    <t>D</t>
  </si>
  <si>
    <t>E</t>
  </si>
  <si>
    <t>COLUMNS:</t>
  </si>
  <si>
    <t>Pension Accuracy</t>
  </si>
  <si>
    <t>As of December 6, 2014</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</si>
</sst>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 numFmtId="184" formatCode="#########0"/>
    <numFmt numFmtId="185" formatCode="#########0.00%"/>
    <numFmt numFmtId="186" formatCode="[$-409]h:mm:ss\ AM/PM"/>
    <numFmt numFmtId="187" formatCode="0.000"/>
    <numFmt numFmtId="188" formatCode="0.000%"/>
    <numFmt numFmtId="189" formatCode="0.0000%"/>
    <numFmt numFmtId="190" formatCode="#,##0.000"/>
    <numFmt numFmtId="191" formatCode="_(* #,##0.000_);_(* \(#,##0.000\);_(* &quot;-&quot;??_);_(@_)"/>
    <numFmt numFmtId="192" formatCode="m/d/yy"/>
    <numFmt numFmtId="193" formatCode="mmmm\ d\,\ yyyy"/>
  </numFmts>
  <fonts count="89">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b/>
      <sz val="10"/>
      <color indexed="10"/>
      <name val="Arial"/>
      <family val="2"/>
    </font>
    <font>
      <sz val="10"/>
      <color indexed="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name val="Tahoma"/>
      <family val="2"/>
    </font>
    <font>
      <sz val="10"/>
      <color indexed="9"/>
      <name val="Arial"/>
      <family val="2"/>
    </font>
    <font>
      <b/>
      <u val="single"/>
      <sz val="10"/>
      <name val="Arial"/>
      <family val="2"/>
    </font>
    <font>
      <b/>
      <sz val="10"/>
      <color indexed="9"/>
      <name val="Arial"/>
      <family val="2"/>
    </font>
    <font>
      <b/>
      <u val="single"/>
      <sz val="14"/>
      <name val="Arial"/>
      <family val="2"/>
    </font>
    <font>
      <vertAlign val="superscript"/>
      <sz val="18"/>
      <name val="Arial Narrow"/>
      <family val="2"/>
    </font>
    <font>
      <sz val="18"/>
      <name val="Arial"/>
      <family val="2"/>
    </font>
    <font>
      <sz val="16"/>
      <name val="Arial"/>
      <family val="2"/>
    </font>
    <font>
      <b/>
      <sz val="11"/>
      <name val="Tahoma"/>
      <family val="2"/>
    </font>
    <font>
      <i/>
      <sz val="12"/>
      <name val="Arial"/>
      <family val="2"/>
    </font>
    <font>
      <b/>
      <i/>
      <u val="single"/>
      <sz val="12"/>
      <name val="Arial"/>
      <family val="2"/>
    </font>
    <font>
      <b/>
      <vertAlign val="superscript"/>
      <sz val="13"/>
      <name val="Arial"/>
      <family val="2"/>
    </font>
    <font>
      <sz val="14"/>
      <name val="Arial"/>
      <family val="2"/>
    </font>
    <font>
      <sz val="9"/>
      <name val="Tahoma"/>
      <family val="2"/>
    </font>
    <font>
      <b/>
      <sz val="9"/>
      <name val="Tahoma"/>
      <family val="2"/>
    </font>
    <font>
      <b/>
      <sz val="12"/>
      <name val="Tahoma"/>
      <family val="2"/>
    </font>
    <font>
      <sz val="12"/>
      <name val="Tahoma"/>
      <family val="2"/>
    </font>
    <font>
      <b/>
      <sz val="8"/>
      <name val="Tahoma"/>
      <family val="2"/>
    </font>
    <font>
      <sz val="14"/>
      <color indexed="10"/>
      <name val="Arial"/>
      <family val="2"/>
    </font>
    <font>
      <b/>
      <sz val="14"/>
      <color indexed="10"/>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b/>
      <sz val="28"/>
      <color indexed="10"/>
      <name val="Symbol"/>
      <family val="1"/>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font>
    <font>
      <b/>
      <sz val="16"/>
      <color rgb="FFFF0000"/>
      <name val="Arial"/>
      <family val="2"/>
    </font>
    <font>
      <b/>
      <sz val="10"/>
      <color rgb="FFFF0000"/>
      <name val="Arial"/>
      <family val="2"/>
    </font>
    <font>
      <b/>
      <sz val="8"/>
      <name val="Arial"/>
      <family val="2"/>
    </font>
  </fonts>
  <fills count="19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indexed="22"/>
        <bgColor indexed="64"/>
      </patternFill>
    </fill>
    <fill>
      <gradientFill degree="90">
        <stop position="0">
          <color theme="0"/>
        </stop>
        <stop position="1">
          <color rgb="FFFFC000"/>
        </stop>
      </gradientFill>
    </fill>
    <fill>
      <gradientFill degree="90">
        <stop position="0">
          <color theme="0"/>
        </stop>
        <stop position="1">
          <color rgb="FFFFC000"/>
        </stop>
      </gradientFill>
    </fill>
    <fill>
      <patternFill patternType="darkUp"/>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rgb="FFFFC000"/>
        </stop>
      </gradientFill>
    </fill>
    <fill>
      <gradientFill degree="90">
        <stop position="0">
          <color theme="0"/>
        </stop>
        <stop position="1">
          <color theme="0" tint="-0.2509700059890747"/>
        </stop>
      </gradientFill>
    </fill>
    <fill>
      <patternFill patternType="solid">
        <fgColor theme="0"/>
        <bgColor indexed="64"/>
      </pattern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4"/>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0" tint="-0.2509700059890747"/>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patternFill patternType="solid">
        <fgColor rgb="FF92D050"/>
        <bgColor indexed="64"/>
      </pattern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4"/>
        </stop>
      </gradientFill>
    </fill>
    <fill>
      <gradientFill degree="90">
        <stop position="0">
          <color theme="0"/>
        </stop>
        <stop position="1">
          <color theme="0" tint="-0.2509700059890747"/>
        </stop>
      </gradientFill>
    </fill>
    <fill>
      <patternFill patternType="solid">
        <fgColor rgb="FFFFFF00"/>
        <bgColor indexed="64"/>
      </patternFill>
    </fill>
    <fill>
      <patternFill patternType="solid">
        <fgColor rgb="FFFFC000"/>
        <bgColor indexed="64"/>
      </patternFill>
    </fill>
    <fill>
      <patternFill patternType="darkUp">
        <fgColor theme="1"/>
      </pattern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patternFill patternType="solid">
        <fgColor theme="0" tint="-0.1499900072813034"/>
        <bgColor indexed="64"/>
      </pattern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patternFill patternType="solid">
        <fgColor indexed="65"/>
        <bgColor indexed="64"/>
      </pattern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3" tint="0.8000100255012512"/>
        </stop>
      </gradientFill>
    </fill>
    <fill>
      <gradientFill degree="90">
        <stop position="0">
          <color theme="0"/>
        </stop>
        <stop position="1">
          <color theme="3" tint="0.8000100255012512"/>
        </stop>
      </gradientFill>
    </fill>
    <fill>
      <gradientFill degree="90">
        <stop position="0">
          <color theme="0"/>
        </stop>
        <stop position="1">
          <color theme="3" tint="0.8000100255012512"/>
        </stop>
      </gradientFill>
    </fill>
    <fill>
      <gradientFill degree="90">
        <stop position="0">
          <color theme="0"/>
        </stop>
        <stop position="1">
          <color theme="3" tint="0.8000100255012512"/>
        </stop>
      </gradientFill>
    </fill>
    <fill>
      <gradientFill degree="90">
        <stop position="0">
          <color theme="0"/>
        </stop>
        <stop position="1">
          <color theme="3" tint="0.8000100255012512"/>
        </stop>
      </gradientFill>
    </fill>
    <fill>
      <gradientFill degree="90">
        <stop position="0">
          <color theme="0"/>
        </stop>
        <stop position="1">
          <color theme="3" tint="0.8000100255012512"/>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700059890747"/>
        </stop>
      </gradientFill>
    </fill>
    <fill>
      <gradientFill degree="90">
        <stop position="0">
          <color theme="0"/>
        </stop>
        <stop position="1">
          <color theme="1" tint="0.49803000688552856"/>
        </stop>
      </gradientFill>
    </fill>
    <fill>
      <gradientFill degree="90">
        <stop position="0">
          <color theme="0"/>
        </stop>
        <stop position="1">
          <color theme="1" tint="0.49803000688552856"/>
        </stop>
      </gradientFill>
    </fill>
    <fill>
      <gradientFill degree="90">
        <stop position="0">
          <color theme="0"/>
        </stop>
        <stop position="1">
          <color theme="3" tint="0.40000998973846436"/>
        </stop>
      </gradientFill>
    </fill>
    <fill>
      <gradientFill degree="90">
        <stop position="0">
          <color theme="0"/>
        </stop>
        <stop position="1">
          <color theme="3" tint="0.40000998973846436"/>
        </stop>
      </gradientFill>
    </fill>
    <fill>
      <gradientFill degree="90">
        <stop position="0">
          <color theme="0"/>
        </stop>
        <stop position="1">
          <color theme="3" tint="0.40000998973846436"/>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theme="0" tint="-0.2509700059890747"/>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22"/>
      </left>
      <right style="thin">
        <color indexed="22"/>
      </right>
      <top style="thin">
        <color indexed="22"/>
      </top>
      <bottom style="thin">
        <color indexed="22"/>
      </bottom>
    </border>
    <border>
      <left style="medium"/>
      <right>
        <color indexed="63"/>
      </right>
      <top>
        <color indexed="63"/>
      </top>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color theme="4" tint="0.39998000860214233"/>
      </left>
      <right>
        <color indexed="63"/>
      </right>
      <top style="thin">
        <color theme="4" tint="0.39998000860214233"/>
      </top>
      <bottom style="thin">
        <color theme="4" tint="0.39998000860214233"/>
      </bottom>
    </border>
    <border>
      <left style="thin">
        <color theme="4" tint="0.39998000860214233"/>
      </left>
      <right>
        <color indexed="63"/>
      </right>
      <top>
        <color indexed="63"/>
      </top>
      <bottom style="thin">
        <color theme="4" tint="0.39998000860214233"/>
      </bottom>
    </border>
    <border>
      <left>
        <color indexed="63"/>
      </left>
      <right>
        <color indexed="63"/>
      </right>
      <top style="medium"/>
      <bottom style="medium"/>
    </border>
    <border>
      <left style="thin"/>
      <right>
        <color indexed="63"/>
      </right>
      <top>
        <color indexed="63"/>
      </top>
      <bottom>
        <color indexed="63"/>
      </bottom>
    </border>
    <border>
      <left style="thin"/>
      <right style="thin"/>
      <top>
        <color indexed="63"/>
      </top>
      <bottom style="thin">
        <color theme="4" tint="0.39998000860214233"/>
      </bottom>
    </border>
    <border>
      <left style="thin"/>
      <right style="thin"/>
      <top style="thin">
        <color theme="4" tint="0.39998000860214233"/>
      </top>
      <bottom style="thin"/>
    </border>
    <border>
      <left style="thin"/>
      <right style="thin"/>
      <top style="thin">
        <color theme="4" tint="0.39998000860214233"/>
      </top>
      <bottom style="thin">
        <color theme="4" tint="0.39998000860214233"/>
      </bottom>
    </border>
    <border>
      <left>
        <color indexed="63"/>
      </left>
      <right style="medium"/>
      <top style="medium"/>
      <bottom>
        <color indexed="63"/>
      </bottom>
    </border>
    <border>
      <left style="thin"/>
      <right style="medium"/>
      <top style="medium"/>
      <bottom style="thin"/>
    </border>
    <border>
      <left style="thin"/>
      <right>
        <color indexed="63"/>
      </right>
      <top style="thin"/>
      <bottom style="thin"/>
    </border>
    <border>
      <left style="thin"/>
      <right>
        <color indexed="63"/>
      </right>
      <top>
        <color indexed="63"/>
      </top>
      <bottom style="thin"/>
    </border>
    <border>
      <left style="thin"/>
      <right style="medium"/>
      <top style="thin"/>
      <bottom style="thin"/>
    </border>
    <border>
      <left style="medium"/>
      <right style="thin"/>
      <top>
        <color indexed="63"/>
      </top>
      <bottom>
        <color indexed="63"/>
      </bottom>
    </border>
    <border>
      <left style="medium"/>
      <right>
        <color indexed="63"/>
      </right>
      <top>
        <color indexed="63"/>
      </top>
      <bottom style="thin"/>
    </border>
    <border>
      <left style="thin"/>
      <right style="medium"/>
      <top>
        <color indexed="63"/>
      </top>
      <bottom>
        <color indexed="63"/>
      </bottom>
    </border>
    <border>
      <left style="thin"/>
      <right style="medium"/>
      <top style="thin"/>
      <bottom>
        <color indexed="63"/>
      </bottom>
    </border>
    <border>
      <left style="medium"/>
      <right style="thin"/>
      <top>
        <color indexed="63"/>
      </top>
      <bottom style="thin"/>
    </border>
    <border>
      <left style="medium"/>
      <right/>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color indexed="63"/>
      </left>
      <right style="medium"/>
      <top>
        <color indexed="63"/>
      </top>
      <bottom style="medium"/>
    </border>
    <border>
      <left style="thin"/>
      <right style="thin"/>
      <top>
        <color indexed="63"/>
      </top>
      <bottom style="medium"/>
    </border>
    <border>
      <left style="medium"/>
      <right style="medium"/>
      <top style="medium"/>
      <bottom>
        <color indexed="63"/>
      </botto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color indexed="63"/>
      </top>
      <bottom style="thin"/>
    </border>
    <border>
      <left style="thin"/>
      <right style="medium"/>
      <top>
        <color indexed="63"/>
      </top>
      <bottom style="thin"/>
    </border>
    <border>
      <left>
        <color indexed="63"/>
      </left>
      <right style="medium"/>
      <top style="medium"/>
      <bottom style="medium"/>
    </border>
    <border>
      <left>
        <color indexed="63"/>
      </left>
      <right style="thin"/>
      <top style="medium"/>
      <bottom style="medium"/>
    </border>
    <border>
      <left style="medium"/>
      <right style="medium"/>
      <top style="thin"/>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color indexed="63"/>
      </bottom>
    </border>
    <border>
      <left style="medium"/>
      <right style="double"/>
      <top style="thin"/>
      <bottom>
        <color indexed="63"/>
      </bottom>
    </border>
    <border>
      <left style="double"/>
      <right style="medium"/>
      <top style="medium"/>
      <bottom>
        <color indexed="63"/>
      </bottom>
    </border>
    <border>
      <left style="medium"/>
      <right style="double"/>
      <top style="medium"/>
      <bottom>
        <color indexed="63"/>
      </bottom>
    </border>
    <border>
      <left style="double"/>
      <right style="medium"/>
      <top>
        <color indexed="63"/>
      </top>
      <bottom>
        <color indexed="63"/>
      </bottom>
    </border>
    <border>
      <left style="medium"/>
      <right style="double"/>
      <top>
        <color indexed="63"/>
      </top>
      <bottom>
        <color indexed="63"/>
      </bottom>
    </border>
    <border>
      <left style="double"/>
      <right style="medium"/>
      <top>
        <color indexed="63"/>
      </top>
      <bottom style="medium"/>
    </border>
    <border>
      <left style="medium"/>
      <right style="double"/>
      <top>
        <color indexed="63"/>
      </top>
      <bottom style="medium"/>
    </border>
    <border>
      <left style="double"/>
      <right style="medium"/>
      <top>
        <color indexed="63"/>
      </top>
      <bottom style="double"/>
    </border>
    <border>
      <left style="medium"/>
      <right style="medium"/>
      <top>
        <color indexed="63"/>
      </top>
      <bottom style="double"/>
    </border>
    <border>
      <left style="medium"/>
      <right style="double"/>
      <top>
        <color indexed="63"/>
      </top>
      <bottom style="double"/>
    </border>
    <border>
      <left style="medium"/>
      <right>
        <color indexed="63"/>
      </right>
      <top style="thin"/>
      <bottom style="medium"/>
    </border>
    <border>
      <left>
        <color indexed="63"/>
      </left>
      <right style="medium"/>
      <top style="thin"/>
      <bottom style="medium"/>
    </border>
    <border>
      <left style="thin"/>
      <right style="double"/>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style="thin">
        <color indexed="22"/>
      </right>
      <top style="thin">
        <color indexed="22"/>
      </top>
      <bottom style="thin">
        <color indexed="22"/>
      </bottom>
    </border>
    <border>
      <left style="thin">
        <color indexed="22"/>
      </left>
      <right style="double"/>
      <top style="thin">
        <color indexed="22"/>
      </top>
      <bottom style="thin">
        <color indexed="22"/>
      </bottom>
    </border>
    <border>
      <left style="double"/>
      <right style="thin">
        <color indexed="22"/>
      </right>
      <top>
        <color indexed="63"/>
      </top>
      <bottom style="double"/>
    </border>
    <border>
      <left style="thin">
        <color indexed="22"/>
      </left>
      <right style="thin">
        <color indexed="22"/>
      </right>
      <top>
        <color indexed="63"/>
      </top>
      <bottom style="double"/>
    </border>
    <border>
      <left style="thin">
        <color indexed="22"/>
      </left>
      <right style="double"/>
      <top style="thin">
        <color indexed="22"/>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medium"/>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medium"/>
    </border>
    <border>
      <left>
        <color indexed="63"/>
      </left>
      <right style="double"/>
      <top>
        <color indexed="63"/>
      </top>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64" fillId="0" borderId="0">
      <alignment/>
      <protection/>
    </xf>
    <xf numFmtId="0" fontId="0" fillId="32" borderId="7" applyNumberFormat="0" applyFont="0" applyAlignment="0" applyProtection="0"/>
    <xf numFmtId="0" fontId="64"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45">
    <xf numFmtId="0" fontId="0" fillId="0" borderId="0" xfId="0" applyAlignment="1">
      <alignment/>
    </xf>
    <xf numFmtId="0" fontId="6" fillId="33" borderId="0" xfId="0" applyFont="1" applyFill="1" applyBorder="1" applyAlignment="1">
      <alignment vertical="center" wrapText="1"/>
    </xf>
    <xf numFmtId="0" fontId="7" fillId="33" borderId="0" xfId="0" applyFont="1" applyFill="1" applyBorder="1" applyAlignment="1">
      <alignment horizontal="right" vertical="center" wrapText="1"/>
    </xf>
    <xf numFmtId="0" fontId="7" fillId="0" borderId="0" xfId="0" applyFont="1" applyFill="1" applyBorder="1" applyAlignment="1">
      <alignment horizontal="right" vertical="center" wrapText="1"/>
    </xf>
    <xf numFmtId="4" fontId="0" fillId="0" borderId="0" xfId="0" applyNumberFormat="1" applyFont="1" applyFill="1" applyBorder="1" applyAlignment="1">
      <alignment/>
    </xf>
    <xf numFmtId="0" fontId="0" fillId="0" borderId="0" xfId="0" applyFont="1" applyBorder="1" applyAlignment="1">
      <alignment/>
    </xf>
    <xf numFmtId="0" fontId="0" fillId="0" borderId="0" xfId="0" applyFont="1" applyBorder="1" applyAlignment="1">
      <alignment horizontal="center"/>
    </xf>
    <xf numFmtId="4" fontId="0" fillId="0" borderId="0" xfId="0" applyNumberFormat="1" applyFont="1" applyFill="1" applyBorder="1"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vertical="center" wrapText="1"/>
    </xf>
    <xf numFmtId="4" fontId="2" fillId="0" borderId="11" xfId="0" applyNumberFormat="1" applyFont="1" applyFill="1" applyBorder="1" applyAlignment="1">
      <alignment vertical="center" wrapText="1"/>
    </xf>
    <xf numFmtId="4" fontId="1" fillId="0" borderId="0" xfId="0" applyNumberFormat="1" applyFont="1" applyFill="1" applyBorder="1" applyAlignment="1">
      <alignment vertical="center" wrapText="1"/>
    </xf>
    <xf numFmtId="0" fontId="0" fillId="0" borderId="0" xfId="0" applyFont="1" applyFill="1" applyBorder="1" applyAlignment="1">
      <alignment/>
    </xf>
    <xf numFmtId="0" fontId="0" fillId="0" borderId="10" xfId="0" applyFont="1" applyFill="1" applyBorder="1" applyAlignment="1">
      <alignment horizontal="center" vertical="center" wrapText="1"/>
    </xf>
    <xf numFmtId="4" fontId="0" fillId="0" borderId="12" xfId="0" applyNumberFormat="1" applyFont="1" applyFill="1" applyBorder="1" applyAlignment="1">
      <alignment/>
    </xf>
    <xf numFmtId="0" fontId="0" fillId="0" borderId="13"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0" xfId="0" applyNumberFormat="1" applyFont="1" applyAlignment="1">
      <alignment/>
    </xf>
    <xf numFmtId="0" fontId="9" fillId="33" borderId="0" xfId="0" applyFont="1" applyFill="1" applyBorder="1" applyAlignment="1">
      <alignment vertical="center" wrapText="1"/>
    </xf>
    <xf numFmtId="0" fontId="9"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9" fillId="0" borderId="0" xfId="0" applyFont="1" applyFill="1" applyBorder="1" applyAlignment="1">
      <alignment vertical="center" wrapText="1"/>
    </xf>
    <xf numFmtId="0" fontId="10" fillId="33" borderId="15"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4" fontId="1" fillId="0" borderId="16"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11" xfId="0" applyFont="1" applyFill="1" applyBorder="1" applyAlignment="1">
      <alignment horizontal="center" vertical="center" wrapText="1"/>
    </xf>
    <xf numFmtId="0" fontId="0" fillId="0" borderId="12" xfId="0" applyFont="1" applyBorder="1" applyAlignment="1">
      <alignment/>
    </xf>
    <xf numFmtId="0" fontId="15" fillId="0" borderId="0" xfId="68" applyFont="1" applyAlignment="1" applyProtection="1">
      <alignment horizontal="left"/>
      <protection/>
    </xf>
    <xf numFmtId="0" fontId="13" fillId="0" borderId="0" xfId="0" applyFont="1" applyFill="1" applyBorder="1" applyAlignment="1">
      <alignment horizontal="center" vertical="center" wrapText="1"/>
    </xf>
    <xf numFmtId="0" fontId="14" fillId="0" borderId="0" xfId="0" applyFont="1" applyFill="1" applyBorder="1" applyAlignment="1">
      <alignment horizontal="right" vertical="center" wrapText="1"/>
    </xf>
    <xf numFmtId="0" fontId="0" fillId="0" borderId="0" xfId="0" applyBorder="1" applyAlignment="1">
      <alignment/>
    </xf>
    <xf numFmtId="0" fontId="0" fillId="0" borderId="0" xfId="0" applyFill="1" applyBorder="1" applyAlignment="1">
      <alignment/>
    </xf>
    <xf numFmtId="0" fontId="0" fillId="0" borderId="0" xfId="0" applyAlignment="1">
      <alignment horizontal="center"/>
    </xf>
    <xf numFmtId="0" fontId="0" fillId="0" borderId="17" xfId="0" applyBorder="1" applyAlignment="1">
      <alignment/>
    </xf>
    <xf numFmtId="0" fontId="0" fillId="0" borderId="18" xfId="0" applyBorder="1" applyAlignment="1">
      <alignment/>
    </xf>
    <xf numFmtId="184" fontId="20" fillId="33" borderId="19" xfId="0" applyNumberFormat="1" applyFont="1" applyFill="1" applyBorder="1" applyAlignment="1">
      <alignment horizontal="right" vertical="top"/>
    </xf>
    <xf numFmtId="4" fontId="1" fillId="0" borderId="17" xfId="0" applyNumberFormat="1" applyFont="1" applyFill="1" applyBorder="1" applyAlignment="1">
      <alignment vertical="center" wrapText="1"/>
    </xf>
    <xf numFmtId="4" fontId="1" fillId="0" borderId="17" xfId="0" applyNumberFormat="1" applyFont="1" applyFill="1" applyBorder="1" applyAlignment="1">
      <alignment horizontal="left" vertical="center" wrapText="1"/>
    </xf>
    <xf numFmtId="4" fontId="1" fillId="0" borderId="20" xfId="0" applyNumberFormat="1" applyFont="1" applyFill="1" applyBorder="1" applyAlignment="1">
      <alignment vertical="center" wrapText="1"/>
    </xf>
    <xf numFmtId="0" fontId="3" fillId="0" borderId="0" xfId="0" applyFont="1" applyFill="1" applyBorder="1" applyAlignment="1">
      <alignment horizontal="center" vertical="center"/>
    </xf>
    <xf numFmtId="3" fontId="13" fillId="0" borderId="0" xfId="0" applyNumberFormat="1" applyFont="1" applyFill="1" applyBorder="1" applyAlignment="1">
      <alignment horizontal="center" vertical="center" wrapText="1"/>
    </xf>
    <xf numFmtId="174" fontId="13" fillId="0" borderId="0" xfId="80" applyNumberFormat="1" applyFont="1" applyFill="1" applyBorder="1" applyAlignment="1">
      <alignment horizontal="center" vertical="center" wrapText="1"/>
    </xf>
    <xf numFmtId="173" fontId="0" fillId="0" borderId="0" xfId="42" applyNumberFormat="1" applyFont="1" applyBorder="1" applyAlignment="1">
      <alignment horizontal="center"/>
    </xf>
    <xf numFmtId="174" fontId="0" fillId="0" borderId="0" xfId="78" applyNumberFormat="1" applyFont="1" applyBorder="1" applyAlignment="1">
      <alignment horizontal="center"/>
    </xf>
    <xf numFmtId="0" fontId="8" fillId="0" borderId="0" xfId="0" applyFont="1" applyBorder="1" applyAlignment="1">
      <alignment horizontal="center" wrapText="1"/>
    </xf>
    <xf numFmtId="0" fontId="0" fillId="0" borderId="0" xfId="0" applyNumberFormat="1" applyFont="1" applyFill="1" applyBorder="1" applyAlignment="1" applyProtection="1">
      <alignment/>
      <protection/>
    </xf>
    <xf numFmtId="0" fontId="19" fillId="0" borderId="0" xfId="46" applyNumberFormat="1" applyFont="1" applyFill="1" applyBorder="1" applyAlignment="1" applyProtection="1">
      <alignment/>
      <protection/>
    </xf>
    <xf numFmtId="0" fontId="19" fillId="0" borderId="0" xfId="46" applyFont="1" applyBorder="1">
      <alignment/>
      <protection/>
    </xf>
    <xf numFmtId="0" fontId="19" fillId="0" borderId="0" xfId="46" applyNumberFormat="1" applyFont="1" applyFill="1" applyBorder="1" applyAlignment="1" applyProtection="1">
      <alignment horizontal="center"/>
      <protection/>
    </xf>
    <xf numFmtId="0" fontId="24" fillId="0" borderId="0" xfId="0" applyNumberFormat="1" applyFont="1" applyFill="1" applyBorder="1" applyAlignment="1" applyProtection="1">
      <alignment/>
      <protection/>
    </xf>
    <xf numFmtId="4" fontId="0" fillId="0" borderId="0" xfId="72" applyNumberFormat="1" applyFont="1" applyFill="1" applyBorder="1" applyAlignment="1">
      <alignment horizontal="center" vertical="center" wrapText="1"/>
      <protection/>
    </xf>
    <xf numFmtId="4" fontId="4" fillId="0" borderId="0" xfId="0" applyNumberFormat="1" applyFont="1" applyFill="1" applyBorder="1" applyAlignment="1">
      <alignment/>
    </xf>
    <xf numFmtId="0" fontId="13" fillId="0" borderId="0" xfId="0" applyFont="1" applyAlignment="1">
      <alignment wrapText="1"/>
    </xf>
    <xf numFmtId="4" fontId="4" fillId="0" borderId="0" xfId="0" applyNumberFormat="1" applyFont="1" applyFill="1" applyBorder="1" applyAlignment="1">
      <alignment horizontal="center" vertical="center" wrapText="1"/>
    </xf>
    <xf numFmtId="0" fontId="14" fillId="0" borderId="0" xfId="0" applyFont="1" applyFill="1" applyBorder="1" applyAlignment="1">
      <alignment wrapText="1"/>
    </xf>
    <xf numFmtId="0" fontId="13" fillId="0" borderId="0" xfId="0" applyFont="1" applyFill="1" applyBorder="1" applyAlignment="1">
      <alignment wrapText="1"/>
    </xf>
    <xf numFmtId="4" fontId="0" fillId="0" borderId="11" xfId="0" applyNumberFormat="1" applyFont="1" applyFill="1" applyBorder="1" applyAlignment="1">
      <alignment horizontal="center" vertical="center" wrapText="1"/>
    </xf>
    <xf numFmtId="0" fontId="0" fillId="0" borderId="0" xfId="0" applyFont="1" applyFill="1" applyAlignment="1">
      <alignment/>
    </xf>
    <xf numFmtId="0" fontId="15" fillId="0" borderId="0" xfId="68" applyFont="1" applyFill="1" applyAlignment="1" applyProtection="1">
      <alignment horizontal="left"/>
      <protection/>
    </xf>
    <xf numFmtId="174" fontId="2" fillId="0" borderId="0" xfId="78" applyNumberFormat="1" applyFont="1" applyFill="1" applyBorder="1" applyAlignment="1">
      <alignment horizontal="right" vertical="center" wrapText="1"/>
    </xf>
    <xf numFmtId="0" fontId="4" fillId="0" borderId="0" xfId="0" applyFont="1" applyFill="1" applyBorder="1" applyAlignment="1">
      <alignment horizontal="center"/>
    </xf>
    <xf numFmtId="4" fontId="4" fillId="0" borderId="0" xfId="0" applyNumberFormat="1" applyFont="1" applyFill="1" applyBorder="1" applyAlignment="1">
      <alignment horizontal="center" wrapText="1"/>
    </xf>
    <xf numFmtId="0" fontId="0" fillId="0" borderId="0" xfId="0" applyFont="1" applyAlignment="1">
      <alignment/>
    </xf>
    <xf numFmtId="0" fontId="13" fillId="0" borderId="21" xfId="0" applyFont="1" applyBorder="1" applyAlignment="1">
      <alignment horizontal="center" vertical="center" wrapText="1"/>
    </xf>
    <xf numFmtId="0" fontId="0" fillId="0" borderId="21"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4" fontId="2" fillId="0" borderId="0" xfId="0" applyNumberFormat="1" applyFont="1" applyFill="1" applyBorder="1" applyAlignment="1">
      <alignment vertical="center" wrapText="1"/>
    </xf>
    <xf numFmtId="0" fontId="81" fillId="0" borderId="0" xfId="0" applyFont="1" applyBorder="1" applyAlignment="1">
      <alignment/>
    </xf>
    <xf numFmtId="0" fontId="0" fillId="0" borderId="20" xfId="0" applyBorder="1" applyAlignment="1">
      <alignment/>
    </xf>
    <xf numFmtId="0" fontId="0" fillId="0" borderId="26" xfId="0" applyBorder="1" applyAlignment="1">
      <alignment/>
    </xf>
    <xf numFmtId="14" fontId="0" fillId="0" borderId="0" xfId="0" applyNumberFormat="1" applyFont="1" applyBorder="1" applyAlignment="1">
      <alignment horizontal="center"/>
    </xf>
    <xf numFmtId="0" fontId="82" fillId="0" borderId="27" xfId="0" applyFont="1" applyBorder="1" applyAlignment="1">
      <alignment/>
    </xf>
    <xf numFmtId="0" fontId="83" fillId="0" borderId="27" xfId="0" applyFont="1" applyBorder="1" applyAlignment="1">
      <alignment/>
    </xf>
    <xf numFmtId="0" fontId="18" fillId="0" borderId="0" xfId="42" applyNumberFormat="1" applyFont="1" applyFill="1" applyBorder="1" applyAlignment="1" applyProtection="1">
      <alignment/>
      <protection/>
    </xf>
    <xf numFmtId="0" fontId="0" fillId="0" borderId="26" xfId="0" applyFont="1" applyBorder="1" applyAlignment="1">
      <alignment/>
    </xf>
    <xf numFmtId="0" fontId="82" fillId="34" borderId="28" xfId="0" applyFont="1" applyFill="1" applyBorder="1" applyAlignment="1">
      <alignment/>
    </xf>
    <xf numFmtId="0" fontId="4" fillId="35" borderId="29" xfId="0" applyFont="1" applyFill="1" applyBorder="1" applyAlignment="1">
      <alignment horizontal="center"/>
    </xf>
    <xf numFmtId="169" fontId="2" fillId="0" borderId="16" xfId="78" applyNumberFormat="1" applyFont="1" applyFill="1" applyBorder="1" applyAlignment="1">
      <alignment horizontal="right" vertical="center" wrapText="1"/>
    </xf>
    <xf numFmtId="173" fontId="2" fillId="0" borderId="16" xfId="42" applyNumberFormat="1" applyFont="1" applyFill="1" applyBorder="1" applyAlignment="1">
      <alignment horizontal="right" vertical="center" wrapText="1"/>
    </xf>
    <xf numFmtId="173" fontId="1" fillId="0" borderId="12" xfId="42" applyNumberFormat="1" applyFont="1" applyFill="1" applyBorder="1" applyAlignment="1">
      <alignment horizontal="right" vertical="center" wrapText="1"/>
    </xf>
    <xf numFmtId="173" fontId="4" fillId="0" borderId="12" xfId="0" applyNumberFormat="1" applyFont="1" applyBorder="1" applyAlignment="1">
      <alignment horizontal="center"/>
    </xf>
    <xf numFmtId="174" fontId="4" fillId="0" borderId="30" xfId="78" applyNumberFormat="1" applyFont="1" applyFill="1" applyBorder="1" applyAlignment="1">
      <alignment horizontal="right"/>
    </xf>
    <xf numFmtId="173" fontId="2" fillId="0" borderId="11" xfId="42" applyNumberFormat="1" applyFont="1" applyFill="1" applyBorder="1" applyAlignment="1">
      <alignment horizontal="right" vertical="center" wrapText="1"/>
    </xf>
    <xf numFmtId="173" fontId="1" fillId="0" borderId="11" xfId="42" applyNumberFormat="1" applyFont="1" applyFill="1" applyBorder="1" applyAlignment="1">
      <alignment horizontal="right" vertical="center" wrapText="1"/>
    </xf>
    <xf numFmtId="3" fontId="4" fillId="0" borderId="0" xfId="0" applyNumberFormat="1" applyFont="1" applyFill="1" applyBorder="1" applyAlignment="1">
      <alignment/>
    </xf>
    <xf numFmtId="171" fontId="4" fillId="0" borderId="0" xfId="0" applyNumberFormat="1" applyFont="1" applyFill="1" applyBorder="1" applyAlignment="1">
      <alignment/>
    </xf>
    <xf numFmtId="169" fontId="1" fillId="0" borderId="0" xfId="78" applyNumberFormat="1" applyFont="1" applyFill="1" applyBorder="1" applyAlignment="1">
      <alignment horizontal="right" vertical="center" wrapText="1"/>
    </xf>
    <xf numFmtId="173" fontId="1" fillId="0" borderId="0" xfId="42" applyNumberFormat="1" applyFont="1" applyFill="1" applyBorder="1" applyAlignment="1">
      <alignment horizontal="right" vertical="center" wrapText="1"/>
    </xf>
    <xf numFmtId="174" fontId="0" fillId="0" borderId="0" xfId="78" applyNumberFormat="1" applyFont="1" applyFill="1" applyBorder="1" applyAlignment="1">
      <alignment horizontal="right"/>
    </xf>
    <xf numFmtId="4" fontId="2" fillId="0" borderId="16" xfId="0" applyNumberFormat="1" applyFont="1" applyFill="1" applyBorder="1" applyAlignment="1">
      <alignment vertical="center" wrapText="1"/>
    </xf>
    <xf numFmtId="0" fontId="0" fillId="0" borderId="12" xfId="0" applyBorder="1" applyAlignment="1">
      <alignment/>
    </xf>
    <xf numFmtId="0" fontId="82" fillId="0" borderId="31" xfId="0" applyFont="1" applyFill="1" applyBorder="1" applyAlignment="1">
      <alignment/>
    </xf>
    <xf numFmtId="0" fontId="0" fillId="0" borderId="14" xfId="0" applyBorder="1" applyAlignment="1">
      <alignment/>
    </xf>
    <xf numFmtId="0" fontId="0" fillId="0" borderId="12" xfId="0" applyFont="1" applyFill="1" applyBorder="1" applyAlignment="1">
      <alignment/>
    </xf>
    <xf numFmtId="0" fontId="0" fillId="0" borderId="32" xfId="0" applyFont="1" applyBorder="1" applyAlignment="1">
      <alignment/>
    </xf>
    <xf numFmtId="0" fontId="82" fillId="0" borderId="33" xfId="0" applyFont="1" applyBorder="1" applyAlignment="1">
      <alignment/>
    </xf>
    <xf numFmtId="4" fontId="0" fillId="0" borderId="18" xfId="0" applyNumberFormat="1" applyFont="1" applyFill="1" applyBorder="1" applyAlignment="1">
      <alignment/>
    </xf>
    <xf numFmtId="3" fontId="13" fillId="36" borderId="11" xfId="0" applyNumberFormat="1" applyFont="1" applyFill="1" applyBorder="1" applyAlignment="1">
      <alignment horizontal="center" vertical="center" wrapText="1"/>
    </xf>
    <xf numFmtId="4" fontId="0" fillId="37" borderId="11" xfId="72" applyNumberFormat="1" applyFont="1" applyFill="1" applyBorder="1" applyAlignment="1">
      <alignment horizontal="center" vertical="center" wrapText="1"/>
      <protection/>
    </xf>
    <xf numFmtId="0" fontId="0" fillId="38" borderId="34" xfId="0" applyFont="1" applyFill="1" applyBorder="1" applyAlignment="1">
      <alignment horizontal="center" vertical="center" wrapText="1"/>
    </xf>
    <xf numFmtId="0" fontId="9" fillId="0" borderId="0" xfId="0" applyFont="1" applyFill="1" applyBorder="1" applyAlignment="1">
      <alignment horizontal="left" wrapText="1"/>
    </xf>
    <xf numFmtId="0" fontId="84" fillId="0" borderId="0" xfId="0" applyFont="1" applyFill="1" applyBorder="1" applyAlignment="1">
      <alignment horizontal="left" wrapText="1"/>
    </xf>
    <xf numFmtId="4" fontId="0" fillId="39" borderId="11" xfId="72" applyNumberFormat="1" applyFont="1" applyFill="1" applyBorder="1" applyAlignment="1">
      <alignment horizontal="center" vertical="center" wrapText="1"/>
      <protection/>
    </xf>
    <xf numFmtId="0" fontId="0" fillId="0" borderId="35" xfId="0" applyFont="1" applyFill="1" applyBorder="1" applyAlignment="1">
      <alignment horizontal="center" vertical="center" wrapText="1"/>
    </xf>
    <xf numFmtId="0" fontId="4" fillId="36" borderId="24" xfId="0" applyFont="1" applyFill="1" applyBorder="1" applyAlignment="1">
      <alignment horizontal="left" vertical="center" wrapText="1"/>
    </xf>
    <xf numFmtId="173" fontId="0" fillId="0" borderId="0" xfId="0" applyNumberFormat="1" applyFont="1" applyFill="1" applyBorder="1" applyAlignment="1">
      <alignment/>
    </xf>
    <xf numFmtId="174" fontId="0" fillId="0" borderId="0" xfId="78" applyNumberFormat="1" applyFont="1" applyFill="1" applyBorder="1" applyAlignment="1">
      <alignment/>
    </xf>
    <xf numFmtId="10" fontId="13" fillId="36" borderId="11" xfId="0" applyNumberFormat="1" applyFont="1" applyFill="1" applyBorder="1" applyAlignment="1">
      <alignment horizontal="center" vertical="center" wrapText="1"/>
    </xf>
    <xf numFmtId="4" fontId="4" fillId="40" borderId="36" xfId="0" applyNumberFormat="1" applyFont="1" applyFill="1" applyBorder="1" applyAlignment="1">
      <alignment/>
    </xf>
    <xf numFmtId="4" fontId="1" fillId="41" borderId="30" xfId="0" applyNumberFormat="1" applyFont="1" applyFill="1" applyBorder="1" applyAlignment="1" applyProtection="1">
      <alignment vertical="center" wrapText="1"/>
      <protection hidden="1" locked="0"/>
    </xf>
    <xf numFmtId="4" fontId="0" fillId="42" borderId="30" xfId="0" applyNumberFormat="1" applyFont="1" applyFill="1" applyBorder="1" applyAlignment="1" applyProtection="1">
      <alignment vertical="center" wrapText="1"/>
      <protection hidden="1" locked="0"/>
    </xf>
    <xf numFmtId="4" fontId="1" fillId="43" borderId="37" xfId="0" applyNumberFormat="1" applyFont="1" applyFill="1" applyBorder="1" applyAlignment="1" applyProtection="1">
      <alignment vertical="center" wrapText="1"/>
      <protection hidden="1" locked="0"/>
    </xf>
    <xf numFmtId="4" fontId="0" fillId="44" borderId="14" xfId="0" applyNumberFormat="1" applyFont="1" applyFill="1" applyBorder="1" applyAlignment="1">
      <alignment/>
    </xf>
    <xf numFmtId="4" fontId="0" fillId="45" borderId="12" xfId="0" applyNumberFormat="1" applyFont="1" applyFill="1" applyBorder="1" applyAlignment="1" applyProtection="1">
      <alignment/>
      <protection hidden="1" locked="0"/>
    </xf>
    <xf numFmtId="4" fontId="0" fillId="46" borderId="14" xfId="0" applyNumberFormat="1" applyFont="1" applyFill="1" applyBorder="1" applyAlignment="1" applyProtection="1">
      <alignment/>
      <protection hidden="1" locked="0"/>
    </xf>
    <xf numFmtId="4" fontId="0" fillId="47" borderId="17" xfId="0" applyNumberFormat="1" applyFont="1" applyFill="1" applyBorder="1" applyAlignment="1">
      <alignment/>
    </xf>
    <xf numFmtId="173" fontId="0" fillId="48" borderId="11" xfId="0" applyNumberFormat="1" applyFont="1" applyFill="1" applyBorder="1" applyAlignment="1">
      <alignment/>
    </xf>
    <xf numFmtId="174" fontId="0" fillId="49" borderId="38" xfId="78" applyNumberFormat="1" applyFont="1" applyFill="1" applyBorder="1" applyAlignment="1">
      <alignment/>
    </xf>
    <xf numFmtId="0" fontId="0" fillId="50" borderId="39" xfId="0" applyFont="1" applyFill="1" applyBorder="1" applyAlignment="1">
      <alignment/>
    </xf>
    <xf numFmtId="4" fontId="0" fillId="51" borderId="40" xfId="0" applyNumberFormat="1" applyFont="1" applyFill="1" applyBorder="1" applyAlignment="1">
      <alignment/>
    </xf>
    <xf numFmtId="49" fontId="9" fillId="52" borderId="17" xfId="0" applyNumberFormat="1" applyFont="1" applyFill="1" applyBorder="1" applyAlignment="1">
      <alignment horizontal="left" vertical="center" wrapText="1"/>
    </xf>
    <xf numFmtId="49" fontId="13" fillId="53" borderId="13" xfId="0" applyNumberFormat="1" applyFont="1" applyFill="1" applyBorder="1" applyAlignment="1">
      <alignment horizontal="center" vertical="center" wrapText="1"/>
    </xf>
    <xf numFmtId="3" fontId="14" fillId="54" borderId="13" xfId="45" applyNumberFormat="1" applyFont="1" applyFill="1" applyBorder="1" applyAlignment="1">
      <alignment horizontal="center" vertical="center" wrapText="1"/>
    </xf>
    <xf numFmtId="174" fontId="14" fillId="55" borderId="18" xfId="80" applyNumberFormat="1" applyFont="1" applyFill="1" applyBorder="1" applyAlignment="1">
      <alignment horizontal="center" vertical="center" wrapText="1"/>
    </xf>
    <xf numFmtId="0" fontId="9" fillId="56" borderId="17" xfId="0" applyFont="1" applyFill="1" applyBorder="1" applyAlignment="1">
      <alignment horizontal="left" vertical="center" wrapText="1"/>
    </xf>
    <xf numFmtId="0" fontId="13" fillId="57" borderId="13" xfId="0" applyFont="1" applyFill="1" applyBorder="1" applyAlignment="1" quotePrefix="1">
      <alignment horizontal="center" vertical="center" wrapText="1"/>
    </xf>
    <xf numFmtId="3" fontId="14" fillId="58" borderId="12" xfId="45" applyNumberFormat="1" applyFont="1" applyFill="1" applyBorder="1" applyAlignment="1">
      <alignment horizontal="center" vertical="center" wrapText="1"/>
    </xf>
    <xf numFmtId="0" fontId="13" fillId="59" borderId="0" xfId="0" applyFont="1" applyFill="1" applyBorder="1" applyAlignment="1" quotePrefix="1">
      <alignment horizontal="center" vertical="center" wrapText="1"/>
    </xf>
    <xf numFmtId="174" fontId="14" fillId="60" borderId="41" xfId="80" applyNumberFormat="1" applyFont="1" applyFill="1" applyBorder="1" applyAlignment="1">
      <alignment horizontal="center" vertical="center" wrapText="1"/>
    </xf>
    <xf numFmtId="0" fontId="13" fillId="61"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173" fontId="4" fillId="0" borderId="0" xfId="0" applyNumberFormat="1" applyFont="1" applyFill="1" applyBorder="1" applyAlignment="1">
      <alignment/>
    </xf>
    <xf numFmtId="173" fontId="4" fillId="0" borderId="0" xfId="0" applyNumberFormat="1" applyFont="1" applyBorder="1" applyAlignment="1">
      <alignment/>
    </xf>
    <xf numFmtId="174" fontId="4" fillId="0" borderId="0" xfId="78" applyNumberFormat="1" applyFont="1" applyBorder="1" applyAlignment="1">
      <alignment/>
    </xf>
    <xf numFmtId="173" fontId="0" fillId="0" borderId="0" xfId="0" applyNumberFormat="1" applyFont="1" applyBorder="1" applyAlignment="1">
      <alignment/>
    </xf>
    <xf numFmtId="174" fontId="0" fillId="0" borderId="0" xfId="78" applyNumberFormat="1" applyFont="1" applyBorder="1" applyAlignment="1">
      <alignment/>
    </xf>
    <xf numFmtId="49" fontId="29" fillId="0" borderId="0" xfId="0" applyNumberFormat="1" applyFont="1" applyFill="1" applyBorder="1" applyAlignment="1">
      <alignment horizontal="center" vertical="center" wrapText="1"/>
    </xf>
    <xf numFmtId="0" fontId="9" fillId="0" borderId="0" xfId="0" applyFont="1" applyFill="1" applyBorder="1" applyAlignment="1">
      <alignment horizontal="center" wrapText="1"/>
    </xf>
    <xf numFmtId="173" fontId="0" fillId="62" borderId="16" xfId="0" applyNumberFormat="1" applyFont="1" applyFill="1" applyBorder="1" applyAlignment="1">
      <alignment/>
    </xf>
    <xf numFmtId="174" fontId="0" fillId="63" borderId="42" xfId="78" applyNumberFormat="1" applyFont="1" applyFill="1" applyBorder="1" applyAlignment="1">
      <alignment/>
    </xf>
    <xf numFmtId="0" fontId="4" fillId="36" borderId="43" xfId="0" applyFont="1" applyFill="1" applyBorder="1" applyAlignment="1">
      <alignment horizontal="left" vertical="center" wrapText="1"/>
    </xf>
    <xf numFmtId="3" fontId="13" fillId="36" borderId="14" xfId="0" applyNumberFormat="1" applyFont="1" applyFill="1" applyBorder="1" applyAlignment="1">
      <alignment horizontal="center" vertical="center" wrapText="1"/>
    </xf>
    <xf numFmtId="10" fontId="13" fillId="36" borderId="14" xfId="0" applyNumberFormat="1" applyFont="1" applyFill="1" applyBorder="1" applyAlignment="1">
      <alignment horizontal="center" vertical="center" wrapText="1"/>
    </xf>
    <xf numFmtId="0" fontId="10" fillId="33" borderId="44" xfId="0" applyFont="1" applyFill="1" applyBorder="1" applyAlignment="1">
      <alignment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2" fillId="0" borderId="0" xfId="68" applyFill="1" applyBorder="1" applyAlignment="1" applyProtection="1">
      <alignment horizontal="center" vertical="center" wrapText="1"/>
      <protection/>
    </xf>
    <xf numFmtId="0" fontId="9" fillId="64" borderId="17" xfId="0" applyFont="1" applyFill="1" applyBorder="1" applyAlignment="1">
      <alignment vertical="center"/>
    </xf>
    <xf numFmtId="0" fontId="3" fillId="65" borderId="0" xfId="0" applyFont="1" applyFill="1" applyBorder="1" applyAlignment="1">
      <alignment vertical="center"/>
    </xf>
    <xf numFmtId="0" fontId="10" fillId="0" borderId="0" xfId="0" applyFont="1" applyFill="1" applyBorder="1" applyAlignment="1">
      <alignment horizontal="left" vertical="center" wrapText="1"/>
    </xf>
    <xf numFmtId="0" fontId="13" fillId="0" borderId="0" xfId="0" applyFont="1" applyFill="1" applyBorder="1" applyAlignment="1" quotePrefix="1">
      <alignment horizontal="center" vertical="center" wrapText="1"/>
    </xf>
    <xf numFmtId="3" fontId="14" fillId="0" borderId="0" xfId="42" applyNumberFormat="1" applyFont="1" applyFill="1" applyBorder="1" applyAlignment="1">
      <alignment horizontal="center" vertical="center" wrapText="1"/>
    </xf>
    <xf numFmtId="174" fontId="14" fillId="0" borderId="0" xfId="78"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3" fontId="14" fillId="66" borderId="13" xfId="42" applyNumberFormat="1" applyFont="1" applyFill="1" applyBorder="1" applyAlignment="1">
      <alignment horizontal="center" vertical="center" wrapText="1"/>
    </xf>
    <xf numFmtId="174" fontId="14" fillId="67" borderId="18" xfId="78" applyNumberFormat="1" applyFont="1" applyFill="1" applyBorder="1" applyAlignment="1">
      <alignment horizontal="center" vertical="center" wrapText="1"/>
    </xf>
    <xf numFmtId="3" fontId="14" fillId="68" borderId="47" xfId="42" applyNumberFormat="1" applyFont="1" applyFill="1" applyBorder="1" applyAlignment="1">
      <alignment horizontal="center" vertical="center" wrapText="1"/>
    </xf>
    <xf numFmtId="174" fontId="14" fillId="69" borderId="48" xfId="78" applyNumberFormat="1" applyFont="1" applyFill="1" applyBorder="1" applyAlignment="1">
      <alignment horizontal="center" vertical="center" wrapText="1"/>
    </xf>
    <xf numFmtId="3" fontId="9" fillId="70" borderId="13" xfId="42" applyNumberFormat="1" applyFont="1" applyFill="1" applyBorder="1" applyAlignment="1">
      <alignment horizontal="center" vertical="center" wrapText="1"/>
    </xf>
    <xf numFmtId="3" fontId="14" fillId="71" borderId="12" xfId="42" applyNumberFormat="1" applyFont="1" applyFill="1" applyBorder="1" applyAlignment="1">
      <alignment horizontal="center" vertical="center" wrapText="1"/>
    </xf>
    <xf numFmtId="3" fontId="14" fillId="72" borderId="49" xfId="42" applyNumberFormat="1" applyFont="1" applyFill="1" applyBorder="1" applyAlignment="1">
      <alignment horizontal="center" vertical="center" wrapText="1"/>
    </xf>
    <xf numFmtId="0" fontId="8" fillId="0" borderId="26" xfId="0" applyFont="1" applyBorder="1" applyAlignment="1">
      <alignment horizontal="center" wrapText="1"/>
    </xf>
    <xf numFmtId="0" fontId="0" fillId="73" borderId="50" xfId="0" applyFont="1" applyFill="1" applyBorder="1" applyAlignment="1">
      <alignment horizontal="center" vertical="center" wrapText="1"/>
    </xf>
    <xf numFmtId="3" fontId="9" fillId="74" borderId="12" xfId="42" applyNumberFormat="1" applyFont="1" applyFill="1" applyBorder="1" applyAlignment="1">
      <alignment horizontal="center" vertical="center" wrapText="1"/>
    </xf>
    <xf numFmtId="0" fontId="10" fillId="75" borderId="0" xfId="0" applyFont="1" applyFill="1" applyBorder="1" applyAlignment="1">
      <alignment horizontal="center" vertical="center" wrapText="1"/>
    </xf>
    <xf numFmtId="3" fontId="10" fillId="75" borderId="0" xfId="0" applyNumberFormat="1" applyFont="1" applyFill="1" applyBorder="1" applyAlignment="1">
      <alignment horizontal="center" vertical="center" wrapText="1"/>
    </xf>
    <xf numFmtId="174" fontId="10" fillId="75" borderId="0" xfId="78" applyNumberFormat="1" applyFont="1" applyFill="1" applyBorder="1" applyAlignment="1">
      <alignment horizontal="center" vertical="center" wrapText="1"/>
    </xf>
    <xf numFmtId="0" fontId="9" fillId="75" borderId="0" xfId="0" applyFont="1" applyFill="1" applyBorder="1" applyAlignment="1">
      <alignment horizontal="left" vertical="center" wrapText="1"/>
    </xf>
    <xf numFmtId="0" fontId="13" fillId="75" borderId="0" xfId="0" applyFont="1" applyFill="1" applyBorder="1" applyAlignment="1" quotePrefix="1">
      <alignment horizontal="center" vertical="center" wrapText="1"/>
    </xf>
    <xf numFmtId="3" fontId="14" fillId="75" borderId="0" xfId="42" applyNumberFormat="1" applyFont="1" applyFill="1" applyBorder="1" applyAlignment="1">
      <alignment horizontal="center" vertical="center" wrapText="1"/>
    </xf>
    <xf numFmtId="174" fontId="14" fillId="75" borderId="0" xfId="78" applyNumberFormat="1" applyFont="1" applyFill="1" applyBorder="1" applyAlignment="1">
      <alignment horizontal="center" vertical="center" wrapText="1"/>
    </xf>
    <xf numFmtId="0" fontId="13" fillId="75" borderId="0" xfId="0" applyFont="1" applyFill="1" applyBorder="1" applyAlignment="1">
      <alignment horizontal="center" vertical="center" wrapText="1"/>
    </xf>
    <xf numFmtId="0" fontId="8" fillId="0" borderId="0" xfId="0" applyFont="1" applyFill="1" applyBorder="1" applyAlignment="1">
      <alignment horizontal="center" wrapText="1"/>
    </xf>
    <xf numFmtId="174" fontId="10" fillId="0" borderId="0" xfId="78" applyNumberFormat="1" applyFont="1" applyFill="1" applyBorder="1" applyAlignment="1">
      <alignment horizontal="center" vertical="center" wrapText="1"/>
    </xf>
    <xf numFmtId="174" fontId="14" fillId="76" borderId="51" xfId="78" applyNumberFormat="1" applyFont="1" applyFill="1" applyBorder="1" applyAlignment="1">
      <alignment horizontal="center" vertical="center" wrapText="1"/>
    </xf>
    <xf numFmtId="174" fontId="14" fillId="77" borderId="41" xfId="78" applyNumberFormat="1" applyFont="1" applyFill="1" applyBorder="1" applyAlignment="1">
      <alignment horizontal="center" vertical="center" wrapText="1"/>
    </xf>
    <xf numFmtId="174" fontId="14" fillId="78" borderId="52" xfId="78"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0" fontId="14" fillId="0" borderId="0" xfId="0" applyFont="1" applyFill="1" applyBorder="1" applyAlignment="1" quotePrefix="1">
      <alignment horizontal="center" vertical="center" wrapText="1"/>
    </xf>
    <xf numFmtId="3" fontId="14" fillId="79" borderId="53" xfId="45" applyNumberFormat="1" applyFont="1" applyFill="1" applyBorder="1" applyAlignment="1">
      <alignment horizontal="center" vertical="center" wrapText="1"/>
    </xf>
    <xf numFmtId="3" fontId="14" fillId="80" borderId="54" xfId="45" applyNumberFormat="1" applyFont="1" applyFill="1" applyBorder="1" applyAlignment="1">
      <alignment horizontal="center" vertical="center" wrapText="1"/>
    </xf>
    <xf numFmtId="174" fontId="14" fillId="81" borderId="34" xfId="80" applyNumberFormat="1" applyFont="1" applyFill="1" applyBorder="1" applyAlignment="1">
      <alignment horizontal="center" vertical="center" wrapText="1"/>
    </xf>
    <xf numFmtId="0" fontId="8" fillId="0" borderId="0" xfId="0" applyFont="1" applyBorder="1" applyAlignment="1">
      <alignment wrapText="1"/>
    </xf>
    <xf numFmtId="0" fontId="0" fillId="0" borderId="18" xfId="0" applyFont="1" applyBorder="1" applyAlignment="1">
      <alignment/>
    </xf>
    <xf numFmtId="0" fontId="0" fillId="0" borderId="48" xfId="0" applyFont="1" applyBorder="1" applyAlignment="1">
      <alignment/>
    </xf>
    <xf numFmtId="0" fontId="12" fillId="0" borderId="29" xfId="68" applyFill="1" applyBorder="1" applyAlignment="1" applyProtection="1">
      <alignment horizontal="center" vertical="center" wrapText="1"/>
      <protection/>
    </xf>
    <xf numFmtId="0" fontId="81" fillId="0" borderId="0" xfId="0" applyFont="1" applyFill="1" applyBorder="1" applyAlignment="1">
      <alignment/>
    </xf>
    <xf numFmtId="169" fontId="2" fillId="0" borderId="16" xfId="85" applyNumberFormat="1" applyFont="1" applyFill="1" applyBorder="1" applyAlignment="1">
      <alignment horizontal="right" vertical="center" wrapText="1"/>
    </xf>
    <xf numFmtId="173" fontId="2" fillId="0" borderId="16" xfId="52" applyNumberFormat="1" applyFont="1" applyFill="1" applyBorder="1" applyAlignment="1">
      <alignment horizontal="right" vertical="center" wrapText="1"/>
    </xf>
    <xf numFmtId="174" fontId="4" fillId="0" borderId="30" xfId="85" applyNumberFormat="1" applyFont="1" applyFill="1" applyBorder="1" applyAlignment="1">
      <alignment horizontal="right"/>
    </xf>
    <xf numFmtId="174" fontId="4" fillId="0" borderId="55" xfId="85" applyNumberFormat="1" applyFont="1" applyFill="1" applyBorder="1" applyAlignment="1">
      <alignment horizontal="right"/>
    </xf>
    <xf numFmtId="174" fontId="0" fillId="0" borderId="55" xfId="85" applyNumberFormat="1" applyFont="1" applyFill="1" applyBorder="1" applyAlignment="1">
      <alignment horizontal="right"/>
    </xf>
    <xf numFmtId="169" fontId="1" fillId="0" borderId="12" xfId="85" applyNumberFormat="1" applyFont="1" applyFill="1" applyBorder="1" applyAlignment="1">
      <alignment horizontal="right" vertical="center" wrapText="1"/>
    </xf>
    <xf numFmtId="173" fontId="1" fillId="0" borderId="12" xfId="52" applyNumberFormat="1" applyFont="1" applyFill="1" applyBorder="1" applyAlignment="1">
      <alignment horizontal="right" vertical="center" wrapText="1"/>
    </xf>
    <xf numFmtId="174" fontId="0" fillId="0" borderId="30" xfId="85" applyNumberFormat="1" applyFont="1" applyFill="1" applyBorder="1" applyAlignment="1">
      <alignment horizontal="right"/>
    </xf>
    <xf numFmtId="169" fontId="1" fillId="0" borderId="56" xfId="85" applyNumberFormat="1" applyFont="1" applyFill="1" applyBorder="1" applyAlignment="1">
      <alignment horizontal="right" vertical="center" wrapText="1"/>
    </xf>
    <xf numFmtId="173" fontId="1" fillId="0" borderId="14" xfId="52" applyNumberFormat="1" applyFont="1" applyFill="1" applyBorder="1" applyAlignment="1">
      <alignment horizontal="right" vertical="center" wrapText="1"/>
    </xf>
    <xf numFmtId="174" fontId="0" fillId="0" borderId="37" xfId="85" applyNumberFormat="1" applyFont="1" applyFill="1" applyBorder="1" applyAlignment="1">
      <alignment horizontal="right"/>
    </xf>
    <xf numFmtId="169" fontId="2" fillId="0" borderId="12" xfId="85" applyNumberFormat="1" applyFont="1" applyFill="1" applyBorder="1" applyAlignment="1">
      <alignment horizontal="right" vertical="center" wrapText="1"/>
    </xf>
    <xf numFmtId="173" fontId="2" fillId="0" borderId="12" xfId="52" applyNumberFormat="1" applyFont="1" applyFill="1" applyBorder="1" applyAlignment="1">
      <alignment horizontal="right" vertical="center" wrapText="1"/>
    </xf>
    <xf numFmtId="169" fontId="1" fillId="0" borderId="14" xfId="85" applyNumberFormat="1" applyFont="1" applyFill="1" applyBorder="1" applyAlignment="1">
      <alignment horizontal="right" vertical="center" wrapText="1"/>
    </xf>
    <xf numFmtId="169" fontId="1" fillId="0" borderId="13" xfId="85" applyNumberFormat="1" applyFont="1" applyFill="1" applyBorder="1" applyAlignment="1">
      <alignment horizontal="right" vertical="center" wrapText="1"/>
    </xf>
    <xf numFmtId="169" fontId="2" fillId="0" borderId="11" xfId="85" applyNumberFormat="1" applyFont="1" applyFill="1" applyBorder="1" applyAlignment="1">
      <alignment horizontal="right" vertical="center" wrapText="1"/>
    </xf>
    <xf numFmtId="173" fontId="2" fillId="0" borderId="11" xfId="52" applyNumberFormat="1" applyFont="1" applyFill="1" applyBorder="1" applyAlignment="1">
      <alignment horizontal="right" vertical="center" wrapText="1"/>
    </xf>
    <xf numFmtId="174" fontId="4" fillId="0" borderId="36" xfId="85" applyNumberFormat="1" applyFont="1" applyFill="1" applyBorder="1" applyAlignment="1">
      <alignment horizontal="right"/>
    </xf>
    <xf numFmtId="169" fontId="1" fillId="0" borderId="11" xfId="85" applyNumberFormat="1" applyFont="1" applyFill="1" applyBorder="1" applyAlignment="1">
      <alignment horizontal="right" vertical="center" wrapText="1"/>
    </xf>
    <xf numFmtId="173" fontId="1" fillId="0" borderId="11" xfId="52" applyNumberFormat="1" applyFont="1" applyFill="1" applyBorder="1" applyAlignment="1">
      <alignment horizontal="right" vertical="center" wrapText="1"/>
    </xf>
    <xf numFmtId="174" fontId="0" fillId="0" borderId="36" xfId="85" applyNumberFormat="1" applyFont="1" applyFill="1" applyBorder="1" applyAlignment="1">
      <alignment horizontal="right"/>
    </xf>
    <xf numFmtId="173" fontId="0" fillId="82" borderId="12" xfId="0" applyNumberFormat="1" applyFont="1" applyFill="1" applyBorder="1" applyAlignment="1">
      <alignment/>
    </xf>
    <xf numFmtId="173" fontId="0" fillId="83" borderId="14" xfId="0" applyNumberFormat="1" applyFont="1" applyFill="1" applyBorder="1" applyAlignment="1">
      <alignment/>
    </xf>
    <xf numFmtId="174" fontId="0" fillId="84" borderId="41" xfId="78" applyNumberFormat="1" applyFont="1" applyFill="1" applyBorder="1" applyAlignment="1">
      <alignment/>
    </xf>
    <xf numFmtId="174" fontId="0" fillId="85" borderId="57" xfId="78" applyNumberFormat="1" applyFont="1" applyFill="1" applyBorder="1" applyAlignment="1">
      <alignment/>
    </xf>
    <xf numFmtId="3" fontId="9" fillId="86" borderId="51" xfId="0" applyNumberFormat="1" applyFont="1" applyFill="1" applyBorder="1" applyAlignment="1">
      <alignment horizontal="center" vertical="center" wrapText="1"/>
    </xf>
    <xf numFmtId="3" fontId="9" fillId="87" borderId="41" xfId="0" applyNumberFormat="1" applyFont="1" applyFill="1" applyBorder="1" applyAlignment="1">
      <alignment horizontal="center" vertical="center" wrapText="1"/>
    </xf>
    <xf numFmtId="0" fontId="4" fillId="88" borderId="11" xfId="0" applyFont="1" applyFill="1" applyBorder="1" applyAlignment="1">
      <alignment horizontal="center"/>
    </xf>
    <xf numFmtId="4" fontId="28" fillId="0" borderId="18" xfId="0" applyNumberFormat="1" applyFont="1" applyFill="1" applyBorder="1" applyAlignment="1">
      <alignment horizontal="center" vertical="center" wrapText="1"/>
    </xf>
    <xf numFmtId="4" fontId="4" fillId="89" borderId="12" xfId="0" applyNumberFormat="1" applyFont="1" applyFill="1" applyBorder="1" applyAlignment="1" applyProtection="1">
      <alignment/>
      <protection hidden="1" locked="0"/>
    </xf>
    <xf numFmtId="4" fontId="0" fillId="90" borderId="12" xfId="0" applyNumberFormat="1" applyFont="1" applyFill="1" applyBorder="1" applyAlignment="1">
      <alignment/>
    </xf>
    <xf numFmtId="4" fontId="4" fillId="91" borderId="12" xfId="0" applyNumberFormat="1" applyFont="1" applyFill="1" applyBorder="1" applyAlignment="1">
      <alignment wrapText="1"/>
    </xf>
    <xf numFmtId="4" fontId="2" fillId="92" borderId="16" xfId="0" applyNumberFormat="1" applyFont="1" applyFill="1" applyBorder="1" applyAlignment="1" applyProtection="1">
      <alignment vertical="center" wrapText="1"/>
      <protection hidden="1" locked="0"/>
    </xf>
    <xf numFmtId="4" fontId="2" fillId="93" borderId="12" xfId="0" applyNumberFormat="1" applyFont="1" applyFill="1" applyBorder="1" applyAlignment="1" applyProtection="1">
      <alignment vertical="center" wrapText="1"/>
      <protection hidden="1" locked="0"/>
    </xf>
    <xf numFmtId="4" fontId="4" fillId="94" borderId="16" xfId="0" applyNumberFormat="1" applyFont="1" applyFill="1" applyBorder="1" applyAlignment="1">
      <alignment/>
    </xf>
    <xf numFmtId="4" fontId="0" fillId="0" borderId="0" xfId="72" applyNumberFormat="1" applyFont="1" applyFill="1" applyBorder="1" applyAlignment="1">
      <alignment vertical="center" wrapText="1"/>
      <protection/>
    </xf>
    <xf numFmtId="0" fontId="9" fillId="0" borderId="0" xfId="0" applyFont="1" applyBorder="1" applyAlignment="1">
      <alignment vertical="center" wrapText="1"/>
    </xf>
    <xf numFmtId="4" fontId="28" fillId="0" borderId="18" xfId="0" applyNumberFormat="1" applyFont="1" applyFill="1" applyBorder="1" applyAlignment="1">
      <alignment vertical="center" wrapText="1"/>
    </xf>
    <xf numFmtId="3" fontId="22" fillId="95" borderId="29" xfId="0" applyNumberFormat="1" applyFont="1" applyFill="1" applyBorder="1" applyAlignment="1">
      <alignment horizontal="center" vertical="center" wrapText="1"/>
    </xf>
    <xf numFmtId="3" fontId="22" fillId="96" borderId="29" xfId="42" applyNumberFormat="1" applyFont="1" applyFill="1" applyBorder="1" applyAlignment="1">
      <alignment horizontal="center" vertical="center" wrapText="1"/>
    </xf>
    <xf numFmtId="10" fontId="22" fillId="97" borderId="58" xfId="42" applyNumberFormat="1" applyFont="1" applyFill="1" applyBorder="1" applyAlignment="1">
      <alignment horizontal="center" vertical="center" wrapText="1"/>
    </xf>
    <xf numFmtId="3" fontId="22" fillId="98" borderId="29" xfId="45" applyNumberFormat="1" applyFont="1" applyFill="1" applyBorder="1" applyAlignment="1">
      <alignment horizontal="center" vertical="center" wrapText="1"/>
    </xf>
    <xf numFmtId="10" fontId="22" fillId="99" borderId="58" xfId="45" applyNumberFormat="1" applyFont="1" applyFill="1" applyBorder="1" applyAlignment="1">
      <alignment horizontal="center" vertical="center" wrapText="1"/>
    </xf>
    <xf numFmtId="10" fontId="22" fillId="100" borderId="58" xfId="0" applyNumberFormat="1" applyFont="1" applyFill="1" applyBorder="1" applyAlignment="1">
      <alignment horizontal="center" vertical="center" wrapText="1"/>
    </xf>
    <xf numFmtId="174" fontId="22" fillId="101" borderId="58" xfId="78" applyNumberFormat="1" applyFont="1" applyFill="1" applyBorder="1" applyAlignment="1">
      <alignment horizontal="center" vertical="center" wrapText="1"/>
    </xf>
    <xf numFmtId="3" fontId="22" fillId="102" borderId="59" xfId="42" applyNumberFormat="1" applyFont="1" applyFill="1" applyBorder="1" applyAlignment="1">
      <alignment horizontal="center" vertical="center" wrapText="1"/>
    </xf>
    <xf numFmtId="3" fontId="22" fillId="103" borderId="58" xfId="0" applyNumberFormat="1" applyFont="1" applyFill="1" applyBorder="1" applyAlignment="1">
      <alignment horizontal="center" vertical="center" wrapText="1"/>
    </xf>
    <xf numFmtId="3" fontId="22" fillId="104" borderId="58" xfId="42" applyNumberFormat="1" applyFont="1" applyFill="1" applyBorder="1" applyAlignment="1">
      <alignment horizontal="center" vertical="center" wrapText="1"/>
    </xf>
    <xf numFmtId="3" fontId="22" fillId="105" borderId="58" xfId="42" applyNumberFormat="1" applyFont="1" applyFill="1" applyBorder="1" applyAlignment="1" quotePrefix="1">
      <alignment horizontal="center" vertical="center" wrapText="1"/>
    </xf>
    <xf numFmtId="9" fontId="9" fillId="106" borderId="18" xfId="78" applyNumberFormat="1" applyFont="1" applyFill="1" applyBorder="1" applyAlignment="1">
      <alignment horizontal="center" vertical="center" wrapText="1"/>
    </xf>
    <xf numFmtId="0" fontId="0" fillId="0" borderId="0" xfId="0" applyAlignment="1">
      <alignment wrapText="1"/>
    </xf>
    <xf numFmtId="0" fontId="81" fillId="0" borderId="0" xfId="0" applyFont="1" applyBorder="1" applyAlignment="1">
      <alignment vertical="center" wrapText="1"/>
    </xf>
    <xf numFmtId="49" fontId="81" fillId="0" borderId="0" xfId="0" applyNumberFormat="1" applyFont="1" applyBorder="1" applyAlignment="1">
      <alignment/>
    </xf>
    <xf numFmtId="49" fontId="81" fillId="0" borderId="0" xfId="0" applyNumberFormat="1" applyFont="1" applyFill="1" applyBorder="1" applyAlignment="1">
      <alignment/>
    </xf>
    <xf numFmtId="49" fontId="81" fillId="0" borderId="13" xfId="0" applyNumberFormat="1" applyFont="1" applyBorder="1" applyAlignment="1">
      <alignment/>
    </xf>
    <xf numFmtId="0" fontId="22" fillId="107" borderId="44" xfId="0" applyFont="1" applyFill="1" applyBorder="1" applyAlignment="1">
      <alignment horizontal="left" vertical="center" wrapText="1"/>
    </xf>
    <xf numFmtId="0" fontId="22" fillId="108" borderId="29" xfId="0" applyFont="1" applyFill="1" applyBorder="1" applyAlignment="1">
      <alignment horizontal="left" vertical="center" wrapText="1"/>
    </xf>
    <xf numFmtId="0" fontId="22" fillId="109" borderId="24" xfId="0" applyFont="1" applyFill="1" applyBorder="1" applyAlignment="1">
      <alignment horizontal="left" vertical="center" wrapText="1"/>
    </xf>
    <xf numFmtId="3" fontId="22" fillId="110" borderId="11" xfId="0" applyNumberFormat="1" applyFont="1" applyFill="1" applyBorder="1" applyAlignment="1">
      <alignment horizontal="center" vertical="center" wrapText="1"/>
    </xf>
    <xf numFmtId="10" fontId="22" fillId="111" borderId="38" xfId="0" applyNumberFormat="1" applyFont="1" applyFill="1" applyBorder="1" applyAlignment="1">
      <alignment horizontal="center" vertical="center" wrapText="1"/>
    </xf>
    <xf numFmtId="0" fontId="4" fillId="112" borderId="0" xfId="0" applyFont="1" applyFill="1" applyAlignment="1">
      <alignment/>
    </xf>
    <xf numFmtId="0" fontId="0" fillId="75" borderId="17" xfId="0" applyFill="1" applyBorder="1" applyAlignment="1">
      <alignment/>
    </xf>
    <xf numFmtId="0" fontId="0" fillId="75" borderId="0" xfId="0" applyFill="1" applyBorder="1" applyAlignment="1">
      <alignment/>
    </xf>
    <xf numFmtId="0" fontId="0" fillId="75" borderId="18" xfId="0" applyFill="1" applyBorder="1" applyAlignment="1">
      <alignment/>
    </xf>
    <xf numFmtId="0" fontId="0" fillId="75" borderId="20" xfId="0" applyFill="1" applyBorder="1" applyAlignment="1">
      <alignment/>
    </xf>
    <xf numFmtId="0" fontId="0" fillId="75" borderId="26" xfId="0" applyFill="1" applyBorder="1" applyAlignment="1">
      <alignment/>
    </xf>
    <xf numFmtId="0" fontId="0" fillId="75" borderId="48" xfId="0" applyFill="1" applyBorder="1" applyAlignment="1">
      <alignment/>
    </xf>
    <xf numFmtId="3" fontId="0" fillId="113" borderId="11" xfId="72" applyNumberFormat="1" applyFont="1" applyFill="1" applyBorder="1" applyAlignment="1" applyProtection="1">
      <alignment horizontal="center" vertical="center" wrapText="1"/>
      <protection hidden="1"/>
    </xf>
    <xf numFmtId="171" fontId="0" fillId="114" borderId="11" xfId="72" applyNumberFormat="1" applyFont="1" applyFill="1" applyBorder="1" applyAlignment="1" applyProtection="1">
      <alignment horizontal="center" vertical="center" wrapText="1"/>
      <protection hidden="1"/>
    </xf>
    <xf numFmtId="174" fontId="0" fillId="115" borderId="11" xfId="72" applyNumberFormat="1" applyFont="1" applyFill="1" applyBorder="1" applyAlignment="1" applyProtection="1">
      <alignment horizontal="center" vertical="center" wrapText="1"/>
      <protection hidden="1"/>
    </xf>
    <xf numFmtId="4" fontId="0" fillId="39" borderId="11" xfId="72" applyNumberFormat="1" applyFont="1" applyFill="1" applyBorder="1" applyAlignment="1" applyProtection="1">
      <alignment horizontal="center" vertical="center" wrapText="1"/>
      <protection hidden="1"/>
    </xf>
    <xf numFmtId="0" fontId="4" fillId="116" borderId="10" xfId="0" applyFont="1" applyFill="1" applyBorder="1" applyAlignment="1">
      <alignment horizontal="center"/>
    </xf>
    <xf numFmtId="0" fontId="26" fillId="0" borderId="0" xfId="0" applyFont="1" applyFill="1" applyBorder="1" applyAlignment="1">
      <alignment horizontal="center"/>
    </xf>
    <xf numFmtId="4" fontId="0" fillId="117" borderId="14" xfId="0" applyNumberFormat="1" applyFont="1" applyFill="1" applyBorder="1" applyAlignment="1">
      <alignment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10" fillId="0" borderId="18" xfId="0" applyFont="1" applyFill="1" applyBorder="1" applyAlignment="1">
      <alignment vertical="center" wrapText="1"/>
    </xf>
    <xf numFmtId="0" fontId="4" fillId="0" borderId="18" xfId="0" applyFont="1" applyBorder="1" applyAlignment="1">
      <alignment horizontal="center" vertical="center" wrapText="1"/>
    </xf>
    <xf numFmtId="4" fontId="2" fillId="0" borderId="14" xfId="0" applyNumberFormat="1" applyFont="1" applyFill="1" applyBorder="1" applyAlignment="1">
      <alignment vertical="center" wrapText="1"/>
    </xf>
    <xf numFmtId="173" fontId="2" fillId="0" borderId="12" xfId="42" applyNumberFormat="1" applyFont="1" applyFill="1" applyBorder="1" applyAlignment="1">
      <alignment horizontal="right" vertical="center" wrapText="1"/>
    </xf>
    <xf numFmtId="3" fontId="2" fillId="0" borderId="16" xfId="0" applyNumberFormat="1" applyFont="1" applyFill="1" applyBorder="1" applyAlignment="1">
      <alignment vertical="center" wrapText="1"/>
    </xf>
    <xf numFmtId="3" fontId="2" fillId="0" borderId="11" xfId="0" applyNumberFormat="1" applyFont="1" applyFill="1" applyBorder="1" applyAlignment="1">
      <alignment vertical="center" wrapText="1"/>
    </xf>
    <xf numFmtId="1" fontId="2" fillId="0" borderId="12" xfId="85" applyNumberFormat="1" applyFont="1" applyFill="1" applyBorder="1" applyAlignment="1">
      <alignment horizontal="right" vertical="center" wrapText="1"/>
    </xf>
    <xf numFmtId="3" fontId="9" fillId="0" borderId="0" xfId="0" applyNumberFormat="1" applyFont="1" applyFill="1" applyBorder="1" applyAlignment="1">
      <alignment vertical="center" wrapText="1"/>
    </xf>
    <xf numFmtId="0" fontId="0" fillId="0" borderId="0" xfId="0" applyNumberFormat="1" applyFont="1" applyFill="1" applyBorder="1" applyAlignment="1" applyProtection="1">
      <alignment horizontal="center"/>
      <protection/>
    </xf>
    <xf numFmtId="10" fontId="19" fillId="0" borderId="0" xfId="46" applyNumberFormat="1" applyFont="1" applyBorder="1" applyAlignment="1">
      <alignment horizontal="center" wrapText="1"/>
      <protection/>
    </xf>
    <xf numFmtId="9" fontId="19" fillId="0" borderId="0" xfId="46" applyNumberFormat="1" applyFont="1" applyBorder="1">
      <alignment/>
      <protection/>
    </xf>
    <xf numFmtId="185" fontId="20" fillId="33" borderId="0" xfId="0" applyNumberFormat="1" applyFont="1" applyFill="1" applyBorder="1" applyAlignment="1">
      <alignment horizontal="right" vertical="top"/>
    </xf>
    <xf numFmtId="9" fontId="18" fillId="0" borderId="26" xfId="46" applyNumberFormat="1" applyFont="1" applyFill="1" applyBorder="1" applyAlignment="1" applyProtection="1">
      <alignment/>
      <protection/>
    </xf>
    <xf numFmtId="0" fontId="0" fillId="118" borderId="0" xfId="0" applyFill="1" applyAlignment="1">
      <alignment/>
    </xf>
    <xf numFmtId="173" fontId="2" fillId="119" borderId="60" xfId="42" applyNumberFormat="1" applyFont="1" applyFill="1" applyBorder="1" applyAlignment="1">
      <alignment horizontal="right" vertical="center" wrapText="1"/>
    </xf>
    <xf numFmtId="3" fontId="1" fillId="0" borderId="26" xfId="0" applyNumberFormat="1" applyFont="1" applyFill="1" applyBorder="1" applyAlignment="1">
      <alignment horizontal="center" vertical="center" wrapText="1"/>
    </xf>
    <xf numFmtId="4" fontId="2" fillId="0" borderId="15" xfId="0" applyNumberFormat="1" applyFont="1" applyFill="1" applyBorder="1" applyAlignment="1">
      <alignment vertical="center" wrapText="1"/>
    </xf>
    <xf numFmtId="0" fontId="4" fillId="0" borderId="61" xfId="0" applyFont="1" applyFill="1" applyBorder="1" applyAlignment="1">
      <alignment horizontal="center"/>
    </xf>
    <xf numFmtId="1" fontId="4" fillId="0" borderId="50" xfId="78" applyNumberFormat="1" applyFont="1" applyFill="1" applyBorder="1" applyAlignment="1">
      <alignment horizontal="right"/>
    </xf>
    <xf numFmtId="0" fontId="0" fillId="0" borderId="0" xfId="0" applyFont="1" applyFill="1" applyBorder="1" applyAlignment="1">
      <alignment horizontal="center"/>
    </xf>
    <xf numFmtId="1" fontId="0" fillId="0" borderId="62" xfId="78" applyNumberFormat="1" applyFont="1" applyFill="1" applyBorder="1" applyAlignment="1">
      <alignment horizontal="right"/>
    </xf>
    <xf numFmtId="0" fontId="0" fillId="0" borderId="26" xfId="0" applyFont="1" applyFill="1" applyBorder="1" applyAlignment="1">
      <alignment horizontal="center"/>
    </xf>
    <xf numFmtId="173" fontId="1" fillId="0" borderId="63" xfId="42" applyNumberFormat="1" applyFont="1" applyFill="1" applyBorder="1" applyAlignment="1">
      <alignment horizontal="right" vertical="center" wrapText="1"/>
    </xf>
    <xf numFmtId="0" fontId="0" fillId="0" borderId="17" xfId="0" applyFont="1" applyFill="1" applyBorder="1" applyAlignment="1">
      <alignment/>
    </xf>
    <xf numFmtId="0" fontId="0" fillId="0" borderId="62" xfId="0" applyFont="1" applyFill="1" applyBorder="1" applyAlignment="1">
      <alignment/>
    </xf>
    <xf numFmtId="0" fontId="0" fillId="0" borderId="63" xfId="0" applyFont="1" applyFill="1" applyBorder="1" applyAlignment="1">
      <alignment/>
    </xf>
    <xf numFmtId="0" fontId="0" fillId="120" borderId="62" xfId="0" applyFont="1" applyFill="1" applyBorder="1" applyAlignment="1">
      <alignment/>
    </xf>
    <xf numFmtId="10" fontId="0" fillId="121" borderId="11" xfId="72" applyNumberFormat="1" applyFont="1" applyFill="1" applyBorder="1" applyAlignment="1" applyProtection="1">
      <alignment horizontal="center" vertical="center" wrapText="1"/>
      <protection hidden="1"/>
    </xf>
    <xf numFmtId="10" fontId="9" fillId="0" borderId="0" xfId="78" applyNumberFormat="1" applyFont="1" applyFill="1" applyBorder="1" applyAlignment="1">
      <alignment vertical="center" wrapText="1"/>
    </xf>
    <xf numFmtId="3" fontId="8" fillId="0" borderId="0" xfId="0" applyNumberFormat="1" applyFont="1" applyBorder="1" applyAlignment="1">
      <alignment horizontal="center" wrapText="1"/>
    </xf>
    <xf numFmtId="0" fontId="85" fillId="0" borderId="0" xfId="0" applyFont="1" applyBorder="1" applyAlignment="1">
      <alignment horizontal="left" vertical="center"/>
    </xf>
    <xf numFmtId="3" fontId="14" fillId="122" borderId="47" xfId="45" applyNumberFormat="1" applyFont="1" applyFill="1" applyBorder="1" applyAlignment="1">
      <alignment horizontal="center" vertical="center" wrapText="1"/>
    </xf>
    <xf numFmtId="174" fontId="14" fillId="123" borderId="48" xfId="80" applyNumberFormat="1" applyFont="1" applyFill="1" applyBorder="1" applyAlignment="1">
      <alignment horizontal="center" vertical="center" wrapText="1"/>
    </xf>
    <xf numFmtId="0" fontId="4" fillId="35" borderId="20" xfId="0" applyFont="1" applyFill="1" applyBorder="1" applyAlignment="1">
      <alignment horizontal="left"/>
    </xf>
    <xf numFmtId="0" fontId="4" fillId="35" borderId="26" xfId="0" applyFont="1" applyFill="1" applyBorder="1" applyAlignment="1">
      <alignment horizontal="center"/>
    </xf>
    <xf numFmtId="0" fontId="0" fillId="124" borderId="11" xfId="0" applyFont="1" applyFill="1" applyBorder="1" applyAlignment="1">
      <alignment horizontal="center"/>
    </xf>
    <xf numFmtId="0" fontId="0" fillId="75" borderId="0" xfId="0" applyFont="1" applyFill="1" applyAlignment="1">
      <alignment/>
    </xf>
    <xf numFmtId="0" fontId="0" fillId="75" borderId="0" xfId="0" applyFill="1" applyAlignment="1">
      <alignment/>
    </xf>
    <xf numFmtId="174" fontId="0" fillId="125" borderId="42" xfId="80" applyNumberFormat="1" applyFont="1" applyFill="1" applyBorder="1" applyAlignment="1">
      <alignment/>
    </xf>
    <xf numFmtId="174" fontId="0" fillId="126" borderId="41" xfId="80" applyNumberFormat="1" applyFont="1" applyFill="1" applyBorder="1" applyAlignment="1">
      <alignment/>
    </xf>
    <xf numFmtId="174" fontId="0" fillId="127" borderId="57" xfId="80" applyNumberFormat="1" applyFont="1" applyFill="1" applyBorder="1" applyAlignment="1">
      <alignment/>
    </xf>
    <xf numFmtId="184" fontId="20" fillId="0" borderId="19" xfId="0" applyNumberFormat="1" applyFont="1" applyFill="1" applyBorder="1" applyAlignment="1">
      <alignment horizontal="right" vertical="top"/>
    </xf>
    <xf numFmtId="184" fontId="19" fillId="0" borderId="19" xfId="0" applyNumberFormat="1" applyFont="1" applyFill="1" applyBorder="1" applyAlignment="1">
      <alignment horizontal="right" vertical="top"/>
    </xf>
    <xf numFmtId="0" fontId="12" fillId="118" borderId="61" xfId="68" applyFill="1" applyBorder="1" applyAlignment="1" applyProtection="1">
      <alignment horizontal="center"/>
      <protection/>
    </xf>
    <xf numFmtId="0" fontId="4" fillId="118" borderId="0" xfId="0" applyFont="1" applyFill="1" applyBorder="1" applyAlignment="1">
      <alignment horizontal="center"/>
    </xf>
    <xf numFmtId="0" fontId="19" fillId="0" borderId="0" xfId="42" applyNumberFormat="1" applyFont="1" applyFill="1" applyBorder="1" applyAlignment="1" applyProtection="1">
      <alignment horizontal="center"/>
      <protection/>
    </xf>
    <xf numFmtId="0" fontId="12" fillId="118" borderId="0" xfId="68" applyFill="1" applyBorder="1" applyAlignment="1" applyProtection="1">
      <alignment horizontal="center"/>
      <protection/>
    </xf>
    <xf numFmtId="0" fontId="4" fillId="0" borderId="15" xfId="0" applyFont="1" applyBorder="1" applyAlignment="1">
      <alignment/>
    </xf>
    <xf numFmtId="184" fontId="20" fillId="0" borderId="26" xfId="0" applyNumberFormat="1" applyFont="1" applyFill="1" applyBorder="1" applyAlignment="1">
      <alignment horizontal="center" vertical="top"/>
    </xf>
    <xf numFmtId="174" fontId="2" fillId="119" borderId="64" xfId="78" applyNumberFormat="1" applyFont="1" applyFill="1" applyBorder="1" applyAlignment="1">
      <alignment horizontal="right" vertical="center" wrapText="1"/>
    </xf>
    <xf numFmtId="173" fontId="2" fillId="119" borderId="65" xfId="42" applyNumberFormat="1" applyFont="1" applyFill="1" applyBorder="1" applyAlignment="1">
      <alignment horizontal="right" vertical="center" wrapText="1"/>
    </xf>
    <xf numFmtId="174" fontId="4" fillId="0" borderId="66" xfId="78" applyNumberFormat="1" applyFont="1" applyFill="1" applyBorder="1" applyAlignment="1">
      <alignment horizontal="right"/>
    </xf>
    <xf numFmtId="1" fontId="4" fillId="0" borderId="67" xfId="78" applyNumberFormat="1" applyFont="1" applyFill="1" applyBorder="1" applyAlignment="1">
      <alignment horizontal="right"/>
    </xf>
    <xf numFmtId="174" fontId="0" fillId="0" borderId="68" xfId="78" applyNumberFormat="1" applyFont="1" applyFill="1" applyBorder="1" applyAlignment="1">
      <alignment horizontal="right"/>
    </xf>
    <xf numFmtId="1" fontId="0" fillId="0" borderId="69" xfId="78" applyNumberFormat="1" applyFont="1" applyFill="1" applyBorder="1" applyAlignment="1">
      <alignment horizontal="right"/>
    </xf>
    <xf numFmtId="174" fontId="1" fillId="0" borderId="70" xfId="78" applyNumberFormat="1" applyFont="1" applyFill="1" applyBorder="1" applyAlignment="1">
      <alignment horizontal="right" vertical="center" wrapText="1"/>
    </xf>
    <xf numFmtId="173" fontId="1" fillId="0" borderId="71" xfId="42" applyNumberFormat="1" applyFont="1" applyFill="1" applyBorder="1" applyAlignment="1">
      <alignment horizontal="right" vertical="center" wrapText="1"/>
    </xf>
    <xf numFmtId="184" fontId="20" fillId="0" borderId="69" xfId="0" applyNumberFormat="1" applyFont="1" applyFill="1" applyBorder="1" applyAlignment="1">
      <alignment horizontal="right" vertical="top"/>
    </xf>
    <xf numFmtId="0" fontId="0" fillId="0" borderId="69" xfId="0" applyFont="1" applyFill="1" applyBorder="1" applyAlignment="1">
      <alignment/>
    </xf>
    <xf numFmtId="0" fontId="0" fillId="0" borderId="71" xfId="0" applyFont="1" applyFill="1" applyBorder="1" applyAlignment="1">
      <alignment/>
    </xf>
    <xf numFmtId="0" fontId="0" fillId="120" borderId="68" xfId="0" applyFont="1" applyFill="1" applyBorder="1" applyAlignment="1">
      <alignment/>
    </xf>
    <xf numFmtId="0" fontId="0" fillId="120" borderId="69" xfId="0" applyFont="1" applyFill="1" applyBorder="1" applyAlignment="1">
      <alignment/>
    </xf>
    <xf numFmtId="0" fontId="0" fillId="120" borderId="72" xfId="0" applyFont="1" applyFill="1" applyBorder="1" applyAlignment="1">
      <alignment/>
    </xf>
    <xf numFmtId="0" fontId="0" fillId="120" borderId="73" xfId="0" applyFont="1" applyFill="1" applyBorder="1" applyAlignment="1">
      <alignment/>
    </xf>
    <xf numFmtId="0" fontId="0" fillId="120" borderId="74" xfId="0" applyFont="1" applyFill="1" applyBorder="1" applyAlignment="1">
      <alignment/>
    </xf>
    <xf numFmtId="4" fontId="2" fillId="0" borderId="23" xfId="0" applyNumberFormat="1" applyFont="1" applyFill="1" applyBorder="1" applyAlignment="1">
      <alignment vertical="center" wrapText="1"/>
    </xf>
    <xf numFmtId="0" fontId="18" fillId="0" borderId="35" xfId="42" applyNumberFormat="1" applyFont="1" applyFill="1" applyBorder="1" applyAlignment="1" applyProtection="1">
      <alignment/>
      <protection/>
    </xf>
    <xf numFmtId="4" fontId="2" fillId="0" borderId="75" xfId="0" applyNumberFormat="1" applyFont="1" applyFill="1" applyBorder="1" applyAlignment="1">
      <alignment vertical="center" wrapText="1"/>
    </xf>
    <xf numFmtId="0" fontId="4" fillId="7" borderId="76" xfId="0" applyFont="1" applyFill="1" applyBorder="1" applyAlignment="1">
      <alignment horizontal="center"/>
    </xf>
    <xf numFmtId="0" fontId="4" fillId="0" borderId="14" xfId="0" applyFont="1" applyFill="1" applyBorder="1" applyAlignment="1">
      <alignment horizontal="center"/>
    </xf>
    <xf numFmtId="173" fontId="4" fillId="0" borderId="77" xfId="42" applyNumberFormat="1" applyFont="1" applyFill="1" applyBorder="1" applyAlignment="1">
      <alignment horizontal="center"/>
    </xf>
    <xf numFmtId="10" fontId="4" fillId="0" borderId="0" xfId="78" applyNumberFormat="1" applyFont="1" applyFill="1" applyBorder="1" applyAlignment="1">
      <alignment horizontal="right"/>
    </xf>
    <xf numFmtId="0" fontId="0" fillId="128" borderId="62" xfId="0" applyFont="1" applyFill="1" applyBorder="1" applyAlignment="1">
      <alignment/>
    </xf>
    <xf numFmtId="0" fontId="0" fillId="128" borderId="69" xfId="0" applyFont="1" applyFill="1" applyBorder="1" applyAlignment="1">
      <alignment/>
    </xf>
    <xf numFmtId="0" fontId="0" fillId="128" borderId="73" xfId="0" applyFont="1" applyFill="1" applyBorder="1" applyAlignment="1">
      <alignment/>
    </xf>
    <xf numFmtId="0" fontId="0" fillId="128" borderId="74" xfId="0" applyFont="1" applyFill="1" applyBorder="1" applyAlignment="1">
      <alignment/>
    </xf>
    <xf numFmtId="174" fontId="0" fillId="128" borderId="68" xfId="78" applyNumberFormat="1" applyFont="1" applyFill="1" applyBorder="1" applyAlignment="1">
      <alignment/>
    </xf>
    <xf numFmtId="174" fontId="0" fillId="128" borderId="72" xfId="78" applyNumberFormat="1" applyFont="1" applyFill="1" applyBorder="1" applyAlignment="1">
      <alignment/>
    </xf>
    <xf numFmtId="10" fontId="4" fillId="0" borderId="66" xfId="78" applyNumberFormat="1" applyFont="1" applyFill="1" applyBorder="1" applyAlignment="1">
      <alignment horizontal="right"/>
    </xf>
    <xf numFmtId="1" fontId="19" fillId="0" borderId="78" xfId="46" applyNumberFormat="1" applyFont="1" applyBorder="1">
      <alignment/>
      <protection/>
    </xf>
    <xf numFmtId="10" fontId="19" fillId="0" borderId="79" xfId="46" applyNumberFormat="1" applyFont="1" applyBorder="1">
      <alignment/>
      <protection/>
    </xf>
    <xf numFmtId="184" fontId="20" fillId="33" borderId="80" xfId="0" applyNumberFormat="1" applyFont="1" applyFill="1" applyBorder="1" applyAlignment="1">
      <alignment horizontal="right" vertical="top"/>
    </xf>
    <xf numFmtId="10" fontId="20" fillId="33" borderId="81" xfId="0" applyNumberFormat="1" applyFont="1" applyFill="1" applyBorder="1" applyAlignment="1">
      <alignment horizontal="right" vertical="top"/>
    </xf>
    <xf numFmtId="184" fontId="20" fillId="0" borderId="80" xfId="0" applyNumberFormat="1" applyFont="1" applyFill="1" applyBorder="1" applyAlignment="1">
      <alignment horizontal="right" vertical="top"/>
    </xf>
    <xf numFmtId="184" fontId="19" fillId="0" borderId="80" xfId="0" applyNumberFormat="1" applyFont="1" applyFill="1" applyBorder="1" applyAlignment="1">
      <alignment horizontal="right" vertical="top"/>
    </xf>
    <xf numFmtId="10" fontId="19" fillId="0" borderId="81" xfId="0" applyNumberFormat="1" applyFont="1" applyFill="1" applyBorder="1" applyAlignment="1">
      <alignment horizontal="right" vertical="top"/>
    </xf>
    <xf numFmtId="1" fontId="18" fillId="0" borderId="82" xfId="46" applyNumberFormat="1" applyFont="1" applyFill="1" applyBorder="1" applyAlignment="1" applyProtection="1">
      <alignment/>
      <protection/>
    </xf>
    <xf numFmtId="1" fontId="18" fillId="0" borderId="83" xfId="46" applyNumberFormat="1" applyFont="1" applyFill="1" applyBorder="1" applyAlignment="1" applyProtection="1">
      <alignment/>
      <protection/>
    </xf>
    <xf numFmtId="10" fontId="21" fillId="33" borderId="84" xfId="0" applyNumberFormat="1" applyFont="1" applyFill="1" applyBorder="1" applyAlignment="1">
      <alignment horizontal="right" vertical="top"/>
    </xf>
    <xf numFmtId="0" fontId="0" fillId="0" borderId="79" xfId="0" applyBorder="1" applyAlignment="1">
      <alignment/>
    </xf>
    <xf numFmtId="0" fontId="19" fillId="0" borderId="79" xfId="46" applyFont="1" applyBorder="1">
      <alignment/>
      <protection/>
    </xf>
    <xf numFmtId="0" fontId="19" fillId="0" borderId="79" xfId="46" applyNumberFormat="1" applyFont="1" applyFill="1" applyBorder="1" applyAlignment="1" applyProtection="1">
      <alignment horizontal="center"/>
      <protection/>
    </xf>
    <xf numFmtId="0" fontId="18" fillId="0" borderId="0" xfId="46" applyNumberFormat="1" applyFont="1" applyFill="1" applyBorder="1" applyAlignment="1" applyProtection="1">
      <alignment/>
      <protection/>
    </xf>
    <xf numFmtId="0" fontId="18" fillId="0" borderId="79" xfId="46" applyNumberFormat="1" applyFont="1" applyFill="1" applyBorder="1" applyAlignment="1" applyProtection="1">
      <alignment/>
      <protection/>
    </xf>
    <xf numFmtId="0" fontId="18" fillId="0" borderId="0" xfId="54" applyNumberFormat="1" applyFont="1" applyFill="1" applyBorder="1" applyAlignment="1" applyProtection="1">
      <alignment/>
      <protection/>
    </xf>
    <xf numFmtId="0" fontId="18" fillId="0" borderId="0" xfId="54" applyNumberFormat="1" applyFont="1" applyFill="1" applyBorder="1" applyAlignment="1" applyProtection="1">
      <alignment horizontal="center"/>
      <protection/>
    </xf>
    <xf numFmtId="0" fontId="19" fillId="0" borderId="0" xfId="54" applyNumberFormat="1" applyFont="1" applyFill="1" applyBorder="1" applyAlignment="1" applyProtection="1">
      <alignment/>
      <protection/>
    </xf>
    <xf numFmtId="0" fontId="19" fillId="0" borderId="0" xfId="54" applyNumberFormat="1" applyFont="1" applyFill="1" applyBorder="1" applyAlignment="1" applyProtection="1">
      <alignment horizontal="center"/>
      <protection/>
    </xf>
    <xf numFmtId="0" fontId="18" fillId="118" borderId="0" xfId="46" applyNumberFormat="1" applyFont="1" applyFill="1" applyBorder="1" applyAlignment="1" applyProtection="1">
      <alignment/>
      <protection/>
    </xf>
    <xf numFmtId="0" fontId="19" fillId="0" borderId="78" xfId="46" applyNumberFormat="1" applyFont="1" applyFill="1" applyBorder="1" applyAlignment="1" applyProtection="1">
      <alignment/>
      <protection/>
    </xf>
    <xf numFmtId="10" fontId="19" fillId="0" borderId="79" xfId="46" applyNumberFormat="1" applyFont="1" applyFill="1" applyBorder="1" applyAlignment="1" applyProtection="1">
      <alignment/>
      <protection/>
    </xf>
    <xf numFmtId="0" fontId="18" fillId="0" borderId="85" xfId="46" applyNumberFormat="1" applyFont="1" applyFill="1" applyBorder="1" applyAlignment="1" applyProtection="1">
      <alignment/>
      <protection/>
    </xf>
    <xf numFmtId="0" fontId="18" fillId="0" borderId="86" xfId="46" applyNumberFormat="1" applyFont="1" applyFill="1" applyBorder="1" applyAlignment="1" applyProtection="1">
      <alignment/>
      <protection/>
    </xf>
    <xf numFmtId="10" fontId="18" fillId="0" borderId="87" xfId="46" applyNumberFormat="1" applyFont="1" applyFill="1" applyBorder="1" applyAlignment="1" applyProtection="1">
      <alignment/>
      <protection/>
    </xf>
    <xf numFmtId="0" fontId="0" fillId="0" borderId="0" xfId="0" applyFont="1" applyBorder="1" applyAlignment="1">
      <alignment/>
    </xf>
    <xf numFmtId="0" fontId="0" fillId="118" borderId="0" xfId="0" applyFont="1" applyFill="1" applyBorder="1" applyAlignment="1">
      <alignment/>
    </xf>
    <xf numFmtId="10" fontId="19" fillId="0" borderId="79" xfId="54" applyNumberFormat="1" applyFont="1" applyFill="1" applyBorder="1" applyAlignment="1" applyProtection="1">
      <alignment horizontal="center"/>
      <protection/>
    </xf>
    <xf numFmtId="0" fontId="19" fillId="0" borderId="78" xfId="54" applyNumberFormat="1" applyFont="1" applyFill="1" applyBorder="1" applyAlignment="1" applyProtection="1">
      <alignment horizontal="center"/>
      <protection/>
    </xf>
    <xf numFmtId="0" fontId="4" fillId="118" borderId="0" xfId="0" applyFont="1" applyFill="1" applyAlignment="1">
      <alignment/>
    </xf>
    <xf numFmtId="0" fontId="0" fillId="0" borderId="78" xfId="0" applyBorder="1" applyAlignment="1">
      <alignment/>
    </xf>
    <xf numFmtId="185" fontId="21" fillId="33" borderId="78" xfId="0" applyNumberFormat="1" applyFont="1" applyFill="1" applyBorder="1" applyAlignment="1">
      <alignment horizontal="right" vertical="top"/>
    </xf>
    <xf numFmtId="0" fontId="4" fillId="118" borderId="0" xfId="0" applyFont="1" applyFill="1" applyAlignment="1">
      <alignment/>
    </xf>
    <xf numFmtId="0" fontId="18" fillId="0" borderId="0" xfId="46" applyNumberFormat="1" applyFont="1" applyFill="1" applyBorder="1" applyAlignment="1" applyProtection="1">
      <alignment horizontal="center"/>
      <protection/>
    </xf>
    <xf numFmtId="0" fontId="0" fillId="0" borderId="0" xfId="0" applyFill="1" applyAlignment="1">
      <alignment/>
    </xf>
    <xf numFmtId="0" fontId="12" fillId="0" borderId="0" xfId="68" applyFill="1" applyBorder="1" applyAlignment="1" applyProtection="1">
      <alignment horizontal="center"/>
      <protection/>
    </xf>
    <xf numFmtId="0" fontId="0" fillId="39" borderId="0" xfId="0" applyFill="1" applyAlignment="1">
      <alignment/>
    </xf>
    <xf numFmtId="0" fontId="28" fillId="129" borderId="44" xfId="0" applyFont="1" applyFill="1" applyBorder="1" applyAlignment="1">
      <alignment horizontal="center" vertical="center"/>
    </xf>
    <xf numFmtId="0" fontId="28" fillId="130" borderId="29" xfId="0" applyFont="1" applyFill="1" applyBorder="1" applyAlignment="1">
      <alignment horizontal="center" vertical="center"/>
    </xf>
    <xf numFmtId="0" fontId="28" fillId="131" borderId="58" xfId="0" applyFont="1" applyFill="1" applyBorder="1" applyAlignment="1">
      <alignment horizontal="center" vertical="center"/>
    </xf>
    <xf numFmtId="0" fontId="36" fillId="0" borderId="17" xfId="0" applyFont="1" applyBorder="1" applyAlignment="1">
      <alignment horizontal="left" vertical="top" wrapText="1"/>
    </xf>
    <xf numFmtId="0" fontId="36" fillId="0" borderId="0" xfId="0" applyFont="1" applyBorder="1" applyAlignment="1">
      <alignment horizontal="left" vertical="top" wrapText="1"/>
    </xf>
    <xf numFmtId="0" fontId="36" fillId="0" borderId="18" xfId="0" applyFont="1" applyBorder="1" applyAlignment="1">
      <alignment horizontal="left" vertical="top" wrapText="1"/>
    </xf>
    <xf numFmtId="0" fontId="36" fillId="0" borderId="20" xfId="0" applyFont="1" applyBorder="1" applyAlignment="1">
      <alignment horizontal="left" vertical="top" wrapText="1"/>
    </xf>
    <xf numFmtId="0" fontId="36" fillId="0" borderId="26" xfId="0" applyFont="1" applyBorder="1" applyAlignment="1">
      <alignment horizontal="left" vertical="top" wrapText="1"/>
    </xf>
    <xf numFmtId="0" fontId="36" fillId="0" borderId="48" xfId="0" applyFont="1" applyBorder="1" applyAlignment="1">
      <alignment horizontal="left" vertical="top" wrapText="1"/>
    </xf>
    <xf numFmtId="0" fontId="3" fillId="132" borderId="44" xfId="0" applyFont="1" applyFill="1" applyBorder="1" applyAlignment="1">
      <alignment horizontal="center" vertical="center"/>
    </xf>
    <xf numFmtId="0" fontId="3" fillId="133" borderId="29" xfId="0" applyFont="1" applyFill="1" applyBorder="1" applyAlignment="1">
      <alignment horizontal="center" vertical="center"/>
    </xf>
    <xf numFmtId="0" fontId="3" fillId="134" borderId="58" xfId="0" applyFont="1" applyFill="1" applyBorder="1" applyAlignment="1">
      <alignment horizontal="center" vertical="center"/>
    </xf>
    <xf numFmtId="0" fontId="9" fillId="36" borderId="20" xfId="0" applyFont="1" applyFill="1" applyBorder="1" applyAlignment="1">
      <alignment horizontal="center" wrapText="1"/>
    </xf>
    <xf numFmtId="0" fontId="9" fillId="36" borderId="26" xfId="0" applyFont="1" applyFill="1" applyBorder="1" applyAlignment="1">
      <alignment horizontal="center" wrapText="1"/>
    </xf>
    <xf numFmtId="0" fontId="9" fillId="36" borderId="48" xfId="0" applyFont="1" applyFill="1" applyBorder="1" applyAlignment="1">
      <alignment horizontal="center" wrapText="1"/>
    </xf>
    <xf numFmtId="0" fontId="9" fillId="0" borderId="0" xfId="0" applyFont="1" applyFill="1" applyBorder="1" applyAlignment="1">
      <alignment horizontal="left" wrapText="1"/>
    </xf>
    <xf numFmtId="0" fontId="9" fillId="36" borderId="44" xfId="0" applyFont="1" applyFill="1" applyBorder="1" applyAlignment="1">
      <alignment horizontal="center" wrapText="1"/>
    </xf>
    <xf numFmtId="0" fontId="9" fillId="36" borderId="29" xfId="0" applyFont="1" applyFill="1" applyBorder="1" applyAlignment="1">
      <alignment horizontal="center" wrapText="1"/>
    </xf>
    <xf numFmtId="0" fontId="9" fillId="36" borderId="58" xfId="0" applyFont="1" applyFill="1" applyBorder="1" applyAlignment="1">
      <alignment horizontal="center" wrapText="1"/>
    </xf>
    <xf numFmtId="0" fontId="31" fillId="135" borderId="15" xfId="68" applyFont="1" applyFill="1" applyBorder="1" applyAlignment="1" applyProtection="1">
      <alignment horizontal="center" vertical="center" wrapText="1"/>
      <protection/>
    </xf>
    <xf numFmtId="0" fontId="31" fillId="136" borderId="20" xfId="68" applyFont="1" applyFill="1" applyBorder="1" applyAlignment="1" applyProtection="1">
      <alignment horizontal="center" vertical="center" wrapText="1"/>
      <protection/>
    </xf>
    <xf numFmtId="0" fontId="31" fillId="137" borderId="61" xfId="68" applyFont="1" applyFill="1" applyBorder="1" applyAlignment="1" applyProtection="1">
      <alignment horizontal="center" vertical="center" wrapText="1"/>
      <protection/>
    </xf>
    <xf numFmtId="0" fontId="31" fillId="138" borderId="34" xfId="68" applyFont="1" applyFill="1" applyBorder="1" applyAlignment="1" applyProtection="1">
      <alignment horizontal="center" vertical="center" wrapText="1"/>
      <protection/>
    </xf>
    <xf numFmtId="0" fontId="31" fillId="139" borderId="26" xfId="68" applyFont="1" applyFill="1" applyBorder="1" applyAlignment="1" applyProtection="1">
      <alignment horizontal="center" vertical="center" wrapText="1"/>
      <protection/>
    </xf>
    <xf numFmtId="0" fontId="31" fillId="140" borderId="48" xfId="68" applyFont="1" applyFill="1" applyBorder="1" applyAlignment="1" applyProtection="1">
      <alignment horizontal="center" vertical="center" wrapText="1"/>
      <protection/>
    </xf>
    <xf numFmtId="0" fontId="10" fillId="141" borderId="15" xfId="0" applyFont="1" applyFill="1" applyBorder="1" applyAlignment="1">
      <alignment horizontal="center" vertical="center" wrapText="1"/>
    </xf>
    <xf numFmtId="0" fontId="10" fillId="142" borderId="61" xfId="0" applyFont="1" applyFill="1" applyBorder="1" applyAlignment="1">
      <alignment horizontal="center" vertical="center" wrapText="1"/>
    </xf>
    <xf numFmtId="0" fontId="10" fillId="143" borderId="34" xfId="0" applyFont="1" applyFill="1" applyBorder="1" applyAlignment="1">
      <alignment horizontal="center" vertical="center" wrapText="1"/>
    </xf>
    <xf numFmtId="0" fontId="10" fillId="144" borderId="20" xfId="0" applyFont="1" applyFill="1" applyBorder="1" applyAlignment="1">
      <alignment horizontal="center" vertical="center" wrapText="1"/>
    </xf>
    <xf numFmtId="0" fontId="10" fillId="145" borderId="26" xfId="0" applyFont="1" applyFill="1" applyBorder="1" applyAlignment="1">
      <alignment horizontal="center" vertical="center" wrapText="1"/>
    </xf>
    <xf numFmtId="0" fontId="10" fillId="146" borderId="48" xfId="0" applyFont="1" applyFill="1" applyBorder="1" applyAlignment="1">
      <alignment horizontal="center" vertical="center" wrapText="1"/>
    </xf>
    <xf numFmtId="3" fontId="3" fillId="147" borderId="50" xfId="0" applyNumberFormat="1" applyFont="1" applyFill="1" applyBorder="1" applyAlignment="1">
      <alignment horizontal="center" vertical="center" wrapText="1"/>
    </xf>
    <xf numFmtId="3" fontId="3" fillId="148" borderId="62" xfId="0" applyNumberFormat="1" applyFont="1" applyFill="1" applyBorder="1" applyAlignment="1">
      <alignment horizontal="center" vertical="center" wrapText="1"/>
    </xf>
    <xf numFmtId="174" fontId="3" fillId="149" borderId="34" xfId="80" applyNumberFormat="1" applyFont="1" applyFill="1" applyBorder="1" applyAlignment="1">
      <alignment horizontal="center" vertical="center" wrapText="1"/>
    </xf>
    <xf numFmtId="174" fontId="3" fillId="150" borderId="18" xfId="80" applyNumberFormat="1" applyFont="1" applyFill="1" applyBorder="1" applyAlignment="1">
      <alignment horizontal="center" vertical="center" wrapText="1"/>
    </xf>
    <xf numFmtId="0" fontId="3" fillId="151" borderId="15" xfId="0" applyFont="1" applyFill="1" applyBorder="1" applyAlignment="1">
      <alignment horizontal="center" vertical="center" wrapText="1"/>
    </xf>
    <xf numFmtId="0" fontId="3" fillId="152" borderId="34" xfId="0" applyFont="1" applyFill="1" applyBorder="1" applyAlignment="1">
      <alignment horizontal="center" vertical="center" wrapText="1"/>
    </xf>
    <xf numFmtId="0" fontId="3" fillId="153" borderId="17" xfId="0" applyFont="1" applyFill="1" applyBorder="1" applyAlignment="1">
      <alignment horizontal="center" vertical="center" wrapText="1"/>
    </xf>
    <xf numFmtId="0" fontId="3" fillId="154" borderId="0" xfId="0" applyFont="1" applyFill="1" applyBorder="1" applyAlignment="1">
      <alignment horizontal="center" vertical="center" wrapText="1"/>
    </xf>
    <xf numFmtId="0" fontId="23" fillId="155" borderId="20" xfId="0" applyFont="1" applyFill="1" applyBorder="1" applyAlignment="1">
      <alignment horizontal="center" wrapText="1"/>
    </xf>
    <xf numFmtId="0" fontId="23" fillId="156" borderId="26" xfId="0" applyFont="1" applyFill="1" applyBorder="1" applyAlignment="1">
      <alignment horizontal="center" wrapText="1"/>
    </xf>
    <xf numFmtId="0" fontId="23" fillId="157" borderId="48" xfId="0" applyFont="1" applyFill="1" applyBorder="1" applyAlignment="1">
      <alignment horizontal="center" wrapText="1"/>
    </xf>
    <xf numFmtId="0" fontId="0" fillId="0" borderId="88" xfId="0" applyFont="1" applyBorder="1" applyAlignment="1">
      <alignment horizontal="center" vertical="center" wrapText="1"/>
    </xf>
    <xf numFmtId="0" fontId="0" fillId="0" borderId="89" xfId="0" applyBorder="1" applyAlignment="1">
      <alignment horizontal="center" vertical="center" wrapText="1"/>
    </xf>
    <xf numFmtId="0" fontId="0" fillId="0" borderId="89" xfId="0" applyFont="1" applyBorder="1" applyAlignment="1">
      <alignment horizontal="center" vertical="center" wrapText="1"/>
    </xf>
    <xf numFmtId="0" fontId="0" fillId="0" borderId="88"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8" xfId="0" applyFont="1" applyFill="1" applyBorder="1" applyAlignment="1">
      <alignment horizontal="center" vertical="center" wrapText="1"/>
    </xf>
    <xf numFmtId="4" fontId="4" fillId="158" borderId="11" xfId="0" applyNumberFormat="1" applyFont="1" applyFill="1" applyBorder="1" applyAlignment="1">
      <alignment horizontal="center"/>
    </xf>
    <xf numFmtId="0" fontId="0" fillId="159" borderId="11" xfId="0" applyFill="1" applyBorder="1" applyAlignment="1">
      <alignment/>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91" xfId="0" applyFont="1" applyFill="1" applyBorder="1" applyAlignment="1">
      <alignment horizontal="center" vertical="center" wrapText="1"/>
    </xf>
    <xf numFmtId="49" fontId="0" fillId="0" borderId="92" xfId="0" applyNumberFormat="1" applyFont="1" applyFill="1" applyBorder="1" applyAlignment="1">
      <alignment horizontal="center" vertical="center" wrapText="1"/>
    </xf>
    <xf numFmtId="0" fontId="0" fillId="0" borderId="93" xfId="0" applyBorder="1" applyAlignment="1">
      <alignment horizontal="center" vertical="center" wrapText="1"/>
    </xf>
    <xf numFmtId="4" fontId="4" fillId="160" borderId="36" xfId="0" applyNumberFormat="1" applyFont="1" applyFill="1" applyBorder="1" applyAlignment="1">
      <alignment horizontal="center"/>
    </xf>
    <xf numFmtId="4" fontId="4" fillId="161" borderId="94" xfId="0" applyNumberFormat="1" applyFont="1" applyFill="1" applyBorder="1" applyAlignment="1">
      <alignment horizontal="center"/>
    </xf>
    <xf numFmtId="4" fontId="4" fillId="162" borderId="10" xfId="0" applyNumberFormat="1" applyFont="1" applyFill="1" applyBorder="1" applyAlignment="1">
      <alignment horizontal="center"/>
    </xf>
    <xf numFmtId="4" fontId="4" fillId="163" borderId="95" xfId="0" applyNumberFormat="1" applyFont="1" applyFill="1" applyBorder="1" applyAlignment="1">
      <alignment horizontal="center"/>
    </xf>
    <xf numFmtId="4" fontId="4" fillId="164" borderId="56" xfId="0" applyNumberFormat="1" applyFont="1" applyFill="1" applyBorder="1" applyAlignment="1">
      <alignment horizontal="center"/>
    </xf>
    <xf numFmtId="0" fontId="33" fillId="0" borderId="44" xfId="0" applyFont="1" applyBorder="1" applyAlignment="1">
      <alignment horizontal="left" vertical="center" wrapText="1"/>
    </xf>
    <xf numFmtId="0" fontId="33" fillId="0" borderId="29" xfId="0" applyFont="1" applyBorder="1" applyAlignment="1">
      <alignment horizontal="left" vertical="center" wrapText="1"/>
    </xf>
    <xf numFmtId="0" fontId="33" fillId="0" borderId="58" xfId="0" applyFont="1" applyBorder="1" applyAlignment="1">
      <alignment horizontal="left" vertical="center" wrapText="1"/>
    </xf>
    <xf numFmtId="0" fontId="23" fillId="165" borderId="15" xfId="0" applyFont="1" applyFill="1" applyBorder="1" applyAlignment="1">
      <alignment horizontal="center" wrapText="1"/>
    </xf>
    <xf numFmtId="0" fontId="23" fillId="166" borderId="61" xfId="0" applyFont="1" applyFill="1" applyBorder="1" applyAlignment="1">
      <alignment horizontal="center" wrapText="1"/>
    </xf>
    <xf numFmtId="0" fontId="13" fillId="0" borderId="44" xfId="0" applyFont="1" applyBorder="1" applyAlignment="1">
      <alignment horizontal="center" wrapText="1"/>
    </xf>
    <xf numFmtId="0" fontId="13" fillId="0" borderId="29" xfId="0" applyFont="1" applyBorder="1" applyAlignment="1">
      <alignment horizontal="center" wrapText="1"/>
    </xf>
    <xf numFmtId="0" fontId="0" fillId="0" borderId="58" xfId="0" applyBorder="1" applyAlignment="1">
      <alignment/>
    </xf>
    <xf numFmtId="0" fontId="0" fillId="0" borderId="36"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23" fillId="167" borderId="34" xfId="0" applyFont="1" applyFill="1" applyBorder="1" applyAlignment="1">
      <alignment horizontal="center" wrapText="1"/>
    </xf>
    <xf numFmtId="0" fontId="4" fillId="168" borderId="36" xfId="0" applyFont="1" applyFill="1" applyBorder="1" applyAlignment="1">
      <alignment horizontal="center"/>
    </xf>
    <xf numFmtId="0" fontId="4" fillId="169" borderId="94" xfId="0" applyFont="1" applyFill="1" applyBorder="1" applyAlignment="1">
      <alignment horizontal="center"/>
    </xf>
    <xf numFmtId="0" fontId="4" fillId="170" borderId="10" xfId="0" applyFont="1" applyFill="1" applyBorder="1" applyAlignment="1">
      <alignment horizontal="center"/>
    </xf>
    <xf numFmtId="0" fontId="17" fillId="33" borderId="96" xfId="0" applyFont="1" applyFill="1" applyBorder="1" applyAlignment="1">
      <alignment horizontal="left" vertical="center" wrapText="1"/>
    </xf>
    <xf numFmtId="0" fontId="8" fillId="0" borderId="0" xfId="0" applyFont="1" applyFill="1" applyBorder="1" applyAlignment="1">
      <alignment horizontal="center"/>
    </xf>
    <xf numFmtId="0" fontId="4" fillId="0" borderId="0" xfId="0" applyFont="1" applyFill="1" applyBorder="1" applyAlignment="1">
      <alignment horizontal="center"/>
    </xf>
    <xf numFmtId="0" fontId="4" fillId="171" borderId="11" xfId="72" applyFont="1" applyFill="1" applyBorder="1" applyAlignment="1">
      <alignment horizontal="center"/>
      <protection/>
    </xf>
    <xf numFmtId="0" fontId="9" fillId="172" borderId="17" xfId="0" applyFont="1" applyFill="1" applyBorder="1" applyAlignment="1">
      <alignment horizontal="left" vertical="center" wrapText="1"/>
    </xf>
    <xf numFmtId="0" fontId="9" fillId="173" borderId="13" xfId="0" applyFont="1" applyFill="1" applyBorder="1" applyAlignment="1">
      <alignment horizontal="left" vertical="center" wrapText="1"/>
    </xf>
    <xf numFmtId="0" fontId="8" fillId="174" borderId="36" xfId="0" applyFont="1" applyFill="1" applyBorder="1" applyAlignment="1">
      <alignment horizontal="center"/>
    </xf>
    <xf numFmtId="0" fontId="8" fillId="175" borderId="94" xfId="0" applyFont="1" applyFill="1" applyBorder="1" applyAlignment="1">
      <alignment horizontal="center"/>
    </xf>
    <xf numFmtId="0" fontId="8" fillId="176" borderId="10" xfId="0" applyFont="1" applyFill="1" applyBorder="1" applyAlignment="1">
      <alignment horizontal="center"/>
    </xf>
    <xf numFmtId="0" fontId="9" fillId="177" borderId="0" xfId="0" applyFont="1" applyFill="1" applyBorder="1" applyAlignment="1">
      <alignment horizontal="left" vertical="center" wrapText="1"/>
    </xf>
    <xf numFmtId="0" fontId="10" fillId="75" borderId="0" xfId="0" applyFont="1" applyFill="1" applyBorder="1" applyAlignment="1">
      <alignment horizontal="center" vertical="center" wrapText="1"/>
    </xf>
    <xf numFmtId="0" fontId="22" fillId="178" borderId="44" xfId="0" applyFont="1" applyFill="1" applyBorder="1" applyAlignment="1">
      <alignment horizontal="center" vertical="center" wrapText="1"/>
    </xf>
    <xf numFmtId="0" fontId="22" fillId="179" borderId="29" xfId="0" applyFont="1" applyFill="1" applyBorder="1" applyAlignment="1">
      <alignment horizontal="center" vertical="center" wrapText="1"/>
    </xf>
    <xf numFmtId="0" fontId="10" fillId="180" borderId="20" xfId="0" applyFont="1" applyFill="1" applyBorder="1" applyAlignment="1">
      <alignment horizontal="center" vertical="center" wrapText="1"/>
    </xf>
    <xf numFmtId="0" fontId="10" fillId="181" borderId="26" xfId="0" applyFont="1" applyFill="1" applyBorder="1" applyAlignment="1">
      <alignment horizontal="center" vertical="center" wrapText="1"/>
    </xf>
    <xf numFmtId="0" fontId="10" fillId="182" borderId="48"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9" fillId="183" borderId="15" xfId="0" applyFont="1" applyFill="1" applyBorder="1" applyAlignment="1">
      <alignment horizontal="left" vertical="center" wrapText="1"/>
    </xf>
    <xf numFmtId="0" fontId="9" fillId="184" borderId="61" xfId="0" applyFont="1" applyFill="1" applyBorder="1" applyAlignment="1">
      <alignment horizontal="left" vertical="center" wrapText="1"/>
    </xf>
    <xf numFmtId="0" fontId="13" fillId="0" borderId="15" xfId="0" applyFont="1" applyFill="1" applyBorder="1" applyAlignment="1">
      <alignment horizontal="center" vertical="center" wrapText="1"/>
    </xf>
    <xf numFmtId="0" fontId="13" fillId="0" borderId="34" xfId="0" applyFont="1" applyFill="1" applyBorder="1" applyAlignment="1">
      <alignment horizontal="center" vertical="center" wrapText="1"/>
    </xf>
    <xf numFmtId="49" fontId="9" fillId="185" borderId="17" xfId="0" applyNumberFormat="1" applyFont="1" applyFill="1" applyBorder="1" applyAlignment="1">
      <alignment horizontal="left" vertical="center" wrapText="1"/>
    </xf>
    <xf numFmtId="49" fontId="9" fillId="186" borderId="0" xfId="0" applyNumberFormat="1" applyFont="1" applyFill="1" applyBorder="1" applyAlignment="1">
      <alignment horizontal="left" vertical="center" wrapText="1"/>
    </xf>
    <xf numFmtId="49" fontId="9" fillId="187" borderId="13" xfId="0" applyNumberFormat="1" applyFont="1" applyFill="1" applyBorder="1" applyAlignment="1">
      <alignment horizontal="left" vertical="center" wrapText="1"/>
    </xf>
    <xf numFmtId="0" fontId="9" fillId="188" borderId="17" xfId="0" applyFont="1" applyFill="1" applyBorder="1" applyAlignment="1">
      <alignment vertical="center" wrapText="1"/>
    </xf>
    <xf numFmtId="0" fontId="9" fillId="189" borderId="0" xfId="0" applyFont="1" applyFill="1" applyBorder="1" applyAlignment="1">
      <alignment vertical="center" wrapText="1"/>
    </xf>
    <xf numFmtId="0" fontId="9" fillId="190" borderId="13" xfId="0" applyFont="1" applyFill="1" applyBorder="1" applyAlignment="1">
      <alignment vertical="center" wrapText="1"/>
    </xf>
    <xf numFmtId="178" fontId="30" fillId="0" borderId="44" xfId="0" applyNumberFormat="1" applyFont="1" applyBorder="1" applyAlignment="1">
      <alignment horizontal="center" vertical="center" wrapText="1"/>
    </xf>
    <xf numFmtId="178" fontId="30" fillId="0" borderId="29" xfId="0" applyNumberFormat="1" applyFont="1" applyBorder="1" applyAlignment="1">
      <alignment horizontal="center" vertical="center" wrapText="1"/>
    </xf>
    <xf numFmtId="178" fontId="30" fillId="0" borderId="58" xfId="0" applyNumberFormat="1" applyFont="1" applyBorder="1" applyAlignment="1">
      <alignment horizontal="center" vertical="center" wrapText="1"/>
    </xf>
    <xf numFmtId="4" fontId="36" fillId="0" borderId="44" xfId="0" applyNumberFormat="1" applyFont="1" applyFill="1" applyBorder="1" applyAlignment="1">
      <alignment horizontal="center" vertical="center" wrapText="1"/>
    </xf>
    <xf numFmtId="4" fontId="36" fillId="0" borderId="29" xfId="0" applyNumberFormat="1" applyFont="1" applyFill="1" applyBorder="1" applyAlignment="1">
      <alignment horizontal="center" vertical="center" wrapText="1"/>
    </xf>
    <xf numFmtId="4" fontId="36" fillId="0" borderId="58" xfId="0" applyNumberFormat="1" applyFont="1" applyFill="1" applyBorder="1" applyAlignment="1">
      <alignment horizontal="center" vertical="center" wrapText="1"/>
    </xf>
    <xf numFmtId="0" fontId="9" fillId="191" borderId="20" xfId="0" applyFont="1" applyFill="1" applyBorder="1" applyAlignment="1">
      <alignment horizontal="left" vertical="center" wrapText="1"/>
    </xf>
    <xf numFmtId="0" fontId="9" fillId="192" borderId="26" xfId="0" applyFont="1" applyFill="1" applyBorder="1" applyAlignment="1">
      <alignment horizontal="left" vertical="center" wrapText="1"/>
    </xf>
    <xf numFmtId="0" fontId="9" fillId="193" borderId="47" xfId="0" applyFont="1" applyFill="1" applyBorder="1" applyAlignment="1">
      <alignment horizontal="left" vertical="center" wrapText="1"/>
    </xf>
    <xf numFmtId="0" fontId="8" fillId="194" borderId="44" xfId="0" applyFont="1" applyFill="1" applyBorder="1" applyAlignment="1">
      <alignment horizontal="center" wrapText="1"/>
    </xf>
    <xf numFmtId="0" fontId="8" fillId="195" borderId="29" xfId="0" applyFont="1" applyFill="1" applyBorder="1" applyAlignment="1">
      <alignment horizontal="center" wrapText="1"/>
    </xf>
    <xf numFmtId="0" fontId="8" fillId="196" borderId="58" xfId="0" applyFont="1" applyFill="1" applyBorder="1" applyAlignment="1">
      <alignment horizontal="center"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86" fillId="0" borderId="97" xfId="0" applyFont="1" applyFill="1" applyBorder="1" applyAlignment="1">
      <alignment horizontal="center" vertical="center" wrapText="1"/>
    </xf>
    <xf numFmtId="0" fontId="86" fillId="0" borderId="98" xfId="0" applyFont="1" applyFill="1" applyBorder="1" applyAlignment="1">
      <alignment horizontal="center" vertical="center" wrapText="1"/>
    </xf>
    <xf numFmtId="0" fontId="86" fillId="0" borderId="99" xfId="0" applyFont="1" applyFill="1" applyBorder="1" applyAlignment="1">
      <alignment horizontal="center" vertical="center" wrapText="1"/>
    </xf>
    <xf numFmtId="0" fontId="86" fillId="0" borderId="100" xfId="0" applyFont="1" applyFill="1" applyBorder="1" applyAlignment="1">
      <alignment horizontal="center" vertical="center" wrapText="1"/>
    </xf>
    <xf numFmtId="0" fontId="86" fillId="0" borderId="101" xfId="0" applyFont="1" applyFill="1" applyBorder="1" applyAlignment="1">
      <alignment horizontal="center" vertical="center" wrapText="1"/>
    </xf>
    <xf numFmtId="0" fontId="86" fillId="0" borderId="102" xfId="0" applyFont="1" applyFill="1" applyBorder="1" applyAlignment="1">
      <alignment horizontal="center" vertical="center" wrapText="1"/>
    </xf>
    <xf numFmtId="0" fontId="85" fillId="0" borderId="0" xfId="0" applyFont="1" applyBorder="1" applyAlignment="1">
      <alignment horizontal="center" vertical="center"/>
    </xf>
    <xf numFmtId="0" fontId="26" fillId="112" borderId="0" xfId="0" applyFont="1" applyFill="1" applyAlignment="1">
      <alignment horizontal="center"/>
    </xf>
    <xf numFmtId="0" fontId="4" fillId="112" borderId="0" xfId="0" applyFont="1" applyFill="1" applyAlignment="1">
      <alignment horizontal="center"/>
    </xf>
    <xf numFmtId="0" fontId="26" fillId="112" borderId="17" xfId="0" applyFont="1" applyFill="1" applyBorder="1" applyAlignment="1">
      <alignment horizontal="center"/>
    </xf>
    <xf numFmtId="0" fontId="26" fillId="112" borderId="0" xfId="0" applyFont="1" applyFill="1" applyBorder="1" applyAlignment="1">
      <alignment horizontal="center"/>
    </xf>
    <xf numFmtId="0" fontId="18" fillId="119" borderId="103" xfId="46" applyNumberFormat="1" applyFont="1" applyFill="1" applyBorder="1" applyAlignment="1" applyProtection="1">
      <alignment horizontal="center" wrapText="1"/>
      <protection/>
    </xf>
    <xf numFmtId="0" fontId="18" fillId="119" borderId="104" xfId="46" applyNumberFormat="1" applyFont="1" applyFill="1" applyBorder="1" applyAlignment="1" applyProtection="1">
      <alignment horizontal="center" wrapText="1"/>
      <protection/>
    </xf>
    <xf numFmtId="0" fontId="18" fillId="119" borderId="105" xfId="46" applyNumberFormat="1" applyFont="1" applyFill="1" applyBorder="1" applyAlignment="1" applyProtection="1">
      <alignment horizontal="center" wrapText="1"/>
      <protection/>
    </xf>
    <xf numFmtId="0" fontId="18" fillId="119" borderId="78" xfId="46" applyNumberFormat="1" applyFont="1" applyFill="1" applyBorder="1" applyAlignment="1" applyProtection="1">
      <alignment horizontal="center" wrapText="1"/>
      <protection/>
    </xf>
    <xf numFmtId="0" fontId="18" fillId="119" borderId="0" xfId="46" applyNumberFormat="1" applyFont="1" applyFill="1" applyBorder="1" applyAlignment="1" applyProtection="1">
      <alignment horizontal="center" wrapText="1"/>
      <protection/>
    </xf>
    <xf numFmtId="0" fontId="18" fillId="119" borderId="79" xfId="46" applyNumberFormat="1" applyFont="1" applyFill="1" applyBorder="1" applyAlignment="1" applyProtection="1">
      <alignment horizontal="center" wrapText="1"/>
      <protection/>
    </xf>
    <xf numFmtId="0" fontId="4" fillId="118" borderId="104" xfId="0" applyFont="1" applyFill="1" applyBorder="1" applyAlignment="1">
      <alignment horizontal="center"/>
    </xf>
    <xf numFmtId="0" fontId="12" fillId="118" borderId="0" xfId="68" applyFill="1" applyBorder="1" applyAlignment="1" applyProtection="1">
      <alignment horizontal="center"/>
      <protection/>
    </xf>
    <xf numFmtId="0" fontId="3" fillId="2" borderId="0" xfId="0" applyFont="1" applyFill="1" applyBorder="1" applyAlignment="1">
      <alignment horizontal="center" vertical="center"/>
    </xf>
    <xf numFmtId="0" fontId="87" fillId="118" borderId="0" xfId="0" applyFont="1" applyFill="1" applyBorder="1" applyAlignment="1">
      <alignment horizontal="center"/>
    </xf>
    <xf numFmtId="4" fontId="4" fillId="119" borderId="103" xfId="0" applyNumberFormat="1" applyFont="1" applyFill="1" applyBorder="1" applyAlignment="1">
      <alignment horizontal="center" vertical="center" wrapText="1"/>
    </xf>
    <xf numFmtId="4" fontId="4" fillId="119" borderId="104" xfId="0" applyNumberFormat="1" applyFont="1" applyFill="1" applyBorder="1" applyAlignment="1">
      <alignment horizontal="center" vertical="center" wrapText="1"/>
    </xf>
    <xf numFmtId="4" fontId="4" fillId="119" borderId="105" xfId="0" applyNumberFormat="1" applyFont="1" applyFill="1" applyBorder="1" applyAlignment="1">
      <alignment horizontal="center" vertical="center" wrapText="1"/>
    </xf>
    <xf numFmtId="4" fontId="4" fillId="119" borderId="106" xfId="0" applyNumberFormat="1" applyFont="1" applyFill="1" applyBorder="1" applyAlignment="1">
      <alignment horizontal="center" vertical="center" wrapText="1"/>
    </xf>
    <xf numFmtId="4" fontId="4" fillId="119" borderId="26" xfId="0" applyNumberFormat="1" applyFont="1" applyFill="1" applyBorder="1" applyAlignment="1">
      <alignment horizontal="center" vertical="center" wrapText="1"/>
    </xf>
    <xf numFmtId="4" fontId="4" fillId="119" borderId="107" xfId="0" applyNumberFormat="1" applyFont="1" applyFill="1" applyBorder="1" applyAlignment="1">
      <alignment horizontal="center" vertical="center" wrapText="1"/>
    </xf>
    <xf numFmtId="0" fontId="12" fillId="118" borderId="0" xfId="68" applyFont="1" applyFill="1" applyBorder="1" applyAlignment="1" applyProtection="1">
      <alignment horizontal="center"/>
      <protection/>
    </xf>
    <xf numFmtId="0" fontId="4" fillId="118" borderId="104" xfId="0" applyFont="1" applyFill="1" applyBorder="1" applyAlignment="1">
      <alignment horizontal="center" wrapText="1"/>
    </xf>
    <xf numFmtId="0" fontId="4" fillId="118" borderId="0" xfId="0" applyFont="1" applyFill="1" applyBorder="1" applyAlignment="1">
      <alignment horizontal="center" wrapText="1"/>
    </xf>
    <xf numFmtId="0" fontId="0" fillId="0" borderId="0" xfId="0" applyBorder="1" applyAlignment="1">
      <alignment horizontal="center"/>
    </xf>
    <xf numFmtId="0" fontId="4" fillId="118" borderId="0" xfId="0" applyFont="1" applyFill="1" applyBorder="1" applyAlignment="1">
      <alignment horizontal="center"/>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_PMC jul 04" xfId="54"/>
    <cellStyle name="Currency" xfId="55"/>
    <cellStyle name="Currency [0]" xfId="56"/>
    <cellStyle name="Currency 2" xfId="57"/>
    <cellStyle name="Currency 2 2" xfId="58"/>
    <cellStyle name="Currency 3" xfId="59"/>
    <cellStyle name="Currency 3 2"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3" xfId="74"/>
    <cellStyle name="Note" xfId="75"/>
    <cellStyle name="Note 2" xfId="76"/>
    <cellStyle name="Output" xfId="77"/>
    <cellStyle name="Percent" xfId="78"/>
    <cellStyle name="Percent 2" xfId="79"/>
    <cellStyle name="Percent 2 2" xfId="80"/>
    <cellStyle name="Percent 3" xfId="81"/>
    <cellStyle name="Percent 3 2" xfId="82"/>
    <cellStyle name="Percent 4" xfId="83"/>
    <cellStyle name="Percent 5" xfId="84"/>
    <cellStyle name="Percent 6" xfId="85"/>
    <cellStyle name="Title" xfId="86"/>
    <cellStyle name="Total" xfId="87"/>
    <cellStyle name="Warning Text" xfId="88"/>
  </cellStyles>
  <dxfs count="98">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8</xdr:row>
      <xdr:rowOff>152400</xdr:rowOff>
    </xdr:from>
    <xdr:to>
      <xdr:col>6</xdr:col>
      <xdr:colOff>304800</xdr:colOff>
      <xdr:row>39</xdr:row>
      <xdr:rowOff>85725</xdr:rowOff>
    </xdr:to>
    <xdr:pic>
      <xdr:nvPicPr>
        <xdr:cNvPr id="1" name="Picture 1"/>
        <xdr:cNvPicPr preferRelativeResize="1">
          <a:picLocks noChangeAspect="1"/>
        </xdr:cNvPicPr>
      </xdr:nvPicPr>
      <xdr:blipFill>
        <a:blip r:embed="rId1"/>
        <a:stretch>
          <a:fillRect/>
        </a:stretch>
      </xdr:blipFill>
      <xdr:spPr>
        <a:xfrm>
          <a:off x="85725" y="2009775"/>
          <a:ext cx="3876675" cy="4953000"/>
        </a:xfrm>
        <a:prstGeom prst="rect">
          <a:avLst/>
        </a:prstGeom>
        <a:noFill/>
        <a:ln w="9525" cmpd="sng">
          <a:noFill/>
        </a:ln>
      </xdr:spPr>
    </xdr:pic>
    <xdr:clientData/>
  </xdr:twoCellAnchor>
  <xdr:twoCellAnchor>
    <xdr:from>
      <xdr:col>1</xdr:col>
      <xdr:colOff>504825</xdr:colOff>
      <xdr:row>16</xdr:row>
      <xdr:rowOff>104775</xdr:rowOff>
    </xdr:from>
    <xdr:to>
      <xdr:col>7</xdr:col>
      <xdr:colOff>200025</xdr:colOff>
      <xdr:row>16</xdr:row>
      <xdr:rowOff>152400</xdr:rowOff>
    </xdr:to>
    <xdr:sp>
      <xdr:nvSpPr>
        <xdr:cNvPr id="2" name="Straight Arrow Connector 10"/>
        <xdr:cNvSpPr>
          <a:spLocks/>
        </xdr:cNvSpPr>
      </xdr:nvSpPr>
      <xdr:spPr>
        <a:xfrm flipV="1">
          <a:off x="1114425" y="3257550"/>
          <a:ext cx="3352800" cy="4762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514350</xdr:colOff>
      <xdr:row>19</xdr:row>
      <xdr:rowOff>66675</xdr:rowOff>
    </xdr:from>
    <xdr:to>
      <xdr:col>7</xdr:col>
      <xdr:colOff>200025</xdr:colOff>
      <xdr:row>23</xdr:row>
      <xdr:rowOff>47625</xdr:rowOff>
    </xdr:to>
    <xdr:sp>
      <xdr:nvSpPr>
        <xdr:cNvPr id="3" name="Straight Arrow Connector 12"/>
        <xdr:cNvSpPr>
          <a:spLocks/>
        </xdr:cNvSpPr>
      </xdr:nvSpPr>
      <xdr:spPr>
        <a:xfrm>
          <a:off x="1123950" y="3705225"/>
          <a:ext cx="3343275" cy="62865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314325</xdr:colOff>
      <xdr:row>21</xdr:row>
      <xdr:rowOff>66675</xdr:rowOff>
    </xdr:from>
    <xdr:to>
      <xdr:col>7</xdr:col>
      <xdr:colOff>200025</xdr:colOff>
      <xdr:row>28</xdr:row>
      <xdr:rowOff>0</xdr:rowOff>
    </xdr:to>
    <xdr:sp>
      <xdr:nvSpPr>
        <xdr:cNvPr id="4" name="Straight Arrow Connector 16"/>
        <xdr:cNvSpPr>
          <a:spLocks/>
        </xdr:cNvSpPr>
      </xdr:nvSpPr>
      <xdr:spPr>
        <a:xfrm>
          <a:off x="923925" y="4029075"/>
          <a:ext cx="3543300" cy="106680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32</xdr:row>
      <xdr:rowOff>133350</xdr:rowOff>
    </xdr:from>
    <xdr:to>
      <xdr:col>7</xdr:col>
      <xdr:colOff>161925</xdr:colOff>
      <xdr:row>38</xdr:row>
      <xdr:rowOff>95250</xdr:rowOff>
    </xdr:to>
    <xdr:sp>
      <xdr:nvSpPr>
        <xdr:cNvPr id="5" name="Straight Arrow Connector 29"/>
        <xdr:cNvSpPr>
          <a:spLocks/>
        </xdr:cNvSpPr>
      </xdr:nvSpPr>
      <xdr:spPr>
        <a:xfrm>
          <a:off x="885825" y="5876925"/>
          <a:ext cx="3543300" cy="93345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7</xdr:col>
      <xdr:colOff>257175</xdr:colOff>
      <xdr:row>9</xdr:row>
      <xdr:rowOff>9525</xdr:rowOff>
    </xdr:from>
    <xdr:to>
      <xdr:col>15</xdr:col>
      <xdr:colOff>552450</xdr:colOff>
      <xdr:row>39</xdr:row>
      <xdr:rowOff>57150</xdr:rowOff>
    </xdr:to>
    <xdr:pic>
      <xdr:nvPicPr>
        <xdr:cNvPr id="6" name="Picture 1"/>
        <xdr:cNvPicPr preferRelativeResize="1">
          <a:picLocks noChangeAspect="1"/>
        </xdr:cNvPicPr>
      </xdr:nvPicPr>
      <xdr:blipFill>
        <a:blip r:embed="rId2"/>
        <a:stretch>
          <a:fillRect/>
        </a:stretch>
      </xdr:blipFill>
      <xdr:spPr>
        <a:xfrm>
          <a:off x="4524375" y="2028825"/>
          <a:ext cx="5486400" cy="4905375"/>
        </a:xfrm>
        <a:prstGeom prst="rect">
          <a:avLst/>
        </a:prstGeom>
        <a:noFill/>
        <a:ln w="9525" cmpd="sng">
          <a:noFill/>
        </a:ln>
      </xdr:spPr>
    </xdr:pic>
    <xdr:clientData/>
  </xdr:twoCellAnchor>
</xdr:wsDr>
</file>

<file path=xl/tables/table1.xml><?xml version="1.0" encoding="utf-8"?>
<table xmlns="http://schemas.openxmlformats.org/spreadsheetml/2006/main" id="314" name="Table_MMWL_P3" displayName="Table_MMWL_P3" ref="A2:C50" comment="" totalsRowShown="0">
  <autoFilter ref="A2:C50"/>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comment=""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comment=""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comment=""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vbaw.vba.va.gov/bl/21/star/reports/fy14/3%20Month%20Rating%20Accuracy.xls" TargetMode="External" /><Relationship Id="rId2" Type="http://schemas.openxmlformats.org/officeDocument/2006/relationships/hyperlink" Target="http://vbaw.vba.va.gov/bl/21/star/reports/fy14/BENEFIT%20ENTITLEMENT%20ACCURACY.xls" TargetMode="External" /><Relationship Id="rId3" Type="http://schemas.openxmlformats.org/officeDocument/2006/relationships/hyperlink" Target="http://vbaw.vba.va.gov/bl/21/star/reports/fy14/3%20Month%20PMC%20Accuracy.xls" TargetMode="External" /><Relationship Id="rId4" Type="http://schemas.openxmlformats.org/officeDocument/2006/relationships/hyperlink" Target="http://vbaw.vba.va.gov/bl/21/star/reports/fy14/PMC%20ACCURACY.xls" TargetMode="External" /><Relationship Id="rId5" Type="http://schemas.openxmlformats.org/officeDocument/2006/relationships/comments" Target="../comments7.xml" /><Relationship Id="rId6" Type="http://schemas.openxmlformats.org/officeDocument/2006/relationships/vmlDrawing" Target="../drawings/vmlDrawing5.vml" /><Relationship Id="rId7"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40"/>
  <sheetViews>
    <sheetView tabSelected="1" zoomScale="90" zoomScaleNormal="90" zoomScalePageLayoutView="0" workbookViewId="0" topLeftCell="A1">
      <selection activeCell="A1" sqref="A1:P1"/>
    </sheetView>
  </sheetViews>
  <sheetFormatPr defaultColWidth="9.140625" defaultRowHeight="12.75"/>
  <cols>
    <col min="8" max="8" width="12.57421875" style="0" customWidth="1"/>
    <col min="14" max="14" width="10.421875" style="0" customWidth="1"/>
  </cols>
  <sheetData>
    <row r="1" spans="1:16" ht="29.25" customHeight="1" thickBot="1">
      <c r="A1" s="403" t="s">
        <v>428</v>
      </c>
      <c r="B1" s="404"/>
      <c r="C1" s="404"/>
      <c r="D1" s="404"/>
      <c r="E1" s="404"/>
      <c r="F1" s="404"/>
      <c r="G1" s="404"/>
      <c r="H1" s="404"/>
      <c r="I1" s="404"/>
      <c r="J1" s="404"/>
      <c r="K1" s="404"/>
      <c r="L1" s="404"/>
      <c r="M1" s="404"/>
      <c r="N1" s="404"/>
      <c r="O1" s="404"/>
      <c r="P1" s="405"/>
    </row>
    <row r="2" spans="1:14" ht="29.25" customHeight="1">
      <c r="A2" s="397" t="s">
        <v>431</v>
      </c>
      <c r="B2" s="398"/>
      <c r="C2" s="398"/>
      <c r="D2" s="398"/>
      <c r="E2" s="398"/>
      <c r="F2" s="398"/>
      <c r="G2" s="398"/>
      <c r="H2" s="398"/>
      <c r="I2" s="398"/>
      <c r="J2" s="398"/>
      <c r="K2" s="398"/>
      <c r="L2" s="398"/>
      <c r="M2" s="398"/>
      <c r="N2" s="399"/>
    </row>
    <row r="3" spans="1:14" ht="12.75">
      <c r="A3" s="397"/>
      <c r="B3" s="398"/>
      <c r="C3" s="398"/>
      <c r="D3" s="398"/>
      <c r="E3" s="398"/>
      <c r="F3" s="398"/>
      <c r="G3" s="398"/>
      <c r="H3" s="398"/>
      <c r="I3" s="398"/>
      <c r="J3" s="398"/>
      <c r="K3" s="398"/>
      <c r="L3" s="398"/>
      <c r="M3" s="398"/>
      <c r="N3" s="399"/>
    </row>
    <row r="4" spans="1:14" ht="12.75">
      <c r="A4" s="397"/>
      <c r="B4" s="398"/>
      <c r="C4" s="398"/>
      <c r="D4" s="398"/>
      <c r="E4" s="398"/>
      <c r="F4" s="398"/>
      <c r="G4" s="398"/>
      <c r="H4" s="398"/>
      <c r="I4" s="398"/>
      <c r="J4" s="398"/>
      <c r="K4" s="398"/>
      <c r="L4" s="398"/>
      <c r="M4" s="398"/>
      <c r="N4" s="399"/>
    </row>
    <row r="5" spans="1:14" ht="12.75">
      <c r="A5" s="397"/>
      <c r="B5" s="398"/>
      <c r="C5" s="398"/>
      <c r="D5" s="398"/>
      <c r="E5" s="398"/>
      <c r="F5" s="398"/>
      <c r="G5" s="398"/>
      <c r="H5" s="398"/>
      <c r="I5" s="398"/>
      <c r="J5" s="398"/>
      <c r="K5" s="398"/>
      <c r="L5" s="398"/>
      <c r="M5" s="398"/>
      <c r="N5" s="399"/>
    </row>
    <row r="6" spans="1:14" ht="12.75">
      <c r="A6" s="397"/>
      <c r="B6" s="398"/>
      <c r="C6" s="398"/>
      <c r="D6" s="398"/>
      <c r="E6" s="398"/>
      <c r="F6" s="398"/>
      <c r="G6" s="398"/>
      <c r="H6" s="398"/>
      <c r="I6" s="398"/>
      <c r="J6" s="398"/>
      <c r="K6" s="398"/>
      <c r="L6" s="398"/>
      <c r="M6" s="398"/>
      <c r="N6" s="399"/>
    </row>
    <row r="7" spans="1:14" ht="18" customHeight="1" thickBot="1">
      <c r="A7" s="400"/>
      <c r="B7" s="401"/>
      <c r="C7" s="401"/>
      <c r="D7" s="401"/>
      <c r="E7" s="401"/>
      <c r="F7" s="401"/>
      <c r="G7" s="401"/>
      <c r="H7" s="401"/>
      <c r="I7" s="401"/>
      <c r="J7" s="401"/>
      <c r="K7" s="401"/>
      <c r="L7" s="401"/>
      <c r="M7" s="401"/>
      <c r="N7" s="402"/>
    </row>
    <row r="8" spans="1:16" ht="18.75" thickBot="1">
      <c r="A8" s="394" t="s">
        <v>426</v>
      </c>
      <c r="B8" s="395"/>
      <c r="C8" s="395"/>
      <c r="D8" s="395"/>
      <c r="E8" s="395"/>
      <c r="F8" s="395"/>
      <c r="G8" s="396"/>
      <c r="H8" s="394" t="s">
        <v>427</v>
      </c>
      <c r="I8" s="395"/>
      <c r="J8" s="395"/>
      <c r="K8" s="395"/>
      <c r="L8" s="395"/>
      <c r="M8" s="395"/>
      <c r="N8" s="395"/>
      <c r="O8" s="395"/>
      <c r="P8" s="396"/>
    </row>
    <row r="9" spans="1:16" ht="12.75">
      <c r="A9" s="260"/>
      <c r="B9" s="261"/>
      <c r="C9" s="261"/>
      <c r="D9" s="261"/>
      <c r="E9" s="261"/>
      <c r="F9" s="261"/>
      <c r="G9" s="262"/>
      <c r="H9" s="261"/>
      <c r="I9" s="261"/>
      <c r="J9" s="261"/>
      <c r="K9" s="261"/>
      <c r="L9" s="261"/>
      <c r="M9" s="261"/>
      <c r="N9" s="261"/>
      <c r="O9" s="261"/>
      <c r="P9" s="262"/>
    </row>
    <row r="10" spans="1:16" ht="12.75">
      <c r="A10" s="260"/>
      <c r="B10" s="261"/>
      <c r="C10" s="261"/>
      <c r="D10" s="261"/>
      <c r="E10" s="261"/>
      <c r="F10" s="261"/>
      <c r="G10" s="262"/>
      <c r="H10" s="261"/>
      <c r="I10" s="261"/>
      <c r="J10" s="261"/>
      <c r="K10" s="261"/>
      <c r="L10" s="261"/>
      <c r="M10" s="261"/>
      <c r="N10" s="261"/>
      <c r="O10" s="261"/>
      <c r="P10" s="262"/>
    </row>
    <row r="11" spans="1:16" ht="12.75">
      <c r="A11" s="260"/>
      <c r="B11" s="261"/>
      <c r="C11" s="261"/>
      <c r="D11" s="261"/>
      <c r="E11" s="261"/>
      <c r="F11" s="261"/>
      <c r="G11" s="262"/>
      <c r="H11" s="261"/>
      <c r="I11" s="261"/>
      <c r="J11" s="261"/>
      <c r="K11" s="261"/>
      <c r="L11" s="261"/>
      <c r="M11" s="261"/>
      <c r="N11" s="261"/>
      <c r="O11" s="261"/>
      <c r="P11" s="262"/>
    </row>
    <row r="12" spans="1:16" ht="12.75">
      <c r="A12" s="260"/>
      <c r="B12" s="261"/>
      <c r="C12" s="261"/>
      <c r="D12" s="261"/>
      <c r="E12" s="261"/>
      <c r="F12" s="261"/>
      <c r="G12" s="262"/>
      <c r="H12" s="261"/>
      <c r="I12" s="261"/>
      <c r="J12" s="261"/>
      <c r="K12" s="261"/>
      <c r="L12" s="261"/>
      <c r="M12" s="261"/>
      <c r="N12" s="261"/>
      <c r="O12" s="261"/>
      <c r="P12" s="262"/>
    </row>
    <row r="13" spans="1:16" ht="12.75">
      <c r="A13" s="260"/>
      <c r="B13" s="261"/>
      <c r="C13" s="261"/>
      <c r="D13" s="261"/>
      <c r="E13" s="261"/>
      <c r="F13" s="261"/>
      <c r="G13" s="262"/>
      <c r="H13" s="261"/>
      <c r="I13" s="261"/>
      <c r="J13" s="261"/>
      <c r="K13" s="261"/>
      <c r="L13" s="261"/>
      <c r="M13" s="261"/>
      <c r="N13" s="261"/>
      <c r="O13" s="261"/>
      <c r="P13" s="262"/>
    </row>
    <row r="14" spans="1:16" ht="12.75">
      <c r="A14" s="260"/>
      <c r="B14" s="261"/>
      <c r="C14" s="261"/>
      <c r="D14" s="261"/>
      <c r="E14" s="261"/>
      <c r="F14" s="261"/>
      <c r="G14" s="262"/>
      <c r="H14" s="261"/>
      <c r="I14" s="261"/>
      <c r="J14" s="261"/>
      <c r="K14" s="261"/>
      <c r="L14" s="261"/>
      <c r="M14" s="261"/>
      <c r="N14" s="261"/>
      <c r="O14" s="261"/>
      <c r="P14" s="262"/>
    </row>
    <row r="15" spans="1:16" ht="12.75">
      <c r="A15" s="260"/>
      <c r="B15" s="261"/>
      <c r="C15" s="261"/>
      <c r="D15" s="261"/>
      <c r="E15" s="261"/>
      <c r="F15" s="261"/>
      <c r="G15" s="262"/>
      <c r="H15" s="261"/>
      <c r="I15" s="261"/>
      <c r="J15" s="261"/>
      <c r="K15" s="261"/>
      <c r="L15" s="261"/>
      <c r="M15" s="261"/>
      <c r="N15" s="261"/>
      <c r="O15" s="261"/>
      <c r="P15" s="262"/>
    </row>
    <row r="16" spans="1:16" ht="12.75">
      <c r="A16" s="260"/>
      <c r="B16" s="261"/>
      <c r="C16" s="261"/>
      <c r="D16" s="261"/>
      <c r="E16" s="261"/>
      <c r="F16" s="261"/>
      <c r="G16" s="262"/>
      <c r="H16" s="261"/>
      <c r="I16" s="261"/>
      <c r="J16" s="261"/>
      <c r="K16" s="261"/>
      <c r="L16" s="261"/>
      <c r="M16" s="261"/>
      <c r="N16" s="261"/>
      <c r="O16" s="261"/>
      <c r="P16" s="262"/>
    </row>
    <row r="17" spans="1:16" ht="12.75">
      <c r="A17" s="260"/>
      <c r="B17" s="261"/>
      <c r="C17" s="261"/>
      <c r="D17" s="261"/>
      <c r="E17" s="261"/>
      <c r="F17" s="261"/>
      <c r="G17" s="262"/>
      <c r="H17" s="261"/>
      <c r="I17" s="261"/>
      <c r="J17" s="261"/>
      <c r="K17" s="261"/>
      <c r="L17" s="261"/>
      <c r="M17" s="261"/>
      <c r="N17" s="261"/>
      <c r="O17" s="261"/>
      <c r="P17" s="262"/>
    </row>
    <row r="18" spans="1:16" ht="12.75">
      <c r="A18" s="260"/>
      <c r="B18" s="261"/>
      <c r="C18" s="261"/>
      <c r="D18" s="261"/>
      <c r="E18" s="261"/>
      <c r="F18" s="261"/>
      <c r="G18" s="262"/>
      <c r="H18" s="261"/>
      <c r="I18" s="261"/>
      <c r="J18" s="261"/>
      <c r="K18" s="261"/>
      <c r="L18" s="261"/>
      <c r="M18" s="261"/>
      <c r="N18" s="261"/>
      <c r="O18" s="261"/>
      <c r="P18" s="262"/>
    </row>
    <row r="19" spans="1:16" ht="12.75">
      <c r="A19" s="260"/>
      <c r="B19" s="261"/>
      <c r="C19" s="261"/>
      <c r="D19" s="261"/>
      <c r="E19" s="261"/>
      <c r="F19" s="261"/>
      <c r="G19" s="262"/>
      <c r="H19" s="261"/>
      <c r="I19" s="261"/>
      <c r="J19" s="261"/>
      <c r="K19" s="261"/>
      <c r="L19" s="261"/>
      <c r="M19" s="261"/>
      <c r="N19" s="261"/>
      <c r="O19" s="261"/>
      <c r="P19" s="262"/>
    </row>
    <row r="20" spans="1:16" ht="12.75">
      <c r="A20" s="260"/>
      <c r="B20" s="261"/>
      <c r="C20" s="261"/>
      <c r="D20" s="261"/>
      <c r="E20" s="261"/>
      <c r="F20" s="261"/>
      <c r="G20" s="262"/>
      <c r="H20" s="261"/>
      <c r="I20" s="261"/>
      <c r="J20" s="261"/>
      <c r="K20" s="261"/>
      <c r="L20" s="261"/>
      <c r="M20" s="261"/>
      <c r="N20" s="261"/>
      <c r="O20" s="261"/>
      <c r="P20" s="262"/>
    </row>
    <row r="21" spans="1:16" ht="12.75">
      <c r="A21" s="260"/>
      <c r="B21" s="261"/>
      <c r="C21" s="261"/>
      <c r="D21" s="261"/>
      <c r="E21" s="261"/>
      <c r="F21" s="261"/>
      <c r="G21" s="262"/>
      <c r="H21" s="261"/>
      <c r="I21" s="261"/>
      <c r="J21" s="261"/>
      <c r="K21" s="261"/>
      <c r="L21" s="261"/>
      <c r="M21" s="261"/>
      <c r="N21" s="261"/>
      <c r="O21" s="261"/>
      <c r="P21" s="262"/>
    </row>
    <row r="22" spans="1:16" ht="12.75">
      <c r="A22" s="260"/>
      <c r="B22" s="261"/>
      <c r="C22" s="261"/>
      <c r="D22" s="261"/>
      <c r="E22" s="261"/>
      <c r="F22" s="261"/>
      <c r="G22" s="262"/>
      <c r="H22" s="261"/>
      <c r="I22" s="261"/>
      <c r="J22" s="261"/>
      <c r="K22" s="261"/>
      <c r="L22" s="261"/>
      <c r="M22" s="261"/>
      <c r="N22" s="261"/>
      <c r="O22" s="261"/>
      <c r="P22" s="262"/>
    </row>
    <row r="23" spans="1:16" ht="12.75">
      <c r="A23" s="260"/>
      <c r="B23" s="261"/>
      <c r="C23" s="261"/>
      <c r="D23" s="261"/>
      <c r="E23" s="261"/>
      <c r="F23" s="261"/>
      <c r="G23" s="262"/>
      <c r="H23" s="261"/>
      <c r="I23" s="261"/>
      <c r="J23" s="261"/>
      <c r="K23" s="261"/>
      <c r="L23" s="261"/>
      <c r="M23" s="261"/>
      <c r="N23" s="261"/>
      <c r="O23" s="261"/>
      <c r="P23" s="262"/>
    </row>
    <row r="24" spans="1:16" ht="12.75">
      <c r="A24" s="260"/>
      <c r="B24" s="261"/>
      <c r="C24" s="261"/>
      <c r="D24" s="261"/>
      <c r="E24" s="261"/>
      <c r="F24" s="261"/>
      <c r="G24" s="262"/>
      <c r="H24" s="261"/>
      <c r="I24" s="261"/>
      <c r="J24" s="261"/>
      <c r="K24" s="261"/>
      <c r="L24" s="261"/>
      <c r="M24" s="261"/>
      <c r="N24" s="261"/>
      <c r="O24" s="261"/>
      <c r="P24" s="262"/>
    </row>
    <row r="25" spans="1:16" ht="12.75">
      <c r="A25" s="260"/>
      <c r="B25" s="261"/>
      <c r="C25" s="261"/>
      <c r="D25" s="261"/>
      <c r="E25" s="261"/>
      <c r="F25" s="261"/>
      <c r="G25" s="262"/>
      <c r="H25" s="261"/>
      <c r="I25" s="261"/>
      <c r="J25" s="261"/>
      <c r="K25" s="261"/>
      <c r="L25" s="261"/>
      <c r="M25" s="261"/>
      <c r="N25" s="261"/>
      <c r="O25" s="261"/>
      <c r="P25" s="262"/>
    </row>
    <row r="26" spans="1:16" ht="12.75">
      <c r="A26" s="260"/>
      <c r="B26" s="261"/>
      <c r="C26" s="261"/>
      <c r="D26" s="261"/>
      <c r="E26" s="261"/>
      <c r="F26" s="261"/>
      <c r="G26" s="262"/>
      <c r="H26" s="261"/>
      <c r="I26" s="261"/>
      <c r="J26" s="261"/>
      <c r="K26" s="261"/>
      <c r="L26" s="261"/>
      <c r="M26" s="261"/>
      <c r="N26" s="261"/>
      <c r="O26" s="261"/>
      <c r="P26" s="262"/>
    </row>
    <row r="27" spans="1:16" ht="12.75">
      <c r="A27" s="260"/>
      <c r="B27" s="261"/>
      <c r="C27" s="261"/>
      <c r="D27" s="261"/>
      <c r="E27" s="261"/>
      <c r="F27" s="261"/>
      <c r="G27" s="262"/>
      <c r="H27" s="261"/>
      <c r="I27" s="261"/>
      <c r="J27" s="261"/>
      <c r="K27" s="261"/>
      <c r="L27" s="261"/>
      <c r="M27" s="261"/>
      <c r="N27" s="261"/>
      <c r="O27" s="261"/>
      <c r="P27" s="262"/>
    </row>
    <row r="28" spans="1:16" ht="12.75">
      <c r="A28" s="260"/>
      <c r="B28" s="261"/>
      <c r="C28" s="261"/>
      <c r="D28" s="261"/>
      <c r="E28" s="261"/>
      <c r="F28" s="261"/>
      <c r="G28" s="262"/>
      <c r="H28" s="261"/>
      <c r="I28" s="261"/>
      <c r="J28" s="261"/>
      <c r="K28" s="261"/>
      <c r="L28" s="261"/>
      <c r="M28" s="261"/>
      <c r="N28" s="261"/>
      <c r="O28" s="261"/>
      <c r="P28" s="262"/>
    </row>
    <row r="29" spans="1:16" ht="12.75">
      <c r="A29" s="260"/>
      <c r="B29" s="261"/>
      <c r="C29" s="261"/>
      <c r="D29" s="261"/>
      <c r="E29" s="261"/>
      <c r="F29" s="261"/>
      <c r="G29" s="262"/>
      <c r="H29" s="261"/>
      <c r="I29" s="261"/>
      <c r="J29" s="261"/>
      <c r="K29" s="261"/>
      <c r="L29" s="261"/>
      <c r="M29" s="261"/>
      <c r="N29" s="261"/>
      <c r="O29" s="261"/>
      <c r="P29" s="262"/>
    </row>
    <row r="30" spans="1:16" ht="12.75">
      <c r="A30" s="260"/>
      <c r="B30" s="261"/>
      <c r="C30" s="261"/>
      <c r="D30" s="261"/>
      <c r="E30" s="261"/>
      <c r="F30" s="261"/>
      <c r="G30" s="262"/>
      <c r="H30" s="261"/>
      <c r="I30" s="261"/>
      <c r="J30" s="261"/>
      <c r="K30" s="261"/>
      <c r="L30" s="261"/>
      <c r="M30" s="261"/>
      <c r="N30" s="261"/>
      <c r="O30" s="261"/>
      <c r="P30" s="262"/>
    </row>
    <row r="31" spans="1:16" ht="12.75">
      <c r="A31" s="260"/>
      <c r="B31" s="261"/>
      <c r="C31" s="261"/>
      <c r="D31" s="261"/>
      <c r="E31" s="261"/>
      <c r="F31" s="261"/>
      <c r="G31" s="262"/>
      <c r="H31" s="261"/>
      <c r="I31" s="261"/>
      <c r="J31" s="261"/>
      <c r="K31" s="261"/>
      <c r="L31" s="261"/>
      <c r="M31" s="261"/>
      <c r="N31" s="261"/>
      <c r="O31" s="261"/>
      <c r="P31" s="262"/>
    </row>
    <row r="32" spans="1:16" ht="12.75">
      <c r="A32" s="260"/>
      <c r="B32" s="261"/>
      <c r="C32" s="261"/>
      <c r="D32" s="261"/>
      <c r="E32" s="261"/>
      <c r="F32" s="261"/>
      <c r="G32" s="262"/>
      <c r="H32" s="261"/>
      <c r="I32" s="261"/>
      <c r="J32" s="261"/>
      <c r="K32" s="261"/>
      <c r="L32" s="261"/>
      <c r="M32" s="261"/>
      <c r="N32" s="261"/>
      <c r="O32" s="261"/>
      <c r="P32" s="262"/>
    </row>
    <row r="33" spans="1:16" ht="12.75">
      <c r="A33" s="260"/>
      <c r="B33" s="261"/>
      <c r="C33" s="261"/>
      <c r="D33" s="261"/>
      <c r="E33" s="261"/>
      <c r="F33" s="261"/>
      <c r="G33" s="262"/>
      <c r="H33" s="261"/>
      <c r="I33" s="261"/>
      <c r="J33" s="261"/>
      <c r="K33" s="261"/>
      <c r="L33" s="261"/>
      <c r="M33" s="261"/>
      <c r="N33" s="261"/>
      <c r="O33" s="261"/>
      <c r="P33" s="262"/>
    </row>
    <row r="34" spans="1:16" ht="12.75">
      <c r="A34" s="260"/>
      <c r="B34" s="261"/>
      <c r="C34" s="261"/>
      <c r="D34" s="261"/>
      <c r="E34" s="261"/>
      <c r="F34" s="261"/>
      <c r="G34" s="262"/>
      <c r="H34" s="261"/>
      <c r="I34" s="261"/>
      <c r="J34" s="261"/>
      <c r="K34" s="261"/>
      <c r="L34" s="261"/>
      <c r="M34" s="261"/>
      <c r="N34" s="261"/>
      <c r="O34" s="261"/>
      <c r="P34" s="262"/>
    </row>
    <row r="35" spans="1:16" ht="12.75">
      <c r="A35" s="260"/>
      <c r="B35" s="261"/>
      <c r="C35" s="261"/>
      <c r="D35" s="261"/>
      <c r="E35" s="261"/>
      <c r="F35" s="261"/>
      <c r="G35" s="262"/>
      <c r="H35" s="261"/>
      <c r="I35" s="261"/>
      <c r="J35" s="261"/>
      <c r="K35" s="261"/>
      <c r="L35" s="261"/>
      <c r="M35" s="261"/>
      <c r="N35" s="261"/>
      <c r="O35" s="261"/>
      <c r="P35" s="262"/>
    </row>
    <row r="36" spans="1:16" ht="12.75">
      <c r="A36" s="260"/>
      <c r="B36" s="261"/>
      <c r="C36" s="261"/>
      <c r="D36" s="261"/>
      <c r="E36" s="261"/>
      <c r="F36" s="261"/>
      <c r="G36" s="262"/>
      <c r="H36" s="261"/>
      <c r="I36" s="261"/>
      <c r="J36" s="261"/>
      <c r="K36" s="261"/>
      <c r="L36" s="261"/>
      <c r="M36" s="261"/>
      <c r="N36" s="261"/>
      <c r="O36" s="261"/>
      <c r="P36" s="262"/>
    </row>
    <row r="37" spans="1:16" ht="12.75">
      <c r="A37" s="260"/>
      <c r="B37" s="261"/>
      <c r="C37" s="261"/>
      <c r="D37" s="261"/>
      <c r="E37" s="261"/>
      <c r="F37" s="261"/>
      <c r="G37" s="262"/>
      <c r="H37" s="261"/>
      <c r="I37" s="261"/>
      <c r="J37" s="261"/>
      <c r="K37" s="261"/>
      <c r="L37" s="261"/>
      <c r="M37" s="261"/>
      <c r="N37" s="261"/>
      <c r="O37" s="261"/>
      <c r="P37" s="262"/>
    </row>
    <row r="38" spans="1:16" ht="12.75">
      <c r="A38" s="260"/>
      <c r="B38" s="261"/>
      <c r="C38" s="261"/>
      <c r="D38" s="261"/>
      <c r="E38" s="261"/>
      <c r="F38" s="261"/>
      <c r="G38" s="262"/>
      <c r="H38" s="261"/>
      <c r="I38" s="261"/>
      <c r="J38" s="261"/>
      <c r="K38" s="261"/>
      <c r="L38" s="261"/>
      <c r="M38" s="261"/>
      <c r="N38" s="261"/>
      <c r="O38" s="261"/>
      <c r="P38" s="262"/>
    </row>
    <row r="39" spans="1:16" ht="12.75">
      <c r="A39" s="260"/>
      <c r="B39" s="261"/>
      <c r="C39" s="261"/>
      <c r="D39" s="261"/>
      <c r="E39" s="261"/>
      <c r="F39" s="261"/>
      <c r="G39" s="262"/>
      <c r="H39" s="261"/>
      <c r="I39" s="261"/>
      <c r="J39" s="261"/>
      <c r="K39" s="261"/>
      <c r="L39" s="261"/>
      <c r="M39" s="261"/>
      <c r="N39" s="261"/>
      <c r="O39" s="261"/>
      <c r="P39" s="262"/>
    </row>
    <row r="40" spans="1:16" ht="13.5" thickBot="1">
      <c r="A40" s="263"/>
      <c r="B40" s="264"/>
      <c r="C40" s="264"/>
      <c r="D40" s="264"/>
      <c r="E40" s="264"/>
      <c r="F40" s="264"/>
      <c r="G40" s="265"/>
      <c r="H40" s="264"/>
      <c r="I40" s="264"/>
      <c r="J40" s="264"/>
      <c r="K40" s="264"/>
      <c r="L40" s="264"/>
      <c r="M40" s="264"/>
      <c r="N40" s="264"/>
      <c r="O40" s="264"/>
      <c r="P40" s="265"/>
    </row>
  </sheetData>
  <sheetProtection/>
  <mergeCells count="4">
    <mergeCell ref="H8:P8"/>
    <mergeCell ref="A8:G8"/>
    <mergeCell ref="A2:N7"/>
    <mergeCell ref="A1:P1"/>
  </mergeCells>
  <printOptions horizontalCentered="1" verticalCentered="1"/>
  <pageMargins left="0.7" right="0.7" top="0.75" bottom="0.75" header="0.3" footer="0.3"/>
  <pageSetup fitToHeight="1" fitToWidth="1" horizontalDpi="600" verticalDpi="600" orientation="landscape" scale="82" r:id="rId4"/>
  <headerFooter>
    <oddHeader>&amp;C&amp;14VBA Monday Morning Workload Report</oddHeader>
    <oddFooter>&amp;LPrepared by VBA Office of Performance Analysis &amp;&amp; Integrity</oddFooter>
  </headerFooter>
  <drawing r:id="rId3"/>
  <legacyDrawing r:id="rId2"/>
  <oleObjects>
    <oleObject progId="Document" dvAspect="DVASPECT_ICON" shapeId="14376400" r:id="rId1"/>
  </oleObjects>
</worksheet>
</file>

<file path=xl/worksheets/sheet2.xml><?xml version="1.0" encoding="utf-8"?>
<worksheet xmlns="http://schemas.openxmlformats.org/spreadsheetml/2006/main" xmlns:r="http://schemas.openxmlformats.org/officeDocument/2006/relationships">
  <sheetPr>
    <pageSetUpPr fitToPage="1"/>
  </sheetPr>
  <dimension ref="B1:R77"/>
  <sheetViews>
    <sheetView zoomScale="80" zoomScaleNormal="80" zoomScaleSheetLayoutView="75" zoomScalePageLayoutView="0" workbookViewId="0" topLeftCell="A1">
      <selection activeCell="A1" sqref="A1"/>
    </sheetView>
  </sheetViews>
  <sheetFormatPr defaultColWidth="9.140625" defaultRowHeight="12.75"/>
  <cols>
    <col min="1" max="1" width="3.421875" style="20" customWidth="1"/>
    <col min="2" max="2" width="63.7109375" style="26" customWidth="1"/>
    <col min="3" max="3" width="15.140625" style="27" customWidth="1"/>
    <col min="4" max="4" width="18.00390625" style="3" customWidth="1"/>
    <col min="5" max="5" width="15.00390625" style="3" customWidth="1"/>
    <col min="6" max="6" width="15.57421875" style="3" customWidth="1"/>
    <col min="7" max="7" width="9.140625" style="1" bestFit="1" customWidth="1"/>
    <col min="8" max="8" width="14.8515625" style="23" bestFit="1" customWidth="1"/>
    <col min="9" max="16384" width="9.140625" style="23" customWidth="1"/>
  </cols>
  <sheetData>
    <row r="1" spans="2:6" ht="4.5" customHeight="1">
      <c r="B1" s="21"/>
      <c r="C1" s="22"/>
      <c r="D1" s="2"/>
      <c r="E1" s="2"/>
      <c r="F1" s="2"/>
    </row>
    <row r="2" spans="2:6" ht="10.5" customHeight="1" thickBot="1">
      <c r="B2" s="21"/>
      <c r="C2" s="22"/>
      <c r="D2" s="2"/>
      <c r="E2" s="2"/>
      <c r="F2" s="2"/>
    </row>
    <row r="3" spans="2:6" ht="39" customHeight="1" thickBot="1">
      <c r="B3" s="429" t="s">
        <v>307</v>
      </c>
      <c r="C3" s="430"/>
      <c r="D3" s="173" t="s">
        <v>6</v>
      </c>
      <c r="E3" s="110" t="s">
        <v>3</v>
      </c>
      <c r="F3" s="110" t="s">
        <v>292</v>
      </c>
    </row>
    <row r="4" spans="2:10" ht="59.25" customHeight="1">
      <c r="B4" s="431"/>
      <c r="C4" s="432"/>
      <c r="D4" s="425">
        <v>523724</v>
      </c>
      <c r="E4" s="425">
        <v>244498</v>
      </c>
      <c r="F4" s="427">
        <v>0.46685</v>
      </c>
      <c r="J4" s="285"/>
    </row>
    <row r="5" spans="2:10" ht="33" customHeight="1" thickBot="1">
      <c r="B5" s="158" t="s">
        <v>459</v>
      </c>
      <c r="C5" s="159"/>
      <c r="D5" s="426"/>
      <c r="E5" s="426"/>
      <c r="F5" s="428"/>
      <c r="G5" s="306"/>
      <c r="H5" s="306"/>
      <c r="J5" s="285"/>
    </row>
    <row r="6" spans="2:6" ht="16.5" customHeight="1" thickBot="1">
      <c r="B6" s="254" t="s">
        <v>297</v>
      </c>
      <c r="C6" s="255" t="s">
        <v>317</v>
      </c>
      <c r="D6" s="244">
        <v>183992</v>
      </c>
      <c r="E6" s="244">
        <v>84516</v>
      </c>
      <c r="F6" s="243">
        <v>0.4593460585242837</v>
      </c>
    </row>
    <row r="7" spans="2:6" ht="16.5" customHeight="1">
      <c r="B7" s="131" t="s">
        <v>23</v>
      </c>
      <c r="C7" s="132" t="s">
        <v>223</v>
      </c>
      <c r="D7" s="133">
        <v>51991</v>
      </c>
      <c r="E7" s="133">
        <v>23634</v>
      </c>
      <c r="F7" s="134">
        <v>0.4545786770787252</v>
      </c>
    </row>
    <row r="8" spans="2:6" ht="16.5" customHeight="1">
      <c r="B8" s="131" t="s">
        <v>0</v>
      </c>
      <c r="C8" s="140" t="s">
        <v>224</v>
      </c>
      <c r="D8" s="133">
        <v>121411</v>
      </c>
      <c r="E8" s="133">
        <v>59631</v>
      </c>
      <c r="F8" s="134">
        <v>0.4911498958084523</v>
      </c>
    </row>
    <row r="9" spans="2:6" ht="16.5" customHeight="1">
      <c r="B9" s="135" t="s">
        <v>298</v>
      </c>
      <c r="C9" s="136" t="s">
        <v>226</v>
      </c>
      <c r="D9" s="133">
        <v>4842</v>
      </c>
      <c r="E9" s="133">
        <v>339</v>
      </c>
      <c r="F9" s="134">
        <v>0.07001239157372986</v>
      </c>
    </row>
    <row r="10" spans="2:6" ht="16.5" customHeight="1" thickBot="1">
      <c r="B10" s="135" t="s">
        <v>24</v>
      </c>
      <c r="C10" s="140" t="s">
        <v>228</v>
      </c>
      <c r="D10" s="133">
        <v>5748</v>
      </c>
      <c r="E10" s="133">
        <v>912</v>
      </c>
      <c r="F10" s="134">
        <v>0.15866388308977036</v>
      </c>
    </row>
    <row r="11" spans="2:6" ht="17.25" thickBot="1">
      <c r="B11" s="254" t="s">
        <v>1</v>
      </c>
      <c r="C11" s="255" t="s">
        <v>317</v>
      </c>
      <c r="D11" s="244">
        <v>339732</v>
      </c>
      <c r="E11" s="244">
        <v>159982</v>
      </c>
      <c r="F11" s="243">
        <v>0.4709064792248007</v>
      </c>
    </row>
    <row r="12" spans="2:6" ht="16.5" customHeight="1">
      <c r="B12" s="131" t="s">
        <v>232</v>
      </c>
      <c r="C12" s="136" t="s">
        <v>227</v>
      </c>
      <c r="D12" s="133">
        <v>6704</v>
      </c>
      <c r="E12" s="133">
        <v>402</v>
      </c>
      <c r="F12" s="134">
        <v>0.05996420047732697</v>
      </c>
    </row>
    <row r="13" spans="2:6" ht="16.5" customHeight="1">
      <c r="B13" s="131" t="s">
        <v>25</v>
      </c>
      <c r="C13" s="132" t="s">
        <v>225</v>
      </c>
      <c r="D13" s="133">
        <v>314614</v>
      </c>
      <c r="E13" s="133">
        <v>152396</v>
      </c>
      <c r="F13" s="134">
        <v>0.48439039585015287</v>
      </c>
    </row>
    <row r="14" spans="2:6" ht="16.5" customHeight="1">
      <c r="B14" s="131" t="s">
        <v>17</v>
      </c>
      <c r="C14" s="132" t="s">
        <v>229</v>
      </c>
      <c r="D14" s="133">
        <v>16720</v>
      </c>
      <c r="E14" s="133">
        <v>6489</v>
      </c>
      <c r="F14" s="134">
        <v>0.3880980861244019</v>
      </c>
    </row>
    <row r="15" spans="2:6" ht="16.5" customHeight="1">
      <c r="B15" s="135" t="s">
        <v>26</v>
      </c>
      <c r="C15" s="136" t="s">
        <v>230</v>
      </c>
      <c r="D15" s="137">
        <v>1418</v>
      </c>
      <c r="E15" s="133">
        <v>514</v>
      </c>
      <c r="F15" s="134">
        <v>0.3624823695345557</v>
      </c>
    </row>
    <row r="16" spans="2:6" ht="16.5" customHeight="1">
      <c r="B16" s="135" t="s">
        <v>98</v>
      </c>
      <c r="C16" s="138" t="s">
        <v>233</v>
      </c>
      <c r="D16" s="137">
        <v>261</v>
      </c>
      <c r="E16" s="133">
        <v>180</v>
      </c>
      <c r="F16" s="134">
        <v>0.6896551724137931</v>
      </c>
    </row>
    <row r="17" spans="2:6" ht="28.5" customHeight="1">
      <c r="B17" s="135" t="s">
        <v>99</v>
      </c>
      <c r="C17" s="138" t="s">
        <v>234</v>
      </c>
      <c r="D17" s="137">
        <v>0</v>
      </c>
      <c r="E17" s="133">
        <v>0</v>
      </c>
      <c r="F17" s="134">
        <v>0</v>
      </c>
    </row>
    <row r="18" spans="2:6" ht="16.5" customHeight="1">
      <c r="B18" s="135" t="s">
        <v>101</v>
      </c>
      <c r="C18" s="138" t="s">
        <v>235</v>
      </c>
      <c r="D18" s="137">
        <v>15</v>
      </c>
      <c r="E18" s="133">
        <v>1</v>
      </c>
      <c r="F18" s="134">
        <v>0.06666666666666667</v>
      </c>
    </row>
    <row r="19" spans="2:6" ht="16.5" customHeight="1" thickBot="1">
      <c r="B19" s="135" t="s">
        <v>100</v>
      </c>
      <c r="C19" s="138" t="s">
        <v>236</v>
      </c>
      <c r="D19" s="137">
        <v>0</v>
      </c>
      <c r="E19" s="133">
        <v>0</v>
      </c>
      <c r="F19" s="139">
        <v>0</v>
      </c>
    </row>
    <row r="20" spans="2:6" ht="16.5" customHeight="1">
      <c r="B20" s="419" t="s">
        <v>358</v>
      </c>
      <c r="C20" s="420"/>
      <c r="D20" s="420"/>
      <c r="E20" s="420"/>
      <c r="F20" s="421"/>
    </row>
    <row r="21" spans="2:6" ht="36" customHeight="1" thickBot="1">
      <c r="B21" s="422"/>
      <c r="C21" s="423"/>
      <c r="D21" s="423"/>
      <c r="E21" s="423"/>
      <c r="F21" s="424"/>
    </row>
    <row r="22" spans="2:6" ht="36" customHeight="1">
      <c r="B22" s="413" t="s">
        <v>386</v>
      </c>
      <c r="C22" s="413" t="s">
        <v>394</v>
      </c>
      <c r="D22" s="415"/>
      <c r="E22" s="415"/>
      <c r="F22" s="416"/>
    </row>
    <row r="23" spans="2:6" ht="29.25" customHeight="1" thickBot="1">
      <c r="B23" s="414"/>
      <c r="C23" s="414"/>
      <c r="D23" s="417"/>
      <c r="E23" s="417"/>
      <c r="F23" s="418"/>
    </row>
    <row r="24" spans="2:6" ht="29.25" customHeight="1" thickBot="1">
      <c r="B24" s="197"/>
      <c r="C24" s="157"/>
      <c r="D24" s="157"/>
      <c r="E24" s="157"/>
      <c r="F24" s="157"/>
    </row>
    <row r="25" spans="2:6" ht="25.5">
      <c r="B25" s="24" t="s">
        <v>32</v>
      </c>
      <c r="C25" s="70" t="s">
        <v>37</v>
      </c>
      <c r="D25" s="70" t="s">
        <v>38</v>
      </c>
      <c r="E25" s="70" t="s">
        <v>39</v>
      </c>
      <c r="F25" s="114" t="s">
        <v>40</v>
      </c>
    </row>
    <row r="26" spans="2:6" ht="16.5">
      <c r="B26" s="256" t="s">
        <v>302</v>
      </c>
      <c r="C26" s="257">
        <v>7730</v>
      </c>
      <c r="D26" s="257">
        <v>6871</v>
      </c>
      <c r="E26" s="257">
        <v>859</v>
      </c>
      <c r="F26" s="258">
        <v>0.125</v>
      </c>
    </row>
    <row r="27" spans="2:6" ht="15">
      <c r="B27" s="126" t="s">
        <v>33</v>
      </c>
      <c r="C27" s="149">
        <v>930</v>
      </c>
      <c r="D27" s="149">
        <v>1315</v>
      </c>
      <c r="E27" s="149">
        <v>-385</v>
      </c>
      <c r="F27" s="316">
        <v>-0.293</v>
      </c>
    </row>
    <row r="28" spans="2:6" ht="15">
      <c r="B28" s="129" t="s">
        <v>34</v>
      </c>
      <c r="C28" s="220">
        <v>513</v>
      </c>
      <c r="D28" s="220">
        <v>540</v>
      </c>
      <c r="E28" s="220">
        <v>-27</v>
      </c>
      <c r="F28" s="317">
        <v>-0.05</v>
      </c>
    </row>
    <row r="29" spans="2:6" ht="15">
      <c r="B29" s="126" t="s">
        <v>35</v>
      </c>
      <c r="C29" s="220">
        <v>1228</v>
      </c>
      <c r="D29" s="220">
        <v>1042</v>
      </c>
      <c r="E29" s="220">
        <v>186</v>
      </c>
      <c r="F29" s="317">
        <v>0.179</v>
      </c>
    </row>
    <row r="30" spans="2:6" ht="15">
      <c r="B30" s="130" t="s">
        <v>36</v>
      </c>
      <c r="C30" s="221">
        <v>5059</v>
      </c>
      <c r="D30" s="221">
        <v>3974</v>
      </c>
      <c r="E30" s="221">
        <v>1085</v>
      </c>
      <c r="F30" s="318">
        <v>0.273</v>
      </c>
    </row>
    <row r="31" spans="2:6" ht="16.5">
      <c r="B31" s="256" t="s">
        <v>303</v>
      </c>
      <c r="C31" s="257">
        <v>44434</v>
      </c>
      <c r="D31" s="257">
        <v>36847</v>
      </c>
      <c r="E31" s="257">
        <v>7587</v>
      </c>
      <c r="F31" s="258">
        <v>0.206</v>
      </c>
    </row>
    <row r="32" spans="2:6" ht="15">
      <c r="B32" s="126" t="s">
        <v>33</v>
      </c>
      <c r="C32" s="149">
        <v>4934</v>
      </c>
      <c r="D32" s="149">
        <v>6018</v>
      </c>
      <c r="E32" s="149">
        <v>-1084</v>
      </c>
      <c r="F32" s="316">
        <v>-0.18</v>
      </c>
    </row>
    <row r="33" spans="2:6" ht="15">
      <c r="B33" s="129" t="s">
        <v>34</v>
      </c>
      <c r="C33" s="220">
        <v>3039</v>
      </c>
      <c r="D33" s="220">
        <v>2991</v>
      </c>
      <c r="E33" s="220">
        <v>48</v>
      </c>
      <c r="F33" s="317">
        <v>0.016</v>
      </c>
    </row>
    <row r="34" spans="2:6" ht="15">
      <c r="B34" s="126" t="s">
        <v>35</v>
      </c>
      <c r="C34" s="220">
        <v>11019</v>
      </c>
      <c r="D34" s="220">
        <v>9052</v>
      </c>
      <c r="E34" s="220">
        <v>1967</v>
      </c>
      <c r="F34" s="317">
        <v>0.217</v>
      </c>
    </row>
    <row r="35" spans="2:6" ht="15.75" thickBot="1">
      <c r="B35" s="126" t="s">
        <v>36</v>
      </c>
      <c r="C35" s="220">
        <v>25442</v>
      </c>
      <c r="D35" s="220">
        <v>18786</v>
      </c>
      <c r="E35" s="220">
        <v>6656</v>
      </c>
      <c r="F35" s="317">
        <v>0.354</v>
      </c>
    </row>
    <row r="36" spans="2:6" ht="15.75" customHeight="1" thickBot="1">
      <c r="B36" s="410" t="s">
        <v>41</v>
      </c>
      <c r="C36" s="411"/>
      <c r="D36" s="411"/>
      <c r="E36" s="411"/>
      <c r="F36" s="412"/>
    </row>
    <row r="37" spans="2:6" ht="36" customHeight="1">
      <c r="B37" s="148"/>
      <c r="C37" s="148"/>
      <c r="D37" s="148"/>
      <c r="E37" s="148"/>
      <c r="F37" s="148"/>
    </row>
    <row r="38" spans="2:6" ht="26.25" hidden="1" thickBot="1">
      <c r="B38" s="154" t="s">
        <v>305</v>
      </c>
      <c r="C38" s="155" t="s">
        <v>37</v>
      </c>
      <c r="D38" s="155" t="s">
        <v>38</v>
      </c>
      <c r="E38" s="155" t="s">
        <v>39</v>
      </c>
      <c r="F38" s="156" t="s">
        <v>40</v>
      </c>
    </row>
    <row r="39" spans="2:6" ht="15" hidden="1">
      <c r="B39" s="151" t="s">
        <v>302</v>
      </c>
      <c r="C39" s="152">
        <v>3310</v>
      </c>
      <c r="D39" s="152">
        <v>2341</v>
      </c>
      <c r="E39" s="152">
        <v>0.7072507552870091</v>
      </c>
      <c r="F39" s="153">
        <v>208</v>
      </c>
    </row>
    <row r="40" spans="2:6" ht="15" hidden="1">
      <c r="B40" s="126" t="s">
        <v>33</v>
      </c>
      <c r="C40" s="149">
        <v>1130</v>
      </c>
      <c r="D40" s="149">
        <v>1400</v>
      </c>
      <c r="E40" s="149">
        <v>-270</v>
      </c>
      <c r="F40" s="150">
        <v>-0.19285714285714287</v>
      </c>
    </row>
    <row r="41" spans="2:6" ht="15" hidden="1">
      <c r="B41" s="129" t="s">
        <v>34</v>
      </c>
      <c r="C41" s="220">
        <v>780</v>
      </c>
      <c r="D41" s="220">
        <v>713</v>
      </c>
      <c r="E41" s="220">
        <v>67</v>
      </c>
      <c r="F41" s="222">
        <v>0.09396914446002805</v>
      </c>
    </row>
    <row r="42" spans="2:6" ht="15" hidden="1">
      <c r="B42" s="126" t="s">
        <v>35</v>
      </c>
      <c r="C42" s="220">
        <v>1843</v>
      </c>
      <c r="D42" s="220">
        <v>1945</v>
      </c>
      <c r="E42" s="220">
        <v>-102</v>
      </c>
      <c r="F42" s="222">
        <v>-0.05244215938303342</v>
      </c>
    </row>
    <row r="43" spans="2:6" ht="15" hidden="1">
      <c r="B43" s="130" t="s">
        <v>36</v>
      </c>
      <c r="C43" s="221">
        <v>3367</v>
      </c>
      <c r="D43" s="221">
        <v>3404</v>
      </c>
      <c r="E43" s="221">
        <v>-37</v>
      </c>
      <c r="F43" s="223">
        <v>-0.010869565217391304</v>
      </c>
    </row>
    <row r="44" spans="2:6" ht="15" hidden="1">
      <c r="B44" s="115" t="s">
        <v>303</v>
      </c>
      <c r="C44" s="108">
        <v>46973</v>
      </c>
      <c r="D44" s="108">
        <v>49002</v>
      </c>
      <c r="E44" s="108">
        <v>-2029</v>
      </c>
      <c r="F44" s="118">
        <v>-0.0414064732051753</v>
      </c>
    </row>
    <row r="45" spans="2:6" ht="15" hidden="1">
      <c r="B45" s="126" t="s">
        <v>33</v>
      </c>
      <c r="C45" s="149">
        <v>7785</v>
      </c>
      <c r="D45" s="149">
        <v>7793</v>
      </c>
      <c r="E45" s="149">
        <v>-8</v>
      </c>
      <c r="F45" s="150">
        <v>-0.0010265622994995508</v>
      </c>
    </row>
    <row r="46" spans="2:6" ht="15" hidden="1">
      <c r="B46" s="129" t="s">
        <v>34</v>
      </c>
      <c r="C46" s="220">
        <v>4678</v>
      </c>
      <c r="D46" s="220">
        <v>5977</v>
      </c>
      <c r="E46" s="220">
        <v>-1299</v>
      </c>
      <c r="F46" s="222">
        <v>-0.21733311025598126</v>
      </c>
    </row>
    <row r="47" spans="2:6" ht="15" hidden="1">
      <c r="B47" s="126" t="s">
        <v>35</v>
      </c>
      <c r="C47" s="220">
        <v>11334</v>
      </c>
      <c r="D47" s="220">
        <v>13508</v>
      </c>
      <c r="E47" s="220">
        <v>-2174</v>
      </c>
      <c r="F47" s="222">
        <v>-0.1609416641989932</v>
      </c>
    </row>
    <row r="48" spans="2:6" ht="15" hidden="1">
      <c r="B48" s="130" t="s">
        <v>36</v>
      </c>
      <c r="C48" s="221">
        <v>23176</v>
      </c>
      <c r="D48" s="221">
        <v>21724</v>
      </c>
      <c r="E48" s="221">
        <v>1452</v>
      </c>
      <c r="F48" s="223">
        <v>0.06683851960964832</v>
      </c>
    </row>
    <row r="49" spans="2:6" ht="15.75" hidden="1" thickBot="1">
      <c r="B49" s="406" t="s">
        <v>41</v>
      </c>
      <c r="C49" s="407"/>
      <c r="D49" s="407"/>
      <c r="E49" s="407"/>
      <c r="F49" s="408"/>
    </row>
    <row r="50" spans="2:6" ht="29.25" customHeight="1" hidden="1" thickBot="1">
      <c r="B50" s="147"/>
      <c r="C50" s="157"/>
      <c r="D50" s="157"/>
      <c r="E50" s="157"/>
      <c r="F50" s="157"/>
    </row>
    <row r="51" spans="2:6" ht="36" customHeight="1" hidden="1">
      <c r="B51" s="24" t="s">
        <v>304</v>
      </c>
      <c r="C51" s="70" t="s">
        <v>37</v>
      </c>
      <c r="D51" s="70" t="s">
        <v>38</v>
      </c>
      <c r="E51" s="70" t="s">
        <v>39</v>
      </c>
      <c r="F51" s="114" t="s">
        <v>40</v>
      </c>
    </row>
    <row r="52" spans="2:6" ht="15" hidden="1">
      <c r="B52" s="115" t="s">
        <v>302</v>
      </c>
      <c r="C52" s="108">
        <v>0</v>
      </c>
      <c r="D52" s="108">
        <v>0</v>
      </c>
      <c r="E52" s="108">
        <v>0</v>
      </c>
      <c r="F52" s="118">
        <v>0</v>
      </c>
    </row>
    <row r="53" spans="2:6" ht="15" hidden="1">
      <c r="B53" s="126" t="s">
        <v>33</v>
      </c>
      <c r="C53" s="149">
        <v>1130</v>
      </c>
      <c r="D53" s="149">
        <v>1400</v>
      </c>
      <c r="E53" s="149">
        <v>-270</v>
      </c>
      <c r="F53" s="150">
        <v>-0.19285714285714287</v>
      </c>
    </row>
    <row r="54" spans="2:6" ht="15" hidden="1">
      <c r="B54" s="129" t="s">
        <v>34</v>
      </c>
      <c r="C54" s="220">
        <v>780</v>
      </c>
      <c r="D54" s="220">
        <v>713</v>
      </c>
      <c r="E54" s="220">
        <v>67</v>
      </c>
      <c r="F54" s="222">
        <v>0.09396914446002805</v>
      </c>
    </row>
    <row r="55" spans="2:6" ht="15" hidden="1">
      <c r="B55" s="126" t="s">
        <v>35</v>
      </c>
      <c r="C55" s="220">
        <v>1843</v>
      </c>
      <c r="D55" s="220">
        <v>1945</v>
      </c>
      <c r="E55" s="220">
        <v>-102</v>
      </c>
      <c r="F55" s="222">
        <v>-0.05244215938303342</v>
      </c>
    </row>
    <row r="56" spans="2:6" ht="15" hidden="1">
      <c r="B56" s="130" t="s">
        <v>36</v>
      </c>
      <c r="C56" s="221">
        <v>3367</v>
      </c>
      <c r="D56" s="221">
        <v>3404</v>
      </c>
      <c r="E56" s="221">
        <v>-37</v>
      </c>
      <c r="F56" s="223">
        <v>-0.010869565217391304</v>
      </c>
    </row>
    <row r="57" spans="2:6" ht="15" hidden="1">
      <c r="B57" s="115" t="s">
        <v>303</v>
      </c>
      <c r="C57" s="108">
        <v>46973</v>
      </c>
      <c r="D57" s="108">
        <v>49002</v>
      </c>
      <c r="E57" s="108">
        <v>-2029</v>
      </c>
      <c r="F57" s="118">
        <v>-0.0414064732051753</v>
      </c>
    </row>
    <row r="58" spans="2:6" ht="15" hidden="1">
      <c r="B58" s="126" t="s">
        <v>33</v>
      </c>
      <c r="C58" s="149">
        <v>7785</v>
      </c>
      <c r="D58" s="149">
        <v>7793</v>
      </c>
      <c r="E58" s="149">
        <v>-8</v>
      </c>
      <c r="F58" s="150">
        <v>-0.0010265622994995508</v>
      </c>
    </row>
    <row r="59" spans="2:6" ht="15" hidden="1">
      <c r="B59" s="129" t="s">
        <v>34</v>
      </c>
      <c r="C59" s="220">
        <v>4678</v>
      </c>
      <c r="D59" s="220">
        <v>5977</v>
      </c>
      <c r="E59" s="220">
        <v>-1299</v>
      </c>
      <c r="F59" s="222">
        <v>-0.21733311025598126</v>
      </c>
    </row>
    <row r="60" spans="2:6" ht="15" hidden="1">
      <c r="B60" s="126" t="s">
        <v>35</v>
      </c>
      <c r="C60" s="220">
        <v>11334</v>
      </c>
      <c r="D60" s="220">
        <v>13508</v>
      </c>
      <c r="E60" s="220">
        <v>-2174</v>
      </c>
      <c r="F60" s="222">
        <v>-0.1609416641989932</v>
      </c>
    </row>
    <row r="61" spans="2:6" ht="15" hidden="1">
      <c r="B61" s="130" t="s">
        <v>36</v>
      </c>
      <c r="C61" s="221">
        <v>23176</v>
      </c>
      <c r="D61" s="221">
        <v>21724</v>
      </c>
      <c r="E61" s="221">
        <v>1452</v>
      </c>
      <c r="F61" s="223">
        <v>0.06683851960964832</v>
      </c>
    </row>
    <row r="62" spans="2:6" ht="16.5" customHeight="1" hidden="1" thickBot="1">
      <c r="B62" s="406" t="s">
        <v>41</v>
      </c>
      <c r="C62" s="407"/>
      <c r="D62" s="407"/>
      <c r="E62" s="407"/>
      <c r="F62" s="408"/>
    </row>
    <row r="63" spans="2:6" ht="16.5" customHeight="1" hidden="1">
      <c r="B63" s="45"/>
      <c r="C63" s="45"/>
      <c r="D63" s="46"/>
      <c r="E63" s="46"/>
      <c r="F63" s="47"/>
    </row>
    <row r="64" spans="2:18" ht="16.5" customHeight="1" hidden="1" thickBot="1">
      <c r="B64" s="45"/>
      <c r="C64" s="45"/>
      <c r="D64" s="46"/>
      <c r="E64" s="46"/>
      <c r="F64" s="47"/>
      <c r="J64" s="4"/>
      <c r="K64" s="116"/>
      <c r="L64" s="116"/>
      <c r="M64" s="116"/>
      <c r="N64" s="117"/>
      <c r="O64" s="116"/>
      <c r="P64" s="116"/>
      <c r="Q64" s="116"/>
      <c r="R64" s="117"/>
    </row>
    <row r="65" spans="2:18" ht="25.5" hidden="1">
      <c r="B65" s="24" t="s">
        <v>306</v>
      </c>
      <c r="C65" s="70" t="s">
        <v>37</v>
      </c>
      <c r="D65" s="70" t="s">
        <v>38</v>
      </c>
      <c r="E65" s="70" t="s">
        <v>39</v>
      </c>
      <c r="F65" s="114" t="s">
        <v>40</v>
      </c>
      <c r="J65" s="13"/>
      <c r="K65" s="116"/>
      <c r="L65" s="116"/>
      <c r="M65" s="116"/>
      <c r="N65" s="117"/>
      <c r="O65" s="116"/>
      <c r="P65" s="116"/>
      <c r="Q65" s="116"/>
      <c r="R65" s="117"/>
    </row>
    <row r="66" spans="2:18" ht="16.5" customHeight="1" hidden="1">
      <c r="B66" s="115" t="s">
        <v>302</v>
      </c>
      <c r="C66" s="108">
        <v>0</v>
      </c>
      <c r="D66" s="108">
        <v>0</v>
      </c>
      <c r="E66" s="108">
        <v>0</v>
      </c>
      <c r="F66" s="118">
        <v>0</v>
      </c>
      <c r="J66" s="4"/>
      <c r="K66" s="116"/>
      <c r="L66" s="116"/>
      <c r="M66" s="116"/>
      <c r="N66" s="117"/>
      <c r="O66" s="116"/>
      <c r="P66" s="116"/>
      <c r="Q66" s="116"/>
      <c r="R66" s="117"/>
    </row>
    <row r="67" spans="2:18" ht="16.5" customHeight="1" hidden="1">
      <c r="B67" s="126" t="s">
        <v>33</v>
      </c>
      <c r="C67" s="127">
        <v>1130</v>
      </c>
      <c r="D67" s="127">
        <v>1400</v>
      </c>
      <c r="E67" s="127">
        <v>-270</v>
      </c>
      <c r="F67" s="128">
        <v>-0.19285714285714287</v>
      </c>
      <c r="G67" s="23"/>
      <c r="J67" s="4"/>
      <c r="K67" s="116"/>
      <c r="L67" s="116"/>
      <c r="M67" s="116"/>
      <c r="N67" s="117"/>
      <c r="O67" s="116"/>
      <c r="P67" s="116"/>
      <c r="Q67" s="116"/>
      <c r="R67" s="117"/>
    </row>
    <row r="68" spans="2:18" ht="16.5" customHeight="1" hidden="1">
      <c r="B68" s="129" t="s">
        <v>34</v>
      </c>
      <c r="C68" s="127">
        <v>780</v>
      </c>
      <c r="D68" s="127">
        <v>713</v>
      </c>
      <c r="E68" s="127">
        <v>67</v>
      </c>
      <c r="F68" s="128">
        <v>0.09396914446002805</v>
      </c>
      <c r="G68" s="23"/>
      <c r="J68" s="4"/>
      <c r="K68" s="116"/>
      <c r="L68" s="116"/>
      <c r="M68" s="116"/>
      <c r="N68" s="117"/>
      <c r="O68" s="116"/>
      <c r="P68" s="116"/>
      <c r="Q68" s="116"/>
      <c r="R68" s="117"/>
    </row>
    <row r="69" spans="2:18" ht="16.5" customHeight="1" hidden="1">
      <c r="B69" s="126" t="s">
        <v>35</v>
      </c>
      <c r="C69" s="127">
        <v>1843</v>
      </c>
      <c r="D69" s="127">
        <v>1945</v>
      </c>
      <c r="E69" s="127">
        <v>-102</v>
      </c>
      <c r="F69" s="128">
        <v>-0.05244215938303342</v>
      </c>
      <c r="G69" s="23"/>
      <c r="J69" s="4"/>
      <c r="K69" s="116"/>
      <c r="L69" s="116"/>
      <c r="M69" s="116"/>
      <c r="N69" s="117"/>
      <c r="O69" s="116"/>
      <c r="P69" s="116"/>
      <c r="Q69" s="116"/>
      <c r="R69" s="117"/>
    </row>
    <row r="70" spans="2:18" ht="16.5" customHeight="1" hidden="1">
      <c r="B70" s="130" t="s">
        <v>36</v>
      </c>
      <c r="C70" s="127">
        <v>3367</v>
      </c>
      <c r="D70" s="127">
        <v>3404</v>
      </c>
      <c r="E70" s="127">
        <v>-37</v>
      </c>
      <c r="F70" s="128">
        <v>-0.010869565217391304</v>
      </c>
      <c r="G70" s="23"/>
      <c r="J70" s="4"/>
      <c r="K70" s="116"/>
      <c r="L70" s="116"/>
      <c r="M70" s="116"/>
      <c r="N70" s="117"/>
      <c r="O70" s="116"/>
      <c r="P70" s="116"/>
      <c r="Q70" s="116"/>
      <c r="R70" s="117"/>
    </row>
    <row r="71" spans="2:18" ht="16.5" customHeight="1" hidden="1">
      <c r="B71" s="115" t="s">
        <v>303</v>
      </c>
      <c r="C71" s="108">
        <v>46973</v>
      </c>
      <c r="D71" s="108">
        <v>49002</v>
      </c>
      <c r="E71" s="108">
        <v>-2029</v>
      </c>
      <c r="F71" s="118">
        <v>-0.0414064732051753</v>
      </c>
      <c r="G71" s="23"/>
      <c r="J71" s="4"/>
      <c r="K71" s="116"/>
      <c r="L71" s="116"/>
      <c r="M71" s="116"/>
      <c r="N71" s="117"/>
      <c r="O71" s="116"/>
      <c r="P71" s="116"/>
      <c r="Q71" s="116"/>
      <c r="R71" s="117"/>
    </row>
    <row r="72" spans="2:18" ht="16.5" customHeight="1" hidden="1">
      <c r="B72" s="126" t="s">
        <v>33</v>
      </c>
      <c r="C72" s="127">
        <v>7785</v>
      </c>
      <c r="D72" s="127">
        <v>7793</v>
      </c>
      <c r="E72" s="127">
        <v>-8</v>
      </c>
      <c r="F72" s="128">
        <v>-0.0010265622994995508</v>
      </c>
      <c r="G72" s="23"/>
      <c r="J72" s="4"/>
      <c r="K72" s="116"/>
      <c r="L72" s="116"/>
      <c r="M72" s="116"/>
      <c r="N72" s="117"/>
      <c r="O72" s="116"/>
      <c r="P72" s="116"/>
      <c r="Q72" s="116"/>
      <c r="R72" s="117"/>
    </row>
    <row r="73" spans="2:18" ht="16.5" customHeight="1" hidden="1">
      <c r="B73" s="129" t="s">
        <v>34</v>
      </c>
      <c r="C73" s="127">
        <v>4678</v>
      </c>
      <c r="D73" s="127">
        <v>5977</v>
      </c>
      <c r="E73" s="127">
        <v>-1299</v>
      </c>
      <c r="F73" s="128">
        <v>-0.21733311025598126</v>
      </c>
      <c r="G73" s="23"/>
      <c r="J73" s="4"/>
      <c r="K73" s="116"/>
      <c r="L73" s="116"/>
      <c r="M73" s="116"/>
      <c r="N73" s="117"/>
      <c r="O73" s="116"/>
      <c r="P73" s="116"/>
      <c r="Q73" s="116"/>
      <c r="R73" s="117"/>
    </row>
    <row r="74" spans="2:18" ht="16.5" customHeight="1" hidden="1">
      <c r="B74" s="126" t="s">
        <v>35</v>
      </c>
      <c r="C74" s="127">
        <v>11334</v>
      </c>
      <c r="D74" s="127">
        <v>13508</v>
      </c>
      <c r="E74" s="127">
        <v>-2174</v>
      </c>
      <c r="F74" s="128">
        <v>-0.1609416641989932</v>
      </c>
      <c r="G74" s="23"/>
      <c r="J74" s="4"/>
      <c r="K74" s="116"/>
      <c r="L74" s="116"/>
      <c r="M74" s="116"/>
      <c r="N74" s="117"/>
      <c r="O74" s="116"/>
      <c r="P74" s="116"/>
      <c r="Q74" s="116"/>
      <c r="R74" s="117"/>
    </row>
    <row r="75" spans="2:18" ht="16.5" customHeight="1" hidden="1">
      <c r="B75" s="130" t="s">
        <v>36</v>
      </c>
      <c r="C75" s="127">
        <v>23176</v>
      </c>
      <c r="D75" s="127">
        <v>21724</v>
      </c>
      <c r="E75" s="127">
        <v>1452</v>
      </c>
      <c r="F75" s="128">
        <v>0.06683851960964832</v>
      </c>
      <c r="G75" s="23"/>
      <c r="J75" s="4"/>
      <c r="K75" s="116"/>
      <c r="L75" s="116"/>
      <c r="M75" s="116"/>
      <c r="N75" s="117"/>
      <c r="O75" s="116"/>
      <c r="P75" s="116"/>
      <c r="Q75" s="116"/>
      <c r="R75" s="117"/>
    </row>
    <row r="76" spans="2:18" ht="45.75" customHeight="1" hidden="1" thickBot="1">
      <c r="B76" s="406" t="s">
        <v>41</v>
      </c>
      <c r="C76" s="407"/>
      <c r="D76" s="407"/>
      <c r="E76" s="407"/>
      <c r="F76" s="408"/>
      <c r="J76" s="409"/>
      <c r="K76" s="409"/>
      <c r="L76" s="409"/>
      <c r="M76" s="409"/>
      <c r="N76" s="409"/>
      <c r="O76" s="409"/>
      <c r="P76" s="409"/>
      <c r="Q76" s="409"/>
      <c r="R76" s="409"/>
    </row>
    <row r="77" spans="2:18" ht="45.75" customHeight="1" hidden="1">
      <c r="B77" s="111"/>
      <c r="C77" s="112"/>
      <c r="D77" s="112"/>
      <c r="E77" s="46"/>
      <c r="F77" s="47"/>
      <c r="J77" s="6"/>
      <c r="K77" s="6"/>
      <c r="L77" s="6"/>
      <c r="M77" s="6"/>
      <c r="N77" s="6"/>
      <c r="O77" s="6"/>
      <c r="P77" s="6"/>
      <c r="Q77" s="6"/>
      <c r="R77" s="6"/>
    </row>
  </sheetData>
  <sheetProtection/>
  <mergeCells count="12">
    <mergeCell ref="B20:F21"/>
    <mergeCell ref="B49:F49"/>
    <mergeCell ref="E4:E5"/>
    <mergeCell ref="F4:F5"/>
    <mergeCell ref="D4:D5"/>
    <mergeCell ref="B3:C4"/>
    <mergeCell ref="B62:F62"/>
    <mergeCell ref="J76:R76"/>
    <mergeCell ref="B76:F76"/>
    <mergeCell ref="B36:F36"/>
    <mergeCell ref="B22:B23"/>
    <mergeCell ref="C22:F23"/>
  </mergeCells>
  <conditionalFormatting sqref="F7:F8 F10 F12:F19">
    <cfRule type="expression" priority="26" dxfId="42" stopIfTrue="1">
      <formula>ISERROR(F7)</formula>
    </cfRule>
  </conditionalFormatting>
  <conditionalFormatting sqref="F9">
    <cfRule type="expression" priority="1" dxfId="42"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fitToHeight="1" fitToWidth="1" horizontalDpi="600" verticalDpi="600" orientation="landscape" scale="13"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55"/>
  <sheetViews>
    <sheetView zoomScale="70" zoomScaleNormal="70" zoomScaleSheetLayoutView="80" zoomScalePageLayoutView="0" workbookViewId="0" topLeftCell="A1">
      <selection activeCell="A1" sqref="A1"/>
    </sheetView>
  </sheetViews>
  <sheetFormatPr defaultColWidth="9.140625" defaultRowHeight="12.75"/>
  <cols>
    <col min="1" max="1" width="4.421875" style="5" customWidth="1"/>
    <col min="2" max="2" width="32.8515625" style="4" customWidth="1"/>
    <col min="3" max="3" width="15.140625" style="4" customWidth="1"/>
    <col min="4" max="4" width="13.28125" style="4" customWidth="1"/>
    <col min="5" max="5" width="15.57421875" style="4" customWidth="1"/>
    <col min="6" max="6" width="18.00390625" style="4" customWidth="1"/>
    <col min="7" max="7" width="19.140625" style="4" customWidth="1"/>
    <col min="8" max="8" width="18.8515625" style="4" customWidth="1"/>
    <col min="9" max="9" width="16.140625" style="4" customWidth="1"/>
    <col min="10" max="10" width="18.140625" style="4" customWidth="1"/>
    <col min="11" max="11" width="12.140625" style="4" customWidth="1"/>
    <col min="12" max="12" width="13.00390625" style="4" customWidth="1"/>
    <col min="13" max="13" width="20.28125" style="4" customWidth="1"/>
    <col min="14" max="14" width="11.421875" style="5" customWidth="1"/>
    <col min="15" max="15" width="9.140625" style="5" customWidth="1"/>
    <col min="16" max="16" width="13.8515625" style="5" bestFit="1" customWidth="1"/>
    <col min="17" max="16384" width="9.140625" style="5" customWidth="1"/>
  </cols>
  <sheetData>
    <row r="1" spans="2:13" ht="24" customHeight="1">
      <c r="B1" s="236"/>
      <c r="C1" s="458" t="s">
        <v>393</v>
      </c>
      <c r="D1" s="459"/>
      <c r="E1" s="459"/>
      <c r="F1" s="459"/>
      <c r="G1" s="459"/>
      <c r="H1" s="459"/>
      <c r="I1" s="459"/>
      <c r="J1" s="458" t="s">
        <v>401</v>
      </c>
      <c r="K1" s="459"/>
      <c r="L1" s="459"/>
      <c r="M1" s="466"/>
    </row>
    <row r="2" spans="2:13" ht="24" customHeight="1" thickBot="1">
      <c r="B2" s="236"/>
      <c r="C2" s="433"/>
      <c r="D2" s="434"/>
      <c r="E2" s="434"/>
      <c r="F2" s="434"/>
      <c r="G2" s="434"/>
      <c r="H2" s="434"/>
      <c r="I2" s="434"/>
      <c r="J2" s="433" t="str">
        <f>Transformation!B5</f>
        <v>As of December 6, 2014</v>
      </c>
      <c r="K2" s="434"/>
      <c r="L2" s="434"/>
      <c r="M2" s="435"/>
    </row>
    <row r="3" spans="2:13" ht="73.5" customHeight="1" thickBot="1">
      <c r="B3" s="236"/>
      <c r="C3" s="455" t="s">
        <v>429</v>
      </c>
      <c r="D3" s="456"/>
      <c r="E3" s="456"/>
      <c r="F3" s="456"/>
      <c r="G3" s="456"/>
      <c r="H3" s="456"/>
      <c r="I3" s="456"/>
      <c r="J3" s="456"/>
      <c r="K3" s="456"/>
      <c r="L3" s="456"/>
      <c r="M3" s="457"/>
    </row>
    <row r="4" spans="2:13" ht="22.5" customHeight="1" thickBot="1">
      <c r="B4" s="227"/>
      <c r="C4" s="460" t="s">
        <v>237</v>
      </c>
      <c r="D4" s="461"/>
      <c r="E4" s="461"/>
      <c r="F4" s="461"/>
      <c r="G4" s="461"/>
      <c r="H4" s="461"/>
      <c r="I4" s="461"/>
      <c r="J4" s="461"/>
      <c r="K4" s="461"/>
      <c r="L4" s="461"/>
      <c r="M4" s="462"/>
    </row>
    <row r="5" spans="2:13" ht="55.5" customHeight="1">
      <c r="B5" s="107"/>
      <c r="C5" s="74" t="s">
        <v>223</v>
      </c>
      <c r="D5" s="436" t="s">
        <v>23</v>
      </c>
      <c r="E5" s="437"/>
      <c r="F5" s="69" t="s">
        <v>226</v>
      </c>
      <c r="G5" s="436" t="s">
        <v>231</v>
      </c>
      <c r="H5" s="438"/>
      <c r="I5" s="69" t="s">
        <v>229</v>
      </c>
      <c r="J5" s="70" t="s">
        <v>17</v>
      </c>
      <c r="K5" s="69" t="s">
        <v>234</v>
      </c>
      <c r="L5" s="439" t="s">
        <v>99</v>
      </c>
      <c r="M5" s="440"/>
    </row>
    <row r="6" spans="2:13" ht="51.75" customHeight="1">
      <c r="B6" s="107"/>
      <c r="C6" s="75" t="s">
        <v>224</v>
      </c>
      <c r="D6" s="463" t="s">
        <v>0</v>
      </c>
      <c r="E6" s="464"/>
      <c r="F6" s="71" t="s">
        <v>227</v>
      </c>
      <c r="G6" s="465" t="s">
        <v>232</v>
      </c>
      <c r="H6" s="465"/>
      <c r="I6" s="71" t="s">
        <v>230</v>
      </c>
      <c r="J6" s="31" t="s">
        <v>26</v>
      </c>
      <c r="K6" s="71" t="s">
        <v>235</v>
      </c>
      <c r="L6" s="441" t="s">
        <v>101</v>
      </c>
      <c r="M6" s="442"/>
    </row>
    <row r="7" spans="2:13" ht="51.75" customHeight="1" thickBot="1">
      <c r="B7" s="107"/>
      <c r="C7" s="76" t="s">
        <v>225</v>
      </c>
      <c r="D7" s="448" t="s">
        <v>25</v>
      </c>
      <c r="E7" s="449"/>
      <c r="F7" s="72" t="s">
        <v>228</v>
      </c>
      <c r="G7" s="445" t="s">
        <v>24</v>
      </c>
      <c r="H7" s="445"/>
      <c r="I7" s="72" t="s">
        <v>233</v>
      </c>
      <c r="J7" s="73" t="s">
        <v>98</v>
      </c>
      <c r="K7" s="72" t="s">
        <v>236</v>
      </c>
      <c r="L7" s="446" t="s">
        <v>100</v>
      </c>
      <c r="M7" s="447"/>
    </row>
    <row r="8" spans="3:12" ht="14.25" customHeight="1">
      <c r="C8" s="50"/>
      <c r="D8" s="50"/>
      <c r="E8" s="50"/>
      <c r="F8" s="50"/>
      <c r="G8" s="50"/>
      <c r="H8" s="50"/>
      <c r="I8" s="50"/>
      <c r="J8" s="50"/>
      <c r="K8" s="50"/>
      <c r="L8" s="50"/>
    </row>
    <row r="9" spans="3:16" ht="15.75" customHeight="1">
      <c r="C9" s="443" t="s">
        <v>392</v>
      </c>
      <c r="D9" s="443"/>
      <c r="E9" s="443"/>
      <c r="F9" s="443"/>
      <c r="G9" s="443"/>
      <c r="H9" s="443"/>
      <c r="I9" s="443"/>
      <c r="J9" s="443"/>
      <c r="K9" s="443"/>
      <c r="L9" s="443"/>
      <c r="M9" s="444"/>
      <c r="P9" s="78" t="s">
        <v>149</v>
      </c>
    </row>
    <row r="10" spans="3:16" ht="51">
      <c r="C10" s="109" t="s">
        <v>290</v>
      </c>
      <c r="D10" s="109" t="s">
        <v>154</v>
      </c>
      <c r="E10" s="109" t="s">
        <v>291</v>
      </c>
      <c r="F10" s="109" t="s">
        <v>217</v>
      </c>
      <c r="G10" s="109" t="s">
        <v>238</v>
      </c>
      <c r="H10" s="109" t="s">
        <v>240</v>
      </c>
      <c r="I10" s="109" t="s">
        <v>241</v>
      </c>
      <c r="J10" s="109" t="s">
        <v>221</v>
      </c>
      <c r="K10" s="109" t="s">
        <v>222</v>
      </c>
      <c r="L10" s="109" t="s">
        <v>220</v>
      </c>
      <c r="M10" s="109" t="s">
        <v>219</v>
      </c>
      <c r="P10" s="78" t="s">
        <v>150</v>
      </c>
    </row>
    <row r="11" spans="2:16" ht="12.75">
      <c r="B11" s="119" t="s">
        <v>7</v>
      </c>
      <c r="C11" s="266">
        <f>IF(ISNA(VLOOKUP($B11,EDW_FEEDER!$T$2:$AH$86,2,FALSE))=TRUE,"",VLOOKUP($B11,EDW_FEEDER!$T$2:$AH$86,2,FALSE))</f>
        <v>523724</v>
      </c>
      <c r="D11" s="267">
        <f>IF(ISNA(VLOOKUP(B11,EDW_FEEDER!$T$2:$AH$86,3,FALSE))=TRUE,"",VLOOKUP(B11,EDW_FEEDER!$T$2:$AH$86,3,FALSE))</f>
        <v>145.9</v>
      </c>
      <c r="E11" s="268">
        <f>IF(ISNA(VLOOKUP(B11,EDW_FEEDER!$T$2:$AH$86,4,FALSE))=TRUE,"",VLOOKUP(B11,EDW_FEEDER!$T$2:$AH$870,4,FALSE))</f>
        <v>0.46685</v>
      </c>
      <c r="F11" s="266">
        <f>IF(ISNA(VLOOKUP(B11,EDW_FEEDER!$T$2:$AH$86,5,FALSE))=TRUE,"",VLOOKUP(B11,EDW_FEEDER!$T$2:$AH$86,5,FALSE))</f>
        <v>24103</v>
      </c>
      <c r="G11" s="266">
        <f>IF(ISNA(VLOOKUP(B11,EDW_FEEDER!$T$2:$AH$86,6,FALSE))=TRUE,"",VLOOKUP(B11,EDW_FEEDER!$T$2:$AH$86,6,FALSE))</f>
        <v>227158</v>
      </c>
      <c r="H11" s="267">
        <f>IF(ISNA(VLOOKUP(B11,EDW_FEEDER!$T$2:$AH$86,7,FALSE))=TRUE,"",VLOOKUP(B11,EDW_FEEDER!$T$2:$AH$86,7,FALSE))</f>
        <v>187.5</v>
      </c>
      <c r="I11" s="267">
        <f>IF(ISNA(VLOOKUP(B11,EDW_FEEDER!$T$2:$AH$86,8,FALSE))=TRUE,"",VLOOKUP(B11,EDW_FEEDER!$T$2:$AH$86,8,FALSE))</f>
        <v>187.6</v>
      </c>
      <c r="J11" s="305">
        <f>VLOOKUP(B11,Accuracy!$Y$6:$AL$68,3,FALSE)</f>
        <v>0.958</v>
      </c>
      <c r="K11" s="305">
        <f>VLOOKUP(B11,Accuracy!$Y$6:$AL$68,6,FALSE)</f>
        <v>0.9071</v>
      </c>
      <c r="L11" s="305">
        <f>VLOOKUP(B11,Accuracy!$Y$6:$AL$68,9,FALSE)</f>
        <v>0.9081</v>
      </c>
      <c r="M11" s="305">
        <f>VLOOKUP(B11,Accuracy!$Y$6:$AL$68,12,FALSE)</f>
        <v>0.9235</v>
      </c>
      <c r="P11" s="78" t="s">
        <v>151</v>
      </c>
    </row>
    <row r="12" spans="2:16" ht="12.75">
      <c r="B12" s="450" t="s">
        <v>387</v>
      </c>
      <c r="C12" s="451"/>
      <c r="D12" s="451"/>
      <c r="E12" s="451"/>
      <c r="F12" s="451"/>
      <c r="G12" s="451"/>
      <c r="H12" s="451"/>
      <c r="I12" s="451"/>
      <c r="J12" s="451"/>
      <c r="K12" s="451"/>
      <c r="L12" s="451"/>
      <c r="M12" s="452"/>
      <c r="P12" s="198" t="s">
        <v>152</v>
      </c>
    </row>
    <row r="13" spans="2:16" ht="12.75">
      <c r="B13" s="233" t="s">
        <v>388</v>
      </c>
      <c r="C13" s="266">
        <f>IF(ISNA(VLOOKUP("USAV",EDW_FEEDER!$T$2:$AH$86,2,FALSE))=TRUE,"",VLOOKUP("USAV",EDW_FEEDER!$T$2:$AH$86,2,FALSE))</f>
        <v>482801</v>
      </c>
      <c r="D13" s="267">
        <f>IF(ISNA(VLOOKUP("USAV",EDW_FEEDER!$T$2:$AH$86,3,FALSE))=TRUE,"",VLOOKUP("USAV",EDW_FEEDER!$T$2:$AH$86,3,FALSE))</f>
        <v>152</v>
      </c>
      <c r="E13" s="268">
        <f>IF(ISNA(VLOOKUP("USAV",EDW_FEEDER!$T$2:$AH$86,4,FALSE))=TRUE,"",VLOOKUP("USAV",EDW_FEEDER!$T$2:$AH$870,4,FALSE))</f>
        <v>0.49123</v>
      </c>
      <c r="F13" s="266">
        <f>IF(ISNA(VLOOKUP("USAV",EDW_FEEDER!$T$2:$AH$86,5,FALSE))=TRUE,"",VLOOKUP("USAV",EDW_FEEDER!$T$2:$AH$86,5,FALSE))</f>
        <v>20250</v>
      </c>
      <c r="G13" s="266">
        <f>IF(ISNA(VLOOKUP("USAV",EDW_FEEDER!$T$2:$AH$86,6,FALSE))=TRUE,"",VLOOKUP("USAV",EDW_FEEDER!$T$2:$AH$86,6,FALSE))</f>
        <v>191417</v>
      </c>
      <c r="H13" s="267">
        <f>IF(ISNA(VLOOKUP("USAV",EDW_FEEDER!$T$2:$AH$86,7,FALSE))=TRUE,"",VLOOKUP("USAV",EDW_FEEDER!$T$2:$AH$86,7,FALSE))</f>
        <v>207.1</v>
      </c>
      <c r="I13" s="267">
        <f>IF(ISNA(VLOOKUP("USAV",EDW_FEEDER!$T$2:$AH$86,8,FALSE))=TRUE,"",VLOOKUP("USAV",EDW_FEEDER!$T$2:$AH$86,8,FALSE))</f>
        <v>207.4</v>
      </c>
      <c r="J13" s="269"/>
      <c r="K13" s="269"/>
      <c r="L13" s="269"/>
      <c r="M13" s="269"/>
      <c r="P13" s="198" t="s">
        <v>9</v>
      </c>
    </row>
    <row r="14" spans="2:13" ht="12.75">
      <c r="B14" s="232" t="s">
        <v>149</v>
      </c>
      <c r="C14" s="266">
        <f>IF(ISNA(VLOOKUP($B14,EDW_FEEDER!$T$2:$AH$86,2,FALSE))=TRUE,"",VLOOKUP($B14,EDW_FEEDER!$T$2:$AH$86,2,FALSE))</f>
        <v>92570</v>
      </c>
      <c r="D14" s="267">
        <f>IF(ISNA(VLOOKUP(B14,EDW_FEEDER!$T$2:$AH$86,3,FALSE))=TRUE,"",VLOOKUP(B14,EDW_FEEDER!$T$2:$AH$86,3,FALSE))</f>
        <v>154</v>
      </c>
      <c r="E14" s="268">
        <f>IF(ISNA(VLOOKUP(B14,EDW_FEEDER!$T$2:$AH$86,4,FALSE))=TRUE,"",VLOOKUP(B14,EDW_FEEDER!$T$2:$AH$870,4,FALSE))</f>
        <v>0.49498</v>
      </c>
      <c r="F14" s="266">
        <f>IF(ISNA(VLOOKUP(B14,EDW_FEEDER!$T$2:$AH$86,5,FALSE))=TRUE,"",VLOOKUP(B14,EDW_FEEDER!$T$2:$AH$86,5,FALSE))</f>
        <v>3604</v>
      </c>
      <c r="G14" s="266">
        <f>IF(ISNA(VLOOKUP(B14,EDW_FEEDER!$T$2:$AH$86,6,FALSE))=TRUE,"",VLOOKUP(B14,EDW_FEEDER!$T$2:$AH$86,6,FALSE))</f>
        <v>37119</v>
      </c>
      <c r="H14" s="267">
        <f>IF(ISNA(VLOOKUP(B14,EDW_FEEDER!$T$2:$AH$86,7,FALSE))=TRUE,"",VLOOKUP(B14,EDW_FEEDER!$T$2:$AH$86,7,FALSE))</f>
        <v>205.2</v>
      </c>
      <c r="I14" s="267">
        <f>IF(ISNA(VLOOKUP(B14,EDW_FEEDER!$T$2:$AH$86,8,FALSE))=TRUE,"",VLOOKUP(B14,EDW_FEEDER!$T$2:$AH$86,8,FALSE))</f>
        <v>202.6</v>
      </c>
      <c r="J14" s="268">
        <f>IF(ISNA(VLOOKUP(B14,Accuracy!$Y$6:$AL$68,3,FALSE))=TRUE,"-",VLOOKUP(B14,Accuracy!$Y$6:$AL$68,3,FALSE))</f>
        <v>0.9494102228047182</v>
      </c>
      <c r="K14" s="268">
        <f>IF(ISNA(VLOOKUP(B14,Accuracy!$Y$6:$AL$68,6,FALSE))=TRUE,"-",VLOOKUP(B14,Accuracy!$Y$6:$AL$68,6,FALSE))</f>
        <v>0.8927165354330708</v>
      </c>
      <c r="L14" s="268">
        <f>IF(ISNA(VLOOKUP(B14,Accuracy!$Y$6:$AL$68,9,FALSE))=TRUE,"-",VLOOKUP(B14,Accuracy!$Y$6:$AL$68,9,FALSE))</f>
        <v>0.8962871287128713</v>
      </c>
      <c r="M14" s="268">
        <f>IF(ISNA(VLOOKUP(B14,Accuracy!$Y$6:$AL$68,12,FALSE))=TRUE,"-",VLOOKUP(B14,Accuracy!$Y$6:$AL$68,12,FALSE))</f>
        <v>0.9037863070539419</v>
      </c>
    </row>
    <row r="15" spans="2:13" ht="12.75">
      <c r="B15" s="120" t="str">
        <f>IF(ISBLANK(VLOOKUP($B$14,EDW_FEEDER!$A$117:$AK$121,2,FALSE))=TRUE,"",VLOOKUP($B$14,EDW_FEEDER!$A$117:$AK$121,2,FALSE))</f>
        <v>Baltimore</v>
      </c>
      <c r="C15" s="266">
        <f>IF(ISNA(VLOOKUP($B15,EDW_FEEDER!$T$2:$AH$86,2,FALSE))=TRUE,"",VLOOKUP($B15,EDW_FEEDER!$T$2:$AH$86,2,FALSE))</f>
        <v>9505</v>
      </c>
      <c r="D15" s="267">
        <f>IF(ISNA(VLOOKUP(B15,EDW_FEEDER!$T$2:$AH$86,3,FALSE))=TRUE,"",VLOOKUP(B15,EDW_FEEDER!$T$2:$AH$86,3,FALSE))</f>
        <v>213.7</v>
      </c>
      <c r="E15" s="268">
        <f>IF(ISNA(VLOOKUP(B15,EDW_FEEDER!$T$2:$AH$86,4,FALSE))=TRUE,"",VLOOKUP(B15,EDW_FEEDER!$T$2:$AH$870,4,FALSE))</f>
        <v>0.66428</v>
      </c>
      <c r="F15" s="266">
        <f>IF(ISNA(VLOOKUP(B15,EDW_FEEDER!$T$2:$AH$86,5,FALSE))=TRUE,"",VLOOKUP(B15,EDW_FEEDER!$T$2:$AH$86,5,FALSE))</f>
        <v>261</v>
      </c>
      <c r="G15" s="266">
        <f>IF(ISNA(VLOOKUP(B15,EDW_FEEDER!$T$2:$AH$86,6,FALSE))=TRUE,"",VLOOKUP(B15,EDW_FEEDER!$T$2:$AH$86,6,FALSE))</f>
        <v>2635</v>
      </c>
      <c r="H15" s="267">
        <f>IF(ISNA(VLOOKUP(B15,EDW_FEEDER!$T$2:$AH$86,7,FALSE))=TRUE,"",VLOOKUP(B15,EDW_FEEDER!$T$2:$AH$86,7,FALSE))</f>
        <v>312</v>
      </c>
      <c r="I15" s="267">
        <f>IF(ISNA(VLOOKUP(B15,EDW_FEEDER!$T$2:$AH$86,8,FALSE))=TRUE,"",VLOOKUP(B15,EDW_FEEDER!$T$2:$AH$86,8,FALSE))</f>
        <v>286.7</v>
      </c>
      <c r="J15" s="268">
        <f>IF(ISNA(VLOOKUP(B15,Accuracy!$Y$6:$AL$68,3,FALSE))=TRUE,"",VLOOKUP(B15,Accuracy!$Y$6:$AL$68,3,FALSE))</f>
        <v>0.907</v>
      </c>
      <c r="K15" s="268">
        <f>IF(ISNA(VLOOKUP(B15,Accuracy!$Y$6:$AL$68,6,FALSE))=TRUE,"",VLOOKUP(B15,Accuracy!$Y$6:$AL$68,6,FALSE))</f>
        <v>0.8095</v>
      </c>
      <c r="L15" s="268">
        <f>IF(ISNA(VLOOKUP(B15,Accuracy!$Y$6:$AL$68,9,FALSE))=TRUE,"",VLOOKUP(B15,Accuracy!$Y$6:$AL$68,9,FALSE))</f>
        <v>0.8097</v>
      </c>
      <c r="M15" s="268">
        <f>IF(ISNA(VLOOKUP(B15,Accuracy!$Y$6:$AL$68,12,FALSE))=TRUE,"",VLOOKUP(B15,Accuracy!$Y$6:$AL$68,12,FALSE))</f>
        <v>0.8416</v>
      </c>
    </row>
    <row r="16" spans="2:13" ht="12.75">
      <c r="B16" s="120" t="str">
        <f>IF(ISBLANK(VLOOKUP($B$14,EDW_FEEDER!$A$117:$AK$121,3,FALSE))=TRUE,"",VLOOKUP($B$14,EDW_FEEDER!$A$117:$AK$121,3,FALSE))</f>
        <v>Boston</v>
      </c>
      <c r="C16" s="266">
        <f>IF(ISNA(VLOOKUP($B16,EDW_FEEDER!$T$2:$AH$86,2,FALSE))=TRUE,"",VLOOKUP($B16,EDW_FEEDER!$T$2:$AH$86,2,FALSE))</f>
        <v>6395</v>
      </c>
      <c r="D16" s="267">
        <f>IF(ISNA(VLOOKUP(B16,EDW_FEEDER!$T$2:$AH$86,3,FALSE))=TRUE,"",VLOOKUP(B16,EDW_FEEDER!$T$2:$AH$86,3,FALSE))</f>
        <v>161.8</v>
      </c>
      <c r="E16" s="268">
        <f>IF(ISNA(VLOOKUP(B16,EDW_FEEDER!$T$2:$AH$86,4,FALSE))=TRUE,"",VLOOKUP(B16,EDW_FEEDER!$T$2:$AH$870,4,FALSE))</f>
        <v>0.51634</v>
      </c>
      <c r="F16" s="266">
        <f>IF(ISNA(VLOOKUP(B16,EDW_FEEDER!$T$2:$AH$86,5,FALSE))=TRUE,"",VLOOKUP(B16,EDW_FEEDER!$T$2:$AH$86,5,FALSE))</f>
        <v>142</v>
      </c>
      <c r="G16" s="266">
        <f>IF(ISNA(VLOOKUP(B16,EDW_FEEDER!$T$2:$AH$86,6,FALSE))=TRUE,"",VLOOKUP(B16,EDW_FEEDER!$T$2:$AH$86,6,FALSE))</f>
        <v>1485</v>
      </c>
      <c r="H16" s="267">
        <f>IF(ISNA(VLOOKUP(B16,EDW_FEEDER!$T$2:$AH$86,7,FALSE))=TRUE,"",VLOOKUP(B16,EDW_FEEDER!$T$2:$AH$86,7,FALSE))</f>
        <v>288</v>
      </c>
      <c r="I16" s="267">
        <f>IF(ISNA(VLOOKUP(B16,EDW_FEEDER!$T$2:$AH$86,8,FALSE))=TRUE,"",VLOOKUP(B16,EDW_FEEDER!$T$2:$AH$86,8,FALSE))</f>
        <v>256.1</v>
      </c>
      <c r="J16" s="268">
        <f>IF(ISNA(VLOOKUP(B16,Accuracy!$Y$6:$AL$68,3,FALSE))=TRUE,"",VLOOKUP(B16,Accuracy!$Y$6:$AL$68,3,FALSE))</f>
        <v>0.963</v>
      </c>
      <c r="K16" s="268">
        <f>IF(ISNA(VLOOKUP(B16,Accuracy!$Y$6:$AL$68,6,FALSE))=TRUE,"",VLOOKUP(B16,Accuracy!$Y$6:$AL$68,6,FALSE))</f>
        <v>0.9032</v>
      </c>
      <c r="L16" s="268">
        <f>IF(ISNA(VLOOKUP(B16,Accuracy!$Y$6:$AL$68,9,FALSE))=TRUE,"",VLOOKUP(B16,Accuracy!$Y$6:$AL$68,9,FALSE))</f>
        <v>0.9283</v>
      </c>
      <c r="M16" s="268">
        <f>IF(ISNA(VLOOKUP(B16,Accuracy!$Y$6:$AL$68,12,FALSE))=TRUE,"",VLOOKUP(B16,Accuracy!$Y$6:$AL$68,12,FALSE))</f>
        <v>0.898</v>
      </c>
    </row>
    <row r="17" spans="2:13" ht="12.75">
      <c r="B17" s="120" t="str">
        <f>IF(ISBLANK(VLOOKUP($B$14,EDW_FEEDER!$A$117:$AK$121,4,FALSE))=TRUE,"",VLOOKUP($B$14,EDW_FEEDER!$A$117:$AK$121,4,FALSE))</f>
        <v>Buffalo</v>
      </c>
      <c r="C17" s="266">
        <f>IF(ISNA(VLOOKUP($B17,EDW_FEEDER!$T$2:$AH$86,2,FALSE))=TRUE,"",VLOOKUP($B17,EDW_FEEDER!$T$2:$AH$86,2,FALSE))</f>
        <v>6037</v>
      </c>
      <c r="D17" s="267">
        <f>IF(ISNA(VLOOKUP(B17,EDW_FEEDER!$T$2:$AH$86,3,FALSE))=TRUE,"",VLOOKUP(B17,EDW_FEEDER!$T$2:$AH$86,3,FALSE))</f>
        <v>155</v>
      </c>
      <c r="E17" s="268">
        <f>IF(ISNA(VLOOKUP(B17,EDW_FEEDER!$T$2:$AH$86,4,FALSE))=TRUE,"",VLOOKUP(B17,EDW_FEEDER!$T$2:$AH$870,4,FALSE))</f>
        <v>0.55276</v>
      </c>
      <c r="F17" s="266">
        <f>IF(ISNA(VLOOKUP(B17,EDW_FEEDER!$T$2:$AH$86,5,FALSE))=TRUE,"",VLOOKUP(B17,EDW_FEEDER!$T$2:$AH$86,5,FALSE))</f>
        <v>178</v>
      </c>
      <c r="G17" s="266">
        <f>IF(ISNA(VLOOKUP(B17,EDW_FEEDER!$T$2:$AH$86,6,FALSE))=TRUE,"",VLOOKUP(B17,EDW_FEEDER!$T$2:$AH$86,6,FALSE))</f>
        <v>1870</v>
      </c>
      <c r="H17" s="267">
        <f>IF(ISNA(VLOOKUP(B17,EDW_FEEDER!$T$2:$AH$86,7,FALSE))=TRUE,"",VLOOKUP(B17,EDW_FEEDER!$T$2:$AH$86,7,FALSE))</f>
        <v>278.4</v>
      </c>
      <c r="I17" s="267">
        <f>IF(ISNA(VLOOKUP(B17,EDW_FEEDER!$T$2:$AH$86,8,FALSE))=TRUE,"",VLOOKUP(B17,EDW_FEEDER!$T$2:$AH$86,8,FALSE))</f>
        <v>256.2</v>
      </c>
      <c r="J17" s="268">
        <f>IF(ISNA(VLOOKUP(B17,Accuracy!$Y$6:$AL$68,3,FALSE))=TRUE,"",VLOOKUP(B17,Accuracy!$Y$6:$AL$68,3,FALSE))</f>
        <v>0.9379</v>
      </c>
      <c r="K17" s="268">
        <f>IF(ISNA(VLOOKUP(B17,Accuracy!$Y$6:$AL$68,6,FALSE))=TRUE,"",VLOOKUP(B17,Accuracy!$Y$6:$AL$68,6,FALSE))</f>
        <v>0.9118</v>
      </c>
      <c r="L17" s="268">
        <f>IF(ISNA(VLOOKUP(B17,Accuracy!$Y$6:$AL$68,9,FALSE))=TRUE,"",VLOOKUP(B17,Accuracy!$Y$6:$AL$68,9,FALSE))</f>
        <v>0.8976</v>
      </c>
      <c r="M17" s="268">
        <f>IF(ISNA(VLOOKUP(B17,Accuracy!$Y$6:$AL$68,12,FALSE))=TRUE,"",VLOOKUP(B17,Accuracy!$Y$6:$AL$68,12,FALSE))</f>
        <v>0.8857</v>
      </c>
    </row>
    <row r="18" spans="2:13" ht="12.75">
      <c r="B18" s="120" t="str">
        <f>IF(ISBLANK(VLOOKUP($B$14,EDW_FEEDER!$A$117:$AK$121,5,FALSE))=TRUE,"",VLOOKUP($B$14,EDW_FEEDER!$A$117:$AK$121,5,FALSE))</f>
        <v>Cleveland</v>
      </c>
      <c r="C18" s="266">
        <f>IF(ISNA(VLOOKUP($B18,EDW_FEEDER!$T$2:$AH$86,2,FALSE))=TRUE,"",VLOOKUP($B18,EDW_FEEDER!$T$2:$AH$86,2,FALSE))</f>
        <v>10792</v>
      </c>
      <c r="D18" s="267">
        <f>IF(ISNA(VLOOKUP(B18,EDW_FEEDER!$T$2:$AH$86,3,FALSE))=TRUE,"",VLOOKUP(B18,EDW_FEEDER!$T$2:$AH$86,3,FALSE))</f>
        <v>133.3</v>
      </c>
      <c r="E18" s="268">
        <f>IF(ISNA(VLOOKUP(B18,EDW_FEEDER!$T$2:$AH$86,4,FALSE))=TRUE,"",VLOOKUP(B18,EDW_FEEDER!$T$2:$AH$870,4,FALSE))</f>
        <v>0.3775</v>
      </c>
      <c r="F18" s="266">
        <f>IF(ISNA(VLOOKUP(B18,EDW_FEEDER!$T$2:$AH$86,5,FALSE))=TRUE,"",VLOOKUP(B18,EDW_FEEDER!$T$2:$AH$86,5,FALSE))</f>
        <v>647</v>
      </c>
      <c r="G18" s="266">
        <f>IF(ISNA(VLOOKUP(B18,EDW_FEEDER!$T$2:$AH$86,6,FALSE))=TRUE,"",VLOOKUP(B18,EDW_FEEDER!$T$2:$AH$86,6,FALSE))</f>
        <v>5538</v>
      </c>
      <c r="H18" s="267">
        <f>IF(ISNA(VLOOKUP(B18,EDW_FEEDER!$T$2:$AH$86,7,FALSE))=TRUE,"",VLOOKUP(B18,EDW_FEEDER!$T$2:$AH$86,7,FALSE))</f>
        <v>179.9</v>
      </c>
      <c r="I18" s="267">
        <f>IF(ISNA(VLOOKUP(B18,EDW_FEEDER!$T$2:$AH$86,8,FALSE))=TRUE,"",VLOOKUP(B18,EDW_FEEDER!$T$2:$AH$86,8,FALSE))</f>
        <v>184.5</v>
      </c>
      <c r="J18" s="268">
        <f>IF(ISNA(VLOOKUP(B18,Accuracy!$Y$6:$AL$68,3,FALSE))=TRUE,"",VLOOKUP(B18,Accuracy!$Y$6:$AL$68,3,FALSE))</f>
        <v>0.9612</v>
      </c>
      <c r="K18" s="268">
        <f>IF(ISNA(VLOOKUP(B18,Accuracy!$Y$6:$AL$68,6,FALSE))=TRUE,"",VLOOKUP(B18,Accuracy!$Y$6:$AL$68,6,FALSE))</f>
        <v>0.9219</v>
      </c>
      <c r="L18" s="268">
        <f>IF(ISNA(VLOOKUP(B18,Accuracy!$Y$6:$AL$68,9,FALSE))=TRUE,"",VLOOKUP(B18,Accuracy!$Y$6:$AL$68,9,FALSE))</f>
        <v>0.9055</v>
      </c>
      <c r="M18" s="268">
        <f>IF(ISNA(VLOOKUP(B18,Accuracy!$Y$6:$AL$68,12,FALSE))=TRUE,"",VLOOKUP(B18,Accuracy!$Y$6:$AL$68,12,FALSE))</f>
        <v>0.939</v>
      </c>
    </row>
    <row r="19" spans="2:13" ht="12.75">
      <c r="B19" s="120" t="str">
        <f>IF(ISBLANK(VLOOKUP($B$14,EDW_FEEDER!$A$117:$AK$121,6,FALSE))=TRUE,"",VLOOKUP($B$14,EDW_FEEDER!$A$117:$AK$121,6,FALSE))</f>
        <v>Detroit</v>
      </c>
      <c r="C19" s="266">
        <f>IF(ISNA(VLOOKUP($B19,EDW_FEEDER!$T$2:$AH$86,2,FALSE))=TRUE,"",VLOOKUP($B19,EDW_FEEDER!$T$2:$AH$86,2,FALSE))</f>
        <v>10294</v>
      </c>
      <c r="D19" s="267">
        <f>IF(ISNA(VLOOKUP(B19,EDW_FEEDER!$T$2:$AH$86,3,FALSE))=TRUE,"",VLOOKUP(B19,EDW_FEEDER!$T$2:$AH$86,3,FALSE))</f>
        <v>131</v>
      </c>
      <c r="E19" s="268">
        <f>IF(ISNA(VLOOKUP(B19,EDW_FEEDER!$T$2:$AH$86,4,FALSE))=TRUE,"",VLOOKUP(B19,EDW_FEEDER!$T$2:$AH$870,4,FALSE))</f>
        <v>0.42646</v>
      </c>
      <c r="F19" s="266">
        <f>IF(ISNA(VLOOKUP(B19,EDW_FEEDER!$T$2:$AH$86,5,FALSE))=TRUE,"",VLOOKUP(B19,EDW_FEEDER!$T$2:$AH$86,5,FALSE))</f>
        <v>427</v>
      </c>
      <c r="G19" s="266">
        <f>IF(ISNA(VLOOKUP(B19,EDW_FEEDER!$T$2:$AH$86,6,FALSE))=TRUE,"",VLOOKUP(B19,EDW_FEEDER!$T$2:$AH$86,6,FALSE))</f>
        <v>4221</v>
      </c>
      <c r="H19" s="267">
        <f>IF(ISNA(VLOOKUP(B19,EDW_FEEDER!$T$2:$AH$86,7,FALSE))=TRUE,"",VLOOKUP(B19,EDW_FEEDER!$T$2:$AH$86,7,FALSE))</f>
        <v>189.9</v>
      </c>
      <c r="I19" s="267">
        <f>IF(ISNA(VLOOKUP(B19,EDW_FEEDER!$T$2:$AH$86,8,FALSE))=TRUE,"",VLOOKUP(B19,EDW_FEEDER!$T$2:$AH$86,8,FALSE))</f>
        <v>188.2</v>
      </c>
      <c r="J19" s="268">
        <f>IF(ISNA(VLOOKUP(B19,Accuracy!$Y$6:$AL$68,3,FALSE))=TRUE,"",VLOOKUP(B19,Accuracy!$Y$6:$AL$68,3,FALSE))</f>
        <v>0.9126</v>
      </c>
      <c r="K19" s="268">
        <f>IF(ISNA(VLOOKUP(B19,Accuracy!$Y$6:$AL$68,6,FALSE))=TRUE,"",VLOOKUP(B19,Accuracy!$Y$6:$AL$68,6,FALSE))</f>
        <v>0.8824</v>
      </c>
      <c r="L19" s="268">
        <f>IF(ISNA(VLOOKUP(B19,Accuracy!$Y$6:$AL$68,9,FALSE))=TRUE,"",VLOOKUP(B19,Accuracy!$Y$6:$AL$68,9,FALSE))</f>
        <v>0.8906</v>
      </c>
      <c r="M19" s="268">
        <f>IF(ISNA(VLOOKUP(B19,Accuracy!$Y$6:$AL$68,12,FALSE))=TRUE,"",VLOOKUP(B19,Accuracy!$Y$6:$AL$68,12,FALSE))</f>
        <v>0.9048</v>
      </c>
    </row>
    <row r="20" spans="2:13" ht="12.75">
      <c r="B20" s="120" t="str">
        <f>IF(ISBLANK(VLOOKUP($B$14,EDW_FEEDER!$A$117:$AK$121,7,FALSE))=TRUE,"",VLOOKUP($B$14,EDW_FEEDER!$A$117:$AK$121,7,FALSE))</f>
        <v>Hartford</v>
      </c>
      <c r="C20" s="266">
        <f>IF(ISNA(VLOOKUP($B20,EDW_FEEDER!$T$2:$AH$86,2,FALSE))=TRUE,"",VLOOKUP($B20,EDW_FEEDER!$T$2:$AH$86,2,FALSE))</f>
        <v>2167</v>
      </c>
      <c r="D20" s="267">
        <f>IF(ISNA(VLOOKUP(B20,EDW_FEEDER!$T$2:$AH$86,3,FALSE))=TRUE,"",VLOOKUP(B20,EDW_FEEDER!$T$2:$AH$86,3,FALSE))</f>
        <v>109.9</v>
      </c>
      <c r="E20" s="268">
        <f>IF(ISNA(VLOOKUP(B20,EDW_FEEDER!$T$2:$AH$86,4,FALSE))=TRUE,"",VLOOKUP(B20,EDW_FEEDER!$T$2:$AH$870,4,FALSE))</f>
        <v>0.32164</v>
      </c>
      <c r="F20" s="266">
        <f>IF(ISNA(VLOOKUP(B20,EDW_FEEDER!$T$2:$AH$86,5,FALSE))=TRUE,"",VLOOKUP(B20,EDW_FEEDER!$T$2:$AH$86,5,FALSE))</f>
        <v>177</v>
      </c>
      <c r="G20" s="266">
        <f>IF(ISNA(VLOOKUP(B20,EDW_FEEDER!$T$2:$AH$86,6,FALSE))=TRUE,"",VLOOKUP(B20,EDW_FEEDER!$T$2:$AH$86,6,FALSE))</f>
        <v>1385</v>
      </c>
      <c r="H20" s="267">
        <f>IF(ISNA(VLOOKUP(B20,EDW_FEEDER!$T$2:$AH$86,7,FALSE))=TRUE,"",VLOOKUP(B20,EDW_FEEDER!$T$2:$AH$86,7,FALSE))</f>
        <v>163.3</v>
      </c>
      <c r="I20" s="267">
        <f>IF(ISNA(VLOOKUP(B20,EDW_FEEDER!$T$2:$AH$86,8,FALSE))=TRUE,"",VLOOKUP(B20,EDW_FEEDER!$T$2:$AH$86,8,FALSE))</f>
        <v>159.1</v>
      </c>
      <c r="J20" s="268">
        <f>IF(ISNA(VLOOKUP(B20,Accuracy!$Y$6:$AL$68,3,FALSE))=TRUE,"",VLOOKUP(B20,Accuracy!$Y$6:$AL$68,3,FALSE))</f>
        <v>0.9834</v>
      </c>
      <c r="K20" s="268">
        <f>IF(ISNA(VLOOKUP(B20,Accuracy!$Y$6:$AL$68,6,FALSE))=TRUE,"",VLOOKUP(B20,Accuracy!$Y$6:$AL$68,6,FALSE))</f>
        <v>0.9672</v>
      </c>
      <c r="L20" s="268">
        <f>IF(ISNA(VLOOKUP(B20,Accuracy!$Y$6:$AL$68,9,FALSE))=TRUE,"",VLOOKUP(B20,Accuracy!$Y$6:$AL$68,9,FALSE))</f>
        <v>0.9565</v>
      </c>
      <c r="M20" s="268">
        <f>IF(ISNA(VLOOKUP(B20,Accuracy!$Y$6:$AL$68,12,FALSE))=TRUE,"",VLOOKUP(B20,Accuracy!$Y$6:$AL$68,12,FALSE))</f>
        <v>0.9463</v>
      </c>
    </row>
    <row r="21" spans="2:13" ht="12.75">
      <c r="B21" s="120" t="str">
        <f>IF(ISBLANK(VLOOKUP($B$14,EDW_FEEDER!$A$117:$AK$121,8,FALSE))=TRUE,"",VLOOKUP($B$14,EDW_FEEDER!$A$117:$AK$121,8,FALSE))</f>
        <v>Indianapolis</v>
      </c>
      <c r="C21" s="266">
        <f>IF(ISNA(VLOOKUP($B21,EDW_FEEDER!$T$2:$AH$86,2,FALSE))=TRUE,"",VLOOKUP($B21,EDW_FEEDER!$T$2:$AH$86,2,FALSE))</f>
        <v>8943</v>
      </c>
      <c r="D21" s="267">
        <f>IF(ISNA(VLOOKUP(B21,EDW_FEEDER!$T$2:$AH$86,3,FALSE))=TRUE,"",VLOOKUP(B21,EDW_FEEDER!$T$2:$AH$86,3,FALSE))</f>
        <v>181.3</v>
      </c>
      <c r="E21" s="268">
        <f>IF(ISNA(VLOOKUP(B21,EDW_FEEDER!$T$2:$AH$86,4,FALSE))=TRUE,"",VLOOKUP(B21,EDW_FEEDER!$T$2:$AH$870,4,FALSE))</f>
        <v>0.59264</v>
      </c>
      <c r="F21" s="266">
        <f>IF(ISNA(VLOOKUP(B21,EDW_FEEDER!$T$2:$AH$86,5,FALSE))=TRUE,"",VLOOKUP(B21,EDW_FEEDER!$T$2:$AH$86,5,FALSE))</f>
        <v>216</v>
      </c>
      <c r="G21" s="266">
        <f>IF(ISNA(VLOOKUP(B21,EDW_FEEDER!$T$2:$AH$86,6,FALSE))=TRUE,"",VLOOKUP(B21,EDW_FEEDER!$T$2:$AH$86,6,FALSE))</f>
        <v>2632</v>
      </c>
      <c r="H21" s="267">
        <f>IF(ISNA(VLOOKUP(B21,EDW_FEEDER!$T$2:$AH$86,7,FALSE))=TRUE,"",VLOOKUP(B21,EDW_FEEDER!$T$2:$AH$86,7,FALSE))</f>
        <v>268.6</v>
      </c>
      <c r="I21" s="267">
        <f>IF(ISNA(VLOOKUP(B21,EDW_FEEDER!$T$2:$AH$86,8,FALSE))=TRUE,"",VLOOKUP(B21,EDW_FEEDER!$T$2:$AH$86,8,FALSE))</f>
        <v>238.2</v>
      </c>
      <c r="J21" s="268">
        <f>IF(ISNA(VLOOKUP(B21,Accuracy!$Y$6:$AL$68,3,FALSE))=TRUE,"",VLOOKUP(B21,Accuracy!$Y$6:$AL$68,3,FALSE))</f>
        <v>0.962</v>
      </c>
      <c r="K21" s="268">
        <f>IF(ISNA(VLOOKUP(B21,Accuracy!$Y$6:$AL$68,6,FALSE))=TRUE,"",VLOOKUP(B21,Accuracy!$Y$6:$AL$68,6,FALSE))</f>
        <v>0.9063</v>
      </c>
      <c r="L21" s="268">
        <f>IF(ISNA(VLOOKUP(B21,Accuracy!$Y$6:$AL$68,9,FALSE))=TRUE,"",VLOOKUP(B21,Accuracy!$Y$6:$AL$68,9,FALSE))</f>
        <v>0.9197</v>
      </c>
      <c r="M21" s="268">
        <f>IF(ISNA(VLOOKUP(B21,Accuracy!$Y$6:$AL$68,12,FALSE))=TRUE,"",VLOOKUP(B21,Accuracy!$Y$6:$AL$68,12,FALSE))</f>
        <v>0.9127</v>
      </c>
    </row>
    <row r="22" spans="2:13" ht="12.75">
      <c r="B22" s="120" t="str">
        <f>IF(ISBLANK(VLOOKUP($B$14,EDW_FEEDER!$A$117:$AK$121,9,FALSE))=TRUE,"",VLOOKUP($B$14,EDW_FEEDER!$A$117:$AK$121,9,FALSE))</f>
        <v>Manchester</v>
      </c>
      <c r="C22" s="266">
        <f>IF(ISNA(VLOOKUP($B22,EDW_FEEDER!$T$2:$AH$86,2,FALSE))=TRUE,"",VLOOKUP($B22,EDW_FEEDER!$T$2:$AH$86,2,FALSE))</f>
        <v>1723</v>
      </c>
      <c r="D22" s="267">
        <f>IF(ISNA(VLOOKUP(B22,EDW_FEEDER!$T$2:$AH$86,3,FALSE))=TRUE,"",VLOOKUP(B22,EDW_FEEDER!$T$2:$AH$86,3,FALSE))</f>
        <v>132.6</v>
      </c>
      <c r="E22" s="268">
        <f>IF(ISNA(VLOOKUP(B22,EDW_FEEDER!$T$2:$AH$86,4,FALSE))=TRUE,"",VLOOKUP(B22,EDW_FEEDER!$T$2:$AH$870,4,FALSE))</f>
        <v>0.42658</v>
      </c>
      <c r="F22" s="266">
        <f>IF(ISNA(VLOOKUP(B22,EDW_FEEDER!$T$2:$AH$86,5,FALSE))=TRUE,"",VLOOKUP(B22,EDW_FEEDER!$T$2:$AH$86,5,FALSE))</f>
        <v>40</v>
      </c>
      <c r="G22" s="266">
        <f>IF(ISNA(VLOOKUP(B22,EDW_FEEDER!$T$2:$AH$86,6,FALSE))=TRUE,"",VLOOKUP(B22,EDW_FEEDER!$T$2:$AH$86,6,FALSE))</f>
        <v>570</v>
      </c>
      <c r="H22" s="267">
        <f>IF(ISNA(VLOOKUP(B22,EDW_FEEDER!$T$2:$AH$86,7,FALSE))=TRUE,"",VLOOKUP(B22,EDW_FEEDER!$T$2:$AH$86,7,FALSE))</f>
        <v>209.7</v>
      </c>
      <c r="I22" s="267">
        <f>IF(ISNA(VLOOKUP(B22,EDW_FEEDER!$T$2:$AH$86,8,FALSE))=TRUE,"",VLOOKUP(B22,EDW_FEEDER!$T$2:$AH$86,8,FALSE))</f>
        <v>210.3</v>
      </c>
      <c r="J22" s="268">
        <f>IF(ISNA(VLOOKUP(B22,Accuracy!$Y$6:$AL$68,3,FALSE))=TRUE,"",VLOOKUP(B22,Accuracy!$Y$6:$AL$68,3,FALSE))</f>
        <v>0.9605</v>
      </c>
      <c r="K22" s="268">
        <f>IF(ISNA(VLOOKUP(B22,Accuracy!$Y$6:$AL$68,6,FALSE))=TRUE,"",VLOOKUP(B22,Accuracy!$Y$6:$AL$68,6,FALSE))</f>
        <v>0.9138</v>
      </c>
      <c r="L22" s="268">
        <f>IF(ISNA(VLOOKUP(B22,Accuracy!$Y$6:$AL$68,9,FALSE))=TRUE,"",VLOOKUP(B22,Accuracy!$Y$6:$AL$68,9,FALSE))</f>
        <v>0.9106</v>
      </c>
      <c r="M22" s="268">
        <f>IF(ISNA(VLOOKUP(B22,Accuracy!$Y$6:$AL$68,12,FALSE))=TRUE,"",VLOOKUP(B22,Accuracy!$Y$6:$AL$68,12,FALSE))</f>
        <v>0.9118</v>
      </c>
    </row>
    <row r="23" spans="2:13" ht="12.75">
      <c r="B23" s="120" t="str">
        <f>IF(ISBLANK(VLOOKUP($B$14,EDW_FEEDER!$A$117:$AK$121,10,FALSE))=TRUE,"",VLOOKUP($B$14,EDW_FEEDER!$A$117:$AK$121,10,FALSE))</f>
        <v>New York</v>
      </c>
      <c r="C23" s="266">
        <f>IF(ISNA(VLOOKUP($B23,EDW_FEEDER!$T$2:$AH$86,2,FALSE))=TRUE,"",VLOOKUP($B23,EDW_FEEDER!$T$2:$AH$86,2,FALSE))</f>
        <v>7874</v>
      </c>
      <c r="D23" s="267">
        <f>IF(ISNA(VLOOKUP(B23,EDW_FEEDER!$T$2:$AH$86,3,FALSE))=TRUE,"",VLOOKUP(B23,EDW_FEEDER!$T$2:$AH$86,3,FALSE))</f>
        <v>148.4</v>
      </c>
      <c r="E23" s="268">
        <f>IF(ISNA(VLOOKUP(B23,EDW_FEEDER!$T$2:$AH$86,4,FALSE))=TRUE,"",VLOOKUP(B23,EDW_FEEDER!$T$2:$AH$870,4,FALSE))</f>
        <v>0.50648</v>
      </c>
      <c r="F23" s="266">
        <f>IF(ISNA(VLOOKUP(B23,EDW_FEEDER!$T$2:$AH$86,5,FALSE))=TRUE,"",VLOOKUP(B23,EDW_FEEDER!$T$2:$AH$86,5,FALSE))</f>
        <v>217</v>
      </c>
      <c r="G23" s="266">
        <f>IF(ISNA(VLOOKUP(B23,EDW_FEEDER!$T$2:$AH$86,6,FALSE))=TRUE,"",VLOOKUP(B23,EDW_FEEDER!$T$2:$AH$86,6,FALSE))</f>
        <v>2329</v>
      </c>
      <c r="H23" s="267">
        <f>IF(ISNA(VLOOKUP(B23,EDW_FEEDER!$T$2:$AH$86,7,FALSE))=TRUE,"",VLOOKUP(B23,EDW_FEEDER!$T$2:$AH$86,7,FALSE))</f>
        <v>245.1</v>
      </c>
      <c r="I23" s="267">
        <f>IF(ISNA(VLOOKUP(B23,EDW_FEEDER!$T$2:$AH$86,8,FALSE))=TRUE,"",VLOOKUP(B23,EDW_FEEDER!$T$2:$AH$86,8,FALSE))</f>
        <v>252.3</v>
      </c>
      <c r="J23" s="268">
        <f>IF(ISNA(VLOOKUP(B23,Accuracy!$Y$6:$AL$68,3,FALSE))=TRUE,"",VLOOKUP(B23,Accuracy!$Y$6:$AL$68,3,FALSE))</f>
        <v>0.9086</v>
      </c>
      <c r="K23" s="268">
        <f>IF(ISNA(VLOOKUP(B23,Accuracy!$Y$6:$AL$68,6,FALSE))=TRUE,"",VLOOKUP(B23,Accuracy!$Y$6:$AL$68,6,FALSE))</f>
        <v>0.8667</v>
      </c>
      <c r="L23" s="268">
        <f>IF(ISNA(VLOOKUP(B23,Accuracy!$Y$6:$AL$68,9,FALSE))=TRUE,"",VLOOKUP(B23,Accuracy!$Y$6:$AL$68,9,FALSE))</f>
        <v>0.9234</v>
      </c>
      <c r="M23" s="268">
        <f>IF(ISNA(VLOOKUP(B23,Accuracy!$Y$6:$AL$68,12,FALSE))=TRUE,"",VLOOKUP(B23,Accuracy!$Y$6:$AL$68,12,FALSE))</f>
        <v>0.9185</v>
      </c>
    </row>
    <row r="24" spans="2:13" ht="12.75">
      <c r="B24" s="120" t="str">
        <f>IF(ISBLANK(VLOOKUP($B$14,EDW_FEEDER!$A$117:$AK$121,11,FALSE))=TRUE,"",VLOOKUP($B$14,EDW_FEEDER!$A$117:$AK$121,11,FALSE))</f>
        <v>Newark</v>
      </c>
      <c r="C24" s="266">
        <f>IF(ISNA(VLOOKUP($B24,EDW_FEEDER!$T$2:$AH$86,2,FALSE))=TRUE,"",VLOOKUP($B24,EDW_FEEDER!$T$2:$AH$86,2,FALSE))</f>
        <v>3219</v>
      </c>
      <c r="D24" s="267">
        <f>IF(ISNA(VLOOKUP(B24,EDW_FEEDER!$T$2:$AH$86,3,FALSE))=TRUE,"",VLOOKUP(B24,EDW_FEEDER!$T$2:$AH$86,3,FALSE))</f>
        <v>115</v>
      </c>
      <c r="E24" s="268">
        <f>IF(ISNA(VLOOKUP(B24,EDW_FEEDER!$T$2:$AH$86,4,FALSE))=TRUE,"",VLOOKUP(B24,EDW_FEEDER!$T$2:$AH$870,4,FALSE))</f>
        <v>0.36502</v>
      </c>
      <c r="F24" s="266">
        <f>IF(ISNA(VLOOKUP(B24,EDW_FEEDER!$T$2:$AH$86,5,FALSE))=TRUE,"",VLOOKUP(B24,EDW_FEEDER!$T$2:$AH$86,5,FALSE))</f>
        <v>132</v>
      </c>
      <c r="G24" s="266">
        <f>IF(ISNA(VLOOKUP(B24,EDW_FEEDER!$T$2:$AH$86,6,FALSE))=TRUE,"",VLOOKUP(B24,EDW_FEEDER!$T$2:$AH$86,6,FALSE))</f>
        <v>1163</v>
      </c>
      <c r="H24" s="267">
        <f>IF(ISNA(VLOOKUP(B24,EDW_FEEDER!$T$2:$AH$86,7,FALSE))=TRUE,"",VLOOKUP(B24,EDW_FEEDER!$T$2:$AH$86,7,FALSE))</f>
        <v>171.1</v>
      </c>
      <c r="I24" s="267">
        <f>IF(ISNA(VLOOKUP(B24,EDW_FEEDER!$T$2:$AH$86,8,FALSE))=TRUE,"",VLOOKUP(B24,EDW_FEEDER!$T$2:$AH$86,8,FALSE))</f>
        <v>170.4</v>
      </c>
      <c r="J24" s="268">
        <f>IF(ISNA(VLOOKUP(B24,Accuracy!$Y$6:$AL$68,3,FALSE))=TRUE,"",VLOOKUP(B24,Accuracy!$Y$6:$AL$68,3,FALSE))</f>
        <v>0.9362</v>
      </c>
      <c r="K24" s="268">
        <f>IF(ISNA(VLOOKUP(B24,Accuracy!$Y$6:$AL$68,6,FALSE))=TRUE,"",VLOOKUP(B24,Accuracy!$Y$6:$AL$68,6,FALSE))</f>
        <v>0.873</v>
      </c>
      <c r="L24" s="268">
        <f>IF(ISNA(VLOOKUP(B24,Accuracy!$Y$6:$AL$68,9,FALSE))=TRUE,"",VLOOKUP(B24,Accuracy!$Y$6:$AL$68,9,FALSE))</f>
        <v>0.8333</v>
      </c>
      <c r="M24" s="268">
        <f>IF(ISNA(VLOOKUP(B24,Accuracy!$Y$6:$AL$68,12,FALSE))=TRUE,"",VLOOKUP(B24,Accuracy!$Y$6:$AL$68,12,FALSE))</f>
        <v>0.8279</v>
      </c>
    </row>
    <row r="25" spans="2:13" ht="12.75">
      <c r="B25" s="121" t="str">
        <f>IF(ISBLANK(VLOOKUP($B$14,EDW_FEEDER!$A$117:$AK$121,12,FALSE))=TRUE,"",VLOOKUP($B$14,EDW_FEEDER!$A$117:$AK$121,12,FALSE))</f>
        <v>Philadelphia (Non-PMC)</v>
      </c>
      <c r="C25" s="266">
        <f>IF(ISNA(VLOOKUP($B25,EDW_FEEDER!$T$2:$AH$86,2,FALSE))=TRUE,"",VLOOKUP($B25,EDW_FEEDER!$T$2:$AH$86,2,FALSE))</f>
        <v>13226</v>
      </c>
      <c r="D25" s="267">
        <f>IF(ISNA(VLOOKUP(B25,EDW_FEEDER!$T$2:$AH$86,3,FALSE))=TRUE,"",VLOOKUP(B25,EDW_FEEDER!$T$2:$AH$86,3,FALSE))</f>
        <v>166.3</v>
      </c>
      <c r="E25" s="268">
        <f>IF(ISNA(VLOOKUP(B25,EDW_FEEDER!$T$2:$AH$86,4,FALSE))=TRUE,"",VLOOKUP(B25,EDW_FEEDER!$T$2:$AH$870,4,FALSE))</f>
        <v>0.56737</v>
      </c>
      <c r="F25" s="266">
        <f>IF(ISNA(VLOOKUP(B25,EDW_FEEDER!$T$2:$AH$86,5,FALSE))=TRUE,"",VLOOKUP(B25,EDW_FEEDER!$T$2:$AH$86,5,FALSE))</f>
        <v>396</v>
      </c>
      <c r="G25" s="266">
        <f>IF(ISNA(VLOOKUP(B25,EDW_FEEDER!$T$2:$AH$86,6,FALSE))=TRUE,"",VLOOKUP(B25,EDW_FEEDER!$T$2:$AH$86,6,FALSE))</f>
        <v>4750</v>
      </c>
      <c r="H25" s="267">
        <f>IF(ISNA(VLOOKUP(B25,EDW_FEEDER!$T$2:$AH$86,7,FALSE))=TRUE,"",VLOOKUP(B25,EDW_FEEDER!$T$2:$AH$86,7,FALSE))</f>
        <v>289.8</v>
      </c>
      <c r="I25" s="267">
        <f>IF(ISNA(VLOOKUP(B25,EDW_FEEDER!$T$2:$AH$86,8,FALSE))=TRUE,"",VLOOKUP(B25,EDW_FEEDER!$T$2:$AH$86,8,FALSE))</f>
        <v>269</v>
      </c>
      <c r="J25" s="268">
        <f>IF(ISNA(VLOOKUP(B25,Accuracy!$Y$6:$AL$68,3,FALSE))=TRUE,"",VLOOKUP(B25,Accuracy!$Y$6:$AL$68,3,FALSE))</f>
        <v>0.9603</v>
      </c>
      <c r="K25" s="268">
        <f>IF(ISNA(VLOOKUP(B25,Accuracy!$Y$6:$AL$68,6,FALSE))=TRUE,"",VLOOKUP(B25,Accuracy!$Y$6:$AL$68,6,FALSE))</f>
        <v>0.9118</v>
      </c>
      <c r="L25" s="268">
        <f>IF(ISNA(VLOOKUP(B25,Accuracy!$Y$6:$AL$68,9,FALSE))=TRUE,"",VLOOKUP(B25,Accuracy!$Y$6:$AL$68,9,FALSE))</f>
        <v>0.878</v>
      </c>
      <c r="M25" s="268">
        <f>IF(ISNA(VLOOKUP(B25,Accuracy!$Y$6:$AL$68,12,FALSE))=TRUE,"",VLOOKUP(B25,Accuracy!$Y$6:$AL$68,12,FALSE))</f>
        <v>0.9174</v>
      </c>
    </row>
    <row r="26" spans="2:13" ht="12.75">
      <c r="B26" s="120" t="str">
        <f>IF(ISBLANK(VLOOKUP($B$14,EDW_FEEDER!$A$117:$AK$121,13,FALSE))=TRUE,"",VLOOKUP($B$14,EDW_FEEDER!$A$117:$AK$121,13,FALSE))</f>
        <v>Pittsburgh</v>
      </c>
      <c r="C26" s="266">
        <f>IF(ISNA(VLOOKUP($B26,EDW_FEEDER!$T$2:$AH$86,2,FALSE))=TRUE,"",VLOOKUP($B26,EDW_FEEDER!$T$2:$AH$86,2,FALSE))</f>
        <v>6127</v>
      </c>
      <c r="D26" s="267">
        <f>IF(ISNA(VLOOKUP(B26,EDW_FEEDER!$T$2:$AH$86,3,FALSE))=TRUE,"",VLOOKUP(B26,EDW_FEEDER!$T$2:$AH$86,3,FALSE))</f>
        <v>161.9</v>
      </c>
      <c r="E26" s="268">
        <f>IF(ISNA(VLOOKUP(B26,EDW_FEEDER!$T$2:$AH$86,4,FALSE))=TRUE,"",VLOOKUP(B26,EDW_FEEDER!$T$2:$AH$870,4,FALSE))</f>
        <v>0.51412</v>
      </c>
      <c r="F26" s="266">
        <f>IF(ISNA(VLOOKUP(B26,EDW_FEEDER!$T$2:$AH$86,5,FALSE))=TRUE,"",VLOOKUP(B26,EDW_FEEDER!$T$2:$AH$86,5,FALSE))</f>
        <v>177</v>
      </c>
      <c r="G26" s="266">
        <f>IF(ISNA(VLOOKUP(B26,EDW_FEEDER!$T$2:$AH$86,6,FALSE))=TRUE,"",VLOOKUP(B26,EDW_FEEDER!$T$2:$AH$86,6,FALSE))</f>
        <v>2199</v>
      </c>
      <c r="H26" s="267">
        <f>IF(ISNA(VLOOKUP(B26,EDW_FEEDER!$T$2:$AH$86,7,FALSE))=TRUE,"",VLOOKUP(B26,EDW_FEEDER!$T$2:$AH$86,7,FALSE))</f>
        <v>202.3</v>
      </c>
      <c r="I26" s="267">
        <f>IF(ISNA(VLOOKUP(B26,EDW_FEEDER!$T$2:$AH$86,8,FALSE))=TRUE,"",VLOOKUP(B26,EDW_FEEDER!$T$2:$AH$86,8,FALSE))</f>
        <v>225.6</v>
      </c>
      <c r="J26" s="268">
        <f>IF(ISNA(VLOOKUP(B26,Accuracy!$Y$6:$AL$68,3,FALSE))=TRUE,"",VLOOKUP(B26,Accuracy!$Y$6:$AL$68,3,FALSE))</f>
        <v>0.9708</v>
      </c>
      <c r="K26" s="268">
        <f>IF(ISNA(VLOOKUP(B26,Accuracy!$Y$6:$AL$68,6,FALSE))=TRUE,"",VLOOKUP(B26,Accuracy!$Y$6:$AL$68,6,FALSE))</f>
        <v>0.9194</v>
      </c>
      <c r="L26" s="268">
        <f>IF(ISNA(VLOOKUP(B26,Accuracy!$Y$6:$AL$68,9,FALSE))=TRUE,"",VLOOKUP(B26,Accuracy!$Y$6:$AL$68,9,FALSE))</f>
        <v>0.8765</v>
      </c>
      <c r="M26" s="268">
        <f>IF(ISNA(VLOOKUP(B26,Accuracy!$Y$6:$AL$68,12,FALSE))=TRUE,"",VLOOKUP(B26,Accuracy!$Y$6:$AL$68,12,FALSE))</f>
        <v>0.9215</v>
      </c>
    </row>
    <row r="27" spans="2:13" ht="12.75">
      <c r="B27" s="120" t="str">
        <f>IF(ISBLANK(VLOOKUP($B$14,EDW_FEEDER!$A$117:$AK$121,14,FALSE))=TRUE,"",VLOOKUP($B$14,EDW_FEEDER!$A$117:$AK$121,14,FALSE))</f>
        <v>Providence</v>
      </c>
      <c r="C27" s="266">
        <f>IF(ISNA(VLOOKUP($B27,EDW_FEEDER!$T$2:$AH$86,2,FALSE))=TRUE,"",VLOOKUP($B27,EDW_FEEDER!$T$2:$AH$86,2,FALSE))</f>
        <v>3132</v>
      </c>
      <c r="D27" s="267">
        <f>IF(ISNA(VLOOKUP(B27,EDW_FEEDER!$T$2:$AH$86,3,FALSE))=TRUE,"",VLOOKUP(B27,EDW_FEEDER!$T$2:$AH$86,3,FALSE))</f>
        <v>76.4</v>
      </c>
      <c r="E27" s="268">
        <f>IF(ISNA(VLOOKUP(B27,EDW_FEEDER!$T$2:$AH$86,4,FALSE))=TRUE,"",VLOOKUP(B27,EDW_FEEDER!$T$2:$AH$870,4,FALSE))</f>
        <v>0.19189</v>
      </c>
      <c r="F27" s="266">
        <f>IF(ISNA(VLOOKUP(B27,EDW_FEEDER!$T$2:$AH$86,5,FALSE))=TRUE,"",VLOOKUP(B27,EDW_FEEDER!$T$2:$AH$86,5,FALSE))</f>
        <v>469</v>
      </c>
      <c r="G27" s="266">
        <f>IF(ISNA(VLOOKUP(B27,EDW_FEEDER!$T$2:$AH$86,6,FALSE))=TRUE,"",VLOOKUP(B27,EDW_FEEDER!$T$2:$AH$86,6,FALSE))</f>
        <v>4729</v>
      </c>
      <c r="H27" s="267">
        <f>IF(ISNA(VLOOKUP(B27,EDW_FEEDER!$T$2:$AH$86,7,FALSE))=TRUE,"",VLOOKUP(B27,EDW_FEEDER!$T$2:$AH$86,7,FALSE))</f>
        <v>61.1</v>
      </c>
      <c r="I27" s="267">
        <f>IF(ISNA(VLOOKUP(B27,EDW_FEEDER!$T$2:$AH$86,8,FALSE))=TRUE,"",VLOOKUP(B27,EDW_FEEDER!$T$2:$AH$86,8,FALSE))</f>
        <v>64.4</v>
      </c>
      <c r="J27" s="268">
        <f>IF(ISNA(VLOOKUP(B27,Accuracy!$Y$6:$AL$68,3,FALSE))=TRUE,"",VLOOKUP(B27,Accuracy!$Y$6:$AL$68,3,FALSE))</f>
        <v>0.9688</v>
      </c>
      <c r="K27" s="268">
        <f>IF(ISNA(VLOOKUP(B27,Accuracy!$Y$6:$AL$68,6,FALSE))=TRUE,"",VLOOKUP(B27,Accuracy!$Y$6:$AL$68,6,FALSE))</f>
        <v>0.9041</v>
      </c>
      <c r="L27" s="268">
        <f>IF(ISNA(VLOOKUP(B27,Accuracy!$Y$6:$AL$68,9,FALSE))=TRUE,"",VLOOKUP(B27,Accuracy!$Y$6:$AL$68,9,FALSE))</f>
        <v>0.9382</v>
      </c>
      <c r="M27" s="268">
        <f>IF(ISNA(VLOOKUP(B27,Accuracy!$Y$6:$AL$68,12,FALSE))=TRUE,"",VLOOKUP(B27,Accuracy!$Y$6:$AL$68,12,FALSE))</f>
        <v>0.9112</v>
      </c>
    </row>
    <row r="28" spans="2:13" ht="12.75">
      <c r="B28" s="120" t="str">
        <f>IF(ISBLANK(VLOOKUP($B$14,EDW_FEEDER!$A$117:$AK$121,15,FALSE))=TRUE,"",VLOOKUP($B$14,EDW_FEEDER!$A$117:$AK$121,15,FALSE))</f>
        <v>Togus</v>
      </c>
      <c r="C28" s="266">
        <f>IF(ISNA(VLOOKUP($B28,EDW_FEEDER!$T$2:$AH$86,2,FALSE))=TRUE,"",VLOOKUP($B28,EDW_FEEDER!$T$2:$AH$86,2,FALSE))</f>
        <v>1173</v>
      </c>
      <c r="D28" s="267">
        <f>IF(ISNA(VLOOKUP(B28,EDW_FEEDER!$T$2:$AH$86,3,FALSE))=TRUE,"",VLOOKUP(B28,EDW_FEEDER!$T$2:$AH$86,3,FALSE))</f>
        <v>97.1</v>
      </c>
      <c r="E28" s="268">
        <f>IF(ISNA(VLOOKUP(B28,EDW_FEEDER!$T$2:$AH$86,4,FALSE))=TRUE,"",VLOOKUP(B28,EDW_FEEDER!$T$2:$AH$870,4,FALSE))</f>
        <v>0.23956</v>
      </c>
      <c r="F28" s="266">
        <f>IF(ISNA(VLOOKUP(B28,EDW_FEEDER!$T$2:$AH$86,5,FALSE))=TRUE,"",VLOOKUP(B28,EDW_FEEDER!$T$2:$AH$86,5,FALSE))</f>
        <v>50</v>
      </c>
      <c r="G28" s="266">
        <f>IF(ISNA(VLOOKUP(B28,EDW_FEEDER!$T$2:$AH$86,6,FALSE))=TRUE,"",VLOOKUP(B28,EDW_FEEDER!$T$2:$AH$86,6,FALSE))</f>
        <v>951</v>
      </c>
      <c r="H28" s="267">
        <f>IF(ISNA(VLOOKUP(B28,EDW_FEEDER!$T$2:$AH$86,7,FALSE))=TRUE,"",VLOOKUP(B28,EDW_FEEDER!$T$2:$AH$86,7,FALSE))</f>
        <v>108.6</v>
      </c>
      <c r="I28" s="267">
        <f>IF(ISNA(VLOOKUP(B28,EDW_FEEDER!$T$2:$AH$86,8,FALSE))=TRUE,"",VLOOKUP(B28,EDW_FEEDER!$T$2:$AH$86,8,FALSE))</f>
        <v>118.4</v>
      </c>
      <c r="J28" s="268">
        <f>IF(ISNA(VLOOKUP(B28,Accuracy!$Y$6:$AL$68,3,FALSE))=TRUE,"",VLOOKUP(B28,Accuracy!$Y$6:$AL$68,3,FALSE))</f>
        <v>0.9719</v>
      </c>
      <c r="K28" s="268">
        <f>IF(ISNA(VLOOKUP(B28,Accuracy!$Y$6:$AL$68,6,FALSE))=TRUE,"",VLOOKUP(B28,Accuracy!$Y$6:$AL$68,6,FALSE))</f>
        <v>0.8871</v>
      </c>
      <c r="L28" s="268">
        <f>IF(ISNA(VLOOKUP(B28,Accuracy!$Y$6:$AL$68,9,FALSE))=TRUE,"",VLOOKUP(B28,Accuracy!$Y$6:$AL$68,9,FALSE))</f>
        <v>0.9318</v>
      </c>
      <c r="M28" s="268">
        <f>IF(ISNA(VLOOKUP(B28,Accuracy!$Y$6:$AL$68,12,FALSE))=TRUE,"",VLOOKUP(B28,Accuracy!$Y$6:$AL$68,12,FALSE))</f>
        <v>0.9758</v>
      </c>
    </row>
    <row r="29" spans="2:13" ht="12.75">
      <c r="B29" s="120" t="str">
        <f>IF(ISBLANK(VLOOKUP($B$14,EDW_FEEDER!$A$117:$AK$121,16,FALSE))=TRUE,"",VLOOKUP($B$14,EDW_FEEDER!$A$117:$AK$121,16,FALSE))</f>
        <v>White River J.</v>
      </c>
      <c r="C29" s="266">
        <f>IF(ISNA(VLOOKUP($B29,EDW_FEEDER!$T$2:$AH$86,2,FALSE))=TRUE,"",VLOOKUP($B29,EDW_FEEDER!$T$2:$AH$86,2,FALSE))</f>
        <v>675</v>
      </c>
      <c r="D29" s="267">
        <f>IF(ISNA(VLOOKUP(B29,EDW_FEEDER!$T$2:$AH$86,3,FALSE))=TRUE,"",VLOOKUP(B29,EDW_FEEDER!$T$2:$AH$86,3,FALSE))</f>
        <v>134.4</v>
      </c>
      <c r="E29" s="268">
        <f>IF(ISNA(VLOOKUP(B29,EDW_FEEDER!$T$2:$AH$86,4,FALSE))=TRUE,"",VLOOKUP(B29,EDW_FEEDER!$T$2:$AH$870,4,FALSE))</f>
        <v>0.46667</v>
      </c>
      <c r="F29" s="266">
        <f>IF(ISNA(VLOOKUP(B29,EDW_FEEDER!$T$2:$AH$86,5,FALSE))=TRUE,"",VLOOKUP(B29,EDW_FEEDER!$T$2:$AH$86,5,FALSE))</f>
        <v>28</v>
      </c>
      <c r="G29" s="266">
        <f>IF(ISNA(VLOOKUP(B29,EDW_FEEDER!$T$2:$AH$86,6,FALSE))=TRUE,"",VLOOKUP(B29,EDW_FEEDER!$T$2:$AH$86,6,FALSE))</f>
        <v>204</v>
      </c>
      <c r="H29" s="267">
        <f>IF(ISNA(VLOOKUP(B29,EDW_FEEDER!$T$2:$AH$86,7,FALSE))=TRUE,"",VLOOKUP(B29,EDW_FEEDER!$T$2:$AH$86,7,FALSE))</f>
        <v>106.3</v>
      </c>
      <c r="I29" s="267">
        <f>IF(ISNA(VLOOKUP(B29,EDW_FEEDER!$T$2:$AH$86,8,FALSE))=TRUE,"",VLOOKUP(B29,EDW_FEEDER!$T$2:$AH$86,8,FALSE))</f>
        <v>154.5</v>
      </c>
      <c r="J29" s="268">
        <f>IF(ISNA(VLOOKUP(B29,Accuracy!$Y$6:$AL$68,3,FALSE))=TRUE,"",VLOOKUP(B29,Accuracy!$Y$6:$AL$68,3,FALSE))</f>
        <v>0.9267</v>
      </c>
      <c r="K29" s="268">
        <f>IF(ISNA(VLOOKUP(B29,Accuracy!$Y$6:$AL$68,6,FALSE))=TRUE,"",VLOOKUP(B29,Accuracy!$Y$6:$AL$68,6,FALSE))</f>
        <v>0.8333</v>
      </c>
      <c r="L29" s="268">
        <f>IF(ISNA(VLOOKUP(B29,Accuracy!$Y$6:$AL$68,9,FALSE))=TRUE,"",VLOOKUP(B29,Accuracy!$Y$6:$AL$68,9,FALSE))</f>
        <v>0.86</v>
      </c>
      <c r="M29" s="268">
        <f>IF(ISNA(VLOOKUP(B29,Accuracy!$Y$6:$AL$68,12,FALSE))=TRUE,"",VLOOKUP(B29,Accuracy!$Y$6:$AL$68,12,FALSE))</f>
        <v>0.849</v>
      </c>
    </row>
    <row r="30" spans="2:13" ht="12.75">
      <c r="B30" s="122" t="str">
        <f>IF(ISBLANK(VLOOKUP($B$14,EDW_FEEDER!$A$117:$AK$121,17,FALSE))=TRUE,"",VLOOKUP($B$14,EDW_FEEDER!$A$117:$AK$121,17,FALSE))</f>
        <v>Wilmington</v>
      </c>
      <c r="C30" s="266">
        <f>IF(ISNA(VLOOKUP($B30,EDW_FEEDER!$T$2:$AH$86,2,FALSE))=TRUE,"",VLOOKUP($B30,EDW_FEEDER!$T$2:$AH$86,2,FALSE))</f>
        <v>1288</v>
      </c>
      <c r="D30" s="267">
        <f>IF(ISNA(VLOOKUP(B30,EDW_FEEDER!$T$2:$AH$86,3,FALSE))=TRUE,"",VLOOKUP(B30,EDW_FEEDER!$T$2:$AH$86,3,FALSE))</f>
        <v>156.5</v>
      </c>
      <c r="E30" s="268">
        <f>IF(ISNA(VLOOKUP(B30,EDW_FEEDER!$T$2:$AH$86,4,FALSE))=TRUE,"",VLOOKUP(B30,EDW_FEEDER!$T$2:$AH$870,4,FALSE))</f>
        <v>0.51009</v>
      </c>
      <c r="F30" s="266">
        <f>IF(ISNA(VLOOKUP(B30,EDW_FEEDER!$T$2:$AH$86,5,FALSE))=TRUE,"",VLOOKUP(B30,EDW_FEEDER!$T$2:$AH$86,5,FALSE))</f>
        <v>47</v>
      </c>
      <c r="G30" s="266">
        <f>IF(ISNA(VLOOKUP(B30,EDW_FEEDER!$T$2:$AH$86,6,FALSE))=TRUE,"",VLOOKUP(B30,EDW_FEEDER!$T$2:$AH$86,6,FALSE))</f>
        <v>458</v>
      </c>
      <c r="H30" s="267">
        <f>IF(ISNA(VLOOKUP(B30,EDW_FEEDER!$T$2:$AH$86,7,FALSE))=TRUE,"",VLOOKUP(B30,EDW_FEEDER!$T$2:$AH$86,7,FALSE))</f>
        <v>246.4</v>
      </c>
      <c r="I30" s="267">
        <f>IF(ISNA(VLOOKUP(B30,EDW_FEEDER!$T$2:$AH$86,8,FALSE))=TRUE,"",VLOOKUP(B30,EDW_FEEDER!$T$2:$AH$86,8,FALSE))</f>
        <v>246.6</v>
      </c>
      <c r="J30" s="268">
        <f>IF(ISNA(VLOOKUP(B30,Accuracy!$Y$6:$AL$68,3,FALSE))=TRUE,"",VLOOKUP(B30,Accuracy!$Y$6:$AL$68,3,FALSE))</f>
        <v>0.9363</v>
      </c>
      <c r="K30" s="268">
        <f>IF(ISNA(VLOOKUP(B30,Accuracy!$Y$6:$AL$68,6,FALSE))=TRUE,"",VLOOKUP(B30,Accuracy!$Y$6:$AL$68,6,FALSE))</f>
        <v>0.8667</v>
      </c>
      <c r="L30" s="268">
        <f>IF(ISNA(VLOOKUP(B30,Accuracy!$Y$6:$AL$68,9,FALSE))=TRUE,"",VLOOKUP(B30,Accuracy!$Y$6:$AL$68,9,FALSE))</f>
        <v>0.877</v>
      </c>
      <c r="M30" s="268">
        <f>IF(ISNA(VLOOKUP(B30,Accuracy!$Y$6:$AL$68,12,FALSE))=TRUE,"",VLOOKUP(B30,Accuracy!$Y$6:$AL$68,12,FALSE))</f>
        <v>0.8933</v>
      </c>
    </row>
    <row r="31" spans="2:13" ht="12.75">
      <c r="B31" s="450" t="s">
        <v>299</v>
      </c>
      <c r="C31" s="451"/>
      <c r="D31" s="451"/>
      <c r="E31" s="451"/>
      <c r="F31" s="451"/>
      <c r="G31" s="451"/>
      <c r="H31" s="451"/>
      <c r="I31" s="451"/>
      <c r="J31" s="451"/>
      <c r="K31" s="451"/>
      <c r="L31" s="451"/>
      <c r="M31" s="452"/>
    </row>
    <row r="32" spans="2:13" ht="12.75">
      <c r="B32" s="228" t="s">
        <v>389</v>
      </c>
      <c r="C32" s="266">
        <f>IF(ISNA(VLOOKUP("USAP",EDW_FEEDER!$T$2:$AH$86,2,FALSE))=TRUE,"",VLOOKUP("USAP",EDW_FEEDER!$T$2:$AH$86,2,FALSE))</f>
        <v>19157</v>
      </c>
      <c r="D32" s="267">
        <f>IF(ISNA(VLOOKUP("USAP",EDW_FEEDER!$T$2:$AH$86,3,FALSE))=TRUE,"",VLOOKUP("USAP",EDW_FEEDER!$T$2:$AH$86,3,FALSE))</f>
        <v>60.5</v>
      </c>
      <c r="E32" s="268">
        <f>IF(ISNA(VLOOKUP("USAP",EDW_FEEDER!$T$2:$AH$86,4,FALSE))=TRUE,"",VLOOKUP("USAP",EDW_FEEDER!$T$2:$AH$870,4,FALSE))</f>
        <v>0.10137</v>
      </c>
      <c r="F32" s="266">
        <f>IF(ISNA(VLOOKUP("USAP",EDW_FEEDER!$T$2:$AH$86,5,FALSE))=TRUE,"",VLOOKUP("USAP",EDW_FEEDER!$T$2:$AH$86,5,FALSE))</f>
        <v>2804</v>
      </c>
      <c r="G32" s="266">
        <f>IF(ISNA(VLOOKUP("USAP",EDW_FEEDER!$T$2:$AH$86,6,FALSE))=TRUE,"",VLOOKUP("USAP",EDW_FEEDER!$T$2:$AH$86,6,FALSE))</f>
        <v>26490</v>
      </c>
      <c r="H32" s="267">
        <f>IF(ISNA(VLOOKUP("USAP",EDW_FEEDER!$T$2:$AH$86,7,FALSE))=TRUE,"",VLOOKUP("USAP",EDW_FEEDER!$T$2:$AH$86,7,FALSE))</f>
        <v>64.8</v>
      </c>
      <c r="I32" s="267">
        <f>IF(ISNA(VLOOKUP("USAP",EDW_FEEDER!$T$2:$AH$86,8,FALSE))=TRUE,"",VLOOKUP("USAP",EDW_FEEDER!$T$2:$AH$86,8,FALSE))</f>
        <v>62.7</v>
      </c>
      <c r="J32" s="269"/>
      <c r="K32" s="268">
        <f>IF(ISNA(VLOOKUP("USA PMCs",Accuracy!$Y$69:$AL$72,6,FALSE))=TRUE,"",VLOOKUP("USA PMCs",Accuracy!$Y$69:$AL$72,6,FALSE))</f>
        <v>0.9947</v>
      </c>
      <c r="L32" s="268">
        <f>IF(ISNA(VLOOKUP("USA PMCs",Accuracy!$Y$69:$AL$72,9,FALSE))=TRUE,"",VLOOKUP("USA PMCs",Accuracy!$Y$69:$AL$72,9,FALSE))</f>
        <v>0.9947</v>
      </c>
      <c r="M32" s="305">
        <f>IF(ISNA(VLOOKUP("USA PMCs",Accuracy!$Y$69:$AL$72,12,FALSE))=TRUE,"",VLOOKUP("USA PMCs",Accuracy!$Y$69:$AL$72,12,FALSE))</f>
        <v>0.9906</v>
      </c>
    </row>
    <row r="33" spans="2:13" ht="12.75">
      <c r="B33" s="124" t="s">
        <v>247</v>
      </c>
      <c r="C33" s="266">
        <f>IF(ISNA(VLOOKUP($B33,EDW_FEEDER!$T$2:$AH$86,2,FALSE))=TRUE,"",VLOOKUP($B33,EDW_FEEDER!$T$2:$AH$86,2,FALSE))</f>
        <v>6892</v>
      </c>
      <c r="D33" s="267">
        <f>IF(ISNA(VLOOKUP(B33,EDW_FEEDER!$T$2:$AH$86,3,FALSE))=TRUE,"",VLOOKUP(B33,EDW_FEEDER!$T$2:$AH$86,3,FALSE))</f>
        <v>64.4</v>
      </c>
      <c r="E33" s="268">
        <f>IF(ISNA(VLOOKUP(B33,EDW_FEEDER!$T$2:$AH$86,4,FALSE))=TRUE,"",VLOOKUP(B33,EDW_FEEDER!$T$2:$AH$870,4,FALSE))</f>
        <v>0.1184</v>
      </c>
      <c r="F33" s="266">
        <f>IF(ISNA(VLOOKUP(B33,EDW_FEEDER!$T$2:$AH$86,5,FALSE))=TRUE,"",VLOOKUP(B33,EDW_FEEDER!$T$2:$AH$86,5,FALSE))</f>
        <v>740</v>
      </c>
      <c r="G33" s="266">
        <f>IF(ISNA(VLOOKUP(B33,EDW_FEEDER!$T$2:$AH$86,6,FALSE))=TRUE,"",VLOOKUP(B33,EDW_FEEDER!$T$2:$AH$86,6,FALSE))</f>
        <v>8008</v>
      </c>
      <c r="H33" s="267">
        <f>IF(ISNA(VLOOKUP(B33,EDW_FEEDER!$T$2:$AH$86,7,FALSE))=TRUE,"",VLOOKUP(B33,EDW_FEEDER!$T$2:$AH$86,7,FALSE))</f>
        <v>70</v>
      </c>
      <c r="I33" s="267">
        <f>IF(ISNA(VLOOKUP(B33,EDW_FEEDER!$T$2:$AH$86,8,FALSE))=TRUE,"",VLOOKUP(B33,EDW_FEEDER!$T$2:$AH$86,8,FALSE))</f>
        <v>71.2</v>
      </c>
      <c r="J33" s="269"/>
      <c r="K33" s="268">
        <f>IF(ISNA(VLOOKUP(B33,Accuracy!$Y$69:$AL$72,6,FALSE))=TRUE,"",VLOOKUP(B33,Accuracy!$Y$69:$AL$72,6,FALSE))</f>
        <v>0.9839</v>
      </c>
      <c r="L33" s="268">
        <f>IF(ISNA(VLOOKUP(B33,Accuracy!$Y$69:$AL$72,9,FALSE))=TRUE,"",VLOOKUP(B33,Accuracy!$Y$69:$AL$72,9,FALSE))</f>
        <v>0.9919</v>
      </c>
      <c r="M33" s="305">
        <f>IF(ISNA(VLOOKUP(B33,Accuracy!$Y$69:$AL$72,12,FALSE))=TRUE,"",VLOOKUP(B33,Accuracy!$Y$69:$AL$72,12,FALSE))</f>
        <v>0.9837</v>
      </c>
    </row>
    <row r="34" spans="1:13" ht="12.75">
      <c r="A34" s="16"/>
      <c r="B34" s="124" t="s">
        <v>245</v>
      </c>
      <c r="C34" s="266">
        <f>IF(ISNA(VLOOKUP($B34,EDW_FEEDER!$T$2:$AH$86,2,FALSE))=TRUE,"",VLOOKUP($B34,EDW_FEEDER!$T$2:$AH$86,2,FALSE))</f>
        <v>4422</v>
      </c>
      <c r="D34" s="267">
        <f>IF(ISNA(VLOOKUP(B34,EDW_FEEDER!$T$2:$AH$86,3,FALSE))=TRUE,"",VLOOKUP(B34,EDW_FEEDER!$T$2:$AH$86,3,FALSE))</f>
        <v>54.1</v>
      </c>
      <c r="E34" s="268">
        <f>IF(ISNA(VLOOKUP(B34,EDW_FEEDER!$T$2:$AH$86,4,FALSE))=TRUE,"",VLOOKUP(B34,EDW_FEEDER!$T$2:$AH$870,4,FALSE))</f>
        <v>0.08774</v>
      </c>
      <c r="F34" s="266">
        <f>IF(ISNA(VLOOKUP(B34,EDW_FEEDER!$T$2:$AH$86,5,FALSE))=TRUE,"",VLOOKUP(B34,EDW_FEEDER!$T$2:$AH$86,5,FALSE))</f>
        <v>751</v>
      </c>
      <c r="G34" s="266">
        <f>IF(ISNA(VLOOKUP(B34,EDW_FEEDER!$T$2:$AH$86,6,FALSE))=TRUE,"",VLOOKUP(B34,EDW_FEEDER!$T$2:$AH$86,6,FALSE))</f>
        <v>7213</v>
      </c>
      <c r="H34" s="267">
        <f>IF(ISNA(VLOOKUP(B34,EDW_FEEDER!$T$2:$AH$86,7,FALSE))=TRUE,"",VLOOKUP(B34,EDW_FEEDER!$T$2:$AH$86,7,FALSE))</f>
        <v>58</v>
      </c>
      <c r="I34" s="267">
        <f>IF(ISNA(VLOOKUP(B34,EDW_FEEDER!$T$2:$AH$86,8,FALSE))=TRUE,"",VLOOKUP(B34,EDW_FEEDER!$T$2:$AH$86,8,FALSE))</f>
        <v>54</v>
      </c>
      <c r="J34" s="269"/>
      <c r="K34" s="268">
        <f>IF(ISNA(VLOOKUP(B34,Accuracy!$Y$69:$AL$72,6,FALSE))=TRUE,"",VLOOKUP(B34,Accuracy!$Y$69:$AL$72,6,FALSE))</f>
        <v>1</v>
      </c>
      <c r="L34" s="268">
        <f>IF(ISNA(VLOOKUP(B34,Accuracy!$Y$69:$AL$72,9,FALSE))=TRUE,"",VLOOKUP(B34,Accuracy!$Y$69:$AL$72,9,FALSE))</f>
        <v>0.9959</v>
      </c>
      <c r="M34" s="305">
        <f>IF(ISNA(VLOOKUP(B34,Accuracy!$Y$69:$AL$72,12,FALSE))=TRUE,"",VLOOKUP(B34,Accuracy!$Y$69:$AL$72,12,FALSE))</f>
        <v>0.992</v>
      </c>
    </row>
    <row r="35" spans="2:13" ht="12.75">
      <c r="B35" s="124" t="s">
        <v>253</v>
      </c>
      <c r="C35" s="266">
        <f>IF(ISNA(VLOOKUP($B35,EDW_FEEDER!$T$2:$AH$86,2,FALSE))=TRUE,"",VLOOKUP($B35,EDW_FEEDER!$T$2:$AH$86,2,FALSE))</f>
        <v>7189</v>
      </c>
      <c r="D35" s="267">
        <f>IF(ISNA(VLOOKUP(B35,EDW_FEEDER!$T$2:$AH$86,3,FALSE))=TRUE,"",VLOOKUP(B35,EDW_FEEDER!$T$2:$AH$86,3,FALSE))</f>
        <v>50.3</v>
      </c>
      <c r="E35" s="268">
        <f>IF(ISNA(VLOOKUP(B35,EDW_FEEDER!$T$2:$AH$86,4,FALSE))=TRUE,"",VLOOKUP(B35,EDW_FEEDER!$T$2:$AH$870,4,FALSE))</f>
        <v>0.05147</v>
      </c>
      <c r="F35" s="266">
        <f>IF(ISNA(VLOOKUP(B35,EDW_FEEDER!$T$2:$AH$86,5,FALSE))=TRUE,"",VLOOKUP(B35,EDW_FEEDER!$T$2:$AH$86,5,FALSE))</f>
        <v>1215</v>
      </c>
      <c r="G35" s="266">
        <f>IF(ISNA(VLOOKUP(B35,EDW_FEEDER!$T$2:$AH$86,6,FALSE))=TRUE,"",VLOOKUP(B35,EDW_FEEDER!$T$2:$AH$86,6,FALSE))</f>
        <v>10222</v>
      </c>
      <c r="H35" s="267">
        <f>IF(ISNA(VLOOKUP(B35,EDW_FEEDER!$T$2:$AH$86,7,FALSE))=TRUE,"",VLOOKUP(B35,EDW_FEEDER!$T$2:$AH$86,7,FALSE))</f>
        <v>65.5</v>
      </c>
      <c r="I35" s="267">
        <f>IF(ISNA(VLOOKUP(B35,EDW_FEEDER!$T$2:$AH$86,8,FALSE))=TRUE,"",VLOOKUP(B35,EDW_FEEDER!$T$2:$AH$86,8,FALSE))</f>
        <v>62.3</v>
      </c>
      <c r="J35" s="269"/>
      <c r="K35" s="268">
        <f>IF(ISNA(VLOOKUP(B35,Accuracy!$Y$69:$AL$72,6,FALSE))=TRUE,"",VLOOKUP(B35,Accuracy!$Y$69:$AL$72,6,FALSE))</f>
        <v>1</v>
      </c>
      <c r="L35" s="268">
        <f>IF(ISNA(VLOOKUP(B35,Accuracy!$Y$69:$AL$72,9,FALSE))=TRUE,"",VLOOKUP(B35,Accuracy!$Y$69:$AL$72,9,FALSE))</f>
        <v>0.9961</v>
      </c>
      <c r="M35" s="305">
        <f>IF(ISNA(VLOOKUP(B35,Accuracy!$Y$69:$AL$72,12,FALSE))=TRUE,"",VLOOKUP(B35,Accuracy!$Y$69:$AL$72,12,FALSE))</f>
        <v>0.996</v>
      </c>
    </row>
    <row r="36" spans="2:13" ht="12.75">
      <c r="B36" s="125" t="s">
        <v>435</v>
      </c>
      <c r="C36" s="266">
        <f>IF(ISNA(VLOOKUP($B36,EDW_FEEDER!$T$2:$AH$86,2,FALSE))=TRUE,"",VLOOKUP($B36,EDW_FEEDER!$T$2:$AH$86,2,FALSE))</f>
        <v>654</v>
      </c>
      <c r="D36" s="267">
        <f>IF(ISNA(VLOOKUP(B36,EDW_FEEDER!$T$2:$AH$86,3,FALSE))=TRUE,"",VLOOKUP(B36,EDW_FEEDER!$T$2:$AH$86,3,FALSE))</f>
        <v>174.2</v>
      </c>
      <c r="E36" s="268">
        <f>IF(ISNA(VLOOKUP(B36,EDW_FEEDER!$T$2:$AH$86,4,FALSE))=TRUE,"",VLOOKUP(B36,EDW_FEEDER!$T$2:$AH$870,4,FALSE))</f>
        <v>0.56269</v>
      </c>
      <c r="F36" s="266">
        <f>IF(ISNA(VLOOKUP(B36,EDW_FEEDER!$T$2:$AH$86,5,FALSE))=TRUE,"",VLOOKUP(B36,EDW_FEEDER!$T$2:$AH$86,5,FALSE))</f>
        <v>98</v>
      </c>
      <c r="G36" s="266">
        <f>IF(ISNA(VLOOKUP(B36,EDW_FEEDER!$T$2:$AH$86,6,FALSE))=TRUE,"",VLOOKUP(B36,EDW_FEEDER!$T$2:$AH$86,6,FALSE))</f>
        <v>1047</v>
      </c>
      <c r="H36" s="267">
        <f>IF(ISNA(VLOOKUP(B36,EDW_FEEDER!$T$2:$AH$86,7,FALSE))=TRUE,"",VLOOKUP(B36,EDW_FEEDER!$T$2:$AH$86,7,FALSE))</f>
        <v>67.8</v>
      </c>
      <c r="I36" s="267">
        <f>IF(ISNA(VLOOKUP(B36,EDW_FEEDER!$T$2:$AH$86,8,FALSE))=TRUE,"",VLOOKUP(B36,EDW_FEEDER!$T$2:$AH$86,8,FALSE))</f>
        <v>62.4</v>
      </c>
      <c r="J36" s="269"/>
      <c r="K36" s="269">
        <f>IF(ISNA(VLOOKUP(B36,Accuracy!$Y$69:$AL$72,6,FALSE))=TRUE,"",VLOOKUP(B36,Accuracy!$Y$69:$AL$72,6,FALSE))</f>
      </c>
      <c r="L36" s="269">
        <f>IF(ISNA(VLOOKUP(B36,Accuracy!$Y$69:$AL$72,9,FALSE))=TRUE,"",VLOOKUP(B36,Accuracy!$Y$69:$AL$72,9,FALSE))</f>
      </c>
      <c r="M36" s="269">
        <f>IF(ISNA(VLOOKUP(B36,Accuracy!$Y$69:$AL$72,9,FALSE))=TRUE,"",VLOOKUP(B36,Accuracy!$Y$69:$AL$72,9,FALSE))</f>
      </c>
    </row>
    <row r="37" spans="2:13" ht="12.75">
      <c r="B37" s="450" t="s">
        <v>300</v>
      </c>
      <c r="C37" s="453"/>
      <c r="D37" s="453"/>
      <c r="E37" s="453"/>
      <c r="F37" s="453"/>
      <c r="G37" s="453"/>
      <c r="H37" s="453"/>
      <c r="I37" s="453"/>
      <c r="J37" s="453"/>
      <c r="K37" s="453"/>
      <c r="L37" s="453"/>
      <c r="M37" s="454"/>
    </row>
    <row r="38" spans="2:13" ht="12.75">
      <c r="B38" s="230" t="s">
        <v>390</v>
      </c>
      <c r="C38" s="266">
        <f>IF(ISNA(VLOOKUP("USAQ",EDW_FEEDER!$T$2:$AH$86,2,FALSE))=TRUE,"",VLOOKUP("USAQ",EDW_FEEDER!$T$2:$AH$86,2,FALSE))</f>
        <v>10587</v>
      </c>
      <c r="D38" s="267">
        <f>IF(ISNA(VLOOKUP("USAQ",EDW_FEEDER!$T$2:$AH$86,3,FALSE))=TRUE,"",VLOOKUP("USAQ",EDW_FEEDER!$T$2:$AH$86,3,FALSE))</f>
        <v>83.9</v>
      </c>
      <c r="E38" s="268">
        <f>IF(ISNA(VLOOKUP("USAQ",EDW_FEEDER!$T$2:$AH$86,4,FALSE))=TRUE,"",VLOOKUP("USAQ",EDW_FEEDER!$T$2:$AH$86,4,FALSE))</f>
        <v>0.23765</v>
      </c>
      <c r="F38" s="266">
        <f>IF(ISNA(VLOOKUP("USAQ",EDW_FEEDER!$T$2:$AH$86,5,FALSE))=TRUE,"",VLOOKUP("USAQ",EDW_FEEDER!$T$2:$AH$86,5,FALSE))</f>
        <v>574</v>
      </c>
      <c r="G38" s="266">
        <f>IF(ISNA(VLOOKUP("USAQ",EDW_FEEDER!$T$2:$AH$86,6,FALSE))=TRUE,"",VLOOKUP("USAQ",EDW_FEEDER!$T$2:$AH$86,6,FALSE))</f>
        <v>4483</v>
      </c>
      <c r="H38" s="267">
        <f>IF(ISNA(VLOOKUP("USAQ",EDW_FEEDER!$T$2:$AH$86,7,FALSE))=TRUE,"",VLOOKUP("USAQ",EDW_FEEDER!$T$2:$AH$86,7,FALSE))</f>
        <v>127.2</v>
      </c>
      <c r="I38" s="267">
        <f>IF(ISNA(VLOOKUP("USAQ",EDW_FEEDER!$T$2:$AH$86,8,FALSE))=TRUE,"",VLOOKUP("USAQ",EDW_FEEDER!$T$2:$AH$86,8,FALSE))</f>
        <v>121.3</v>
      </c>
      <c r="J38" s="269"/>
      <c r="K38" s="269"/>
      <c r="L38" s="269"/>
      <c r="M38" s="269"/>
    </row>
    <row r="39" spans="2:16" ht="12.75">
      <c r="B39" s="229" t="s">
        <v>85</v>
      </c>
      <c r="C39" s="266">
        <f>IF(ISNA(VLOOKUP("San Diego QS",EDW_FEEDER!$T$2:$AH$86,2,FALSE))=TRUE,"",VLOOKUP("San Diego QS",EDW_FEEDER!$T$2:$AH$86,2,FALSE))</f>
        <v>3366</v>
      </c>
      <c r="D39" s="267">
        <f>IF(ISNA(VLOOKUP("San Diego QS",EDW_FEEDER!$T$2:$AH$86,3,FALSE))=TRUE,"",VLOOKUP("San Diego QS",EDW_FEEDER!$T$2:$AH$86,3,FALSE))</f>
        <v>89.3</v>
      </c>
      <c r="E39" s="268">
        <f>IF(ISNA(VLOOKUP("San Diego QS",EDW_FEEDER!$T$2:$AH$86,4,FALSE))=TRUE,"",VLOOKUP("San Diego QS",EDW_FEEDER!$T$2:$AH$86,4,FALSE))</f>
        <v>0.27956</v>
      </c>
      <c r="F39" s="266">
        <f>IF(ISNA(VLOOKUP("San Diego QS",EDW_FEEDER!$T$2:$AH$86,5,FALSE))=TRUE,"",VLOOKUP("San Diego QS",EDW_FEEDER!$T$2:$AH$86,5,FALSE))</f>
        <v>268</v>
      </c>
      <c r="G39" s="266">
        <f>IF(ISNA(VLOOKUP("San Diego QS",EDW_FEEDER!$T$2:$AH$86,6,FALSE))=TRUE,"",VLOOKUP("San Diego QS",EDW_FEEDER!$T$2:$AH$86,6,FALSE))</f>
        <v>2176</v>
      </c>
      <c r="H39" s="267">
        <f>IF(ISNA(VLOOKUP("San Diego QS",EDW_FEEDER!$T$2:$AH$86,7,FALSE))=TRUE,"",VLOOKUP("San Diego QS",EDW_FEEDER!$T$2:$AH$86,7,FALSE))</f>
        <v>117.5</v>
      </c>
      <c r="I39" s="267">
        <f>IF(ISNA(VLOOKUP("San Diego QS",EDW_FEEDER!$T$2:$AH$86,8,FALSE))=TRUE,"",VLOOKUP("San Diego QS",EDW_FEEDER!$T$2:$AH$86,8,FALSE))</f>
        <v>105.6</v>
      </c>
      <c r="J39" s="269"/>
      <c r="K39" s="269"/>
      <c r="L39" s="269"/>
      <c r="M39" s="269"/>
      <c r="N39" s="57"/>
      <c r="O39" s="57"/>
      <c r="P39" s="57"/>
    </row>
    <row r="40" spans="2:16" ht="12.75">
      <c r="B40" s="229" t="s">
        <v>97</v>
      </c>
      <c r="C40" s="266">
        <f>IF(ISNA(VLOOKUP("Winston-Salem QS",EDW_FEEDER!$T$2:$AH$86,2,FALSE))=TRUE,"",VLOOKUP("Winston-Salem QS",EDW_FEEDER!$T$2:$AH$86,2,FALSE))</f>
        <v>4776</v>
      </c>
      <c r="D40" s="267">
        <f>IF(ISNA(VLOOKUP("Winston-Salem QS",EDW_FEEDER!$T$2:$AH$86,3,FALSE))=TRUE,"",VLOOKUP("Winston-Salem QS",EDW_FEEDER!$T$2:$AH$86,3,FALSE))</f>
        <v>88.5</v>
      </c>
      <c r="E40" s="268">
        <f>IF(ISNA(VLOOKUP("Winston-Salem QS",EDW_FEEDER!$T$2:$AH$86,4,FALSE))=TRUE,"",VLOOKUP("Winston-Salem QS",EDW_FEEDER!$T$2:$AH$86,4,FALSE))</f>
        <v>0.24916</v>
      </c>
      <c r="F40" s="266">
        <f>IF(ISNA(VLOOKUP("Winston-Salem QS",EDW_FEEDER!$T$2:$AH$86,5,FALSE))=TRUE,"",VLOOKUP("Winston-Salem QS",EDW_FEEDER!$T$2:$AH$86,5,FALSE))</f>
        <v>252</v>
      </c>
      <c r="G40" s="266">
        <f>IF(ISNA(VLOOKUP("Winston-Salem QS",EDW_FEEDER!$T$2:$AH$86,6,FALSE))=TRUE,"",VLOOKUP("Winston-Salem QS",EDW_FEEDER!$T$2:$AH$86,6,FALSE))</f>
        <v>1984</v>
      </c>
      <c r="H40" s="267">
        <f>IF(ISNA(VLOOKUP("Winston-Salem QS",EDW_FEEDER!$T$2:$AH$86,7,FALSE))=TRUE,"",VLOOKUP("Winston-Salem QS",EDW_FEEDER!$T$2:$AH$870,7,FALSE))</f>
        <v>142.9</v>
      </c>
      <c r="I40" s="267">
        <f>IF(ISNA(VLOOKUP("Winston-Salem QS",EDW_FEEDER!$T$2:$AH$86,8,FALSE))=TRUE,"",VLOOKUP("Winston-Salem QS",EDW_FEEDER!$T$2:$AH$86,8,FALSE))</f>
        <v>135.6</v>
      </c>
      <c r="J40" s="269"/>
      <c r="K40" s="269"/>
      <c r="L40" s="269"/>
      <c r="M40" s="269"/>
      <c r="N40" s="95"/>
      <c r="O40" s="96"/>
      <c r="P40" s="96"/>
    </row>
    <row r="41" spans="2:16" ht="12.75">
      <c r="B41" s="123" t="s">
        <v>434</v>
      </c>
      <c r="C41" s="266">
        <f>IF(ISNA(VLOOKUP(B41,EDW_FEEDER!$T$2:$AH$86,2,FALSE))=TRUE,"",VLOOKUP(B41,EDW_FEEDER!$T$2:$AH$86,2,FALSE))</f>
        <v>2445</v>
      </c>
      <c r="D41" s="267">
        <f>IF(ISNA(VLOOKUP(B41,EDW_FEEDER!$T$2:$AH$86,3,FALSE))=TRUE,"",VLOOKUP(B41,EDW_FEEDER!$T$2:$AH$86,3,FALSE))</f>
        <v>67.6</v>
      </c>
      <c r="E41" s="268">
        <f>IF(ISNA(VLOOKUP(B41,EDW_FEEDER!$T$2:$AH$86,4,FALSE))=TRUE,"",VLOOKUP(B41,EDW_FEEDER!$T$2:$AH$86,4,FALSE))</f>
        <v>0.15746</v>
      </c>
      <c r="F41" s="266">
        <f>IF(ISNA(VLOOKUP(B41,EDW_FEEDER!$T$2:$AH$86,5,FALSE))=TRUE,"",VLOOKUP(B41,EDW_FEEDER!$T$2:$AH$86,5,FALSE))</f>
        <v>54</v>
      </c>
      <c r="G41" s="266">
        <f>IF(ISNA(VLOOKUP(B41,EDW_FEEDER!$T$2:$AH$86,6,FALSE))=TRUE,"",VLOOKUP(B41,EDW_FEEDER!$T$2:$AH$86,6,FALSE))</f>
        <v>323</v>
      </c>
      <c r="H41" s="267">
        <f>IF(ISNA(VLOOKUP(B41,EDW_FEEDER!$T$2:$AH$86,7,FALSE))=TRUE,"",VLOOKUP(B41,EDW_FEEDER!$T$2:$AH$870,7,FALSE))</f>
        <v>102.6</v>
      </c>
      <c r="I41" s="267">
        <f>IF(ISNA(VLOOKUP(B41,EDW_FEEDER!$T$2:$AH$86,8,FALSE))=TRUE,"",VLOOKUP(B41,EDW_FEEDER!$T$2:$AH$86,8,FALSE))</f>
        <v>139.5</v>
      </c>
      <c r="J41" s="269"/>
      <c r="K41" s="269"/>
      <c r="L41" s="269"/>
      <c r="M41" s="269"/>
      <c r="N41" s="95"/>
      <c r="O41" s="96"/>
      <c r="P41" s="96"/>
    </row>
    <row r="42" spans="2:16" ht="12.75">
      <c r="B42" s="450" t="s">
        <v>301</v>
      </c>
      <c r="C42" s="453"/>
      <c r="D42" s="453"/>
      <c r="E42" s="453"/>
      <c r="F42" s="453"/>
      <c r="G42" s="453"/>
      <c r="H42" s="453"/>
      <c r="I42" s="453"/>
      <c r="J42" s="453"/>
      <c r="K42" s="453"/>
      <c r="L42" s="453"/>
      <c r="M42" s="454"/>
      <c r="N42" s="95"/>
      <c r="O42" s="96"/>
      <c r="P42" s="96"/>
    </row>
    <row r="43" spans="2:16" ht="25.5">
      <c r="B43" s="230" t="s">
        <v>400</v>
      </c>
      <c r="C43" s="266">
        <f>IF(ISNA(VLOOKUP("USAB",EDW_FEEDER!$T$2:$AH$86,2,FALSE))=TRUE,"",VLOOKUP("USAB",EDW_FEEDER!$T$2:$AH$86,2,FALSE))</f>
        <v>11179</v>
      </c>
      <c r="D43" s="267">
        <f>IF(ISNA(VLOOKUP("USAB",EDW_FEEDER!$T$2:$AH$86,3,FALSE))=TRUE,"",VLOOKUP("USAB",EDW_FEEDER!$T$2:$AH$86,3,FALSE))</f>
        <v>87.2</v>
      </c>
      <c r="E43" s="268">
        <f>IF(ISNA(VLOOKUP("USAB",EDW_FEEDER!$T$2:$AH$86,4,FALSE))=TRUE,"",VLOOKUP("USAB",EDW_FEEDER!$T$2:$AH$86,4,FALSE))</f>
        <v>0.25709</v>
      </c>
      <c r="F43" s="266">
        <f>IF(ISNA(VLOOKUP("USAB",EDW_FEEDER!$T$2:$AH$86,5,FALSE))=TRUE,"",VLOOKUP("USAB",EDW_FEEDER!$T$2:$AH$86,5,FALSE))</f>
        <v>475</v>
      </c>
      <c r="G43" s="266">
        <f>IF(ISNA(VLOOKUP("USAB",EDW_FEEDER!$T$2:$AH$86,6,FALSE))=TRUE,"",VLOOKUP("USAB",EDW_FEEDER!$T$2:$AH$870,6,FALSE))</f>
        <v>4768</v>
      </c>
      <c r="H43" s="267">
        <f>IF(ISNA(VLOOKUP("USAB",EDW_FEEDER!$T$2:$AH$86,7,FALSE))=TRUE,"",VLOOKUP("USAB",EDW_FEEDER!$T$2:$AH$86,7,FALSE))</f>
        <v>150.8</v>
      </c>
      <c r="I43" s="267">
        <f>IF(ISNA(VLOOKUP("USAB",EDW_FEEDER!$T$2:$AH$86,8,FALSE))=TRUE,"",VLOOKUP("USAB",EDW_FEEDER!$T$2:$AH$86,8,FALSE))</f>
        <v>148.3</v>
      </c>
      <c r="J43" s="269"/>
      <c r="K43" s="269"/>
      <c r="L43" s="269"/>
      <c r="M43" s="269"/>
      <c r="N43" s="95"/>
      <c r="O43" s="96"/>
      <c r="P43" s="96"/>
    </row>
    <row r="44" spans="2:13" ht="12.75">
      <c r="B44" s="229" t="s">
        <v>97</v>
      </c>
      <c r="C44" s="266">
        <f>IF(ISNA(VLOOKUP("Winston-Salem BDD",EDW_FEEDER!$T$2:$AH$86,2,FALSE))=TRUE,"",VLOOKUP("Winston-Salem BDD",EDW_FEEDER!$T$2:$AH$86,2,FALSE))</f>
        <v>3764</v>
      </c>
      <c r="D44" s="267">
        <f>IF(ISNA(VLOOKUP("Winston-Salem BDD",EDW_FEEDER!$T$2:$AH$86,3,FALSE))=TRUE,"",VLOOKUP("Winston-Salem BDD",EDW_FEEDER!$T$2:$AH$86,3,FALSE))</f>
        <v>67</v>
      </c>
      <c r="E44" s="268">
        <f>IF(ISNA(VLOOKUP("Winston-Salem BDD",EDW_FEEDER!$T$2:$AH$86,4,FALSE))=TRUE,"",VLOOKUP("Winston-Salem BDD",EDW_FEEDER!$T$2:$AH$86,4,FALSE))</f>
        <v>0.10972</v>
      </c>
      <c r="F44" s="266">
        <f>IF(ISNA(VLOOKUP("Winston-Salem BDD",EDW_FEEDER!$T$2:$AH$86,5,FALSE))=TRUE,"",VLOOKUP("Winston-Salem BDD",EDW_FEEDER!$T$2:$AH$86,5,FALSE))</f>
        <v>155</v>
      </c>
      <c r="G44" s="266">
        <f>IF(ISNA(VLOOKUP("Winston-Salem BDD",EDW_FEEDER!$T$2:$AH$86,6,FALSE))=TRUE,"",VLOOKUP("Winston-Salem BDD",EDW_FEEDER!$T$2:$AH$870,6,FALSE))</f>
        <v>1892</v>
      </c>
      <c r="H44" s="267">
        <f>IF(ISNA(VLOOKUP("Winston-Salem BDD",EDW_FEEDER!$T$2:$AH$86,7,FALSE))=TRUE,"",VLOOKUP("Winston-Salem BDD",EDW_FEEDER!$T$2:$AH$86,7,FALSE))</f>
        <v>108.9</v>
      </c>
      <c r="I44" s="267">
        <f>IF(ISNA(VLOOKUP("Winston-Salem BDD",EDW_FEEDER!$T$2:$AH$86,8,FALSE))=TRUE,"",VLOOKUP("Winston-Salem BDD",EDW_FEEDER!$T$2:$AH$86,8,FALSE))</f>
        <v>90.1</v>
      </c>
      <c r="J44" s="269"/>
      <c r="K44" s="269"/>
      <c r="L44" s="269"/>
      <c r="M44" s="269"/>
    </row>
    <row r="45" spans="2:13" ht="12.75">
      <c r="B45" s="229" t="s">
        <v>84</v>
      </c>
      <c r="C45" s="266">
        <f>IF(ISNA(VLOOKUP("Salt Lake City BDD",EDW_FEEDER!$T$2:$AH$86,2,FALSE))=TRUE,"",VLOOKUP("Salt Lake City BDD",EDW_FEEDER!$T$2:$AH$86,2,FALSE))</f>
        <v>5787</v>
      </c>
      <c r="D45" s="267">
        <f>IF(ISNA(VLOOKUP("Salt Lake City BDD",EDW_FEEDER!$T$2:$AH$86,3,FALSE))=TRUE,"",VLOOKUP("Salt Lake City BDD",EDW_FEEDER!$T$2:$AH$86,3,FALSE))</f>
        <v>102.7</v>
      </c>
      <c r="E45" s="268">
        <f>IF(ISNA(VLOOKUP("Salt Lake City BDD",EDW_FEEDER!$T$2:$AH$86,4,FALSE))=TRUE,"",VLOOKUP("Salt Lake City BDD",EDW_FEEDER!$T$2:$AH$86,4,FALSE))</f>
        <v>0.36236</v>
      </c>
      <c r="F45" s="266">
        <f>IF(ISNA(VLOOKUP("Salt Lake City BDD",EDW_FEEDER!$T$2:$AH$86,5,FALSE))=TRUE,"",VLOOKUP("Salt Lake City BDD",EDW_FEEDER!$T$2:$AH$86,5,FALSE))</f>
        <v>281</v>
      </c>
      <c r="G45" s="266">
        <f>IF(ISNA(VLOOKUP("Salt Lake City BDD",EDW_FEEDER!$T$2:$AH$86,6,FALSE))=TRUE,"",VLOOKUP("Salt Lake City BDD",EDW_FEEDER!$T$2:$AH$86,6,FALSE))</f>
        <v>2519</v>
      </c>
      <c r="H45" s="267">
        <f>IF(ISNA(VLOOKUP("Salt Lake City BDD",EDW_FEEDER!$T$2:$AH$86,7,FALSE))=TRUE,"",VLOOKUP("Salt Lake City BDD",EDW_FEEDER!$T$2:$AH$870,7,FALSE))</f>
        <v>171</v>
      </c>
      <c r="I45" s="267">
        <f>IF(ISNA(VLOOKUP("Salt Lake City BDD",EDW_FEEDER!$T$2:$AH$86,8,FALSE))=TRUE,"",VLOOKUP("Salt Lake City BDD",EDW_FEEDER!$T$2:$AH$86,8,FALSE))</f>
        <v>189.2</v>
      </c>
      <c r="J45" s="269"/>
      <c r="K45" s="269"/>
      <c r="L45" s="269"/>
      <c r="M45" s="269"/>
    </row>
    <row r="46" spans="2:13" ht="12.75">
      <c r="B46" s="123" t="s">
        <v>436</v>
      </c>
      <c r="C46" s="266">
        <f>IF(ISNA(VLOOKUP(B46,EDW_FEEDER!$T$2:$AH$86,2,FALSE))=TRUE,"",VLOOKUP(B46,EDW_FEEDER!$T$2:$AH$86,2,FALSE))</f>
        <v>1628</v>
      </c>
      <c r="D46" s="267">
        <f>IF(ISNA(VLOOKUP(B46,EDW_FEEDER!$T$2:$AH$86,3,FALSE))=TRUE,"",VLOOKUP(B46,EDW_FEEDER!$T$2:$AH$86,3,FALSE))</f>
        <v>78.6</v>
      </c>
      <c r="E46" s="268">
        <f>IF(ISNA(VLOOKUP(B46,EDW_FEEDER!$T$2:$AH$86,4,FALSE))=TRUE,"",VLOOKUP(B46,EDW_FEEDER!$T$2:$AH$86,4,FALSE))</f>
        <v>0.22359</v>
      </c>
      <c r="F46" s="266">
        <f>IF(ISNA(VLOOKUP(B46,EDW_FEEDER!$T$2:$AH$86,5,FALSE))=TRUE,"",VLOOKUP(B46,EDW_FEEDER!$T$2:$AH$86,5,FALSE))</f>
        <v>39</v>
      </c>
      <c r="G46" s="266">
        <f>IF(ISNA(VLOOKUP(B46,EDW_FEEDER!$T$2:$AH$86,6,FALSE))=TRUE,"",VLOOKUP(B46,EDW_FEEDER!$T$2:$AH$86,6,FALSE))</f>
        <v>357</v>
      </c>
      <c r="H46" s="267">
        <f>IF(ISNA(VLOOKUP(B46,EDW_FEEDER!$T$2:$AH$86,7,FALSE))=TRUE,"",VLOOKUP(B46,EDW_FEEDER!$T$2:$AH$870,7,FALSE))</f>
        <v>171.6</v>
      </c>
      <c r="I46" s="267">
        <f>IF(ISNA(VLOOKUP(B46,EDW_FEEDER!$T$2:$AH$86,8,FALSE))=TRUE,"",VLOOKUP(B46,EDW_FEEDER!$T$2:$AH$86,8,FALSE))</f>
        <v>167.1</v>
      </c>
      <c r="J46" s="269"/>
      <c r="K46" s="269"/>
      <c r="L46" s="269"/>
      <c r="M46" s="269"/>
    </row>
    <row r="48" spans="3:13" ht="12.75" customHeight="1">
      <c r="C48" s="234"/>
      <c r="D48" s="234"/>
      <c r="E48" s="234"/>
      <c r="F48" s="234"/>
      <c r="G48" s="234"/>
      <c r="H48" s="234"/>
      <c r="I48" s="234"/>
      <c r="J48" s="234"/>
      <c r="K48" s="234"/>
      <c r="L48" s="234"/>
      <c r="M48" s="234"/>
    </row>
    <row r="49" spans="2:13" ht="12.75" customHeight="1">
      <c r="B49" s="235"/>
      <c r="C49" s="235"/>
      <c r="D49" s="235"/>
      <c r="E49" s="235"/>
      <c r="F49" s="235"/>
      <c r="G49" s="235"/>
      <c r="H49" s="235"/>
      <c r="I49" s="235"/>
      <c r="J49" s="235"/>
      <c r="K49" s="235"/>
      <c r="L49" s="235"/>
      <c r="M49" s="235"/>
    </row>
    <row r="50" spans="2:13" ht="12.75" customHeight="1">
      <c r="B50" s="235"/>
      <c r="C50" s="235"/>
      <c r="D50" s="235"/>
      <c r="E50" s="235"/>
      <c r="F50" s="235"/>
      <c r="G50" s="235"/>
      <c r="H50" s="235"/>
      <c r="I50" s="235"/>
      <c r="J50" s="235"/>
      <c r="K50" s="235"/>
      <c r="L50" s="235"/>
      <c r="M50" s="235"/>
    </row>
    <row r="51" spans="2:13" ht="12.75" customHeight="1">
      <c r="B51" s="235"/>
      <c r="C51" s="235"/>
      <c r="D51" s="235"/>
      <c r="E51" s="235"/>
      <c r="F51" s="235"/>
      <c r="G51" s="235"/>
      <c r="H51" s="235"/>
      <c r="I51" s="235"/>
      <c r="J51" s="235"/>
      <c r="K51" s="235"/>
      <c r="L51" s="235"/>
      <c r="M51" s="235"/>
    </row>
    <row r="52" spans="2:13" ht="12.75" customHeight="1">
      <c r="B52" s="235"/>
      <c r="C52" s="235"/>
      <c r="D52" s="235"/>
      <c r="E52" s="235"/>
      <c r="F52" s="235"/>
      <c r="G52" s="235"/>
      <c r="H52" s="235"/>
      <c r="I52" s="235"/>
      <c r="J52" s="235"/>
      <c r="K52" s="235"/>
      <c r="L52" s="235"/>
      <c r="M52" s="235"/>
    </row>
    <row r="53" spans="2:13" ht="12.75" customHeight="1">
      <c r="B53" s="235"/>
      <c r="C53" s="235"/>
      <c r="D53" s="235"/>
      <c r="E53" s="235"/>
      <c r="F53" s="235"/>
      <c r="G53" s="235"/>
      <c r="H53" s="235"/>
      <c r="I53" s="235"/>
      <c r="J53" s="235"/>
      <c r="K53" s="235"/>
      <c r="L53" s="235"/>
      <c r="M53" s="235"/>
    </row>
    <row r="54" spans="2:13" ht="12.75" customHeight="1">
      <c r="B54" s="235"/>
      <c r="C54" s="235"/>
      <c r="D54" s="235"/>
      <c r="E54" s="235"/>
      <c r="F54" s="235"/>
      <c r="G54" s="235"/>
      <c r="H54" s="235"/>
      <c r="I54" s="235"/>
      <c r="J54" s="235"/>
      <c r="K54" s="235"/>
      <c r="L54" s="235"/>
      <c r="M54" s="235"/>
    </row>
    <row r="55" spans="2:13" ht="12.75" customHeight="1">
      <c r="B55" s="235"/>
      <c r="C55" s="235"/>
      <c r="D55" s="235"/>
      <c r="E55" s="235"/>
      <c r="F55" s="235"/>
      <c r="G55" s="235"/>
      <c r="H55" s="235"/>
      <c r="I55" s="235"/>
      <c r="J55" s="235"/>
      <c r="K55" s="235"/>
      <c r="L55" s="235"/>
      <c r="M55" s="235"/>
    </row>
  </sheetData>
  <sheetProtection password="A320" sheet="1" autoFilter="0"/>
  <protectedRanges>
    <protectedRange sqref="C11:M11 C13:M30 C38:M41 C43:M46 C32:M36" name="SOO"/>
  </protectedRanges>
  <mergeCells count="19">
    <mergeCell ref="B31:M31"/>
    <mergeCell ref="B37:M37"/>
    <mergeCell ref="B42:M42"/>
    <mergeCell ref="B12:M12"/>
    <mergeCell ref="C3:M3"/>
    <mergeCell ref="C1:I2"/>
    <mergeCell ref="C4:M4"/>
    <mergeCell ref="D6:E6"/>
    <mergeCell ref="G6:H6"/>
    <mergeCell ref="J1:M1"/>
    <mergeCell ref="J2:M2"/>
    <mergeCell ref="D5:E5"/>
    <mergeCell ref="G5:H5"/>
    <mergeCell ref="L5:M5"/>
    <mergeCell ref="L6:M6"/>
    <mergeCell ref="C9:M9"/>
    <mergeCell ref="G7:H7"/>
    <mergeCell ref="L7:M7"/>
    <mergeCell ref="D7:E7"/>
  </mergeCells>
  <conditionalFormatting sqref="B14:B30 B32:B36">
    <cfRule type="expression" priority="2" dxfId="0"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fitToHeight="1" fitToWidth="1" horizontalDpi="600" verticalDpi="600" orientation="landscape" scale="55" r:id="rId3"/>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49"/>
  <sheetViews>
    <sheetView zoomScale="70" zoomScaleNormal="70" zoomScaleSheetLayoutView="80" zoomScalePageLayoutView="0" workbookViewId="0" topLeftCell="A1">
      <selection activeCell="A1" sqref="A1"/>
    </sheetView>
  </sheetViews>
  <sheetFormatPr defaultColWidth="9.140625" defaultRowHeight="12.75"/>
  <cols>
    <col min="1" max="1" width="4.57421875" style="5" customWidth="1"/>
    <col min="2" max="2" width="30.7109375" style="4" customWidth="1"/>
    <col min="3" max="3" width="15.140625" style="4" customWidth="1"/>
    <col min="4" max="4" width="13.28125" style="4" customWidth="1"/>
    <col min="5" max="5" width="15.57421875" style="4" customWidth="1"/>
    <col min="6" max="6" width="18.00390625" style="4" customWidth="1"/>
    <col min="7" max="7" width="19.140625" style="4" customWidth="1"/>
    <col min="8" max="8" width="18.8515625" style="4" customWidth="1"/>
    <col min="9" max="9" width="16.140625" style="4" customWidth="1"/>
    <col min="10" max="10" width="18.140625" style="4" customWidth="1"/>
    <col min="11" max="11" width="12.140625" style="4" customWidth="1"/>
    <col min="12" max="12" width="13.00390625" style="4" customWidth="1"/>
    <col min="13" max="13" width="20.28125" style="4" customWidth="1"/>
    <col min="14" max="14" width="11.421875" style="5" customWidth="1"/>
    <col min="15" max="15" width="9.140625" style="5" customWidth="1"/>
    <col min="16" max="16" width="13.8515625" style="5" bestFit="1" customWidth="1"/>
    <col min="17" max="16384" width="9.140625" style="5" customWidth="1"/>
  </cols>
  <sheetData>
    <row r="1" spans="2:13" ht="24" customHeight="1">
      <c r="B1" s="236"/>
      <c r="C1" s="458" t="s">
        <v>395</v>
      </c>
      <c r="D1" s="459"/>
      <c r="E1" s="459"/>
      <c r="F1" s="459"/>
      <c r="G1" s="459"/>
      <c r="H1" s="459"/>
      <c r="I1" s="459"/>
      <c r="J1" s="458" t="s">
        <v>401</v>
      </c>
      <c r="K1" s="459"/>
      <c r="L1" s="459"/>
      <c r="M1" s="466"/>
    </row>
    <row r="2" spans="2:13" ht="24" customHeight="1" thickBot="1">
      <c r="B2" s="236"/>
      <c r="C2" s="433"/>
      <c r="D2" s="434"/>
      <c r="E2" s="434"/>
      <c r="F2" s="434"/>
      <c r="G2" s="434"/>
      <c r="H2" s="434"/>
      <c r="I2" s="434"/>
      <c r="J2" s="433" t="str">
        <f>Transformation!B5</f>
        <v>As of December 6, 2014</v>
      </c>
      <c r="K2" s="434"/>
      <c r="L2" s="434"/>
      <c r="M2" s="435"/>
    </row>
    <row r="3" spans="2:13" ht="51.75" customHeight="1" thickBot="1">
      <c r="B3" s="236"/>
      <c r="C3" s="455" t="s">
        <v>430</v>
      </c>
      <c r="D3" s="456"/>
      <c r="E3" s="456"/>
      <c r="F3" s="456"/>
      <c r="G3" s="456"/>
      <c r="H3" s="456"/>
      <c r="I3" s="456"/>
      <c r="J3" s="456"/>
      <c r="K3" s="456"/>
      <c r="L3" s="456"/>
      <c r="M3" s="457"/>
    </row>
    <row r="4" spans="2:13" ht="22.5" customHeight="1" thickBot="1">
      <c r="B4" s="227"/>
      <c r="C4" s="460" t="s">
        <v>237</v>
      </c>
      <c r="D4" s="461"/>
      <c r="E4" s="461"/>
      <c r="F4" s="461"/>
      <c r="G4" s="461"/>
      <c r="H4" s="461"/>
      <c r="I4" s="461"/>
      <c r="J4" s="461"/>
      <c r="K4" s="461"/>
      <c r="L4" s="461"/>
      <c r="M4" s="462"/>
    </row>
    <row r="5" spans="2:13" ht="55.5" customHeight="1">
      <c r="B5" s="107"/>
      <c r="C5" s="74" t="s">
        <v>223</v>
      </c>
      <c r="D5" s="436" t="s">
        <v>23</v>
      </c>
      <c r="E5" s="437"/>
      <c r="F5" s="69" t="s">
        <v>226</v>
      </c>
      <c r="G5" s="436" t="s">
        <v>231</v>
      </c>
      <c r="H5" s="438"/>
      <c r="I5" s="69" t="s">
        <v>229</v>
      </c>
      <c r="J5" s="70" t="s">
        <v>17</v>
      </c>
      <c r="K5" s="69" t="s">
        <v>234</v>
      </c>
      <c r="L5" s="439" t="s">
        <v>99</v>
      </c>
      <c r="M5" s="440"/>
    </row>
    <row r="6" spans="2:13" ht="51.75" customHeight="1">
      <c r="B6" s="107"/>
      <c r="C6" s="75" t="s">
        <v>224</v>
      </c>
      <c r="D6" s="463" t="s">
        <v>0</v>
      </c>
      <c r="E6" s="464"/>
      <c r="F6" s="71" t="s">
        <v>227</v>
      </c>
      <c r="G6" s="465" t="s">
        <v>232</v>
      </c>
      <c r="H6" s="465"/>
      <c r="I6" s="71" t="s">
        <v>230</v>
      </c>
      <c r="J6" s="31" t="s">
        <v>26</v>
      </c>
      <c r="K6" s="71" t="s">
        <v>235</v>
      </c>
      <c r="L6" s="441" t="s">
        <v>101</v>
      </c>
      <c r="M6" s="442"/>
    </row>
    <row r="7" spans="2:13" ht="51.75" customHeight="1" thickBot="1">
      <c r="B7" s="107"/>
      <c r="C7" s="76" t="s">
        <v>225</v>
      </c>
      <c r="D7" s="448" t="s">
        <v>25</v>
      </c>
      <c r="E7" s="449"/>
      <c r="F7" s="72" t="s">
        <v>228</v>
      </c>
      <c r="G7" s="445" t="s">
        <v>24</v>
      </c>
      <c r="H7" s="445"/>
      <c r="I7" s="72" t="s">
        <v>233</v>
      </c>
      <c r="J7" s="73" t="s">
        <v>98</v>
      </c>
      <c r="K7" s="72" t="s">
        <v>236</v>
      </c>
      <c r="L7" s="446" t="s">
        <v>100</v>
      </c>
      <c r="M7" s="447"/>
    </row>
    <row r="8" spans="3:12" ht="14.25" customHeight="1">
      <c r="C8" s="50"/>
      <c r="D8" s="50"/>
      <c r="E8" s="50"/>
      <c r="F8" s="50"/>
      <c r="G8" s="50"/>
      <c r="H8" s="50"/>
      <c r="I8" s="50"/>
      <c r="J8" s="50"/>
      <c r="K8" s="50"/>
      <c r="L8" s="50"/>
    </row>
    <row r="9" spans="3:16" ht="15.75" customHeight="1">
      <c r="C9" s="443" t="s">
        <v>392</v>
      </c>
      <c r="D9" s="443"/>
      <c r="E9" s="443"/>
      <c r="F9" s="443"/>
      <c r="G9" s="443"/>
      <c r="H9" s="443"/>
      <c r="I9" s="443"/>
      <c r="J9" s="443"/>
      <c r="K9" s="443"/>
      <c r="L9" s="443"/>
      <c r="M9" s="444"/>
      <c r="P9" s="78" t="s">
        <v>149</v>
      </c>
    </row>
    <row r="10" spans="3:16" ht="51">
      <c r="C10" s="109" t="s">
        <v>290</v>
      </c>
      <c r="D10" s="109" t="s">
        <v>154</v>
      </c>
      <c r="E10" s="109" t="s">
        <v>291</v>
      </c>
      <c r="F10" s="109" t="s">
        <v>217</v>
      </c>
      <c r="G10" s="109" t="s">
        <v>238</v>
      </c>
      <c r="H10" s="109" t="s">
        <v>240</v>
      </c>
      <c r="I10" s="109" t="s">
        <v>241</v>
      </c>
      <c r="J10" s="109" t="s">
        <v>221</v>
      </c>
      <c r="K10" s="109" t="s">
        <v>222</v>
      </c>
      <c r="L10" s="109" t="s">
        <v>220</v>
      </c>
      <c r="M10" s="109" t="s">
        <v>219</v>
      </c>
      <c r="P10" s="78" t="s">
        <v>150</v>
      </c>
    </row>
    <row r="11" spans="2:16" ht="12.75">
      <c r="B11" s="119" t="s">
        <v>7</v>
      </c>
      <c r="C11" s="266">
        <f>IF(ISNA(VLOOKUP($B11,EDW_FEEDER!$T$2:$AH$86,9,FALSE))=TRUE,"",VLOOKUP($B11,EDW_FEEDER!$T$2:$AH$86,9,FALSE))</f>
        <v>523724</v>
      </c>
      <c r="D11" s="267">
        <f>IF(ISNA(VLOOKUP(B11,EDW_FEEDER!$T$2:$AH$86,10,FALSE))=TRUE,"",VLOOKUP(B11,EDW_FEEDER!$T$2:$AH$86,10,FALSE))</f>
        <v>145.9</v>
      </c>
      <c r="E11" s="268">
        <f>IF(ISNA(VLOOKUP(B11,EDW_FEEDER!$T$2:$AH$86,11,FALSE))=TRUE,"",VLOOKUP(B11,EDW_FEEDER!$T$2:$AH$870,11,FALSE))</f>
        <v>0.46685</v>
      </c>
      <c r="F11" s="266">
        <f>IF(ISNA(VLOOKUP(B11,EDW_FEEDER!$T$2:$AH$86,12,FALSE))=TRUE,"",VLOOKUP(B11,EDW_FEEDER!$T$2:$AH$86,12,FALSE))</f>
        <v>24103</v>
      </c>
      <c r="G11" s="266">
        <f>IF(ISNA(VLOOKUP(B11,EDW_FEEDER!$T$2:$AH$86,13,FALSE))=TRUE,"",VLOOKUP(B11,EDW_FEEDER!$T$2:$AH$86,13,FALSE))</f>
        <v>227158</v>
      </c>
      <c r="H11" s="267">
        <f>IF(ISNA(VLOOKUP(B11,EDW_FEEDER!$T$2:$AH$86,14,FALSE))=TRUE,"",VLOOKUP(B11,EDW_FEEDER!$T$2:$AH$86,14,FALSE))</f>
        <v>187.5</v>
      </c>
      <c r="I11" s="267">
        <f>IF(ISNA(VLOOKUP(B11,EDW_FEEDER!$T$2:$AH$86,15,FALSE))=TRUE,"",VLOOKUP(B11,EDW_FEEDER!$T$2:$AH$86,15,FALSE))</f>
        <v>187.6</v>
      </c>
      <c r="J11" s="113"/>
      <c r="K11" s="113"/>
      <c r="L11" s="113"/>
      <c r="M11" s="113"/>
      <c r="P11" s="78" t="s">
        <v>151</v>
      </c>
    </row>
    <row r="12" spans="2:16" ht="12.75">
      <c r="B12" s="450" t="s">
        <v>387</v>
      </c>
      <c r="C12" s="451"/>
      <c r="D12" s="451"/>
      <c r="E12" s="451"/>
      <c r="F12" s="451"/>
      <c r="G12" s="451"/>
      <c r="H12" s="451"/>
      <c r="I12" s="451"/>
      <c r="J12" s="451"/>
      <c r="K12" s="451"/>
      <c r="L12" s="451"/>
      <c r="M12" s="452"/>
      <c r="P12" s="198" t="s">
        <v>152</v>
      </c>
    </row>
    <row r="13" spans="2:16" ht="12.75">
      <c r="B13" s="119" t="s">
        <v>388</v>
      </c>
      <c r="C13" s="266">
        <f>IF(ISNA(VLOOKUP("USAV",EDW_FEEDER!$T$2:$AH$86,9,FALSE))=TRUE,"",VLOOKUP("USAV",EDW_FEEDER!$T$2:$AH$86,9,FALSE))</f>
        <v>482801</v>
      </c>
      <c r="D13" s="267">
        <f>IF(ISNA(VLOOKUP("USAV",EDW_FEEDER!$T$2:$AH$86,10,FALSE))=TRUE,"",VLOOKUP("USAV",EDW_FEEDER!$T$2:$AH$86,10,FALSE))</f>
        <v>152</v>
      </c>
      <c r="E13" s="268">
        <f>IF(ISNA(VLOOKUP("USAV",EDW_FEEDER!$T$2:$AH$86,11,FALSE))=TRUE,"",VLOOKUP("USAV",EDW_FEEDER!$T$2:$AH$870,11,FALSE))</f>
        <v>0.49123</v>
      </c>
      <c r="F13" s="266">
        <f>IF(ISNA(VLOOKUP("USAV",EDW_FEEDER!$T$2:$AH$86,12,FALSE))=TRUE,"",VLOOKUP("USAV",EDW_FEEDER!$T$2:$AH$86,12,FALSE))</f>
        <v>20250</v>
      </c>
      <c r="G13" s="266">
        <f>IF(ISNA(VLOOKUP("USAV",EDW_FEEDER!$T$2:$AH$86,13,FALSE))=TRUE,"",VLOOKUP("USAV",EDW_FEEDER!$T$2:$AH$86,13,FALSE))</f>
        <v>191417</v>
      </c>
      <c r="H13" s="267">
        <f>IF(ISNA(VLOOKUP("USAV",EDW_FEEDER!$T$2:$AH$86,14,FALSE))=TRUE,"",VLOOKUP("USAV",EDW_FEEDER!$T$2:$AH$86,14,FALSE))</f>
        <v>207.1</v>
      </c>
      <c r="I13" s="267">
        <f>IF(ISNA(VLOOKUP("USAV",EDW_FEEDER!$T$2:$AH$86,15,FALSE))=TRUE,"",VLOOKUP("USAV",EDW_FEEDER!$T$2:$AH$86,15,FALSE))</f>
        <v>207.4</v>
      </c>
      <c r="J13" s="113"/>
      <c r="K13" s="113"/>
      <c r="L13" s="113"/>
      <c r="M13" s="113"/>
      <c r="P13" s="198" t="s">
        <v>9</v>
      </c>
    </row>
    <row r="14" spans="2:13" ht="12.75">
      <c r="B14" s="231" t="s">
        <v>149</v>
      </c>
      <c r="C14" s="266">
        <f>IF(ISNA(VLOOKUP($B14,EDW_FEEDER!$T$2:$AH$86,9,FALSE))=TRUE,"",VLOOKUP($B14,EDW_FEEDER!$T$2:$AH$86,9,FALSE))</f>
        <v>96414</v>
      </c>
      <c r="D14" s="267">
        <f>IF(ISNA(VLOOKUP(B14,EDW_FEEDER!$T$2:$AH$86,10,FALSE))=TRUE,"",VLOOKUP(B14,EDW_FEEDER!$T$2:$AH$86,10,FALSE))</f>
        <v>151.5</v>
      </c>
      <c r="E14" s="268">
        <f>IF(ISNA(VLOOKUP(B14,EDW_FEEDER!$T$2:$AH$86,11,FALSE))=TRUE,"",VLOOKUP(B14,EDW_FEEDER!$T$2:$AH$870,11,FALSE))</f>
        <v>0.48346</v>
      </c>
      <c r="F14" s="266">
        <f>IF(ISNA(VLOOKUP(B14,EDW_FEEDER!$T$2:$AH$86,12,FALSE))=TRUE,"",VLOOKUP(B14,EDW_FEEDER!$T$2:$AH$86,12,FALSE))</f>
        <v>3724</v>
      </c>
      <c r="G14" s="266">
        <f>IF(ISNA(VLOOKUP(B14,EDW_FEEDER!$T$2:$AH$86,13,FALSE))=TRUE,"",VLOOKUP(B14,EDW_FEEDER!$T$2:$AH$86,13,FALSE))</f>
        <v>38140</v>
      </c>
      <c r="H14" s="267">
        <f>IF(ISNA(VLOOKUP(B14,EDW_FEEDER!$T$2:$AH$86,14,FALSE))=TRUE,"",VLOOKUP(B14,EDW_FEEDER!$T$2:$AH$86,14,FALSE))</f>
        <v>204.3</v>
      </c>
      <c r="I14" s="267">
        <f>IF(ISNA(VLOOKUP(B14,EDW_FEEDER!$T$2:$AH$86,15,FALSE))=TRUE,"",VLOOKUP(B14,EDW_FEEDER!$T$2:$AH$86,15,FALSE))</f>
        <v>201.7</v>
      </c>
      <c r="J14" s="113"/>
      <c r="K14" s="113"/>
      <c r="L14" s="113"/>
      <c r="M14" s="113"/>
    </row>
    <row r="15" spans="2:13" ht="12.75">
      <c r="B15" s="120" t="str">
        <f>IF(ISBLANK(VLOOKUP($B$14,EDW_FEEDER!$A$117:$AK$121,2,FALSE))=TRUE,"",VLOOKUP($B$14,EDW_FEEDER!$A$117:$AK$121,2,FALSE))</f>
        <v>Baltimore</v>
      </c>
      <c r="C15" s="266">
        <f>IF(ISNA(VLOOKUP($B15,EDW_FEEDER!$T$2:$AH$86,9,FALSE))=TRUE,"",VLOOKUP($B15,EDW_FEEDER!$T$2:$AH$86,9,FALSE))</f>
        <v>5750</v>
      </c>
      <c r="D15" s="267">
        <f>IF(ISNA(VLOOKUP(B15,EDW_FEEDER!$T$2:$AH$86,10,FALSE))=TRUE,"",VLOOKUP(B15,EDW_FEEDER!$T$2:$AH$86,10,FALSE))</f>
        <v>220.9</v>
      </c>
      <c r="E15" s="268">
        <f>IF(ISNA(VLOOKUP(B15,EDW_FEEDER!$T$2:$AH$86,11,FALSE))=TRUE,"",VLOOKUP(B15,EDW_FEEDER!$T$2:$AH$870,11,FALSE))</f>
        <v>0.6567</v>
      </c>
      <c r="F15" s="266">
        <f>IF(ISNA(VLOOKUP(B15,EDW_FEEDER!$T$2:$AH$86,12,FALSE))=TRUE,"",VLOOKUP(B15,EDW_FEEDER!$T$2:$AH$86,12,FALSE))</f>
        <v>138</v>
      </c>
      <c r="G15" s="266">
        <f>IF(ISNA(VLOOKUP(B15,EDW_FEEDER!$T$2:$AH$86,13,FALSE))=TRUE,"",VLOOKUP(B15,EDW_FEEDER!$T$2:$AH$86,13,FALSE))</f>
        <v>836</v>
      </c>
      <c r="H15" s="267">
        <f>IF(ISNA(VLOOKUP(B15,EDW_FEEDER!$T$2:$AH$86,14,FALSE))=TRUE,"",VLOOKUP(B15,EDW_FEEDER!$T$2:$AH$86,14,FALSE))</f>
        <v>359.5</v>
      </c>
      <c r="I15" s="267">
        <f>IF(ISNA(VLOOKUP(B15,EDW_FEEDER!$T$2:$AH$86,15,FALSE))=TRUE,"",VLOOKUP(B15,EDW_FEEDER!$T$2:$AH$86,15,FALSE))</f>
        <v>373.2</v>
      </c>
      <c r="J15" s="113"/>
      <c r="K15" s="113"/>
      <c r="L15" s="113"/>
      <c r="M15" s="113"/>
    </row>
    <row r="16" spans="2:13" ht="12.75">
      <c r="B16" s="120" t="str">
        <f>IF(ISBLANK(VLOOKUP($B$14,EDW_FEEDER!$A$117:$AK$121,3,FALSE))=TRUE,"",VLOOKUP($B$14,EDW_FEEDER!$A$117:$AK$121,3,FALSE))</f>
        <v>Boston</v>
      </c>
      <c r="C16" s="266">
        <f>IF(ISNA(VLOOKUP($B16,EDW_FEEDER!$T$2:$AH$86,9,FALSE))=TRUE,"",VLOOKUP($B16,EDW_FEEDER!$T$2:$AH$86,9,FALSE))</f>
        <v>5748</v>
      </c>
      <c r="D16" s="267">
        <f>IF(ISNA(VLOOKUP(B16,EDW_FEEDER!$T$2:$AH$86,10,FALSE))=TRUE,"",VLOOKUP(B16,EDW_FEEDER!$T$2:$AH$86,10,FALSE))</f>
        <v>155.5</v>
      </c>
      <c r="E16" s="268">
        <f>IF(ISNA(VLOOKUP(B16,EDW_FEEDER!$T$2:$AH$86,11,FALSE))=TRUE,"",VLOOKUP(B16,EDW_FEEDER!$T$2:$AH$870,11,FALSE))</f>
        <v>0.47599</v>
      </c>
      <c r="F16" s="266">
        <f>IF(ISNA(VLOOKUP(B16,EDW_FEEDER!$T$2:$AH$86,12,FALSE))=TRUE,"",VLOOKUP(B16,EDW_FEEDER!$T$2:$AH$86,12,FALSE))</f>
        <v>116</v>
      </c>
      <c r="G16" s="266">
        <f>IF(ISNA(VLOOKUP(B16,EDW_FEEDER!$T$2:$AH$86,13,FALSE))=TRUE,"",VLOOKUP(B16,EDW_FEEDER!$T$2:$AH$86,13,FALSE))</f>
        <v>1265</v>
      </c>
      <c r="H16" s="267">
        <f>IF(ISNA(VLOOKUP(B16,EDW_FEEDER!$T$2:$AH$86,14,FALSE))=TRUE,"",VLOOKUP(B16,EDW_FEEDER!$T$2:$AH$86,14,FALSE))</f>
        <v>290.6</v>
      </c>
      <c r="I16" s="267">
        <f>IF(ISNA(VLOOKUP(B16,EDW_FEEDER!$T$2:$AH$86,15,FALSE))=TRUE,"",VLOOKUP(B16,EDW_FEEDER!$T$2:$AH$86,15,FALSE))</f>
        <v>252.9</v>
      </c>
      <c r="J16" s="113"/>
      <c r="K16" s="113"/>
      <c r="L16" s="113"/>
      <c r="M16" s="113"/>
    </row>
    <row r="17" spans="2:13" ht="12.75">
      <c r="B17" s="120" t="str">
        <f>IF(ISBLANK(VLOOKUP($B$14,EDW_FEEDER!$A$117:$AK$121,4,FALSE))=TRUE,"",VLOOKUP($B$14,EDW_FEEDER!$A$117:$AK$121,4,FALSE))</f>
        <v>Buffalo</v>
      </c>
      <c r="C17" s="266">
        <f>IF(ISNA(VLOOKUP($B17,EDW_FEEDER!$T$2:$AH$86,9,FALSE))=TRUE,"",VLOOKUP($B17,EDW_FEEDER!$T$2:$AH$86,9,FALSE))</f>
        <v>6018</v>
      </c>
      <c r="D17" s="267">
        <f>IF(ISNA(VLOOKUP(B17,EDW_FEEDER!$T$2:$AH$86,10,FALSE))=TRUE,"",VLOOKUP(B17,EDW_FEEDER!$T$2:$AH$86,10,FALSE))</f>
        <v>153.7</v>
      </c>
      <c r="E17" s="268">
        <f>IF(ISNA(VLOOKUP(B17,EDW_FEEDER!$T$2:$AH$86,11,FALSE))=TRUE,"",VLOOKUP(B17,EDW_FEEDER!$T$2:$AH$870,11,FALSE))</f>
        <v>0.54985</v>
      </c>
      <c r="F17" s="266">
        <f>IF(ISNA(VLOOKUP(B17,EDW_FEEDER!$T$2:$AH$86,12,FALSE))=TRUE,"",VLOOKUP(B17,EDW_FEEDER!$T$2:$AH$86,12,FALSE))</f>
        <v>178</v>
      </c>
      <c r="G17" s="266">
        <f>IF(ISNA(VLOOKUP(B17,EDW_FEEDER!$T$2:$AH$86,13,FALSE))=TRUE,"",VLOOKUP(B17,EDW_FEEDER!$T$2:$AH$86,13,FALSE))</f>
        <v>1823</v>
      </c>
      <c r="H17" s="267">
        <f>IF(ISNA(VLOOKUP(B17,EDW_FEEDER!$T$2:$AH$86,14,FALSE))=TRUE,"",VLOOKUP(B17,EDW_FEEDER!$T$2:$AH$86,14,FALSE))</f>
        <v>278.4</v>
      </c>
      <c r="I17" s="267">
        <f>IF(ISNA(VLOOKUP(B17,EDW_FEEDER!$T$2:$AH$86,15,FALSE))=TRUE,"",VLOOKUP(B17,EDW_FEEDER!$T$2:$AH$86,15,FALSE))</f>
        <v>254.3</v>
      </c>
      <c r="J17" s="113"/>
      <c r="K17" s="113"/>
      <c r="L17" s="113"/>
      <c r="M17" s="113"/>
    </row>
    <row r="18" spans="2:13" ht="12.75">
      <c r="B18" s="120" t="str">
        <f>IF(ISBLANK(VLOOKUP($B$14,EDW_FEEDER!$A$117:$AK$121,5,FALSE))=TRUE,"",VLOOKUP($B$14,EDW_FEEDER!$A$117:$AK$121,5,FALSE))</f>
        <v>Cleveland</v>
      </c>
      <c r="C18" s="266">
        <f>IF(ISNA(VLOOKUP($B18,EDW_FEEDER!$T$2:$AH$86,9,FALSE))=TRUE,"",VLOOKUP($B18,EDW_FEEDER!$T$2:$AH$86,9,FALSE))</f>
        <v>11672</v>
      </c>
      <c r="D18" s="267">
        <f>IF(ISNA(VLOOKUP(B18,EDW_FEEDER!$T$2:$AH$86,10,FALSE))=TRUE,"",VLOOKUP(B18,EDW_FEEDER!$T$2:$AH$86,10,FALSE))</f>
        <v>136.3</v>
      </c>
      <c r="E18" s="268">
        <f>IF(ISNA(VLOOKUP(B18,EDW_FEEDER!$T$2:$AH$86,11,FALSE))=TRUE,"",VLOOKUP(B18,EDW_FEEDER!$T$2:$AH$870,11,FALSE))</f>
        <v>0.38468</v>
      </c>
      <c r="F18" s="266">
        <f>IF(ISNA(VLOOKUP(B18,EDW_FEEDER!$T$2:$AH$86,12,FALSE))=TRUE,"",VLOOKUP(B18,EDW_FEEDER!$T$2:$AH$86,12,FALSE))</f>
        <v>699</v>
      </c>
      <c r="G18" s="266">
        <f>IF(ISNA(VLOOKUP(B18,EDW_FEEDER!$T$2:$AH$86,13,FALSE))=TRUE,"",VLOOKUP(B18,EDW_FEEDER!$T$2:$AH$86,13,FALSE))</f>
        <v>5899</v>
      </c>
      <c r="H18" s="267">
        <f>IF(ISNA(VLOOKUP(B18,EDW_FEEDER!$T$2:$AH$86,14,FALSE))=TRUE,"",VLOOKUP(B18,EDW_FEEDER!$T$2:$AH$86,14,FALSE))</f>
        <v>185.2</v>
      </c>
      <c r="I18" s="267">
        <f>IF(ISNA(VLOOKUP(B18,EDW_FEEDER!$T$2:$AH$86,15,FALSE))=TRUE,"",VLOOKUP(B18,EDW_FEEDER!$T$2:$AH$86,15,FALSE))</f>
        <v>189</v>
      </c>
      <c r="J18" s="113"/>
      <c r="K18" s="113"/>
      <c r="L18" s="113"/>
      <c r="M18" s="113"/>
    </row>
    <row r="19" spans="2:13" ht="12.75">
      <c r="B19" s="120" t="str">
        <f>IF(ISBLANK(VLOOKUP($B$14,EDW_FEEDER!$A$117:$AK$121,6,FALSE))=TRUE,"",VLOOKUP($B$14,EDW_FEEDER!$A$117:$AK$121,6,FALSE))</f>
        <v>Detroit</v>
      </c>
      <c r="C19" s="266">
        <f>IF(ISNA(VLOOKUP($B19,EDW_FEEDER!$T$2:$AH$86,9,FALSE))=TRUE,"",VLOOKUP($B19,EDW_FEEDER!$T$2:$AH$86,9,FALSE))</f>
        <v>10764</v>
      </c>
      <c r="D19" s="267">
        <f>IF(ISNA(VLOOKUP(B19,EDW_FEEDER!$T$2:$AH$86,10,FALSE))=TRUE,"",VLOOKUP(B19,EDW_FEEDER!$T$2:$AH$86,10,FALSE))</f>
        <v>130.2</v>
      </c>
      <c r="E19" s="268">
        <f>IF(ISNA(VLOOKUP(B19,EDW_FEEDER!$T$2:$AH$86,11,FALSE))=TRUE,"",VLOOKUP(B19,EDW_FEEDER!$T$2:$AH$870,11,FALSE))</f>
        <v>0.42289</v>
      </c>
      <c r="F19" s="266">
        <f>IF(ISNA(VLOOKUP(B19,EDW_FEEDER!$T$2:$AH$86,12,FALSE))=TRUE,"",VLOOKUP(B19,EDW_FEEDER!$T$2:$AH$86,12,FALSE))</f>
        <v>467</v>
      </c>
      <c r="G19" s="266">
        <f>IF(ISNA(VLOOKUP(B19,EDW_FEEDER!$T$2:$AH$86,13,FALSE))=TRUE,"",VLOOKUP(B19,EDW_FEEDER!$T$2:$AH$86,13,FALSE))</f>
        <v>4523</v>
      </c>
      <c r="H19" s="267">
        <f>IF(ISNA(VLOOKUP(B19,EDW_FEEDER!$T$2:$AH$86,14,FALSE))=TRUE,"",VLOOKUP(B19,EDW_FEEDER!$T$2:$AH$86,14,FALSE))</f>
        <v>188.1</v>
      </c>
      <c r="I19" s="267">
        <f>IF(ISNA(VLOOKUP(B19,EDW_FEEDER!$T$2:$AH$86,15,FALSE))=TRUE,"",VLOOKUP(B19,EDW_FEEDER!$T$2:$AH$86,15,FALSE))</f>
        <v>186.2</v>
      </c>
      <c r="J19" s="113"/>
      <c r="K19" s="113"/>
      <c r="L19" s="113"/>
      <c r="M19" s="113"/>
    </row>
    <row r="20" spans="2:13" ht="12.75">
      <c r="B20" s="120" t="str">
        <f>IF(ISBLANK(VLOOKUP($B$14,EDW_FEEDER!$A$117:$AK$121,7,FALSE))=TRUE,"",VLOOKUP($B$14,EDW_FEEDER!$A$117:$AK$121,7,FALSE))</f>
        <v>Hartford</v>
      </c>
      <c r="C20" s="266">
        <f>IF(ISNA(VLOOKUP($B20,EDW_FEEDER!$T$2:$AH$86,9,FALSE))=TRUE,"",VLOOKUP($B20,EDW_FEEDER!$T$2:$AH$86,9,FALSE))</f>
        <v>2724</v>
      </c>
      <c r="D20" s="267">
        <f>IF(ISNA(VLOOKUP(B20,EDW_FEEDER!$T$2:$AH$86,10,FALSE))=TRUE,"",VLOOKUP(B20,EDW_FEEDER!$T$2:$AH$86,10,FALSE))</f>
        <v>113.5</v>
      </c>
      <c r="E20" s="268">
        <f>IF(ISNA(VLOOKUP(B20,EDW_FEEDER!$T$2:$AH$86,11,FALSE))=TRUE,"",VLOOKUP(B20,EDW_FEEDER!$T$2:$AH$870,11,FALSE))</f>
        <v>0.35389</v>
      </c>
      <c r="F20" s="266">
        <f>IF(ISNA(VLOOKUP(B20,EDW_FEEDER!$T$2:$AH$86,12,FALSE))=TRUE,"",VLOOKUP(B20,EDW_FEEDER!$T$2:$AH$86,12,FALSE))</f>
        <v>202</v>
      </c>
      <c r="G20" s="266">
        <f>IF(ISNA(VLOOKUP(B20,EDW_FEEDER!$T$2:$AH$86,13,FALSE))=TRUE,"",VLOOKUP(B20,EDW_FEEDER!$T$2:$AH$86,13,FALSE))</f>
        <v>1657</v>
      </c>
      <c r="H20" s="267">
        <f>IF(ISNA(VLOOKUP(B20,EDW_FEEDER!$T$2:$AH$86,14,FALSE))=TRUE,"",VLOOKUP(B20,EDW_FEEDER!$T$2:$AH$86,14,FALSE))</f>
        <v>162.6</v>
      </c>
      <c r="I20" s="267">
        <f>IF(ISNA(VLOOKUP(B20,EDW_FEEDER!$T$2:$AH$86,15,FALSE))=TRUE,"",VLOOKUP(B20,EDW_FEEDER!$T$2:$AH$86,15,FALSE))</f>
        <v>169.1</v>
      </c>
      <c r="J20" s="113"/>
      <c r="K20" s="113"/>
      <c r="L20" s="113"/>
      <c r="M20" s="113"/>
    </row>
    <row r="21" spans="2:13" ht="12.75">
      <c r="B21" s="120" t="str">
        <f>IF(ISBLANK(VLOOKUP($B$14,EDW_FEEDER!$A$117:$AK$121,8,FALSE))=TRUE,"",VLOOKUP($B$14,EDW_FEEDER!$A$117:$AK$121,8,FALSE))</f>
        <v>Indianapolis</v>
      </c>
      <c r="C21" s="266">
        <f>IF(ISNA(VLOOKUP($B21,EDW_FEEDER!$T$2:$AH$86,9,FALSE))=TRUE,"",VLOOKUP($B21,EDW_FEEDER!$T$2:$AH$86,9,FALSE))</f>
        <v>8287</v>
      </c>
      <c r="D21" s="267">
        <f>IF(ISNA(VLOOKUP(B21,EDW_FEEDER!$T$2:$AH$86,10,FALSE))=TRUE,"",VLOOKUP(B21,EDW_FEEDER!$T$2:$AH$86,10,FALSE))</f>
        <v>183</v>
      </c>
      <c r="E21" s="268">
        <f>IF(ISNA(VLOOKUP(B21,EDW_FEEDER!$T$2:$AH$86,11,FALSE))=TRUE,"",VLOOKUP(B21,EDW_FEEDER!$T$2:$AH$870,11,FALSE))</f>
        <v>0.60577</v>
      </c>
      <c r="F21" s="266">
        <f>IF(ISNA(VLOOKUP(B21,EDW_FEEDER!$T$2:$AH$86,12,FALSE))=TRUE,"",VLOOKUP(B21,EDW_FEEDER!$T$2:$AH$86,12,FALSE))</f>
        <v>188</v>
      </c>
      <c r="G21" s="266">
        <f>IF(ISNA(VLOOKUP(B21,EDW_FEEDER!$T$2:$AH$86,13,FALSE))=TRUE,"",VLOOKUP(B21,EDW_FEEDER!$T$2:$AH$86,13,FALSE))</f>
        <v>2339</v>
      </c>
      <c r="H21" s="267">
        <f>IF(ISNA(VLOOKUP(B21,EDW_FEEDER!$T$2:$AH$86,14,FALSE))=TRUE,"",VLOOKUP(B21,EDW_FEEDER!$T$2:$AH$86,14,FALSE))</f>
        <v>272.9</v>
      </c>
      <c r="I21" s="267">
        <f>IF(ISNA(VLOOKUP(B21,EDW_FEEDER!$T$2:$AH$86,15,FALSE))=TRUE,"",VLOOKUP(B21,EDW_FEEDER!$T$2:$AH$86,15,FALSE))</f>
        <v>236.7</v>
      </c>
      <c r="J21" s="113"/>
      <c r="K21" s="113"/>
      <c r="L21" s="113"/>
      <c r="M21" s="113"/>
    </row>
    <row r="22" spans="2:13" ht="12.75">
      <c r="B22" s="120" t="str">
        <f>IF(ISBLANK(VLOOKUP($B$14,EDW_FEEDER!$A$117:$AK$121,9,FALSE))=TRUE,"",VLOOKUP($B$14,EDW_FEEDER!$A$117:$AK$121,9,FALSE))</f>
        <v>Manchester</v>
      </c>
      <c r="C22" s="266">
        <f>IF(ISNA(VLOOKUP($B22,EDW_FEEDER!$T$2:$AH$86,9,FALSE))=TRUE,"",VLOOKUP($B22,EDW_FEEDER!$T$2:$AH$86,9,FALSE))</f>
        <v>2024</v>
      </c>
      <c r="D22" s="267">
        <f>IF(ISNA(VLOOKUP(B22,EDW_FEEDER!$T$2:$AH$86,10,FALSE))=TRUE,"",VLOOKUP(B22,EDW_FEEDER!$T$2:$AH$86,10,FALSE))</f>
        <v>147.1</v>
      </c>
      <c r="E22" s="268">
        <f>IF(ISNA(VLOOKUP(B22,EDW_FEEDER!$T$2:$AH$86,11,FALSE))=TRUE,"",VLOOKUP(B22,EDW_FEEDER!$T$2:$AH$870,11,FALSE))</f>
        <v>0.48271</v>
      </c>
      <c r="F22" s="266">
        <f>IF(ISNA(VLOOKUP(B22,EDW_FEEDER!$T$2:$AH$86,12,FALSE))=TRUE,"",VLOOKUP(B22,EDW_FEEDER!$T$2:$AH$86,12,FALSE))</f>
        <v>57</v>
      </c>
      <c r="G22" s="266">
        <f>IF(ISNA(VLOOKUP(B22,EDW_FEEDER!$T$2:$AH$86,13,FALSE))=TRUE,"",VLOOKUP(B22,EDW_FEEDER!$T$2:$AH$86,13,FALSE))</f>
        <v>684</v>
      </c>
      <c r="H22" s="267">
        <f>IF(ISNA(VLOOKUP(B22,EDW_FEEDER!$T$2:$AH$86,14,FALSE))=TRUE,"",VLOOKUP(B22,EDW_FEEDER!$T$2:$AH$86,14,FALSE))</f>
        <v>238.7</v>
      </c>
      <c r="I22" s="267">
        <f>IF(ISNA(VLOOKUP(B22,EDW_FEEDER!$T$2:$AH$86,15,FALSE))=TRUE,"",VLOOKUP(B22,EDW_FEEDER!$T$2:$AH$86,15,FALSE))</f>
        <v>230</v>
      </c>
      <c r="J22" s="113"/>
      <c r="K22" s="113"/>
      <c r="L22" s="113"/>
      <c r="M22" s="113"/>
    </row>
    <row r="23" spans="2:13" ht="12.75">
      <c r="B23" s="120" t="str">
        <f>IF(ISBLANK(VLOOKUP($B$14,EDW_FEEDER!$A$117:$AK$121,10,FALSE))=TRUE,"",VLOOKUP($B$14,EDW_FEEDER!$A$117:$AK$121,10,FALSE))</f>
        <v>New York</v>
      </c>
      <c r="C23" s="266">
        <f>IF(ISNA(VLOOKUP($B23,EDW_FEEDER!$T$2:$AH$86,9,FALSE))=TRUE,"",VLOOKUP($B23,EDW_FEEDER!$T$2:$AH$86,9,FALSE))</f>
        <v>7859</v>
      </c>
      <c r="D23" s="267">
        <f>IF(ISNA(VLOOKUP(B23,EDW_FEEDER!$T$2:$AH$86,10,FALSE))=TRUE,"",VLOOKUP(B23,EDW_FEEDER!$T$2:$AH$86,10,FALSE))</f>
        <v>148.3</v>
      </c>
      <c r="E23" s="268">
        <f>IF(ISNA(VLOOKUP(B23,EDW_FEEDER!$T$2:$AH$86,11,FALSE))=TRUE,"",VLOOKUP(B23,EDW_FEEDER!$T$2:$AH$870,11,FALSE))</f>
        <v>0.50693</v>
      </c>
      <c r="F23" s="266">
        <f>IF(ISNA(VLOOKUP(B23,EDW_FEEDER!$T$2:$AH$86,12,FALSE))=TRUE,"",VLOOKUP(B23,EDW_FEEDER!$T$2:$AH$86,12,FALSE))</f>
        <v>213</v>
      </c>
      <c r="G23" s="266">
        <f>IF(ISNA(VLOOKUP(B23,EDW_FEEDER!$T$2:$AH$86,13,FALSE))=TRUE,"",VLOOKUP(B23,EDW_FEEDER!$T$2:$AH$86,13,FALSE))</f>
        <v>2300</v>
      </c>
      <c r="H23" s="267">
        <f>IF(ISNA(VLOOKUP(B23,EDW_FEEDER!$T$2:$AH$86,14,FALSE))=TRUE,"",VLOOKUP(B23,EDW_FEEDER!$T$2:$AH$86,14,FALSE))</f>
        <v>241.5</v>
      </c>
      <c r="I23" s="267">
        <f>IF(ISNA(VLOOKUP(B23,EDW_FEEDER!$T$2:$AH$86,15,FALSE))=TRUE,"",VLOOKUP(B23,EDW_FEEDER!$T$2:$AH$86,15,FALSE))</f>
        <v>250.7</v>
      </c>
      <c r="J23" s="113"/>
      <c r="K23" s="113"/>
      <c r="L23" s="113"/>
      <c r="M23" s="113"/>
    </row>
    <row r="24" spans="2:13" ht="12.75">
      <c r="B24" s="120" t="str">
        <f>IF(ISBLANK(VLOOKUP($B$14,EDW_FEEDER!$A$117:$AK$121,11,FALSE))=TRUE,"",VLOOKUP($B$14,EDW_FEEDER!$A$117:$AK$121,11,FALSE))</f>
        <v>Newark</v>
      </c>
      <c r="C24" s="266">
        <f>IF(ISNA(VLOOKUP($B24,EDW_FEEDER!$T$2:$AH$86,9,FALSE))=TRUE,"",VLOOKUP($B24,EDW_FEEDER!$T$2:$AH$86,9,FALSE))</f>
        <v>3531</v>
      </c>
      <c r="D24" s="267">
        <f>IF(ISNA(VLOOKUP(B24,EDW_FEEDER!$T$2:$AH$86,10,FALSE))=TRUE,"",VLOOKUP(B24,EDW_FEEDER!$T$2:$AH$86,10,FALSE))</f>
        <v>117.5</v>
      </c>
      <c r="E24" s="268">
        <f>IF(ISNA(VLOOKUP(B24,EDW_FEEDER!$T$2:$AH$86,11,FALSE))=TRUE,"",VLOOKUP(B24,EDW_FEEDER!$T$2:$AH$870,11,FALSE))</f>
        <v>0.38912</v>
      </c>
      <c r="F24" s="266">
        <f>IF(ISNA(VLOOKUP(B24,EDW_FEEDER!$T$2:$AH$86,12,FALSE))=TRUE,"",VLOOKUP(B24,EDW_FEEDER!$T$2:$AH$86,12,FALSE))</f>
        <v>147</v>
      </c>
      <c r="G24" s="266">
        <f>IF(ISNA(VLOOKUP(B24,EDW_FEEDER!$T$2:$AH$86,13,FALSE))=TRUE,"",VLOOKUP(B24,EDW_FEEDER!$T$2:$AH$86,13,FALSE))</f>
        <v>1304</v>
      </c>
      <c r="H24" s="267">
        <f>IF(ISNA(VLOOKUP(B24,EDW_FEEDER!$T$2:$AH$86,14,FALSE))=TRUE,"",VLOOKUP(B24,EDW_FEEDER!$T$2:$AH$86,14,FALSE))</f>
        <v>176</v>
      </c>
      <c r="I24" s="267">
        <f>IF(ISNA(VLOOKUP(B24,EDW_FEEDER!$T$2:$AH$86,15,FALSE))=TRUE,"",VLOOKUP(B24,EDW_FEEDER!$T$2:$AH$86,15,FALSE))</f>
        <v>172.9</v>
      </c>
      <c r="J24" s="113"/>
      <c r="K24" s="113"/>
      <c r="L24" s="113"/>
      <c r="M24" s="113"/>
    </row>
    <row r="25" spans="2:13" ht="12.75">
      <c r="B25" s="121" t="str">
        <f>IF(ISBLANK(VLOOKUP($B$14,EDW_FEEDER!$A$117:$AK$121,12,FALSE))=TRUE,"",VLOOKUP($B$14,EDW_FEEDER!$A$117:$AK$121,12,FALSE))</f>
        <v>Philadelphia (Non-PMC)</v>
      </c>
      <c r="C25" s="266">
        <f>IF(ISNA(VLOOKUP($B25,EDW_FEEDER!$T$2:$AH$86,9,FALSE))=TRUE,"",VLOOKUP($B25,EDW_FEEDER!$T$2:$AH$86,9,FALSE))</f>
        <v>12836</v>
      </c>
      <c r="D25" s="267">
        <f>IF(ISNA(VLOOKUP(B25,EDW_FEEDER!$T$2:$AH$86,10,FALSE))=TRUE,"",VLOOKUP(B25,EDW_FEEDER!$T$2:$AH$86,10,FALSE))</f>
        <v>166.5</v>
      </c>
      <c r="E25" s="268">
        <f>IF(ISNA(VLOOKUP(B25,EDW_FEEDER!$T$2:$AH$86,11,FALSE))=TRUE,"",VLOOKUP(B25,EDW_FEEDER!$T$2:$AH$870,11,FALSE))</f>
        <v>0.57269</v>
      </c>
      <c r="F25" s="266">
        <f>IF(ISNA(VLOOKUP(B25,EDW_FEEDER!$T$2:$AH$86,12,FALSE))=TRUE,"",VLOOKUP(B25,EDW_FEEDER!$T$2:$AH$86,12,FALSE))</f>
        <v>394</v>
      </c>
      <c r="G25" s="266">
        <f>IF(ISNA(VLOOKUP(B25,EDW_FEEDER!$T$2:$AH$86,13,FALSE))=TRUE,"",VLOOKUP(B25,EDW_FEEDER!$T$2:$AH$86,13,FALSE))</f>
        <v>4702</v>
      </c>
      <c r="H25" s="267">
        <f>IF(ISNA(VLOOKUP(B25,EDW_FEEDER!$T$2:$AH$86,14,FALSE))=TRUE,"",VLOOKUP(B25,EDW_FEEDER!$T$2:$AH$86,14,FALSE))</f>
        <v>295.9</v>
      </c>
      <c r="I25" s="267">
        <f>IF(ISNA(VLOOKUP(B25,EDW_FEEDER!$T$2:$AH$86,15,FALSE))=TRUE,"",VLOOKUP(B25,EDW_FEEDER!$T$2:$AH$86,15,FALSE))</f>
        <v>270.1</v>
      </c>
      <c r="J25" s="113"/>
      <c r="K25" s="113"/>
      <c r="L25" s="113"/>
      <c r="M25" s="113"/>
    </row>
    <row r="26" spans="2:13" ht="12.75">
      <c r="B26" s="120" t="str">
        <f>IF(ISBLANK(VLOOKUP($B$14,EDW_FEEDER!$A$117:$AK$121,13,FALSE))=TRUE,"",VLOOKUP($B$14,EDW_FEEDER!$A$117:$AK$121,13,FALSE))</f>
        <v>Pittsburgh</v>
      </c>
      <c r="C26" s="266">
        <f>IF(ISNA(VLOOKUP($B26,EDW_FEEDER!$T$2:$AH$86,9,FALSE))=TRUE,"",VLOOKUP($B26,EDW_FEEDER!$T$2:$AH$86,9,FALSE))</f>
        <v>5976</v>
      </c>
      <c r="D26" s="267">
        <f>IF(ISNA(VLOOKUP(B26,EDW_FEEDER!$T$2:$AH$86,10,FALSE))=TRUE,"",VLOOKUP(B26,EDW_FEEDER!$T$2:$AH$86,10,FALSE))</f>
        <v>162.7</v>
      </c>
      <c r="E26" s="268">
        <f>IF(ISNA(VLOOKUP(B26,EDW_FEEDER!$T$2:$AH$86,11,FALSE))=TRUE,"",VLOOKUP(B26,EDW_FEEDER!$T$2:$AH$870,11,FALSE))</f>
        <v>0.51841</v>
      </c>
      <c r="F26" s="266">
        <f>IF(ISNA(VLOOKUP(B26,EDW_FEEDER!$T$2:$AH$86,12,FALSE))=TRUE,"",VLOOKUP(B26,EDW_FEEDER!$T$2:$AH$86,12,FALSE))</f>
        <v>156</v>
      </c>
      <c r="G26" s="266">
        <f>IF(ISNA(VLOOKUP(B26,EDW_FEEDER!$T$2:$AH$86,13,FALSE))=TRUE,"",VLOOKUP(B26,EDW_FEEDER!$T$2:$AH$86,13,FALSE))</f>
        <v>2032</v>
      </c>
      <c r="H26" s="267">
        <f>IF(ISNA(VLOOKUP(B26,EDW_FEEDER!$T$2:$AH$86,14,FALSE))=TRUE,"",VLOOKUP(B26,EDW_FEEDER!$T$2:$AH$86,14,FALSE))</f>
        <v>206</v>
      </c>
      <c r="I26" s="267">
        <f>IF(ISNA(VLOOKUP(B26,EDW_FEEDER!$T$2:$AH$86,15,FALSE))=TRUE,"",VLOOKUP(B26,EDW_FEEDER!$T$2:$AH$86,15,FALSE))</f>
        <v>227.8</v>
      </c>
      <c r="J26" s="113"/>
      <c r="K26" s="113"/>
      <c r="L26" s="113"/>
      <c r="M26" s="113"/>
    </row>
    <row r="27" spans="2:13" ht="12.75">
      <c r="B27" s="120" t="str">
        <f>IF(ISBLANK(VLOOKUP($B$14,EDW_FEEDER!$A$117:$AK$121,14,FALSE))=TRUE,"",VLOOKUP($B$14,EDW_FEEDER!$A$117:$AK$121,14,FALSE))</f>
        <v>Providence</v>
      </c>
      <c r="C27" s="266">
        <f>IF(ISNA(VLOOKUP($B27,EDW_FEEDER!$T$2:$AH$86,9,FALSE))=TRUE,"",VLOOKUP($B27,EDW_FEEDER!$T$2:$AH$86,9,FALSE))</f>
        <v>3925</v>
      </c>
      <c r="D27" s="267">
        <f>IF(ISNA(VLOOKUP(B27,EDW_FEEDER!$T$2:$AH$86,10,FALSE))=TRUE,"",VLOOKUP(B27,EDW_FEEDER!$T$2:$AH$86,10,FALSE))</f>
        <v>78</v>
      </c>
      <c r="E27" s="268">
        <f>IF(ISNA(VLOOKUP(B27,EDW_FEEDER!$T$2:$AH$86,11,FALSE))=TRUE,"",VLOOKUP(B27,EDW_FEEDER!$T$2:$AH$870,11,FALSE))</f>
        <v>0.19516</v>
      </c>
      <c r="F27" s="266">
        <f>IF(ISNA(VLOOKUP(B27,EDW_FEEDER!$T$2:$AH$86,12,FALSE))=TRUE,"",VLOOKUP(B27,EDW_FEEDER!$T$2:$AH$86,12,FALSE))</f>
        <v>499</v>
      </c>
      <c r="G27" s="266">
        <f>IF(ISNA(VLOOKUP(B27,EDW_FEEDER!$T$2:$AH$86,13,FALSE))=TRUE,"",VLOOKUP(B27,EDW_FEEDER!$T$2:$AH$86,13,FALSE))</f>
        <v>5049</v>
      </c>
      <c r="H27" s="267">
        <f>IF(ISNA(VLOOKUP(B27,EDW_FEEDER!$T$2:$AH$86,14,FALSE))=TRUE,"",VLOOKUP(B27,EDW_FEEDER!$T$2:$AH$86,14,FALSE))</f>
        <v>64.5</v>
      </c>
      <c r="I27" s="267">
        <f>IF(ISNA(VLOOKUP(B27,EDW_FEEDER!$T$2:$AH$86,15,FALSE))=TRUE,"",VLOOKUP(B27,EDW_FEEDER!$T$2:$AH$86,15,FALSE))</f>
        <v>68.9</v>
      </c>
      <c r="J27" s="113"/>
      <c r="K27" s="113"/>
      <c r="L27" s="113"/>
      <c r="M27" s="113"/>
    </row>
    <row r="28" spans="2:13" ht="12.75">
      <c r="B28" s="120" t="str">
        <f>IF(ISBLANK(VLOOKUP($B$14,EDW_FEEDER!$A$117:$AK$121,15,FALSE))=TRUE,"",VLOOKUP($B$14,EDW_FEEDER!$A$117:$AK$121,15,FALSE))</f>
        <v>Togus</v>
      </c>
      <c r="C28" s="266">
        <f>IF(ISNA(VLOOKUP($B28,EDW_FEEDER!$T$2:$AH$86,9,FALSE))=TRUE,"",VLOOKUP($B28,EDW_FEEDER!$T$2:$AH$86,9,FALSE))</f>
        <v>7059</v>
      </c>
      <c r="D28" s="267">
        <f>IF(ISNA(VLOOKUP(B28,EDW_FEEDER!$T$2:$AH$86,10,FALSE))=TRUE,"",VLOOKUP(B28,EDW_FEEDER!$T$2:$AH$86,10,FALSE))</f>
        <v>150.1</v>
      </c>
      <c r="E28" s="268">
        <f>IF(ISNA(VLOOKUP(B28,EDW_FEEDER!$T$2:$AH$86,11,FALSE))=TRUE,"",VLOOKUP(B28,EDW_FEEDER!$T$2:$AH$870,11,FALSE))</f>
        <v>0.42286</v>
      </c>
      <c r="F28" s="266">
        <f>IF(ISNA(VLOOKUP(B28,EDW_FEEDER!$T$2:$AH$86,12,FALSE))=TRUE,"",VLOOKUP(B28,EDW_FEEDER!$T$2:$AH$86,12,FALSE))</f>
        <v>189</v>
      </c>
      <c r="G28" s="266">
        <f>IF(ISNA(VLOOKUP(B28,EDW_FEEDER!$T$2:$AH$86,13,FALSE))=TRUE,"",VLOOKUP(B28,EDW_FEEDER!$T$2:$AH$86,13,FALSE))</f>
        <v>3007</v>
      </c>
      <c r="H28" s="267">
        <f>IF(ISNA(VLOOKUP(B28,EDW_FEEDER!$T$2:$AH$86,14,FALSE))=TRUE,"",VLOOKUP(B28,EDW_FEEDER!$T$2:$AH$86,14,FALSE))</f>
        <v>205.1</v>
      </c>
      <c r="I28" s="267">
        <f>IF(ISNA(VLOOKUP(B28,EDW_FEEDER!$T$2:$AH$86,15,FALSE))=TRUE,"",VLOOKUP(B28,EDW_FEEDER!$T$2:$AH$86,15,FALSE))</f>
        <v>202.8</v>
      </c>
      <c r="J28" s="113"/>
      <c r="K28" s="113"/>
      <c r="L28" s="113"/>
      <c r="M28" s="113"/>
    </row>
    <row r="29" spans="2:13" ht="12.75">
      <c r="B29" s="120" t="str">
        <f>IF(ISBLANK(VLOOKUP($B$14,EDW_FEEDER!$A$117:$AK$121,16,FALSE))=TRUE,"",VLOOKUP($B$14,EDW_FEEDER!$A$117:$AK$121,16,FALSE))</f>
        <v>White River J.</v>
      </c>
      <c r="C29" s="266">
        <f>IF(ISNA(VLOOKUP($B29,EDW_FEEDER!$T$2:$AH$86,9,FALSE))=TRUE,"",VLOOKUP($B29,EDW_FEEDER!$T$2:$AH$86,9,FALSE))</f>
        <v>1037</v>
      </c>
      <c r="D29" s="267">
        <f>IF(ISNA(VLOOKUP(B29,EDW_FEEDER!$T$2:$AH$86,10,FALSE))=TRUE,"",VLOOKUP(B29,EDW_FEEDER!$T$2:$AH$86,10,FALSE))</f>
        <v>162.5</v>
      </c>
      <c r="E29" s="268">
        <f>IF(ISNA(VLOOKUP(B29,EDW_FEEDER!$T$2:$AH$86,11,FALSE))=TRUE,"",VLOOKUP(B29,EDW_FEEDER!$T$2:$AH$870,11,FALSE))</f>
        <v>0.63259</v>
      </c>
      <c r="F29" s="266">
        <f>IF(ISNA(VLOOKUP(B29,EDW_FEEDER!$T$2:$AH$86,12,FALSE))=TRUE,"",VLOOKUP(B29,EDW_FEEDER!$T$2:$AH$86,12,FALSE))</f>
        <v>41</v>
      </c>
      <c r="G29" s="266">
        <f>IF(ISNA(VLOOKUP(B29,EDW_FEEDER!$T$2:$AH$86,13,FALSE))=TRUE,"",VLOOKUP(B29,EDW_FEEDER!$T$2:$AH$86,13,FALSE))</f>
        <v>311</v>
      </c>
      <c r="H29" s="267">
        <f>IF(ISNA(VLOOKUP(B29,EDW_FEEDER!$T$2:$AH$86,14,FALSE))=TRUE,"",VLOOKUP(B29,EDW_FEEDER!$T$2:$AH$86,14,FALSE))</f>
        <v>168.9</v>
      </c>
      <c r="I29" s="267">
        <f>IF(ISNA(VLOOKUP(B29,EDW_FEEDER!$T$2:$AH$86,15,FALSE))=TRUE,"",VLOOKUP(B29,EDW_FEEDER!$T$2:$AH$86,15,FALSE))</f>
        <v>198.2</v>
      </c>
      <c r="J29" s="113"/>
      <c r="K29" s="113"/>
      <c r="L29" s="113"/>
      <c r="M29" s="113"/>
    </row>
    <row r="30" spans="2:13" ht="12.75">
      <c r="B30" s="122" t="str">
        <f>IF(ISBLANK(VLOOKUP($B$14,EDW_FEEDER!$A$117:$AK$121,17,FALSE))=TRUE,"",VLOOKUP($B$14,EDW_FEEDER!$A$117:$AK$121,17,FALSE))</f>
        <v>Wilmington</v>
      </c>
      <c r="C30" s="266">
        <f>IF(ISNA(VLOOKUP($B30,EDW_FEEDER!$T$2:$AH$86,9,FALSE))=TRUE,"",VLOOKUP($B30,EDW_FEEDER!$T$2:$AH$86,9,FALSE))</f>
        <v>1204</v>
      </c>
      <c r="D30" s="267">
        <f>IF(ISNA(VLOOKUP(B30,EDW_FEEDER!$T$2:$AH$86,10,FALSE))=TRUE,"",VLOOKUP(B30,EDW_FEEDER!$T$2:$AH$86,10,FALSE))</f>
        <v>148.3</v>
      </c>
      <c r="E30" s="268">
        <f>IF(ISNA(VLOOKUP(B30,EDW_FEEDER!$T$2:$AH$86,11,FALSE))=TRUE,"",VLOOKUP(B30,EDW_FEEDER!$T$2:$AH$870,11,FALSE))</f>
        <v>0.47674</v>
      </c>
      <c r="F30" s="266">
        <f>IF(ISNA(VLOOKUP(B30,EDW_FEEDER!$T$2:$AH$86,12,FALSE))=TRUE,"",VLOOKUP(B30,EDW_FEEDER!$T$2:$AH$86,12,FALSE))</f>
        <v>40</v>
      </c>
      <c r="G30" s="266">
        <f>IF(ISNA(VLOOKUP(B30,EDW_FEEDER!$T$2:$AH$86,13,FALSE))=TRUE,"",VLOOKUP(B30,EDW_FEEDER!$T$2:$AH$86,13,FALSE))</f>
        <v>409</v>
      </c>
      <c r="H30" s="267">
        <f>IF(ISNA(VLOOKUP(B30,EDW_FEEDER!$T$2:$AH$86,14,FALSE))=TRUE,"",VLOOKUP(B30,EDW_FEEDER!$T$2:$AH$86,14,FALSE))</f>
        <v>222.3</v>
      </c>
      <c r="I30" s="267">
        <f>IF(ISNA(VLOOKUP(B30,EDW_FEEDER!$T$2:$AH$86,15,FALSE))=TRUE,"",VLOOKUP(B30,EDW_FEEDER!$T$2:$AH$86,15,FALSE))</f>
        <v>228.9</v>
      </c>
      <c r="J30" s="113"/>
      <c r="K30" s="113"/>
      <c r="L30" s="113"/>
      <c r="M30" s="113"/>
    </row>
    <row r="31" spans="2:13" ht="12.75">
      <c r="B31" s="450" t="s">
        <v>299</v>
      </c>
      <c r="C31" s="451"/>
      <c r="D31" s="451"/>
      <c r="E31" s="451"/>
      <c r="F31" s="451"/>
      <c r="G31" s="451"/>
      <c r="H31" s="451"/>
      <c r="I31" s="451"/>
      <c r="J31" s="451"/>
      <c r="K31" s="451"/>
      <c r="L31" s="451"/>
      <c r="M31" s="452"/>
    </row>
    <row r="32" spans="2:13" ht="12.75">
      <c r="B32" s="228" t="s">
        <v>389</v>
      </c>
      <c r="C32" s="266">
        <f>IF(ISNA(VLOOKUP("USAP",EDW_FEEDER!$T$2:$AH$86,9,FALSE))=TRUE,"",VLOOKUP("USAP",EDW_FEEDER!$T$2:$AH$86,9,FALSE))</f>
        <v>19157</v>
      </c>
      <c r="D32" s="267">
        <f>IF(ISNA(VLOOKUP("USAP",EDW_FEEDER!$T$2:$AH$86,10,FALSE))=TRUE,"",VLOOKUP("USAP",EDW_FEEDER!$T$2:$AH$86,10,FALSE))</f>
        <v>60.5</v>
      </c>
      <c r="E32" s="268">
        <f>IF(ISNA(VLOOKUP("USAP",EDW_FEEDER!$T$2:$AH$86,11,FALSE))=TRUE,"",VLOOKUP("USAP",EDW_FEEDER!$T$2:$AH$870,11,FALSE))</f>
        <v>0.10137</v>
      </c>
      <c r="F32" s="266">
        <f>IF(ISNA(VLOOKUP("USAP",EDW_FEEDER!$T$2:$AH$86,12,FALSE))=TRUE,"",VLOOKUP("USAP",EDW_FEEDER!$T$2:$AH$86,12,FALSE))</f>
        <v>2804</v>
      </c>
      <c r="G32" s="266">
        <f>IF(ISNA(VLOOKUP("USAP",EDW_FEEDER!$T$2:$AH$86,13,FALSE))=TRUE,"",VLOOKUP("USAP",EDW_FEEDER!$T$2:$AH$86,13,FALSE))</f>
        <v>26490</v>
      </c>
      <c r="H32" s="267">
        <f>IF(ISNA(VLOOKUP("USAP",EDW_FEEDER!$T$2:$AH$86,14,FALSE))=TRUE,"",VLOOKUP("USAP",EDW_FEEDER!$T$2:$AH$86,14,FALSE))</f>
        <v>64.8</v>
      </c>
      <c r="I32" s="267">
        <f>IF(ISNA(VLOOKUP("USAP",EDW_FEEDER!$T$2:$AH$86,15,FALSE))=TRUE,"",VLOOKUP("USAP",EDW_FEEDER!$T$2:$AH$86,15,FALSE))</f>
        <v>62.7</v>
      </c>
      <c r="J32" s="113"/>
      <c r="K32" s="113">
        <f>IF(ISNA(VLOOKUP(B32,Accuracy!$Y$69:$AL$72,6,FALSE))=TRUE,"",VLOOKUP(B32,Accuracy!$Y$69:$AL$72,6,FALSE))</f>
      </c>
      <c r="L32" s="113">
        <f>IF(ISNA(VLOOKUP(B32,Accuracy!$Y$69:$AL$72,9,FALSE))=TRUE,"",VLOOKUP(B32,Accuracy!$Y$69:$AL$72,9,FALSE))</f>
      </c>
      <c r="M32" s="113">
        <f>IF(ISNA(VLOOKUP(B32,Accuracy!$Y$69:$AL$72,9,FALSE))=TRUE,"",VLOOKUP(B32,Accuracy!$Y$69:$AL$72,9,FALSE))</f>
      </c>
    </row>
    <row r="33" spans="2:13" ht="12.75">
      <c r="B33" s="124" t="s">
        <v>247</v>
      </c>
      <c r="C33" s="266">
        <f>IF(ISNA(VLOOKUP($B33,EDW_FEEDER!$T$2:$AH$86,9,FALSE))=TRUE,"",VLOOKUP($B33,EDW_FEEDER!$T$2:$AH$86,9,FALSE))</f>
        <v>6906</v>
      </c>
      <c r="D33" s="267">
        <f>IF(ISNA(VLOOKUP(B33,EDW_FEEDER!$T$2:$AH$86,10,FALSE))=TRUE,"",VLOOKUP(B33,EDW_FEEDER!$T$2:$AH$86,10,FALSE))</f>
        <v>64.7</v>
      </c>
      <c r="E33" s="268">
        <f>IF(ISNA(VLOOKUP(B33,EDW_FEEDER!$T$2:$AH$86,11,FALSE))=TRUE,"",VLOOKUP(B33,EDW_FEEDER!$T$2:$AH$870,11,FALSE))</f>
        <v>0.11932</v>
      </c>
      <c r="F33" s="266">
        <f>IF(ISNA(VLOOKUP(B33,EDW_FEEDER!$T$2:$AH$86,12,FALSE))=TRUE,"",VLOOKUP(B33,EDW_FEEDER!$T$2:$AH$86,12,FALSE))</f>
        <v>741</v>
      </c>
      <c r="G33" s="266">
        <f>IF(ISNA(VLOOKUP(B33,EDW_FEEDER!$T$2:$AH$86,13,FALSE))=TRUE,"",VLOOKUP(B33,EDW_FEEDER!$T$2:$AH$86,13,FALSE))</f>
        <v>8017</v>
      </c>
      <c r="H33" s="267">
        <f>IF(ISNA(VLOOKUP(B33,EDW_FEEDER!$T$2:$AH$86,14,FALSE))=TRUE,"",VLOOKUP(B33,EDW_FEEDER!$T$2:$AH$86,14,FALSE))</f>
        <v>70.3</v>
      </c>
      <c r="I33" s="267">
        <f>IF(ISNA(VLOOKUP(B33,EDW_FEEDER!$T$2:$AH$86,15,FALSE))=TRUE,"",VLOOKUP(B33,EDW_FEEDER!$T$2:$AH$86,15,FALSE))</f>
        <v>71.4</v>
      </c>
      <c r="J33" s="113"/>
      <c r="K33" s="113"/>
      <c r="L33" s="113"/>
      <c r="M33" s="113"/>
    </row>
    <row r="34" spans="1:13" ht="12.75">
      <c r="A34" s="16"/>
      <c r="B34" s="124" t="s">
        <v>245</v>
      </c>
      <c r="C34" s="266">
        <f>IF(ISNA(VLOOKUP($B34,EDW_FEEDER!$T$2:$AH$86,9,FALSE))=TRUE,"",VLOOKUP($B34,EDW_FEEDER!$T$2:$AH$86,9,FALSE))</f>
        <v>4424</v>
      </c>
      <c r="D34" s="267">
        <f>IF(ISNA(VLOOKUP(B34,EDW_FEEDER!$T$2:$AH$86,10,FALSE))=TRUE,"",VLOOKUP(B34,EDW_FEEDER!$T$2:$AH$86,10,FALSE))</f>
        <v>54.3</v>
      </c>
      <c r="E34" s="268">
        <f>IF(ISNA(VLOOKUP(B34,EDW_FEEDER!$T$2:$AH$86,11,FALSE))=TRUE,"",VLOOKUP(B34,EDW_FEEDER!$T$2:$AH$870,11,FALSE))</f>
        <v>0.08816</v>
      </c>
      <c r="F34" s="266">
        <f>IF(ISNA(VLOOKUP(B34,EDW_FEEDER!$T$2:$AH$86,12,FALSE))=TRUE,"",VLOOKUP(B34,EDW_FEEDER!$T$2:$AH$86,12,FALSE))</f>
        <v>754</v>
      </c>
      <c r="G34" s="266">
        <f>IF(ISNA(VLOOKUP(B34,EDW_FEEDER!$T$2:$AH$86,13,FALSE))=TRUE,"",VLOOKUP(B34,EDW_FEEDER!$T$2:$AH$86,13,FALSE))</f>
        <v>7220</v>
      </c>
      <c r="H34" s="267">
        <f>IF(ISNA(VLOOKUP(B34,EDW_FEEDER!$T$2:$AH$86,14,FALSE))=TRUE,"",VLOOKUP(B34,EDW_FEEDER!$T$2:$AH$86,14,FALSE))</f>
        <v>59.1</v>
      </c>
      <c r="I34" s="267">
        <f>IF(ISNA(VLOOKUP(B34,EDW_FEEDER!$T$2:$AH$86,15,FALSE))=TRUE,"",VLOOKUP(B34,EDW_FEEDER!$T$2:$AH$86,15,FALSE))</f>
        <v>54.3</v>
      </c>
      <c r="J34" s="113"/>
      <c r="K34" s="113"/>
      <c r="L34" s="113"/>
      <c r="M34" s="113"/>
    </row>
    <row r="35" spans="2:13" ht="12.75">
      <c r="B35" s="124" t="s">
        <v>253</v>
      </c>
      <c r="C35" s="266">
        <f>IF(ISNA(VLOOKUP($B35,EDW_FEEDER!$T$2:$AH$86,9,FALSE))=TRUE,"",VLOOKUP($B35,EDW_FEEDER!$T$2:$AH$86,9,FALSE))</f>
        <v>7186</v>
      </c>
      <c r="D35" s="267">
        <f>IF(ISNA(VLOOKUP(B35,EDW_FEEDER!$T$2:$AH$86,10,FALSE))=TRUE,"",VLOOKUP(B35,EDW_FEEDER!$T$2:$AH$86,10,FALSE))</f>
        <v>50.3</v>
      </c>
      <c r="E35" s="268">
        <f>IF(ISNA(VLOOKUP(B35,EDW_FEEDER!$T$2:$AH$86,11,FALSE))=TRUE,"",VLOOKUP(B35,EDW_FEEDER!$T$2:$AH$870,11,FALSE))</f>
        <v>0.05149</v>
      </c>
      <c r="F35" s="266">
        <f>IF(ISNA(VLOOKUP(B35,EDW_FEEDER!$T$2:$AH$86,12,FALSE))=TRUE,"",VLOOKUP(B35,EDW_FEEDER!$T$2:$AH$86,12,FALSE))</f>
        <v>1215</v>
      </c>
      <c r="G35" s="266">
        <f>IF(ISNA(VLOOKUP(B35,EDW_FEEDER!$T$2:$AH$86,13,FALSE))=TRUE,"",VLOOKUP(B35,EDW_FEEDER!$T$2:$AH$86,13,FALSE))</f>
        <v>10226</v>
      </c>
      <c r="H35" s="267">
        <f>IF(ISNA(VLOOKUP(B35,EDW_FEEDER!$T$2:$AH$86,14,FALSE))=TRUE,"",VLOOKUP(B35,EDW_FEEDER!$T$2:$AH$86,14,FALSE))</f>
        <v>65.5</v>
      </c>
      <c r="I35" s="267">
        <f>IF(ISNA(VLOOKUP(B35,EDW_FEEDER!$T$2:$AH$86,15,FALSE))=TRUE,"",VLOOKUP(B35,EDW_FEEDER!$T$2:$AH$86,15,FALSE))</f>
        <v>62.4</v>
      </c>
      <c r="J35" s="113"/>
      <c r="K35" s="113"/>
      <c r="L35" s="113"/>
      <c r="M35" s="113"/>
    </row>
    <row r="36" spans="2:13" ht="12.75">
      <c r="B36" s="125" t="s">
        <v>435</v>
      </c>
      <c r="C36" s="266">
        <f>IF(ISNA(VLOOKUP(B36,EDW_FEEDER!$T$2:$AH$86,9,FALSE))=TRUE,"",VLOOKUP(B36,EDW_FEEDER!$T$2:$AH$86,9,FALSE))</f>
        <v>641</v>
      </c>
      <c r="D36" s="267">
        <f>IF(ISNA(VLOOKUP(B36,EDW_FEEDER!$T$2:$AH$86,10,FALSE))=TRUE,"",VLOOKUP(B36,EDW_FEEDER!$T$2:$AH$86,10,FALSE))</f>
        <v>172.4</v>
      </c>
      <c r="E36" s="268">
        <f>IF(ISNA(VLOOKUP(B36,EDW_FEEDER!$T$2:$AH$86,11,FALSE))=TRUE,"",VLOOKUP(B36,EDW_FEEDER!$T$2:$AH$86,11,FALSE))</f>
        <v>0.5585</v>
      </c>
      <c r="F36" s="266">
        <f>IF(ISNA(VLOOKUP(B36,EDW_FEEDER!$T$2:$AH$86,12,FALSE))=TRUE,"",VLOOKUP(B36,EDW_FEEDER!$T$2:$AH$86,12,FALSE))</f>
        <v>94</v>
      </c>
      <c r="G36" s="266">
        <f>IF(ISNA(VLOOKUP(B36,EDW_FEEDER!$T$2:$AH$86,13,FALSE))=TRUE,"",VLOOKUP(B36,EDW_FEEDER!$T$2:$AH$86,13,FALSE))</f>
        <v>1027</v>
      </c>
      <c r="H36" s="267">
        <f>IF(ISNA(VLOOKUP(B36,EDW_FEEDER!$T$2:$AH$86,14,FALSE))=TRUE,"",VLOOKUP(B36,EDW_FEEDER!$T$2:$AH$870,14,FALSE))</f>
        <v>56.3</v>
      </c>
      <c r="I36" s="267">
        <f>IF(ISNA(VLOOKUP(B36,EDW_FEEDER!$T$2:$AH$86,15,FALSE))=TRUE,"",VLOOKUP(B36,EDW_FEEDER!$T$2:$AH$86,15,FALSE))</f>
        <v>58.3</v>
      </c>
      <c r="J36" s="113"/>
      <c r="K36" s="113"/>
      <c r="L36" s="113"/>
      <c r="M36" s="113"/>
    </row>
    <row r="37" spans="2:13" ht="12.75">
      <c r="B37" s="450" t="s">
        <v>300</v>
      </c>
      <c r="C37" s="451"/>
      <c r="D37" s="451"/>
      <c r="E37" s="451"/>
      <c r="F37" s="451"/>
      <c r="G37" s="451"/>
      <c r="H37" s="451"/>
      <c r="I37" s="451"/>
      <c r="J37" s="451"/>
      <c r="K37" s="451"/>
      <c r="L37" s="451"/>
      <c r="M37" s="452"/>
    </row>
    <row r="38" spans="2:13" ht="12.75">
      <c r="B38" s="230" t="s">
        <v>390</v>
      </c>
      <c r="C38" s="266">
        <f>IF(ISNA(VLOOKUP("USAQ",EDW_FEEDER!$T$2:$AH$86,9,FALSE))=TRUE,"",VLOOKUP("USAQ",EDW_FEEDER!$T$2:$AH$86,9,FALSE))</f>
        <v>10587</v>
      </c>
      <c r="D38" s="267">
        <f>IF(ISNA(VLOOKUP("USAQ",EDW_FEEDER!$T$2:$AH$86,10,FALSE))=TRUE,"",VLOOKUP("USAQ",EDW_FEEDER!$T$2:$AH$86,10,FALSE))</f>
        <v>83.9</v>
      </c>
      <c r="E38" s="268">
        <f>IF(ISNA(VLOOKUP("USAQ",EDW_FEEDER!$T$2:$AH$86,11,FALSE))=TRUE,"",VLOOKUP("USAQ",EDW_FEEDER!$T$2:$AH$86,11,FALSE))</f>
        <v>0.23765</v>
      </c>
      <c r="F38" s="266">
        <f>IF(ISNA(VLOOKUP("USAQ",EDW_FEEDER!$T$2:$AH$86,12,FALSE))=TRUE,"",VLOOKUP("USAQ",EDW_FEEDER!$T$2:$AH$86,12,FALSE))</f>
        <v>574</v>
      </c>
      <c r="G38" s="266">
        <f>IF(ISNA(VLOOKUP("USAQ",EDW_FEEDER!$T$2:$AH$86,13,FALSE))=TRUE,"",VLOOKUP("USAQ",EDW_FEEDER!$T$2:$AH$86,13,FALSE))</f>
        <v>4483</v>
      </c>
      <c r="H38" s="267">
        <f>IF(ISNA(VLOOKUP("USAQ",EDW_FEEDER!$T$2:$AH$86,14,FALSE))=TRUE,"",VLOOKUP("USAQ",EDW_FEEDER!$T$2:$AH$86,14,FALSE))</f>
        <v>127.2</v>
      </c>
      <c r="I38" s="267">
        <f>IF(ISNA(VLOOKUP("USAQ",EDW_FEEDER!$T$2:$AH$86,15,FALSE))=TRUE,"",VLOOKUP("USAQ",EDW_FEEDER!$T$2:$AH$86,15,FALSE))</f>
        <v>121.3</v>
      </c>
      <c r="J38" s="113"/>
      <c r="K38" s="113"/>
      <c r="L38" s="113"/>
      <c r="M38" s="113"/>
    </row>
    <row r="39" spans="2:16" ht="12.75">
      <c r="B39" s="229" t="s">
        <v>85</v>
      </c>
      <c r="C39" s="266">
        <f>IF(ISNA(VLOOKUP("San Diego QS",EDW_FEEDER!$T$2:$AH$86,9,FALSE))=TRUE,"",VLOOKUP("San Diego QS",EDW_FEEDER!$T$2:$AH$86,9,FALSE))</f>
        <v>4521</v>
      </c>
      <c r="D39" s="267">
        <f>IF(ISNA(VLOOKUP("San Diego QS",EDW_FEEDER!$T$2:$AH$86,10,FALSE))=TRUE,"",VLOOKUP("San Diego QS",EDW_FEEDER!$T$2:$AH$86,10,FALSE))</f>
        <v>80.5</v>
      </c>
      <c r="E39" s="268">
        <f>IF(ISNA(VLOOKUP("San Diego QS",EDW_FEEDER!$T$2:$AH$86,11,FALSE))=TRUE,"",VLOOKUP("San Diego QS",EDW_FEEDER!$T$2:$AH$86,11,FALSE))</f>
        <v>0.22318</v>
      </c>
      <c r="F39" s="266">
        <f>IF(ISNA(VLOOKUP("San Diego QS",EDW_FEEDER!$T$2:$AH$86,12,FALSE))=TRUE,"",VLOOKUP("San Diego QS",EDW_FEEDER!$T$2:$AH$86,12,FALSE))</f>
        <v>310</v>
      </c>
      <c r="G39" s="266">
        <f>IF(ISNA(VLOOKUP("San Diego QS",EDW_FEEDER!$T$2:$AH$86,13,FALSE))=TRUE,"",VLOOKUP("San Diego QS",EDW_FEEDER!$T$2:$AH$86,13,FALSE))</f>
        <v>2325</v>
      </c>
      <c r="H39" s="267">
        <f>IF(ISNA(VLOOKUP("San Diego QS",EDW_FEEDER!$T$2:$AH$86,14,FALSE))=TRUE,"",VLOOKUP("San Diego QS",EDW_FEEDER!$T$2:$AH$86,14,FALSE))</f>
        <v>112.7</v>
      </c>
      <c r="I39" s="267">
        <f>IF(ISNA(VLOOKUP("San Diego QS",EDW_FEEDER!$T$2:$AH$86,15,FALSE))=TRUE,"",VLOOKUP("San Diego QS",EDW_FEEDER!$T$2:$AH$86,15,FALSE))</f>
        <v>103.4</v>
      </c>
      <c r="J39" s="113"/>
      <c r="K39" s="113"/>
      <c r="L39" s="113"/>
      <c r="M39" s="113"/>
      <c r="N39" s="57"/>
      <c r="O39" s="57"/>
      <c r="P39" s="57"/>
    </row>
    <row r="40" spans="2:16" ht="12.75">
      <c r="B40" s="229" t="s">
        <v>97</v>
      </c>
      <c r="C40" s="266">
        <f>IF(ISNA(VLOOKUP("Winston-Salem QS",EDW_FEEDER!$T$2:$AH$86,9,FALSE))=TRUE,"",VLOOKUP("Winston-Salem QS",EDW_FEEDER!$T$2:$AH$86,9,FALSE))</f>
        <v>5030</v>
      </c>
      <c r="D40" s="267">
        <f>IF(ISNA(VLOOKUP("Winston-Salem QS",EDW_FEEDER!$T$2:$AH$86,10,FALSE))=TRUE,"",VLOOKUP("Winston-Salem QS",EDW_FEEDER!$T$2:$AH$86,10,FALSE))</f>
        <v>85.3</v>
      </c>
      <c r="E40" s="268">
        <f>IF(ISNA(VLOOKUP("Winston-Salem QS",EDW_FEEDER!$T$2:$AH$86,11,FALSE))=TRUE,"",VLOOKUP("Winston-Salem QS",EDW_FEEDER!$T$2:$AH$86,11,FALSE))</f>
        <v>0.23738</v>
      </c>
      <c r="F40" s="266">
        <f>IF(ISNA(VLOOKUP("Winston-Salem QS",EDW_FEEDER!$T$2:$AH$86,12,FALSE))=TRUE,"",VLOOKUP("Winston-Salem QS",EDW_FEEDER!$T$2:$AH$86,12,FALSE))</f>
        <v>253</v>
      </c>
      <c r="G40" s="266">
        <f>IF(ISNA(VLOOKUP("Winston-Salem QS",EDW_FEEDER!$T$2:$AH$86,13,FALSE))=TRUE,"",VLOOKUP("Winston-Salem QS",EDW_FEEDER!$T$2:$AH$86,13,FALSE))</f>
        <v>1987</v>
      </c>
      <c r="H40" s="267">
        <f>IF(ISNA(VLOOKUP("Winston-Salem QS",EDW_FEEDER!$T$2:$AH$86,14,FALSE))=TRUE,"",VLOOKUP("Winston-Salem QS",EDW_FEEDER!$T$2:$AH$870,14,FALSE))</f>
        <v>142.4</v>
      </c>
      <c r="I40" s="267">
        <f>IF(ISNA(VLOOKUP("Winston-Salem QS",EDW_FEEDER!$T$2:$AH$86,15,FALSE))=TRUE,"",VLOOKUP("Winston-Salem QS",EDW_FEEDER!$T$2:$AH$86,15,FALSE))</f>
        <v>135.4</v>
      </c>
      <c r="J40" s="113"/>
      <c r="K40" s="113"/>
      <c r="L40" s="113"/>
      <c r="M40" s="113"/>
      <c r="N40" s="95"/>
      <c r="O40" s="96"/>
      <c r="P40" s="96"/>
    </row>
    <row r="41" spans="2:16" ht="12.75">
      <c r="B41" s="123" t="s">
        <v>434</v>
      </c>
      <c r="C41" s="266">
        <f>IF(ISNA(VLOOKUP(B41,EDW_FEEDER!$T$2:$AH$86,9,FALSE))=TRUE,"",VLOOKUP(B41,EDW_FEEDER!$T$2:$AH$86,9,FALSE))</f>
        <v>1036</v>
      </c>
      <c r="D41" s="267">
        <f>IF(ISNA(VLOOKUP(B41,EDW_FEEDER!$T$2:$AH$86,10,FALSE))=TRUE,"",VLOOKUP(B41,EDW_FEEDER!$T$2:$AH$86,10,FALSE))</f>
        <v>91.9</v>
      </c>
      <c r="E41" s="268">
        <f>IF(ISNA(VLOOKUP(B41,EDW_FEEDER!$T$2:$AH$86,11,FALSE))=TRUE,"",VLOOKUP(B41,EDW_FEEDER!$T$2:$AH$86,11,FALSE))</f>
        <v>0.30212</v>
      </c>
      <c r="F41" s="266">
        <f>IF(ISNA(VLOOKUP(B41,EDW_FEEDER!$T$2:$AH$86,12,FALSE))=TRUE,"",VLOOKUP(B41,EDW_FEEDER!$T$2:$AH$86,12,FALSE))</f>
        <v>11</v>
      </c>
      <c r="G41" s="266">
        <f>IF(ISNA(VLOOKUP(B41,EDW_FEEDER!$T$2:$AH$86,13,FALSE))=TRUE,"",VLOOKUP(B41,EDW_FEEDER!$T$2:$AH$86,13,FALSE))</f>
        <v>171</v>
      </c>
      <c r="H41" s="267">
        <f>IF(ISNA(VLOOKUP(B41,EDW_FEEDER!$T$2:$AH$86,14,FALSE))=TRUE,"",VLOOKUP(B41,EDW_FEEDER!$T$2:$AH$870,14,FALSE))</f>
        <v>187</v>
      </c>
      <c r="I41" s="267">
        <f>IF(ISNA(VLOOKUP(B41,EDW_FEEDER!$T$2:$AH$86,15,FALSE))=TRUE,"",VLOOKUP(B41,EDW_FEEDER!$T$2:$AH$86,15,FALSE))</f>
        <v>201.6</v>
      </c>
      <c r="J41" s="113"/>
      <c r="K41" s="113"/>
      <c r="L41" s="113"/>
      <c r="M41" s="113"/>
      <c r="N41" s="95"/>
      <c r="O41" s="96"/>
      <c r="P41" s="96"/>
    </row>
    <row r="42" spans="2:16" ht="12.75">
      <c r="B42" s="450" t="s">
        <v>301</v>
      </c>
      <c r="C42" s="451"/>
      <c r="D42" s="451"/>
      <c r="E42" s="451"/>
      <c r="F42" s="451"/>
      <c r="G42" s="451"/>
      <c r="H42" s="451"/>
      <c r="I42" s="451"/>
      <c r="J42" s="451"/>
      <c r="K42" s="451"/>
      <c r="L42" s="451"/>
      <c r="M42" s="452"/>
      <c r="N42" s="95"/>
      <c r="O42" s="96"/>
      <c r="P42" s="96"/>
    </row>
    <row r="43" spans="2:16" ht="25.5">
      <c r="B43" s="230" t="s">
        <v>391</v>
      </c>
      <c r="C43" s="266">
        <f>IF(ISNA(VLOOKUP("USAB",EDW_FEEDER!$T$2:$AH$86,9,FALSE))=TRUE,"",VLOOKUP("USAB",EDW_FEEDER!$T$2:$AH$86,9,FALSE))</f>
        <v>11179</v>
      </c>
      <c r="D43" s="267">
        <f>IF(ISNA(VLOOKUP("USAB",EDW_FEEDER!$T$2:$AH$86,10,FALSE))=TRUE,"",VLOOKUP("USAB",EDW_FEEDER!$T$2:$AH$86,10,FALSE))</f>
        <v>87.2</v>
      </c>
      <c r="E43" s="268">
        <f>IF(ISNA(VLOOKUP("USAB",EDW_FEEDER!$T$2:$AH$86,11,FALSE))=TRUE,"",VLOOKUP("USAB",EDW_FEEDER!$T$2:$AH$86,11,FALSE))</f>
        <v>0.25709</v>
      </c>
      <c r="F43" s="266">
        <f>IF(ISNA(VLOOKUP("USAB",EDW_FEEDER!$T$2:$AH$86,12,FALSE))=TRUE,"",VLOOKUP("USAB",EDW_FEEDER!$T$2:$AH$86,12,FALSE))</f>
        <v>475</v>
      </c>
      <c r="G43" s="266">
        <f>IF(ISNA(VLOOKUP("USAB",EDW_FEEDER!$T$2:$AH$86,13,FALSE))=TRUE,"",VLOOKUP("USAB",EDW_FEEDER!$T$2:$AH$870,13,FALSE))</f>
        <v>4768</v>
      </c>
      <c r="H43" s="267">
        <f>IF(ISNA(VLOOKUP("USAB",EDW_FEEDER!$T$2:$AH$86,14,FALSE))=TRUE,"",VLOOKUP("USAB",EDW_FEEDER!$T$2:$AH$86,14,FALSE))</f>
        <v>150.8</v>
      </c>
      <c r="I43" s="267">
        <f>IF(ISNA(VLOOKUP("USAB",EDW_FEEDER!$T$2:$AH$86,15,FALSE))=TRUE,"",VLOOKUP("USAB",EDW_FEEDER!$T$2:$AH$86,15,FALSE))</f>
        <v>148.3</v>
      </c>
      <c r="J43" s="113"/>
      <c r="K43" s="113"/>
      <c r="L43" s="113"/>
      <c r="M43" s="113"/>
      <c r="N43" s="95"/>
      <c r="O43" s="96"/>
      <c r="P43" s="96"/>
    </row>
    <row r="44" spans="2:13" ht="12.75">
      <c r="B44" s="229" t="s">
        <v>97</v>
      </c>
      <c r="C44" s="266">
        <f>IF(ISNA(VLOOKUP("Winston-Salem BDD",EDW_FEEDER!$T$2:$AH$86,9,FALSE))=TRUE,"",VLOOKUP("Winston-Salem BDD",EDW_FEEDER!$T$2:$AH$86,9,FALSE))</f>
        <v>3979</v>
      </c>
      <c r="D44" s="267">
        <f>IF(ISNA(VLOOKUP("Winston-Salem BDD",EDW_FEEDER!$T$2:$AH$86,10,FALSE))=TRUE,"",VLOOKUP("Winston-Salem BDD",EDW_FEEDER!$T$2:$AH$86,10,FALSE))</f>
        <v>63.9</v>
      </c>
      <c r="E44" s="268">
        <f>IF(ISNA(VLOOKUP("Winston-Salem BDD",EDW_FEEDER!$T$2:$AH$86,11,FALSE))=TRUE,"",VLOOKUP("Winston-Salem BDD",EDW_FEEDER!$T$2:$AH$86,11,FALSE))</f>
        <v>0.10405</v>
      </c>
      <c r="F44" s="266">
        <f>IF(ISNA(VLOOKUP("Winston-Salem BDD",EDW_FEEDER!$T$2:$AH$86,12,FALSE))=TRUE,"",VLOOKUP("Winston-Salem BDD",EDW_FEEDER!$T$2:$AH$86,12,FALSE))</f>
        <v>155</v>
      </c>
      <c r="G44" s="266">
        <f>IF(ISNA(VLOOKUP("Winston-Salem BDD",EDW_FEEDER!$T$2:$AH$86,13,FALSE))=TRUE,"",VLOOKUP("Winston-Salem BDD",EDW_FEEDER!$T$2:$AH$870,13,FALSE))</f>
        <v>1888</v>
      </c>
      <c r="H44" s="267">
        <f>IF(ISNA(VLOOKUP("Winston-Salem BDD",EDW_FEEDER!$T$2:$AH$86,14,FALSE))=TRUE,"",VLOOKUP("Winston-Salem BDD",EDW_FEEDER!$T$2:$AH$86,14,FALSE))</f>
        <v>108.9</v>
      </c>
      <c r="I44" s="267">
        <f>IF(ISNA(VLOOKUP("Winston-Salem BDD",EDW_FEEDER!$T$2:$AH$86,15,FALSE))=TRUE,"",VLOOKUP("Winston-Salem BDD",EDW_FEEDER!$T$2:$AH$86,15,FALSE))</f>
        <v>90.2</v>
      </c>
      <c r="J44" s="113"/>
      <c r="K44" s="113"/>
      <c r="L44" s="113"/>
      <c r="M44" s="113"/>
    </row>
    <row r="45" spans="2:13" ht="12.75">
      <c r="B45" s="229" t="s">
        <v>84</v>
      </c>
      <c r="C45" s="266">
        <f>IF(ISNA(VLOOKUP("Salt Lake City BDD",EDW_FEEDER!$T$2:$AH$86,9,FALSE))=TRUE,"",VLOOKUP("Salt Lake City BDD",EDW_FEEDER!$T$2:$AH$86,9,FALSE))</f>
        <v>5857</v>
      </c>
      <c r="D45" s="267">
        <f>IF(ISNA(VLOOKUP("Salt Lake City BDD",EDW_FEEDER!$T$2:$AH$86,10,FALSE))=TRUE,"",VLOOKUP("Salt Lake City BDD",EDW_FEEDER!$T$2:$AH$86,10,FALSE))</f>
        <v>101.8</v>
      </c>
      <c r="E45" s="268">
        <f>IF(ISNA(VLOOKUP("Salt Lake City BDD",EDW_FEEDER!$T$2:$AH$86,11,FALSE))=TRUE,"",VLOOKUP("Salt Lake City BDD",EDW_FEEDER!$T$2:$AH$86,11,FALSE))</f>
        <v>0.3582</v>
      </c>
      <c r="F45" s="266">
        <f>IF(ISNA(VLOOKUP("Salt Lake City BDD",EDW_FEEDER!$T$2:$AH$86,12,FALSE))=TRUE,"",VLOOKUP("Salt Lake City BDD",EDW_FEEDER!$T$2:$AH$86,12,FALSE))</f>
        <v>281</v>
      </c>
      <c r="G45" s="266">
        <f>IF(ISNA(VLOOKUP("Salt Lake City BDD",EDW_FEEDER!$T$2:$AH$86,13,FALSE))=TRUE,"",VLOOKUP("Salt Lake City BDD",EDW_FEEDER!$T$2:$AH$86,13,FALSE))</f>
        <v>2500</v>
      </c>
      <c r="H45" s="267">
        <f>IF(ISNA(VLOOKUP("Salt Lake City BDD",EDW_FEEDER!$T$2:$AH$86,14,FALSE))=TRUE,"",VLOOKUP("Salt Lake City BDD",EDW_FEEDER!$T$2:$AH$870,14,FALSE))</f>
        <v>171</v>
      </c>
      <c r="I45" s="267">
        <f>IF(ISNA(VLOOKUP("Salt Lake City BDD",EDW_FEEDER!$T$2:$AH$86,15,FALSE))=TRUE,"",VLOOKUP("Salt Lake City BDD",EDW_FEEDER!$T$2:$AH$86,15,FALSE))</f>
        <v>189.3</v>
      </c>
      <c r="J45" s="113"/>
      <c r="K45" s="113"/>
      <c r="L45" s="113"/>
      <c r="M45" s="113"/>
    </row>
    <row r="46" spans="2:13" ht="25.5">
      <c r="B46" s="272" t="s">
        <v>436</v>
      </c>
      <c r="C46" s="266">
        <f>IF(ISNA(VLOOKUP(B46,EDW_FEEDER!$T$2:$AH$86,9,FALSE))=TRUE,"",VLOOKUP(B46,EDW_FEEDER!$T$2:$AH$86,9,FALSE))</f>
        <v>1343</v>
      </c>
      <c r="D46" s="267">
        <f>IF(ISNA(VLOOKUP(B46,EDW_FEEDER!$T$2:$AH$86,10,FALSE))=TRUE,"",VLOOKUP(B46,EDW_FEEDER!$T$2:$AH$86,10,FALSE))</f>
        <v>92.3</v>
      </c>
      <c r="E46" s="268">
        <f>IF(ISNA(VLOOKUP(B46,EDW_FEEDER!$T$2:$AH$86,11,FALSE))=TRUE,"",VLOOKUP(B46,EDW_FEEDER!$T$2:$AH$86,11,FALSE))</f>
        <v>0.26955</v>
      </c>
      <c r="F46" s="266">
        <f>IF(ISNA(VLOOKUP(B46,EDW_FEEDER!$T$2:$AH$86,12,FALSE))=TRUE,"",VLOOKUP(B46,EDW_FEEDER!$T$2:$AH$86,12,FALSE))</f>
        <v>39</v>
      </c>
      <c r="G46" s="266">
        <f>IF(ISNA(VLOOKUP(B46,EDW_FEEDER!$T$2:$AH$86,13,FALSE))=TRUE,"",VLOOKUP(B46,EDW_FEEDER!$T$2:$AH$86,13,FALSE))</f>
        <v>380</v>
      </c>
      <c r="H46" s="267">
        <f>IF(ISNA(VLOOKUP(B46,EDW_FEEDER!$T$2:$AH$86,14,FALSE))=TRUE,"",VLOOKUP(B46,EDW_FEEDER!$T$2:$AH$870,14,FALSE))</f>
        <v>171.6</v>
      </c>
      <c r="I46" s="267">
        <f>IF(ISNA(VLOOKUP(B46,EDW_FEEDER!$T$2:$AH$86,15,FALSE))=TRUE,"",VLOOKUP(B46,EDW_FEEDER!$T$2:$AH$86,15,FALSE))</f>
        <v>166.3</v>
      </c>
      <c r="J46" s="113"/>
      <c r="K46" s="113"/>
      <c r="L46" s="113"/>
      <c r="M46" s="113"/>
    </row>
    <row r="47" spans="3:13" ht="12.75" customHeight="1">
      <c r="C47" s="234"/>
      <c r="D47" s="234"/>
      <c r="E47" s="234"/>
      <c r="F47" s="234"/>
      <c r="G47" s="234"/>
      <c r="H47" s="234"/>
      <c r="I47" s="234"/>
      <c r="J47" s="234"/>
      <c r="K47" s="234"/>
      <c r="L47" s="234"/>
      <c r="M47" s="234"/>
    </row>
    <row r="48" spans="3:13" ht="12.75" customHeight="1">
      <c r="C48" s="234"/>
      <c r="D48" s="234"/>
      <c r="E48" s="234"/>
      <c r="F48" s="234"/>
      <c r="G48" s="234"/>
      <c r="H48" s="234"/>
      <c r="I48" s="234"/>
      <c r="J48" s="234"/>
      <c r="K48" s="234"/>
      <c r="L48" s="234"/>
      <c r="M48" s="234"/>
    </row>
    <row r="49" spans="3:13" ht="12.75">
      <c r="C49" s="234"/>
      <c r="D49" s="234"/>
      <c r="E49" s="234"/>
      <c r="F49" s="234"/>
      <c r="G49" s="234"/>
      <c r="H49" s="234"/>
      <c r="I49" s="234"/>
      <c r="J49" s="234"/>
      <c r="K49" s="234"/>
      <c r="L49" s="234"/>
      <c r="M49" s="234"/>
    </row>
  </sheetData>
  <sheetProtection password="A320" sheet="1" autoFilter="0"/>
  <protectedRanges>
    <protectedRange sqref="C11:I11 C13:I30 C43:I46 C38:I41 C32:I36" name="SOJ"/>
  </protectedRanges>
  <mergeCells count="19">
    <mergeCell ref="B42:M42"/>
    <mergeCell ref="D6:E6"/>
    <mergeCell ref="G6:H6"/>
    <mergeCell ref="L6:M6"/>
    <mergeCell ref="D7:E7"/>
    <mergeCell ref="G7:H7"/>
    <mergeCell ref="B31:M31"/>
    <mergeCell ref="B37:M37"/>
    <mergeCell ref="C9:M9"/>
    <mergeCell ref="B12:M12"/>
    <mergeCell ref="J1:M1"/>
    <mergeCell ref="J2:M2"/>
    <mergeCell ref="L7:M7"/>
    <mergeCell ref="C3:M3"/>
    <mergeCell ref="C4:M4"/>
    <mergeCell ref="D5:E5"/>
    <mergeCell ref="G5:H5"/>
    <mergeCell ref="L5:M5"/>
    <mergeCell ref="C1:I2"/>
  </mergeCells>
  <conditionalFormatting sqref="B14:B30 B32:B35">
    <cfRule type="expression" priority="2" dxfId="0" stopIfTrue="1">
      <formula>ISERROR(B14)</formula>
    </cfRule>
  </conditionalFormatting>
  <conditionalFormatting sqref="B36">
    <cfRule type="expression" priority="1" dxfId="0"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fitToHeight="1" fitToWidth="1" horizontalDpi="600" verticalDpi="600" orientation="landscape" scale="57" r:id="rId3"/>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SheetLayoutView="80" zoomScalePageLayoutView="0" workbookViewId="0" topLeftCell="A1">
      <selection activeCell="A1" sqref="A1"/>
    </sheetView>
  </sheetViews>
  <sheetFormatPr defaultColWidth="9.140625" defaultRowHeight="12.75"/>
  <cols>
    <col min="1" max="1" width="2.140625" style="5" customWidth="1"/>
    <col min="2" max="2" width="19.421875" style="4" customWidth="1"/>
    <col min="3" max="3" width="14.7109375" style="4" bestFit="1" customWidth="1"/>
    <col min="4" max="4" width="14.28125" style="4" customWidth="1"/>
    <col min="5" max="5" width="14.8515625" style="6" bestFit="1" customWidth="1"/>
    <col min="6" max="6" width="15.7109375" style="6" customWidth="1"/>
    <col min="7" max="7" width="16.7109375" style="6" customWidth="1"/>
    <col min="8" max="8" width="14.00390625" style="6" customWidth="1"/>
    <col min="9" max="9" width="12.57421875" style="6" customWidth="1"/>
    <col min="10" max="10" width="10.421875" style="6" customWidth="1"/>
    <col min="11" max="11" width="14.7109375" style="6" customWidth="1"/>
    <col min="12" max="12" width="23.00390625" style="6" customWidth="1"/>
    <col min="13" max="13" width="14.28125" style="6" customWidth="1"/>
    <col min="14" max="14" width="12.421875" style="6" customWidth="1"/>
    <col min="15" max="15" width="14.421875" style="6" customWidth="1"/>
    <col min="16" max="16" width="9.7109375" style="6" customWidth="1"/>
    <col min="17" max="17" width="15.57421875" style="6" customWidth="1"/>
    <col min="18" max="18" width="15.00390625" style="6" customWidth="1"/>
    <col min="19" max="19" width="14.57421875" style="6" customWidth="1"/>
    <col min="20" max="16384" width="9.140625" style="5" customWidth="1"/>
  </cols>
  <sheetData>
    <row r="1" spans="4:19" ht="17.25" customHeight="1" thickBot="1">
      <c r="D1" s="7"/>
      <c r="E1" s="7"/>
      <c r="F1" s="7"/>
      <c r="G1" s="7"/>
      <c r="H1" s="7"/>
      <c r="I1" s="7"/>
      <c r="J1" s="7"/>
      <c r="K1" s="7"/>
      <c r="L1" s="7"/>
      <c r="M1" s="7"/>
      <c r="N1" s="7"/>
      <c r="O1" s="7"/>
      <c r="P1" s="7"/>
      <c r="Q1" s="7"/>
      <c r="R1" s="7"/>
      <c r="S1" s="7"/>
    </row>
    <row r="2" spans="3:20" ht="27" thickBot="1">
      <c r="C2" s="507" t="s">
        <v>396</v>
      </c>
      <c r="D2" s="508"/>
      <c r="E2" s="508"/>
      <c r="F2" s="508"/>
      <c r="G2" s="508"/>
      <c r="H2" s="508"/>
      <c r="I2" s="508"/>
      <c r="J2" s="508"/>
      <c r="K2" s="508"/>
      <c r="L2" s="508"/>
      <c r="M2" s="508"/>
      <c r="N2" s="508"/>
      <c r="O2" s="508"/>
      <c r="P2" s="508"/>
      <c r="Q2" s="508"/>
      <c r="R2" s="508"/>
      <c r="S2" s="509"/>
      <c r="T2" s="194"/>
    </row>
    <row r="3" spans="3:20" ht="63" customHeight="1" thickBot="1">
      <c r="C3" s="501" t="s">
        <v>449</v>
      </c>
      <c r="D3" s="502"/>
      <c r="E3" s="502"/>
      <c r="F3" s="502"/>
      <c r="G3" s="502"/>
      <c r="H3" s="502"/>
      <c r="I3" s="502"/>
      <c r="J3" s="502"/>
      <c r="K3" s="502"/>
      <c r="L3" s="502"/>
      <c r="M3" s="502"/>
      <c r="N3" s="502"/>
      <c r="O3" s="502"/>
      <c r="P3" s="502"/>
      <c r="Q3" s="502"/>
      <c r="R3" s="502"/>
      <c r="S3" s="503"/>
      <c r="T3" s="194"/>
    </row>
    <row r="4" spans="3:20" ht="32.25" customHeight="1" thickBot="1">
      <c r="C4" s="498" t="s">
        <v>459</v>
      </c>
      <c r="D4" s="499"/>
      <c r="E4" s="499"/>
      <c r="F4" s="499"/>
      <c r="G4" s="499"/>
      <c r="H4" s="499"/>
      <c r="I4" s="499"/>
      <c r="J4" s="499"/>
      <c r="K4" s="499"/>
      <c r="L4" s="499"/>
      <c r="M4" s="499"/>
      <c r="N4" s="499"/>
      <c r="O4" s="499"/>
      <c r="P4" s="499"/>
      <c r="Q4" s="499"/>
      <c r="R4" s="499"/>
      <c r="S4" s="500"/>
      <c r="T4" s="194"/>
    </row>
    <row r="5" spans="2:19" ht="27" customHeight="1" thickBot="1">
      <c r="B5" s="25"/>
      <c r="C5" s="483" t="s">
        <v>311</v>
      </c>
      <c r="D5" s="484"/>
      <c r="E5" s="484"/>
      <c r="F5" s="484"/>
      <c r="G5" s="484"/>
      <c r="H5" s="484"/>
      <c r="I5" s="485"/>
      <c r="J5" s="278"/>
      <c r="K5" s="483" t="s">
        <v>308</v>
      </c>
      <c r="L5" s="484"/>
      <c r="M5" s="484"/>
      <c r="N5" s="484"/>
      <c r="O5" s="485"/>
      <c r="P5" s="183"/>
      <c r="Q5" s="483" t="s">
        <v>318</v>
      </c>
      <c r="R5" s="484"/>
      <c r="S5" s="485"/>
    </row>
    <row r="6" spans="2:19" ht="65.25" customHeight="1" thickBot="1">
      <c r="B6" s="5"/>
      <c r="C6" s="510" t="s">
        <v>357</v>
      </c>
      <c r="D6" s="511"/>
      <c r="E6" s="511"/>
      <c r="F6" s="512"/>
      <c r="G6" s="276" t="s">
        <v>13</v>
      </c>
      <c r="H6" s="277" t="s">
        <v>4</v>
      </c>
      <c r="I6" s="279" t="s">
        <v>5</v>
      </c>
      <c r="J6" s="5"/>
      <c r="K6" s="490" t="s">
        <v>357</v>
      </c>
      <c r="L6" s="491"/>
      <c r="M6" s="273" t="s">
        <v>13</v>
      </c>
      <c r="N6" s="274" t="s">
        <v>4</v>
      </c>
      <c r="O6" s="275" t="s">
        <v>5</v>
      </c>
      <c r="P6" s="141"/>
      <c r="Q6" s="486" t="s">
        <v>357</v>
      </c>
      <c r="R6" s="487"/>
      <c r="S6" s="273" t="s">
        <v>13</v>
      </c>
    </row>
    <row r="7" spans="2:19" ht="32.25" customHeight="1" thickBot="1">
      <c r="B7" s="5"/>
      <c r="C7" s="481" t="s">
        <v>398</v>
      </c>
      <c r="D7" s="482"/>
      <c r="E7" s="482"/>
      <c r="F7" s="482"/>
      <c r="G7" s="237">
        <v>174090</v>
      </c>
      <c r="H7" s="238">
        <v>83789</v>
      </c>
      <c r="I7" s="239">
        <v>0.48129703027169857</v>
      </c>
      <c r="J7" s="5"/>
      <c r="K7" s="481" t="s">
        <v>340</v>
      </c>
      <c r="L7" s="482"/>
      <c r="M7" s="238">
        <v>21577</v>
      </c>
      <c r="N7" s="238">
        <v>1751</v>
      </c>
      <c r="O7" s="242">
        <v>0.08115122584233211</v>
      </c>
      <c r="P7" s="188"/>
      <c r="Q7" s="481" t="s">
        <v>319</v>
      </c>
      <c r="R7" s="482"/>
      <c r="S7" s="245">
        <v>284928</v>
      </c>
    </row>
    <row r="8" spans="2:19" ht="51" customHeight="1">
      <c r="B8" s="5"/>
      <c r="C8" s="492" t="s">
        <v>324</v>
      </c>
      <c r="D8" s="493"/>
      <c r="E8" s="493"/>
      <c r="F8" s="494"/>
      <c r="G8" s="174">
        <v>688</v>
      </c>
      <c r="H8" s="169">
        <v>524</v>
      </c>
      <c r="I8" s="248">
        <v>0.7616279069767442</v>
      </c>
      <c r="J8" s="5"/>
      <c r="K8" s="488" t="s">
        <v>342</v>
      </c>
      <c r="L8" s="489"/>
      <c r="M8" s="191">
        <v>4842</v>
      </c>
      <c r="N8" s="192">
        <v>339</v>
      </c>
      <c r="O8" s="193">
        <v>0.07001239157372986</v>
      </c>
      <c r="P8" s="308" t="s">
        <v>448</v>
      </c>
      <c r="Q8" s="474" t="s">
        <v>312</v>
      </c>
      <c r="R8" s="479"/>
      <c r="S8" s="224">
        <v>191709</v>
      </c>
    </row>
    <row r="9" spans="2:19" ht="45" customHeight="1">
      <c r="B9" s="5"/>
      <c r="C9" s="492" t="s">
        <v>322</v>
      </c>
      <c r="D9" s="493"/>
      <c r="E9" s="493"/>
      <c r="F9" s="494"/>
      <c r="G9" s="137">
        <v>51991</v>
      </c>
      <c r="H9" s="133">
        <v>23634</v>
      </c>
      <c r="I9" s="134">
        <v>0.4545786770787252</v>
      </c>
      <c r="J9" s="308" t="s">
        <v>448</v>
      </c>
      <c r="K9" s="492" t="s">
        <v>341</v>
      </c>
      <c r="L9" s="493"/>
      <c r="M9" s="137">
        <v>6704</v>
      </c>
      <c r="N9" s="133">
        <v>402</v>
      </c>
      <c r="O9" s="166">
        <v>0.05996420047732697</v>
      </c>
      <c r="P9" s="308" t="s">
        <v>448</v>
      </c>
      <c r="Q9" s="474" t="s">
        <v>293</v>
      </c>
      <c r="R9" s="479"/>
      <c r="S9" s="225">
        <v>401.8</v>
      </c>
    </row>
    <row r="10" spans="2:19" ht="63" customHeight="1" thickBot="1">
      <c r="B10" s="5"/>
      <c r="C10" s="492" t="s">
        <v>323</v>
      </c>
      <c r="D10" s="493"/>
      <c r="E10" s="493"/>
      <c r="F10" s="494"/>
      <c r="G10" s="137">
        <v>121411</v>
      </c>
      <c r="H10" s="137">
        <v>59631</v>
      </c>
      <c r="I10" s="139">
        <v>0.4911498958084523</v>
      </c>
      <c r="J10" s="308" t="s">
        <v>448</v>
      </c>
      <c r="K10" s="474" t="s">
        <v>343</v>
      </c>
      <c r="L10" s="479"/>
      <c r="M10" s="137">
        <v>10031</v>
      </c>
      <c r="N10" s="133">
        <v>1010</v>
      </c>
      <c r="O10" s="166">
        <v>0.10068786761040774</v>
      </c>
      <c r="P10" s="189"/>
      <c r="Q10" s="474" t="s">
        <v>313</v>
      </c>
      <c r="R10" s="479"/>
      <c r="S10" s="225">
        <v>18701</v>
      </c>
    </row>
    <row r="11" spans="2:19" ht="45" customHeight="1" thickBot="1">
      <c r="B11" s="5"/>
      <c r="C11" s="481" t="s">
        <v>399</v>
      </c>
      <c r="D11" s="482"/>
      <c r="E11" s="482"/>
      <c r="F11" s="482"/>
      <c r="G11" s="237">
        <v>6266</v>
      </c>
      <c r="H11" s="240">
        <v>1416</v>
      </c>
      <c r="I11" s="241">
        <v>0.22598148739227578</v>
      </c>
      <c r="J11" s="5"/>
      <c r="K11" s="481" t="s">
        <v>309</v>
      </c>
      <c r="L11" s="482"/>
      <c r="M11" s="237">
        <v>34443</v>
      </c>
      <c r="N11" s="237">
        <v>6519</v>
      </c>
      <c r="O11" s="243">
        <v>0.18926922741921434</v>
      </c>
      <c r="P11" s="189"/>
      <c r="Q11" s="474" t="s">
        <v>314</v>
      </c>
      <c r="R11" s="475"/>
      <c r="S11" s="225">
        <v>59866</v>
      </c>
    </row>
    <row r="12" spans="2:19" ht="46.5" customHeight="1">
      <c r="B12" s="5"/>
      <c r="C12" s="495" t="s">
        <v>345</v>
      </c>
      <c r="D12" s="496"/>
      <c r="E12" s="496"/>
      <c r="F12" s="497"/>
      <c r="G12" s="137">
        <v>5748</v>
      </c>
      <c r="H12" s="133">
        <v>912</v>
      </c>
      <c r="I12" s="134">
        <v>0.15866388308977036</v>
      </c>
      <c r="J12" s="308" t="s">
        <v>448</v>
      </c>
      <c r="K12" s="474" t="s">
        <v>335</v>
      </c>
      <c r="L12" s="475"/>
      <c r="M12" s="165">
        <v>646</v>
      </c>
      <c r="N12" s="165">
        <v>27</v>
      </c>
      <c r="O12" s="185">
        <v>0.04179566563467492</v>
      </c>
      <c r="P12" s="189"/>
      <c r="Q12" s="474" t="s">
        <v>294</v>
      </c>
      <c r="R12" s="475"/>
      <c r="S12" s="225">
        <v>627.6</v>
      </c>
    </row>
    <row r="13" spans="2:19" ht="49.5" customHeight="1" thickBot="1">
      <c r="B13" s="5"/>
      <c r="C13" s="495" t="s">
        <v>325</v>
      </c>
      <c r="D13" s="496"/>
      <c r="E13" s="496"/>
      <c r="F13" s="497"/>
      <c r="G13" s="137">
        <v>518</v>
      </c>
      <c r="H13" s="133">
        <v>504</v>
      </c>
      <c r="I13" s="134">
        <v>0.972972972972973</v>
      </c>
      <c r="J13" s="5"/>
      <c r="K13" s="474" t="s">
        <v>344</v>
      </c>
      <c r="L13" s="475"/>
      <c r="M13" s="165">
        <v>3960</v>
      </c>
      <c r="N13" s="165">
        <v>940</v>
      </c>
      <c r="O13" s="186">
        <v>0.23737373737373738</v>
      </c>
      <c r="P13" s="189"/>
      <c r="Q13" s="474" t="s">
        <v>315</v>
      </c>
      <c r="R13" s="475"/>
      <c r="S13" s="225">
        <v>20657</v>
      </c>
    </row>
    <row r="14" spans="2:19" ht="45" customHeight="1" thickBot="1">
      <c r="B14" s="5"/>
      <c r="C14" s="481" t="s">
        <v>1</v>
      </c>
      <c r="D14" s="482"/>
      <c r="E14" s="482"/>
      <c r="F14" s="482"/>
      <c r="G14" s="237">
        <v>316408</v>
      </c>
      <c r="H14" s="240">
        <v>153189</v>
      </c>
      <c r="I14" s="241">
        <v>0.48415021111982</v>
      </c>
      <c r="J14" s="5"/>
      <c r="K14" s="474" t="s">
        <v>346</v>
      </c>
      <c r="L14" s="475"/>
      <c r="M14" s="165">
        <v>12398</v>
      </c>
      <c r="N14" s="165">
        <v>1861</v>
      </c>
      <c r="O14" s="186">
        <v>0.1501048556218745</v>
      </c>
      <c r="P14" s="189"/>
      <c r="Q14" s="474" t="s">
        <v>295</v>
      </c>
      <c r="R14" s="475"/>
      <c r="S14" s="225">
        <v>544.5</v>
      </c>
    </row>
    <row r="15" spans="2:19" ht="44.25" customHeight="1">
      <c r="B15" s="5"/>
      <c r="C15" s="492" t="s">
        <v>326</v>
      </c>
      <c r="D15" s="493"/>
      <c r="E15" s="493"/>
      <c r="F15" s="494"/>
      <c r="G15" s="137">
        <v>314614</v>
      </c>
      <c r="H15" s="133">
        <v>152396</v>
      </c>
      <c r="I15" s="134">
        <v>0.48439039585015287</v>
      </c>
      <c r="J15" s="308" t="s">
        <v>448</v>
      </c>
      <c r="K15" s="474" t="s">
        <v>347</v>
      </c>
      <c r="L15" s="475"/>
      <c r="M15" s="165">
        <v>0</v>
      </c>
      <c r="N15" s="165">
        <v>0</v>
      </c>
      <c r="O15" s="186">
        <v>0</v>
      </c>
      <c r="P15" s="189"/>
      <c r="Q15" s="474" t="s">
        <v>316</v>
      </c>
      <c r="R15" s="475"/>
      <c r="S15" s="225">
        <v>12325</v>
      </c>
    </row>
    <row r="16" spans="2:19" ht="57.75" customHeight="1">
      <c r="B16" s="5"/>
      <c r="C16" s="474" t="s">
        <v>327</v>
      </c>
      <c r="D16" s="479"/>
      <c r="E16" s="479"/>
      <c r="F16" s="475"/>
      <c r="G16" s="137">
        <v>1418</v>
      </c>
      <c r="H16" s="133">
        <v>514</v>
      </c>
      <c r="I16" s="134">
        <v>0.3624823695345557</v>
      </c>
      <c r="J16" s="308" t="s">
        <v>448</v>
      </c>
      <c r="K16" s="474" t="s">
        <v>348</v>
      </c>
      <c r="L16" s="475"/>
      <c r="M16" s="165">
        <v>5422</v>
      </c>
      <c r="N16" s="165">
        <v>1712</v>
      </c>
      <c r="O16" s="186">
        <v>0.31575064551825893</v>
      </c>
      <c r="P16" s="189"/>
      <c r="Q16" s="474" t="s">
        <v>296</v>
      </c>
      <c r="R16" s="475"/>
      <c r="S16" s="225">
        <v>161.8</v>
      </c>
    </row>
    <row r="17" spans="2:19" ht="31.5" customHeight="1" thickBot="1">
      <c r="B17" s="5"/>
      <c r="C17" s="474" t="s">
        <v>328</v>
      </c>
      <c r="D17" s="479"/>
      <c r="E17" s="479"/>
      <c r="F17" s="475"/>
      <c r="G17" s="137">
        <v>100</v>
      </c>
      <c r="H17" s="133">
        <v>98</v>
      </c>
      <c r="I17" s="134">
        <v>0.98</v>
      </c>
      <c r="J17" s="5"/>
      <c r="K17" s="474" t="s">
        <v>349</v>
      </c>
      <c r="L17" s="475"/>
      <c r="M17" s="165">
        <v>12017</v>
      </c>
      <c r="N17" s="165">
        <v>1979</v>
      </c>
      <c r="O17" s="187">
        <v>0.16468336523258717</v>
      </c>
      <c r="P17" s="162"/>
      <c r="Q17" s="474" t="s">
        <v>424</v>
      </c>
      <c r="R17" s="475"/>
      <c r="S17" s="225">
        <v>371</v>
      </c>
    </row>
    <row r="18" spans="2:19" ht="32.25" customHeight="1" thickBot="1">
      <c r="B18" s="5"/>
      <c r="C18" s="474" t="s">
        <v>329</v>
      </c>
      <c r="D18" s="479"/>
      <c r="E18" s="479"/>
      <c r="F18" s="475"/>
      <c r="G18" s="137">
        <v>261</v>
      </c>
      <c r="H18" s="133">
        <v>180</v>
      </c>
      <c r="I18" s="134">
        <v>0.6896551724137931</v>
      </c>
      <c r="J18" s="308" t="s">
        <v>448</v>
      </c>
      <c r="K18" s="481" t="s">
        <v>18</v>
      </c>
      <c r="L18" s="482"/>
      <c r="M18" s="237">
        <v>9853</v>
      </c>
      <c r="N18" s="237">
        <v>9747</v>
      </c>
      <c r="O18" s="243">
        <v>0.9892418552725059</v>
      </c>
      <c r="P18" s="190"/>
      <c r="Q18" s="481" t="s">
        <v>320</v>
      </c>
      <c r="R18" s="482"/>
      <c r="S18" s="246">
        <v>16974</v>
      </c>
    </row>
    <row r="19" spans="2:19" ht="41.25" customHeight="1" thickBot="1">
      <c r="B19" s="5"/>
      <c r="C19" s="474" t="s">
        <v>330</v>
      </c>
      <c r="D19" s="479"/>
      <c r="E19" s="479"/>
      <c r="F19" s="475"/>
      <c r="G19" s="137">
        <v>0</v>
      </c>
      <c r="H19" s="133">
        <v>0</v>
      </c>
      <c r="I19" s="134">
        <v>0</v>
      </c>
      <c r="J19" s="308" t="s">
        <v>448</v>
      </c>
      <c r="K19" s="474" t="s">
        <v>350</v>
      </c>
      <c r="L19" s="475"/>
      <c r="M19" s="165">
        <v>9691</v>
      </c>
      <c r="N19" s="165">
        <v>9673</v>
      </c>
      <c r="O19" s="166">
        <v>0.9981426065421525</v>
      </c>
      <c r="P19" s="50"/>
      <c r="Q19" s="481" t="s">
        <v>321</v>
      </c>
      <c r="R19" s="482"/>
      <c r="S19" s="247">
        <v>7499</v>
      </c>
    </row>
    <row r="20" spans="2:19" ht="40.5" customHeight="1">
      <c r="B20" s="5"/>
      <c r="C20" s="474" t="s">
        <v>331</v>
      </c>
      <c r="D20" s="479"/>
      <c r="E20" s="479"/>
      <c r="F20" s="475"/>
      <c r="G20" s="137">
        <v>15</v>
      </c>
      <c r="H20" s="133">
        <v>1</v>
      </c>
      <c r="I20" s="134">
        <v>0.06666666666666667</v>
      </c>
      <c r="J20" s="308" t="s">
        <v>448</v>
      </c>
      <c r="K20" s="474" t="s">
        <v>397</v>
      </c>
      <c r="L20" s="475"/>
      <c r="M20" s="165">
        <v>153</v>
      </c>
      <c r="N20" s="165">
        <v>68</v>
      </c>
      <c r="O20" s="166">
        <v>0.4444444444444444</v>
      </c>
      <c r="P20" s="50"/>
      <c r="Q20" s="50"/>
      <c r="R20" s="50"/>
      <c r="S20" s="195"/>
    </row>
    <row r="21" spans="2:19" ht="39" customHeight="1" thickBot="1">
      <c r="B21" s="5"/>
      <c r="C21" s="474" t="s">
        <v>332</v>
      </c>
      <c r="D21" s="479"/>
      <c r="E21" s="479"/>
      <c r="F21" s="475"/>
      <c r="G21" s="137">
        <v>0</v>
      </c>
      <c r="H21" s="133">
        <v>0</v>
      </c>
      <c r="I21" s="139">
        <v>0</v>
      </c>
      <c r="J21" s="308" t="s">
        <v>448</v>
      </c>
      <c r="K21" s="474" t="s">
        <v>351</v>
      </c>
      <c r="L21" s="475"/>
      <c r="M21" s="165">
        <v>9</v>
      </c>
      <c r="N21" s="165">
        <v>6</v>
      </c>
      <c r="O21" s="166">
        <v>0.6666666666666666</v>
      </c>
      <c r="P21" s="50"/>
      <c r="Q21" s="50"/>
      <c r="R21" s="50"/>
      <c r="S21" s="195"/>
    </row>
    <row r="22" spans="2:25" ht="32.25" customHeight="1" thickBot="1">
      <c r="B22" s="5"/>
      <c r="C22" s="481" t="s">
        <v>16</v>
      </c>
      <c r="D22" s="482"/>
      <c r="E22" s="482"/>
      <c r="F22" s="482"/>
      <c r="G22" s="237">
        <v>481266</v>
      </c>
      <c r="H22" s="237">
        <v>326807</v>
      </c>
      <c r="I22" s="242">
        <v>0.67905690408215</v>
      </c>
      <c r="J22" s="5"/>
      <c r="K22" s="481" t="s">
        <v>281</v>
      </c>
      <c r="L22" s="482"/>
      <c r="M22" s="237">
        <v>2969</v>
      </c>
      <c r="N22" s="237">
        <v>415</v>
      </c>
      <c r="O22" s="243">
        <v>0.13977770293027955</v>
      </c>
      <c r="P22" s="50"/>
      <c r="Q22" s="50"/>
      <c r="R22" s="50"/>
      <c r="S22" s="195"/>
      <c r="T22" s="480"/>
      <c r="U22" s="480"/>
      <c r="V22" s="175"/>
      <c r="W22" s="176"/>
      <c r="X22" s="176"/>
      <c r="Y22" s="177"/>
    </row>
    <row r="23" spans="2:25" ht="26.25" customHeight="1">
      <c r="B23" s="5"/>
      <c r="C23" s="495" t="s">
        <v>333</v>
      </c>
      <c r="D23" s="496"/>
      <c r="E23" s="496"/>
      <c r="F23" s="497"/>
      <c r="G23" s="170">
        <v>259525</v>
      </c>
      <c r="H23" s="165">
        <v>190558</v>
      </c>
      <c r="I23" s="166">
        <v>0.7342568153357095</v>
      </c>
      <c r="J23" s="5"/>
      <c r="K23" s="474" t="s">
        <v>354</v>
      </c>
      <c r="L23" s="475"/>
      <c r="M23" s="165">
        <v>2198</v>
      </c>
      <c r="N23" s="165">
        <v>210</v>
      </c>
      <c r="O23" s="166">
        <v>0.09554140127388536</v>
      </c>
      <c r="P23" s="50"/>
      <c r="Q23" s="50"/>
      <c r="R23" s="50"/>
      <c r="S23" s="195"/>
      <c r="T23" s="178"/>
      <c r="U23" s="178"/>
      <c r="V23" s="179"/>
      <c r="W23" s="180"/>
      <c r="X23" s="180"/>
      <c r="Y23" s="181"/>
    </row>
    <row r="24" spans="2:25" ht="39.75" customHeight="1">
      <c r="B24" s="5"/>
      <c r="C24" s="495" t="s">
        <v>334</v>
      </c>
      <c r="D24" s="496"/>
      <c r="E24" s="496"/>
      <c r="F24" s="497"/>
      <c r="G24" s="170">
        <v>322</v>
      </c>
      <c r="H24" s="165">
        <v>188</v>
      </c>
      <c r="I24" s="166">
        <v>0.5838509316770186</v>
      </c>
      <c r="J24" s="5"/>
      <c r="K24" s="474" t="s">
        <v>353</v>
      </c>
      <c r="L24" s="475"/>
      <c r="M24" s="165">
        <v>288</v>
      </c>
      <c r="N24" s="165">
        <v>11</v>
      </c>
      <c r="O24" s="166">
        <v>0.03819444444444445</v>
      </c>
      <c r="P24" s="50"/>
      <c r="Q24" s="50"/>
      <c r="R24" s="50"/>
      <c r="S24" s="195"/>
      <c r="T24" s="178"/>
      <c r="U24" s="178"/>
      <c r="V24" s="179"/>
      <c r="W24" s="180"/>
      <c r="X24" s="180"/>
      <c r="Y24" s="181"/>
    </row>
    <row r="25" spans="2:25" ht="37.5" customHeight="1">
      <c r="B25" s="5"/>
      <c r="C25" s="495" t="s">
        <v>335</v>
      </c>
      <c r="D25" s="496"/>
      <c r="E25" s="496"/>
      <c r="F25" s="497"/>
      <c r="G25" s="170">
        <v>248</v>
      </c>
      <c r="H25" s="165">
        <v>172</v>
      </c>
      <c r="I25" s="166">
        <v>0.6935483870967742</v>
      </c>
      <c r="J25" s="5"/>
      <c r="K25" s="474" t="s">
        <v>352</v>
      </c>
      <c r="L25" s="475"/>
      <c r="M25" s="165">
        <v>483</v>
      </c>
      <c r="N25" s="165">
        <v>194</v>
      </c>
      <c r="O25" s="166">
        <v>0.40165631469979296</v>
      </c>
      <c r="P25" s="50"/>
      <c r="Q25" s="50"/>
      <c r="R25" s="50"/>
      <c r="S25" s="195"/>
      <c r="T25" s="178"/>
      <c r="U25" s="178"/>
      <c r="V25" s="179"/>
      <c r="W25" s="180"/>
      <c r="X25" s="180"/>
      <c r="Y25" s="181"/>
    </row>
    <row r="26" spans="2:25" ht="37.5" customHeight="1" thickBot="1">
      <c r="B26" s="5"/>
      <c r="C26" s="495" t="s">
        <v>336</v>
      </c>
      <c r="D26" s="496"/>
      <c r="E26" s="496"/>
      <c r="F26" s="497"/>
      <c r="G26" s="170">
        <v>112724</v>
      </c>
      <c r="H26" s="165">
        <v>92036</v>
      </c>
      <c r="I26" s="166">
        <v>0.8164720911252262</v>
      </c>
      <c r="J26" s="183"/>
      <c r="K26" s="504" t="s">
        <v>451</v>
      </c>
      <c r="L26" s="506"/>
      <c r="M26" s="309">
        <v>28</v>
      </c>
      <c r="N26" s="309">
        <v>18</v>
      </c>
      <c r="O26" s="310">
        <v>0.6428571428571429</v>
      </c>
      <c r="P26" s="50"/>
      <c r="Q26" s="50"/>
      <c r="R26" s="50"/>
      <c r="S26" s="195"/>
      <c r="T26" s="178"/>
      <c r="U26" s="178"/>
      <c r="V26" s="179"/>
      <c r="W26" s="180"/>
      <c r="X26" s="180"/>
      <c r="Y26" s="181"/>
    </row>
    <row r="27" spans="2:25" ht="26.25" customHeight="1">
      <c r="B27" s="5"/>
      <c r="C27" s="495" t="s">
        <v>337</v>
      </c>
      <c r="D27" s="496"/>
      <c r="E27" s="496"/>
      <c r="F27" s="497"/>
      <c r="G27" s="170">
        <v>30</v>
      </c>
      <c r="H27" s="165">
        <v>30</v>
      </c>
      <c r="I27" s="166">
        <v>1</v>
      </c>
      <c r="J27" s="183"/>
      <c r="K27" s="183"/>
      <c r="L27" s="183"/>
      <c r="M27" s="183"/>
      <c r="N27" s="50"/>
      <c r="O27" s="50"/>
      <c r="P27" s="50"/>
      <c r="Q27" s="50"/>
      <c r="R27" s="50"/>
      <c r="S27" s="195"/>
      <c r="T27" s="178"/>
      <c r="U27" s="178"/>
      <c r="V27" s="179"/>
      <c r="W27" s="180"/>
      <c r="X27" s="180"/>
      <c r="Y27" s="181"/>
    </row>
    <row r="28" spans="2:25" ht="32.25" customHeight="1" thickBot="1">
      <c r="B28" s="5"/>
      <c r="C28" s="495" t="s">
        <v>338</v>
      </c>
      <c r="D28" s="496"/>
      <c r="E28" s="496"/>
      <c r="F28" s="497"/>
      <c r="G28" s="137">
        <v>16720</v>
      </c>
      <c r="H28" s="133">
        <v>6489</v>
      </c>
      <c r="I28" s="134">
        <v>0.3880980861244019</v>
      </c>
      <c r="J28" s="308" t="s">
        <v>448</v>
      </c>
      <c r="K28" s="183"/>
      <c r="R28" s="50"/>
      <c r="S28" s="195"/>
      <c r="T28" s="178"/>
      <c r="U28" s="178"/>
      <c r="V28" s="179"/>
      <c r="W28" s="180"/>
      <c r="X28" s="180"/>
      <c r="Y28" s="181"/>
    </row>
    <row r="29" spans="2:25" ht="27" customHeight="1" thickBot="1">
      <c r="B29" s="5"/>
      <c r="C29" s="495" t="s">
        <v>339</v>
      </c>
      <c r="D29" s="496"/>
      <c r="E29" s="496"/>
      <c r="F29" s="497"/>
      <c r="G29" s="170">
        <v>91697</v>
      </c>
      <c r="H29" s="165">
        <v>37334</v>
      </c>
      <c r="I29" s="166">
        <v>0.4071452719281983</v>
      </c>
      <c r="J29" s="183"/>
      <c r="K29" s="513" t="s">
        <v>450</v>
      </c>
      <c r="L29" s="514"/>
      <c r="M29" s="514"/>
      <c r="N29" s="514"/>
      <c r="O29" s="515"/>
      <c r="P29" s="519" t="s">
        <v>448</v>
      </c>
      <c r="Q29" s="307"/>
      <c r="R29" s="50"/>
      <c r="S29" s="195"/>
      <c r="T29" s="178"/>
      <c r="U29" s="178"/>
      <c r="V29" s="179"/>
      <c r="W29" s="180"/>
      <c r="X29" s="180"/>
      <c r="Y29" s="181"/>
    </row>
    <row r="30" spans="2:25" ht="32.25" customHeight="1" thickBot="1">
      <c r="B30" s="5"/>
      <c r="C30" s="481" t="s">
        <v>42</v>
      </c>
      <c r="D30" s="482"/>
      <c r="E30" s="482"/>
      <c r="F30" s="482"/>
      <c r="G30" s="238">
        <v>70240</v>
      </c>
      <c r="H30" s="238">
        <v>59910</v>
      </c>
      <c r="I30" s="243">
        <v>0.8529328018223234</v>
      </c>
      <c r="J30" s="183"/>
      <c r="K30" s="516"/>
      <c r="L30" s="517"/>
      <c r="M30" s="517"/>
      <c r="N30" s="517"/>
      <c r="O30" s="518"/>
      <c r="P30" s="519"/>
      <c r="Q30" s="50"/>
      <c r="R30" s="50"/>
      <c r="S30" s="195"/>
      <c r="T30" s="178"/>
      <c r="U30" s="178"/>
      <c r="V30" s="182"/>
      <c r="W30" s="180"/>
      <c r="X30" s="180"/>
      <c r="Y30" s="181"/>
    </row>
    <row r="31" spans="2:25" ht="33.75" customHeight="1">
      <c r="B31" s="5"/>
      <c r="C31" s="474" t="s">
        <v>359</v>
      </c>
      <c r="D31" s="479"/>
      <c r="E31" s="479"/>
      <c r="F31" s="475"/>
      <c r="G31" s="170">
        <v>78</v>
      </c>
      <c r="H31" s="165">
        <v>73</v>
      </c>
      <c r="I31" s="166">
        <v>0.9358974358974359</v>
      </c>
      <c r="J31" s="183"/>
      <c r="K31" s="183"/>
      <c r="L31" s="183"/>
      <c r="M31" s="183"/>
      <c r="N31" s="50"/>
      <c r="O31" s="50"/>
      <c r="P31" s="50"/>
      <c r="Q31" s="50"/>
      <c r="R31" s="50"/>
      <c r="S31" s="195"/>
      <c r="T31" s="178"/>
      <c r="U31" s="178"/>
      <c r="V31" s="179"/>
      <c r="W31" s="180"/>
      <c r="X31" s="180"/>
      <c r="Y31" s="181"/>
    </row>
    <row r="32" spans="2:26" ht="32.25" customHeight="1">
      <c r="B32" s="5"/>
      <c r="C32" s="474" t="s">
        <v>360</v>
      </c>
      <c r="D32" s="479"/>
      <c r="E32" s="479"/>
      <c r="F32" s="475"/>
      <c r="G32" s="170">
        <v>51</v>
      </c>
      <c r="H32" s="165">
        <v>44</v>
      </c>
      <c r="I32" s="166">
        <v>0.8627450980392157</v>
      </c>
      <c r="J32" s="50"/>
      <c r="K32" s="50"/>
      <c r="L32" s="50"/>
      <c r="M32" s="50"/>
      <c r="N32" s="50"/>
      <c r="O32" s="50"/>
      <c r="P32" s="50"/>
      <c r="Q32" s="50"/>
      <c r="R32" s="50"/>
      <c r="S32" s="195"/>
      <c r="T32" s="26"/>
      <c r="U32" s="26"/>
      <c r="V32" s="161"/>
      <c r="W32" s="162"/>
      <c r="X32" s="162"/>
      <c r="Y32" s="163"/>
      <c r="Z32" s="13"/>
    </row>
    <row r="33" spans="2:26" ht="32.25" customHeight="1">
      <c r="B33" s="5"/>
      <c r="C33" s="474" t="s">
        <v>361</v>
      </c>
      <c r="D33" s="479"/>
      <c r="E33" s="479"/>
      <c r="F33" s="475"/>
      <c r="G33" s="170">
        <v>533</v>
      </c>
      <c r="H33" s="165">
        <v>500</v>
      </c>
      <c r="I33" s="166">
        <v>0.9380863039399625</v>
      </c>
      <c r="J33" s="50"/>
      <c r="K33" s="50"/>
      <c r="L33" s="50"/>
      <c r="M33" s="50"/>
      <c r="N33" s="50"/>
      <c r="O33" s="50"/>
      <c r="P33" s="50"/>
      <c r="Q33" s="50"/>
      <c r="R33" s="50"/>
      <c r="S33" s="195"/>
      <c r="T33" s="160"/>
      <c r="U33" s="160"/>
      <c r="V33" s="164"/>
      <c r="W33" s="188"/>
      <c r="X33" s="188"/>
      <c r="Y33" s="184"/>
      <c r="Z33" s="13"/>
    </row>
    <row r="34" spans="2:26" ht="32.25" customHeight="1">
      <c r="B34" s="5"/>
      <c r="C34" s="474" t="s">
        <v>362</v>
      </c>
      <c r="D34" s="479"/>
      <c r="E34" s="479"/>
      <c r="F34" s="475"/>
      <c r="G34" s="170">
        <v>1853</v>
      </c>
      <c r="H34" s="165">
        <v>870</v>
      </c>
      <c r="I34" s="166">
        <v>0.4695089044792229</v>
      </c>
      <c r="J34" s="50"/>
      <c r="K34" s="50"/>
      <c r="L34" s="50"/>
      <c r="M34" s="50"/>
      <c r="N34" s="50"/>
      <c r="O34" s="50"/>
      <c r="P34" s="50"/>
      <c r="Q34" s="50"/>
      <c r="R34" s="50"/>
      <c r="S34" s="195"/>
      <c r="T34" s="26"/>
      <c r="U34" s="26"/>
      <c r="V34" s="161"/>
      <c r="W34" s="162"/>
      <c r="X34" s="162"/>
      <c r="Y34" s="163"/>
      <c r="Z34" s="13"/>
    </row>
    <row r="35" spans="2:26" ht="32.25" customHeight="1">
      <c r="B35" s="5"/>
      <c r="C35" s="474" t="s">
        <v>363</v>
      </c>
      <c r="D35" s="479"/>
      <c r="E35" s="479"/>
      <c r="F35" s="475"/>
      <c r="G35" s="170">
        <v>219</v>
      </c>
      <c r="H35" s="165">
        <v>174</v>
      </c>
      <c r="I35" s="166">
        <v>0.7945205479452054</v>
      </c>
      <c r="J35" s="50"/>
      <c r="K35" s="50"/>
      <c r="L35" s="50"/>
      <c r="M35" s="50"/>
      <c r="N35" s="50"/>
      <c r="O35" s="50"/>
      <c r="P35" s="50"/>
      <c r="Q35" s="50"/>
      <c r="R35" s="50"/>
      <c r="S35" s="195"/>
      <c r="T35" s="26"/>
      <c r="U35" s="26"/>
      <c r="V35" s="161"/>
      <c r="W35" s="162"/>
      <c r="X35" s="162"/>
      <c r="Y35" s="163"/>
      <c r="Z35" s="13"/>
    </row>
    <row r="36" spans="2:26" ht="32.25" customHeight="1">
      <c r="B36" s="5"/>
      <c r="C36" s="474" t="s">
        <v>364</v>
      </c>
      <c r="D36" s="479"/>
      <c r="E36" s="479"/>
      <c r="F36" s="475"/>
      <c r="G36" s="170">
        <v>14909</v>
      </c>
      <c r="H36" s="165">
        <v>11814</v>
      </c>
      <c r="I36" s="166">
        <v>0.7924072707760413</v>
      </c>
      <c r="J36" s="50"/>
      <c r="K36" s="50"/>
      <c r="L36" s="50"/>
      <c r="M36" s="50"/>
      <c r="N36" s="50"/>
      <c r="O36" s="50"/>
      <c r="P36" s="50"/>
      <c r="Q36" s="50"/>
      <c r="R36" s="50"/>
      <c r="S36" s="195"/>
      <c r="T36" s="26"/>
      <c r="U36" s="26"/>
      <c r="V36" s="161"/>
      <c r="W36" s="162"/>
      <c r="X36" s="162"/>
      <c r="Y36" s="163"/>
      <c r="Z36" s="13"/>
    </row>
    <row r="37" spans="2:19" ht="27" customHeight="1" thickBot="1">
      <c r="B37" s="5"/>
      <c r="C37" s="474" t="s">
        <v>365</v>
      </c>
      <c r="D37" s="479"/>
      <c r="E37" s="479"/>
      <c r="F37" s="475"/>
      <c r="G37" s="170">
        <v>52597</v>
      </c>
      <c r="H37" s="165">
        <v>46435</v>
      </c>
      <c r="I37" s="166">
        <v>0.882845029184174</v>
      </c>
      <c r="J37" s="50"/>
      <c r="K37" s="50"/>
      <c r="L37" s="50"/>
      <c r="M37" s="50"/>
      <c r="N37" s="50"/>
      <c r="O37" s="50"/>
      <c r="P37" s="50"/>
      <c r="Q37" s="50"/>
      <c r="R37" s="50"/>
      <c r="S37" s="195"/>
    </row>
    <row r="38" spans="2:19" ht="32.25" customHeight="1" thickBot="1">
      <c r="B38" s="5"/>
      <c r="C38" s="481" t="s">
        <v>310</v>
      </c>
      <c r="D38" s="482"/>
      <c r="E38" s="482"/>
      <c r="F38" s="482"/>
      <c r="G38" s="244">
        <v>212467</v>
      </c>
      <c r="H38" s="246">
        <v>105416</v>
      </c>
      <c r="I38" s="243">
        <v>0.496152343658074</v>
      </c>
      <c r="J38" s="50"/>
      <c r="K38" s="50"/>
      <c r="Q38" s="50"/>
      <c r="R38" s="50"/>
      <c r="S38" s="195"/>
    </row>
    <row r="39" spans="2:19" ht="26.25" customHeight="1">
      <c r="B39" s="5"/>
      <c r="C39" s="474" t="s">
        <v>366</v>
      </c>
      <c r="D39" s="479"/>
      <c r="E39" s="479"/>
      <c r="F39" s="475"/>
      <c r="G39" s="170">
        <v>5168</v>
      </c>
      <c r="H39" s="165">
        <v>3829</v>
      </c>
      <c r="I39" s="166">
        <v>0.7409055727554179</v>
      </c>
      <c r="J39" s="50"/>
      <c r="K39" s="50"/>
      <c r="Q39" s="50"/>
      <c r="R39" s="50"/>
      <c r="S39" s="195"/>
    </row>
    <row r="40" spans="2:19" ht="26.25" customHeight="1">
      <c r="B40" s="5"/>
      <c r="C40" s="474" t="s">
        <v>367</v>
      </c>
      <c r="D40" s="479"/>
      <c r="E40" s="479"/>
      <c r="F40" s="475"/>
      <c r="G40" s="170">
        <v>137420</v>
      </c>
      <c r="H40" s="165">
        <v>47981</v>
      </c>
      <c r="I40" s="166">
        <v>0.3491558725076408</v>
      </c>
      <c r="J40" s="50"/>
      <c r="K40" s="50"/>
      <c r="L40" s="50"/>
      <c r="M40" s="50"/>
      <c r="N40" s="50"/>
      <c r="O40" s="50"/>
      <c r="P40" s="50"/>
      <c r="Q40" s="50"/>
      <c r="R40" s="50"/>
      <c r="S40" s="195"/>
    </row>
    <row r="41" spans="2:19" ht="26.25" customHeight="1">
      <c r="B41" s="5"/>
      <c r="C41" s="474" t="s">
        <v>368</v>
      </c>
      <c r="D41" s="479"/>
      <c r="E41" s="479"/>
      <c r="F41" s="475"/>
      <c r="G41" s="170">
        <v>2340</v>
      </c>
      <c r="H41" s="165">
        <v>1312</v>
      </c>
      <c r="I41" s="166">
        <v>0.5606837606837607</v>
      </c>
      <c r="J41" s="50"/>
      <c r="K41" s="50"/>
      <c r="L41" s="50"/>
      <c r="M41" s="50"/>
      <c r="N41" s="50"/>
      <c r="O41" s="50"/>
      <c r="P41" s="50"/>
      <c r="Q41" s="50"/>
      <c r="R41" s="50"/>
      <c r="S41" s="195"/>
    </row>
    <row r="42" spans="2:19" ht="36" customHeight="1">
      <c r="B42" s="5"/>
      <c r="C42" s="474" t="s">
        <v>369</v>
      </c>
      <c r="D42" s="479"/>
      <c r="E42" s="479"/>
      <c r="F42" s="475"/>
      <c r="G42" s="170">
        <v>31813</v>
      </c>
      <c r="H42" s="165">
        <v>21666</v>
      </c>
      <c r="I42" s="166">
        <v>0.681042341181278</v>
      </c>
      <c r="J42" s="50"/>
      <c r="K42" s="50"/>
      <c r="L42" s="50"/>
      <c r="M42" s="50"/>
      <c r="N42" s="50"/>
      <c r="O42" s="50"/>
      <c r="P42" s="50"/>
      <c r="Q42" s="50"/>
      <c r="R42" s="50"/>
      <c r="S42" s="195"/>
    </row>
    <row r="43" spans="2:19" ht="33" customHeight="1">
      <c r="B43" s="5"/>
      <c r="C43" s="474" t="s">
        <v>370</v>
      </c>
      <c r="D43" s="479"/>
      <c r="E43" s="479"/>
      <c r="F43" s="475"/>
      <c r="G43" s="170">
        <v>34905</v>
      </c>
      <c r="H43" s="165">
        <v>29953</v>
      </c>
      <c r="I43" s="166">
        <v>0.8581292078498782</v>
      </c>
      <c r="J43" s="50"/>
      <c r="K43" s="50"/>
      <c r="L43" s="50"/>
      <c r="M43" s="50"/>
      <c r="N43" s="50"/>
      <c r="O43" s="50"/>
      <c r="P43" s="50"/>
      <c r="Q43" s="50"/>
      <c r="R43" s="50"/>
      <c r="S43" s="195"/>
    </row>
    <row r="44" spans="2:19" ht="27" customHeight="1" thickBot="1">
      <c r="B44" s="5"/>
      <c r="C44" s="504" t="s">
        <v>371</v>
      </c>
      <c r="D44" s="505"/>
      <c r="E44" s="505"/>
      <c r="F44" s="506"/>
      <c r="G44" s="171">
        <v>821</v>
      </c>
      <c r="H44" s="167">
        <v>675</v>
      </c>
      <c r="I44" s="168">
        <v>0.8221680876979294</v>
      </c>
      <c r="J44" s="172"/>
      <c r="K44" s="172"/>
      <c r="L44" s="172"/>
      <c r="M44" s="172"/>
      <c r="N44" s="172"/>
      <c r="O44" s="172"/>
      <c r="P44" s="172"/>
      <c r="Q44" s="172"/>
      <c r="R44" s="172"/>
      <c r="S44" s="196"/>
    </row>
    <row r="45" spans="4:19" ht="32.25" customHeight="1">
      <c r="D45" s="5"/>
      <c r="E45" s="5"/>
      <c r="F45" s="5"/>
      <c r="G45" s="5"/>
      <c r="H45" s="5"/>
      <c r="I45" s="5"/>
      <c r="J45" s="50"/>
      <c r="K45" s="50"/>
      <c r="L45" s="50"/>
      <c r="M45" s="50"/>
      <c r="N45" s="50"/>
      <c r="O45" s="50"/>
      <c r="P45" s="50"/>
      <c r="Q45" s="50"/>
      <c r="R45" s="50"/>
      <c r="S45" s="68"/>
    </row>
    <row r="46" spans="4:19" ht="26.25">
      <c r="D46" s="5"/>
      <c r="E46" s="5"/>
      <c r="F46" s="5"/>
      <c r="G46" s="5"/>
      <c r="H46" s="5"/>
      <c r="I46" s="5"/>
      <c r="J46" s="50"/>
      <c r="K46" s="50"/>
      <c r="L46" s="50"/>
      <c r="M46" s="50"/>
      <c r="N46" s="50"/>
      <c r="O46" s="50"/>
      <c r="P46" s="50"/>
      <c r="Q46" s="50"/>
      <c r="R46" s="50"/>
      <c r="S46" s="68"/>
    </row>
    <row r="47" spans="2:7" ht="12.75">
      <c r="B47" s="57"/>
      <c r="C47" s="57"/>
      <c r="D47" s="65"/>
      <c r="E47" s="48"/>
      <c r="F47" s="48"/>
      <c r="G47" s="49"/>
    </row>
    <row r="48" ht="7.5" customHeight="1"/>
    <row r="49" spans="3:19" ht="26.25">
      <c r="C49" s="476" t="s">
        <v>355</v>
      </c>
      <c r="D49" s="477"/>
      <c r="E49" s="477"/>
      <c r="F49" s="477"/>
      <c r="G49" s="477"/>
      <c r="H49" s="477"/>
      <c r="I49" s="477"/>
      <c r="J49" s="477"/>
      <c r="K49" s="477"/>
      <c r="L49" s="477"/>
      <c r="M49" s="477"/>
      <c r="N49" s="477"/>
      <c r="O49" s="477"/>
      <c r="P49" s="477"/>
      <c r="Q49" s="477"/>
      <c r="R49" s="477"/>
      <c r="S49" s="478"/>
    </row>
    <row r="50" spans="3:19" ht="12.75">
      <c r="C50" s="473" t="s">
        <v>289</v>
      </c>
      <c r="D50" s="473"/>
      <c r="E50" s="467" t="s">
        <v>239</v>
      </c>
      <c r="F50" s="468"/>
      <c r="G50" s="469"/>
      <c r="H50" s="467" t="s">
        <v>8</v>
      </c>
      <c r="I50" s="468"/>
      <c r="J50" s="469"/>
      <c r="K50" s="467" t="s">
        <v>43</v>
      </c>
      <c r="L50" s="468"/>
      <c r="M50" s="469"/>
      <c r="N50" s="467" t="s">
        <v>9</v>
      </c>
      <c r="O50" s="468"/>
      <c r="P50" s="469"/>
      <c r="Q50" s="270" t="s">
        <v>10</v>
      </c>
      <c r="R50" s="226" t="s">
        <v>11</v>
      </c>
      <c r="S50" s="226" t="s">
        <v>12</v>
      </c>
    </row>
    <row r="51" spans="1:19" s="10" customFormat="1" ht="51">
      <c r="A51" s="250"/>
      <c r="B51" s="7"/>
      <c r="C51" s="31" t="s">
        <v>13</v>
      </c>
      <c r="D51" s="62"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ht="12.75">
      <c r="A52" s="78"/>
      <c r="B52" s="11" t="s">
        <v>284</v>
      </c>
      <c r="C52" s="282">
        <v>376746</v>
      </c>
      <c r="D52" s="88">
        <v>363.5</v>
      </c>
      <c r="E52" s="89">
        <v>496764</v>
      </c>
      <c r="F52" s="89">
        <v>238394</v>
      </c>
      <c r="G52" s="92">
        <v>0.47989387314700743</v>
      </c>
      <c r="H52" s="89">
        <v>481266</v>
      </c>
      <c r="I52" s="89">
        <v>326807</v>
      </c>
      <c r="J52" s="92">
        <v>0.67905690408215</v>
      </c>
      <c r="K52" s="89">
        <v>70240</v>
      </c>
      <c r="L52" s="89">
        <v>59910</v>
      </c>
      <c r="M52" s="92">
        <v>0.8529328018223234</v>
      </c>
      <c r="N52" s="89">
        <v>212467</v>
      </c>
      <c r="O52" s="89">
        <v>105416</v>
      </c>
      <c r="P52" s="92">
        <v>0.496152343658074</v>
      </c>
      <c r="Q52" s="89">
        <v>10876</v>
      </c>
      <c r="R52" s="89">
        <v>3742</v>
      </c>
      <c r="S52" s="91">
        <v>280824</v>
      </c>
    </row>
    <row r="53" spans="1:19" ht="12.75">
      <c r="A53" s="78"/>
      <c r="B53" s="100" t="s">
        <v>149</v>
      </c>
      <c r="C53" s="89">
        <v>58165</v>
      </c>
      <c r="D53" s="199">
        <v>396.4</v>
      </c>
      <c r="E53" s="200">
        <v>91815</v>
      </c>
      <c r="F53" s="200">
        <v>45101</v>
      </c>
      <c r="G53" s="202">
        <v>0.49121603223874094</v>
      </c>
      <c r="H53" s="200">
        <v>79202</v>
      </c>
      <c r="I53" s="200">
        <v>51764</v>
      </c>
      <c r="J53" s="202">
        <v>0.6535693543092346</v>
      </c>
      <c r="K53" s="200">
        <v>11941</v>
      </c>
      <c r="L53" s="200">
        <v>9598</v>
      </c>
      <c r="M53" s="203">
        <v>0.8037852776149401</v>
      </c>
      <c r="N53" s="200">
        <v>49963</v>
      </c>
      <c r="O53" s="200">
        <v>23004</v>
      </c>
      <c r="P53" s="203">
        <v>0.4604207113263815</v>
      </c>
      <c r="Q53" s="200">
        <v>7795</v>
      </c>
      <c r="R53" s="200">
        <v>685</v>
      </c>
      <c r="S53" s="89">
        <v>52468</v>
      </c>
    </row>
    <row r="54" spans="1:19" ht="12.75">
      <c r="A54" s="251" t="s">
        <v>166</v>
      </c>
      <c r="B54" s="101" t="s">
        <v>46</v>
      </c>
      <c r="C54" s="90">
        <v>7331</v>
      </c>
      <c r="D54" s="204">
        <v>550</v>
      </c>
      <c r="E54" s="205">
        <v>9230</v>
      </c>
      <c r="F54" s="205">
        <v>6130</v>
      </c>
      <c r="G54" s="206">
        <v>0.6641386782231853</v>
      </c>
      <c r="H54" s="205">
        <v>8856</v>
      </c>
      <c r="I54" s="205">
        <v>7488</v>
      </c>
      <c r="J54" s="206">
        <v>0.8455284552845529</v>
      </c>
      <c r="K54" s="205">
        <v>1073</v>
      </c>
      <c r="L54" s="205">
        <v>968</v>
      </c>
      <c r="M54" s="206">
        <v>0.902143522833178</v>
      </c>
      <c r="N54" s="205">
        <v>7839</v>
      </c>
      <c r="O54" s="205">
        <v>4747</v>
      </c>
      <c r="P54" s="206">
        <v>0.6055619339201429</v>
      </c>
      <c r="Q54" s="205">
        <v>31</v>
      </c>
      <c r="R54" s="205">
        <v>8</v>
      </c>
      <c r="S54" s="90">
        <v>4296</v>
      </c>
    </row>
    <row r="55" spans="1:19" ht="12.75">
      <c r="A55" s="251" t="s">
        <v>159</v>
      </c>
      <c r="B55" s="101" t="s">
        <v>48</v>
      </c>
      <c r="C55" s="90">
        <v>4959</v>
      </c>
      <c r="D55" s="204">
        <v>460.5</v>
      </c>
      <c r="E55" s="205">
        <v>6033</v>
      </c>
      <c r="F55" s="205">
        <v>3249</v>
      </c>
      <c r="G55" s="206">
        <v>0.5385380407757334</v>
      </c>
      <c r="H55" s="205">
        <v>6542</v>
      </c>
      <c r="I55" s="205">
        <v>4753</v>
      </c>
      <c r="J55" s="206">
        <v>0.7265362274533782</v>
      </c>
      <c r="K55" s="205">
        <v>2285</v>
      </c>
      <c r="L55" s="205">
        <v>1657</v>
      </c>
      <c r="M55" s="206">
        <v>0.725164113785558</v>
      </c>
      <c r="N55" s="205">
        <v>1077</v>
      </c>
      <c r="O55" s="205">
        <v>949</v>
      </c>
      <c r="P55" s="206">
        <v>0.8811513463324049</v>
      </c>
      <c r="Q55" s="205">
        <v>4</v>
      </c>
      <c r="R55" s="205">
        <v>6</v>
      </c>
      <c r="S55" s="90">
        <v>4039</v>
      </c>
    </row>
    <row r="56" spans="1:19" ht="12.75">
      <c r="A56" s="251" t="s">
        <v>162</v>
      </c>
      <c r="B56" s="101" t="s">
        <v>33</v>
      </c>
      <c r="C56" s="90">
        <v>1831</v>
      </c>
      <c r="D56" s="204">
        <v>207.9</v>
      </c>
      <c r="E56" s="205">
        <v>5810</v>
      </c>
      <c r="F56" s="205">
        <v>3270</v>
      </c>
      <c r="G56" s="206">
        <v>0.5628227194492255</v>
      </c>
      <c r="H56" s="205">
        <v>2991</v>
      </c>
      <c r="I56" s="205">
        <v>1614</v>
      </c>
      <c r="J56" s="206">
        <v>0.5396188565697091</v>
      </c>
      <c r="K56" s="205">
        <v>81</v>
      </c>
      <c r="L56" s="205">
        <v>43</v>
      </c>
      <c r="M56" s="206">
        <v>0.5308641975308642</v>
      </c>
      <c r="N56" s="205">
        <v>601</v>
      </c>
      <c r="O56" s="205">
        <v>436</v>
      </c>
      <c r="P56" s="206">
        <v>0.7254575707154742</v>
      </c>
      <c r="Q56" s="205">
        <v>2</v>
      </c>
      <c r="R56" s="205">
        <v>5</v>
      </c>
      <c r="S56" s="90">
        <v>1434</v>
      </c>
    </row>
    <row r="57" spans="1:19" ht="12.75">
      <c r="A57" s="252" t="s">
        <v>175</v>
      </c>
      <c r="B57" s="101" t="s">
        <v>51</v>
      </c>
      <c r="C57" s="90">
        <v>9411</v>
      </c>
      <c r="D57" s="204">
        <v>465.4</v>
      </c>
      <c r="E57" s="205">
        <v>10496</v>
      </c>
      <c r="F57" s="205">
        <v>3934</v>
      </c>
      <c r="G57" s="206">
        <v>0.3748094512195122</v>
      </c>
      <c r="H57" s="205">
        <v>11660</v>
      </c>
      <c r="I57" s="205">
        <v>9082</v>
      </c>
      <c r="J57" s="206">
        <v>0.7789022298456261</v>
      </c>
      <c r="K57" s="205">
        <v>1152</v>
      </c>
      <c r="L57" s="205">
        <v>1109</v>
      </c>
      <c r="M57" s="206">
        <v>0.9626736111111112</v>
      </c>
      <c r="N57" s="205">
        <v>9679</v>
      </c>
      <c r="O57" s="205">
        <v>3700</v>
      </c>
      <c r="P57" s="206">
        <v>0.38227089575369355</v>
      </c>
      <c r="Q57" s="205">
        <v>12</v>
      </c>
      <c r="R57" s="205">
        <v>291</v>
      </c>
      <c r="S57" s="90">
        <v>12600</v>
      </c>
    </row>
    <row r="58" spans="1:19" ht="12.75">
      <c r="A58" s="252" t="s">
        <v>179</v>
      </c>
      <c r="B58" s="101" t="s">
        <v>55</v>
      </c>
      <c r="C58" s="90">
        <v>4493</v>
      </c>
      <c r="D58" s="204">
        <v>190.5</v>
      </c>
      <c r="E58" s="205">
        <v>9922</v>
      </c>
      <c r="F58" s="205">
        <v>4226</v>
      </c>
      <c r="G58" s="206">
        <v>0.4259221931062286</v>
      </c>
      <c r="H58" s="205">
        <v>7206</v>
      </c>
      <c r="I58" s="205">
        <v>3365</v>
      </c>
      <c r="J58" s="206">
        <v>0.46697196780460726</v>
      </c>
      <c r="K58" s="205">
        <v>1316</v>
      </c>
      <c r="L58" s="205">
        <v>1237</v>
      </c>
      <c r="M58" s="206">
        <v>0.9399696048632219</v>
      </c>
      <c r="N58" s="205">
        <v>7387</v>
      </c>
      <c r="O58" s="205">
        <v>1391</v>
      </c>
      <c r="P58" s="206">
        <v>0.1883037769053743</v>
      </c>
      <c r="Q58" s="205">
        <v>5</v>
      </c>
      <c r="R58" s="205">
        <v>159</v>
      </c>
      <c r="S58" s="90">
        <v>5696</v>
      </c>
    </row>
    <row r="59" spans="1:19" ht="12.75">
      <c r="A59" s="252" t="s">
        <v>163</v>
      </c>
      <c r="B59" s="101" t="s">
        <v>58</v>
      </c>
      <c r="C59" s="90">
        <v>1526</v>
      </c>
      <c r="D59" s="204">
        <v>246</v>
      </c>
      <c r="E59" s="205">
        <v>2056</v>
      </c>
      <c r="F59" s="205">
        <v>687</v>
      </c>
      <c r="G59" s="206">
        <v>0.3341439688715953</v>
      </c>
      <c r="H59" s="205">
        <v>2620</v>
      </c>
      <c r="I59" s="205">
        <v>1360</v>
      </c>
      <c r="J59" s="206">
        <v>0.5190839694656488</v>
      </c>
      <c r="K59" s="205">
        <v>191</v>
      </c>
      <c r="L59" s="205">
        <v>166</v>
      </c>
      <c r="M59" s="206">
        <v>0.8691099476439791</v>
      </c>
      <c r="N59" s="205">
        <v>1223</v>
      </c>
      <c r="O59" s="205">
        <v>467</v>
      </c>
      <c r="P59" s="206">
        <v>0.38184791496320525</v>
      </c>
      <c r="Q59" s="205">
        <v>0</v>
      </c>
      <c r="R59" s="205">
        <v>5</v>
      </c>
      <c r="S59" s="90">
        <v>922</v>
      </c>
    </row>
    <row r="60" spans="1:19" ht="12.75">
      <c r="A60" s="252" t="s">
        <v>176</v>
      </c>
      <c r="B60" s="101" t="s">
        <v>62</v>
      </c>
      <c r="C60" s="90">
        <v>7738</v>
      </c>
      <c r="D60" s="204">
        <v>450.6</v>
      </c>
      <c r="E60" s="205">
        <v>8399</v>
      </c>
      <c r="F60" s="205">
        <v>4986</v>
      </c>
      <c r="G60" s="206">
        <v>0.5936421002500297</v>
      </c>
      <c r="H60" s="205">
        <v>10846</v>
      </c>
      <c r="I60" s="205">
        <v>6387</v>
      </c>
      <c r="J60" s="206">
        <v>0.588880693343168</v>
      </c>
      <c r="K60" s="205">
        <v>1480</v>
      </c>
      <c r="L60" s="205">
        <v>1340</v>
      </c>
      <c r="M60" s="206">
        <v>0.9054054054054054</v>
      </c>
      <c r="N60" s="205">
        <v>1958</v>
      </c>
      <c r="O60" s="205">
        <v>1406</v>
      </c>
      <c r="P60" s="206">
        <v>0.7180796731358529</v>
      </c>
      <c r="Q60" s="205">
        <v>4</v>
      </c>
      <c r="R60" s="205">
        <v>190</v>
      </c>
      <c r="S60" s="90">
        <v>7142</v>
      </c>
    </row>
    <row r="61" spans="1:19" ht="12.75">
      <c r="A61" s="252" t="s">
        <v>201</v>
      </c>
      <c r="B61" s="101" t="s">
        <v>68</v>
      </c>
      <c r="C61" s="90">
        <v>1898</v>
      </c>
      <c r="D61" s="204">
        <v>373.4</v>
      </c>
      <c r="E61" s="205">
        <v>1524</v>
      </c>
      <c r="F61" s="205">
        <v>648</v>
      </c>
      <c r="G61" s="206">
        <v>0.4251968503937008</v>
      </c>
      <c r="H61" s="205">
        <v>2413</v>
      </c>
      <c r="I61" s="205">
        <v>1735</v>
      </c>
      <c r="J61" s="206">
        <v>0.7190219643597182</v>
      </c>
      <c r="K61" s="205">
        <v>1031</v>
      </c>
      <c r="L61" s="205">
        <v>885</v>
      </c>
      <c r="M61" s="206">
        <v>0.8583899127061105</v>
      </c>
      <c r="N61" s="205">
        <v>226</v>
      </c>
      <c r="O61" s="205">
        <v>168</v>
      </c>
      <c r="P61" s="206">
        <v>0.7433628318584071</v>
      </c>
      <c r="Q61" s="205">
        <v>0</v>
      </c>
      <c r="R61" s="205">
        <v>3</v>
      </c>
      <c r="S61" s="90">
        <v>738</v>
      </c>
    </row>
    <row r="62" spans="1:19" ht="12.75">
      <c r="A62" s="252" t="s">
        <v>161</v>
      </c>
      <c r="B62" s="101" t="s">
        <v>74</v>
      </c>
      <c r="C62" s="90">
        <v>3168</v>
      </c>
      <c r="D62" s="204">
        <v>218.9</v>
      </c>
      <c r="E62" s="205">
        <v>7527</v>
      </c>
      <c r="F62" s="205">
        <v>3897</v>
      </c>
      <c r="G62" s="206">
        <v>0.5177361498605022</v>
      </c>
      <c r="H62" s="205">
        <v>4656</v>
      </c>
      <c r="I62" s="205">
        <v>2326</v>
      </c>
      <c r="J62" s="206">
        <v>0.4995704467353952</v>
      </c>
      <c r="K62" s="205">
        <v>509</v>
      </c>
      <c r="L62" s="205">
        <v>332</v>
      </c>
      <c r="M62" s="206">
        <v>0.6522593320235757</v>
      </c>
      <c r="N62" s="205">
        <v>1518</v>
      </c>
      <c r="O62" s="205">
        <v>717</v>
      </c>
      <c r="P62" s="206">
        <v>0.4723320158102767</v>
      </c>
      <c r="Q62" s="205">
        <v>1</v>
      </c>
      <c r="R62" s="205">
        <v>10</v>
      </c>
      <c r="S62" s="90">
        <v>3763</v>
      </c>
    </row>
    <row r="63" spans="1:19" ht="12.75">
      <c r="A63" s="252" t="s">
        <v>164</v>
      </c>
      <c r="B63" s="101" t="s">
        <v>75</v>
      </c>
      <c r="C63" s="90">
        <v>695</v>
      </c>
      <c r="D63" s="204">
        <v>137.5</v>
      </c>
      <c r="E63" s="205">
        <v>3086</v>
      </c>
      <c r="F63" s="205">
        <v>1161</v>
      </c>
      <c r="G63" s="206">
        <v>0.37621516526247567</v>
      </c>
      <c r="H63" s="205">
        <v>1201</v>
      </c>
      <c r="I63" s="205">
        <v>464</v>
      </c>
      <c r="J63" s="206">
        <v>0.38634471273938387</v>
      </c>
      <c r="K63" s="205">
        <v>85</v>
      </c>
      <c r="L63" s="205">
        <v>64</v>
      </c>
      <c r="M63" s="206">
        <v>0.7529411764705882</v>
      </c>
      <c r="N63" s="205">
        <v>870</v>
      </c>
      <c r="O63" s="205">
        <v>307</v>
      </c>
      <c r="P63" s="206">
        <v>0.3528735632183908</v>
      </c>
      <c r="Q63" s="205">
        <v>1</v>
      </c>
      <c r="R63" s="205">
        <v>2</v>
      </c>
      <c r="S63" s="90">
        <v>2472</v>
      </c>
    </row>
    <row r="64" spans="1:19" ht="12.75">
      <c r="A64" s="252" t="s">
        <v>115</v>
      </c>
      <c r="B64" s="102" t="s">
        <v>77</v>
      </c>
      <c r="C64" s="90">
        <v>7574</v>
      </c>
      <c r="D64" s="204">
        <v>427.8</v>
      </c>
      <c r="E64" s="205">
        <v>15950</v>
      </c>
      <c r="F64" s="205">
        <v>7967</v>
      </c>
      <c r="G64" s="206">
        <v>0.49949843260188087</v>
      </c>
      <c r="H64" s="205">
        <v>9285</v>
      </c>
      <c r="I64" s="205">
        <v>6217</v>
      </c>
      <c r="J64" s="206">
        <v>0.6695745826602046</v>
      </c>
      <c r="K64" s="205">
        <v>1057</v>
      </c>
      <c r="L64" s="205">
        <v>427</v>
      </c>
      <c r="M64" s="206">
        <v>0.40397350993377484</v>
      </c>
      <c r="N64" s="205">
        <v>8640</v>
      </c>
      <c r="O64" s="205">
        <v>4749</v>
      </c>
      <c r="P64" s="206">
        <v>0.5496527777777778</v>
      </c>
      <c r="Q64" s="205">
        <v>7734</v>
      </c>
      <c r="R64" s="205">
        <v>0</v>
      </c>
      <c r="S64" s="90">
        <v>3778</v>
      </c>
    </row>
    <row r="65" spans="1:19" ht="12.75">
      <c r="A65" s="252" t="s">
        <v>165</v>
      </c>
      <c r="B65" s="101" t="s">
        <v>79</v>
      </c>
      <c r="C65" s="90">
        <v>4350</v>
      </c>
      <c r="D65" s="204">
        <v>381.7</v>
      </c>
      <c r="E65" s="205">
        <v>6082</v>
      </c>
      <c r="F65" s="205">
        <v>3067</v>
      </c>
      <c r="G65" s="206">
        <v>0.5042749095692206</v>
      </c>
      <c r="H65" s="205">
        <v>5570</v>
      </c>
      <c r="I65" s="205">
        <v>4365</v>
      </c>
      <c r="J65" s="206">
        <v>0.7836624775583483</v>
      </c>
      <c r="K65" s="205">
        <v>348</v>
      </c>
      <c r="L65" s="205">
        <v>271</v>
      </c>
      <c r="M65" s="206">
        <v>0.7787356321839081</v>
      </c>
      <c r="N65" s="205">
        <v>3069</v>
      </c>
      <c r="O65" s="205">
        <v>1778</v>
      </c>
      <c r="P65" s="206">
        <v>0.5793418051482567</v>
      </c>
      <c r="Q65" s="205">
        <v>1</v>
      </c>
      <c r="R65" s="205">
        <v>3</v>
      </c>
      <c r="S65" s="90">
        <v>4150</v>
      </c>
    </row>
    <row r="66" spans="1:19" ht="12.75">
      <c r="A66" s="252" t="s">
        <v>160</v>
      </c>
      <c r="B66" s="101" t="s">
        <v>81</v>
      </c>
      <c r="C66" s="90">
        <v>1073</v>
      </c>
      <c r="D66" s="204">
        <v>186</v>
      </c>
      <c r="E66" s="205">
        <v>2722</v>
      </c>
      <c r="F66" s="205">
        <v>630</v>
      </c>
      <c r="G66" s="206">
        <v>0.23144746509919176</v>
      </c>
      <c r="H66" s="205">
        <v>2108</v>
      </c>
      <c r="I66" s="205">
        <v>873</v>
      </c>
      <c r="J66" s="206">
        <v>0.41413662239089183</v>
      </c>
      <c r="K66" s="205">
        <v>632</v>
      </c>
      <c r="L66" s="205">
        <v>610</v>
      </c>
      <c r="M66" s="206">
        <v>0.9651898734177216</v>
      </c>
      <c r="N66" s="205">
        <v>1374</v>
      </c>
      <c r="O66" s="205">
        <v>945</v>
      </c>
      <c r="P66" s="206">
        <v>0.6877729257641921</v>
      </c>
      <c r="Q66" s="205">
        <v>0</v>
      </c>
      <c r="R66" s="205">
        <v>3</v>
      </c>
      <c r="S66" s="90">
        <v>646</v>
      </c>
    </row>
    <row r="67" spans="1:19" ht="12.75">
      <c r="A67" s="252" t="s">
        <v>203</v>
      </c>
      <c r="B67" s="101" t="s">
        <v>92</v>
      </c>
      <c r="C67" s="90">
        <v>1019</v>
      </c>
      <c r="D67" s="204">
        <v>216.6</v>
      </c>
      <c r="E67" s="205">
        <v>1090</v>
      </c>
      <c r="F67" s="205">
        <v>279</v>
      </c>
      <c r="G67" s="206">
        <v>0.25596330275229356</v>
      </c>
      <c r="H67" s="205">
        <v>1740</v>
      </c>
      <c r="I67" s="205">
        <v>709</v>
      </c>
      <c r="J67" s="206">
        <v>0.4074712643678161</v>
      </c>
      <c r="K67" s="205">
        <v>638</v>
      </c>
      <c r="L67" s="205">
        <v>430</v>
      </c>
      <c r="M67" s="206">
        <v>0.6739811912225705</v>
      </c>
      <c r="N67" s="205">
        <v>4087</v>
      </c>
      <c r="O67" s="205">
        <v>1033</v>
      </c>
      <c r="P67" s="206">
        <v>0.2527526302911671</v>
      </c>
      <c r="Q67" s="205">
        <v>0</v>
      </c>
      <c r="R67" s="205">
        <v>0</v>
      </c>
      <c r="S67" s="90">
        <v>395</v>
      </c>
    </row>
    <row r="68" spans="1:19" ht="12.75">
      <c r="A68" s="252" t="s">
        <v>105</v>
      </c>
      <c r="B68" s="32" t="s">
        <v>155</v>
      </c>
      <c r="C68" s="90">
        <v>475</v>
      </c>
      <c r="D68" s="204">
        <v>390</v>
      </c>
      <c r="E68" s="205">
        <v>627</v>
      </c>
      <c r="F68" s="205">
        <v>312</v>
      </c>
      <c r="G68" s="206">
        <v>0.49760765550239233</v>
      </c>
      <c r="H68" s="205">
        <v>777</v>
      </c>
      <c r="I68" s="205">
        <v>498</v>
      </c>
      <c r="J68" s="206">
        <v>0.640926640926641</v>
      </c>
      <c r="K68" s="205">
        <v>54</v>
      </c>
      <c r="L68" s="205">
        <v>50</v>
      </c>
      <c r="M68" s="206">
        <v>0.9259259259259259</v>
      </c>
      <c r="N68" s="205">
        <v>97</v>
      </c>
      <c r="O68" s="205">
        <v>47</v>
      </c>
      <c r="P68" s="206">
        <v>0.4845360824742268</v>
      </c>
      <c r="Q68" s="205">
        <v>0</v>
      </c>
      <c r="R68" s="205">
        <v>0</v>
      </c>
      <c r="S68" s="90">
        <v>113</v>
      </c>
    </row>
    <row r="69" spans="1:19" ht="12.75">
      <c r="A69" s="252" t="s">
        <v>212</v>
      </c>
      <c r="B69" s="103" t="s">
        <v>96</v>
      </c>
      <c r="C69" s="90">
        <v>624</v>
      </c>
      <c r="D69" s="207">
        <v>415.3</v>
      </c>
      <c r="E69" s="208">
        <v>1261</v>
      </c>
      <c r="F69" s="208">
        <v>658</v>
      </c>
      <c r="G69" s="209">
        <v>0.5218080888183981</v>
      </c>
      <c r="H69" s="208">
        <v>731</v>
      </c>
      <c r="I69" s="208">
        <v>528</v>
      </c>
      <c r="J69" s="209">
        <v>0.7222982216142271</v>
      </c>
      <c r="K69" s="208">
        <v>9</v>
      </c>
      <c r="L69" s="208">
        <v>9</v>
      </c>
      <c r="M69" s="209">
        <v>1</v>
      </c>
      <c r="N69" s="208">
        <v>318</v>
      </c>
      <c r="O69" s="208">
        <v>164</v>
      </c>
      <c r="P69" s="209">
        <v>0.5157232704402516</v>
      </c>
      <c r="Q69" s="208">
        <v>0</v>
      </c>
      <c r="R69" s="208">
        <v>0</v>
      </c>
      <c r="S69" s="90">
        <v>284</v>
      </c>
    </row>
    <row r="70" spans="1:19" ht="12.75">
      <c r="A70" s="78"/>
      <c r="B70" s="100" t="s">
        <v>20</v>
      </c>
      <c r="C70" s="89">
        <v>165376</v>
      </c>
      <c r="D70" s="210">
        <v>333.3</v>
      </c>
      <c r="E70" s="211">
        <v>169279</v>
      </c>
      <c r="F70" s="211">
        <v>82667</v>
      </c>
      <c r="G70" s="201">
        <v>0.4883476391046733</v>
      </c>
      <c r="H70" s="211">
        <v>195163</v>
      </c>
      <c r="I70" s="211">
        <v>142873</v>
      </c>
      <c r="J70" s="201">
        <v>0.7320701157493992</v>
      </c>
      <c r="K70" s="211">
        <v>24207</v>
      </c>
      <c r="L70" s="211">
        <v>21494</v>
      </c>
      <c r="M70" s="201">
        <v>0.8879249803775767</v>
      </c>
      <c r="N70" s="211">
        <v>62117</v>
      </c>
      <c r="O70" s="211">
        <v>30698</v>
      </c>
      <c r="P70" s="201">
        <v>0.494196435758327</v>
      </c>
      <c r="Q70" s="211">
        <v>216</v>
      </c>
      <c r="R70" s="211">
        <v>1082</v>
      </c>
      <c r="S70" s="89">
        <v>100961</v>
      </c>
    </row>
    <row r="71" spans="1:19" ht="12.75">
      <c r="A71" s="251" t="s">
        <v>168</v>
      </c>
      <c r="B71" s="101" t="s">
        <v>34</v>
      </c>
      <c r="C71" s="90">
        <v>16475</v>
      </c>
      <c r="D71" s="204">
        <v>359.2</v>
      </c>
      <c r="E71" s="205">
        <v>22975</v>
      </c>
      <c r="F71" s="205">
        <v>10558</v>
      </c>
      <c r="G71" s="206">
        <v>0.4595429815016322</v>
      </c>
      <c r="H71" s="205">
        <v>21042</v>
      </c>
      <c r="I71" s="205">
        <v>13995</v>
      </c>
      <c r="J71" s="206">
        <v>0.665098374679213</v>
      </c>
      <c r="K71" s="205">
        <v>3215</v>
      </c>
      <c r="L71" s="205">
        <v>2607</v>
      </c>
      <c r="M71" s="206">
        <v>0.8108864696734059</v>
      </c>
      <c r="N71" s="205">
        <v>7627</v>
      </c>
      <c r="O71" s="205">
        <v>3270</v>
      </c>
      <c r="P71" s="206">
        <v>0.42874000262226303</v>
      </c>
      <c r="Q71" s="205">
        <v>48</v>
      </c>
      <c r="R71" s="205">
        <v>22</v>
      </c>
      <c r="S71" s="90">
        <v>14890</v>
      </c>
    </row>
    <row r="72" spans="1:19" ht="12.75">
      <c r="A72" s="251" t="s">
        <v>171</v>
      </c>
      <c r="B72" s="101" t="s">
        <v>52</v>
      </c>
      <c r="C72" s="90">
        <v>12633</v>
      </c>
      <c r="D72" s="204">
        <v>286</v>
      </c>
      <c r="E72" s="205">
        <v>14745</v>
      </c>
      <c r="F72" s="205">
        <v>6912</v>
      </c>
      <c r="G72" s="206">
        <v>0.46876907426246184</v>
      </c>
      <c r="H72" s="205">
        <v>17209</v>
      </c>
      <c r="I72" s="205">
        <v>10784</v>
      </c>
      <c r="J72" s="206">
        <v>0.6266488465337905</v>
      </c>
      <c r="K72" s="205">
        <v>1334</v>
      </c>
      <c r="L72" s="205">
        <v>1214</v>
      </c>
      <c r="M72" s="206">
        <v>0.9100449775112444</v>
      </c>
      <c r="N72" s="205">
        <v>2846</v>
      </c>
      <c r="O72" s="205">
        <v>1851</v>
      </c>
      <c r="P72" s="206">
        <v>0.6503865073787772</v>
      </c>
      <c r="Q72" s="205">
        <v>3</v>
      </c>
      <c r="R72" s="205">
        <v>36</v>
      </c>
      <c r="S72" s="90">
        <v>9337</v>
      </c>
    </row>
    <row r="73" spans="1:19" ht="12.75">
      <c r="A73" s="251" t="s">
        <v>167</v>
      </c>
      <c r="B73" s="101" t="s">
        <v>61</v>
      </c>
      <c r="C73" s="90">
        <v>1803</v>
      </c>
      <c r="D73" s="204">
        <v>245</v>
      </c>
      <c r="E73" s="205">
        <v>2364</v>
      </c>
      <c r="F73" s="205">
        <v>631</v>
      </c>
      <c r="G73" s="206">
        <v>0.26692047377326567</v>
      </c>
      <c r="H73" s="205">
        <v>2556</v>
      </c>
      <c r="I73" s="205">
        <v>1473</v>
      </c>
      <c r="J73" s="206">
        <v>0.5762910798122066</v>
      </c>
      <c r="K73" s="205">
        <v>193</v>
      </c>
      <c r="L73" s="205">
        <v>179</v>
      </c>
      <c r="M73" s="206">
        <v>0.927461139896373</v>
      </c>
      <c r="N73" s="205">
        <v>1679</v>
      </c>
      <c r="O73" s="205">
        <v>529</v>
      </c>
      <c r="P73" s="206">
        <v>0.3150684931506849</v>
      </c>
      <c r="Q73" s="205">
        <v>3</v>
      </c>
      <c r="R73" s="205">
        <v>13</v>
      </c>
      <c r="S73" s="90">
        <v>2444</v>
      </c>
    </row>
    <row r="74" spans="1:19" ht="12.75">
      <c r="A74" s="252" t="s">
        <v>174</v>
      </c>
      <c r="B74" s="32" t="s">
        <v>63</v>
      </c>
      <c r="C74" s="90">
        <v>3915</v>
      </c>
      <c r="D74" s="204">
        <v>385.7</v>
      </c>
      <c r="E74" s="205">
        <v>7451</v>
      </c>
      <c r="F74" s="205">
        <v>4637</v>
      </c>
      <c r="G74" s="206">
        <v>0.6223325728090189</v>
      </c>
      <c r="H74" s="205">
        <v>4698</v>
      </c>
      <c r="I74" s="205">
        <v>3551</v>
      </c>
      <c r="J74" s="206">
        <v>0.7558535547041294</v>
      </c>
      <c r="K74" s="205">
        <v>1106</v>
      </c>
      <c r="L74" s="205">
        <v>1023</v>
      </c>
      <c r="M74" s="206">
        <v>0.9249547920433996</v>
      </c>
      <c r="N74" s="205">
        <v>2739</v>
      </c>
      <c r="O74" s="205">
        <v>2017</v>
      </c>
      <c r="P74" s="206">
        <v>0.7364001460387003</v>
      </c>
      <c r="Q74" s="205">
        <v>72</v>
      </c>
      <c r="R74" s="205">
        <v>129</v>
      </c>
      <c r="S74" s="90">
        <v>3785</v>
      </c>
    </row>
    <row r="75" spans="1:19" ht="12.75">
      <c r="A75" s="252" t="s">
        <v>177</v>
      </c>
      <c r="B75" s="101" t="s">
        <v>67</v>
      </c>
      <c r="C75" s="90">
        <v>8136</v>
      </c>
      <c r="D75" s="204">
        <v>432.6</v>
      </c>
      <c r="E75" s="205">
        <v>9285</v>
      </c>
      <c r="F75" s="205">
        <v>5742</v>
      </c>
      <c r="G75" s="206">
        <v>0.6184168012924071</v>
      </c>
      <c r="H75" s="205">
        <v>10745</v>
      </c>
      <c r="I75" s="205">
        <v>7139</v>
      </c>
      <c r="J75" s="206">
        <v>0.6644020474639367</v>
      </c>
      <c r="K75" s="205">
        <v>1499</v>
      </c>
      <c r="L75" s="205">
        <v>1414</v>
      </c>
      <c r="M75" s="206">
        <v>0.9432955303535691</v>
      </c>
      <c r="N75" s="205">
        <v>1786</v>
      </c>
      <c r="O75" s="205">
        <v>1480</v>
      </c>
      <c r="P75" s="206">
        <v>0.8286674132138858</v>
      </c>
      <c r="Q75" s="205">
        <v>69</v>
      </c>
      <c r="R75" s="205">
        <v>204</v>
      </c>
      <c r="S75" s="90">
        <v>4205</v>
      </c>
    </row>
    <row r="76" spans="1:19" ht="12.75">
      <c r="A76" s="252" t="s">
        <v>173</v>
      </c>
      <c r="B76" s="101" t="s">
        <v>71</v>
      </c>
      <c r="C76" s="90">
        <v>10728</v>
      </c>
      <c r="D76" s="204">
        <v>367.8</v>
      </c>
      <c r="E76" s="205">
        <v>8959</v>
      </c>
      <c r="F76" s="205">
        <v>4752</v>
      </c>
      <c r="G76" s="206">
        <v>0.5304163411094989</v>
      </c>
      <c r="H76" s="205">
        <v>11740</v>
      </c>
      <c r="I76" s="205">
        <v>8424</v>
      </c>
      <c r="J76" s="206">
        <v>0.7175468483816013</v>
      </c>
      <c r="K76" s="205">
        <v>4616</v>
      </c>
      <c r="L76" s="205">
        <v>4315</v>
      </c>
      <c r="M76" s="206">
        <v>0.9347920277296361</v>
      </c>
      <c r="N76" s="205">
        <v>2630</v>
      </c>
      <c r="O76" s="205">
        <v>1640</v>
      </c>
      <c r="P76" s="206">
        <v>0.623574144486692</v>
      </c>
      <c r="Q76" s="205">
        <v>2</v>
      </c>
      <c r="R76" s="205">
        <v>270</v>
      </c>
      <c r="S76" s="90">
        <v>9943</v>
      </c>
    </row>
    <row r="77" spans="1:19" ht="12.75">
      <c r="A77" s="252" t="s">
        <v>107</v>
      </c>
      <c r="B77" s="101" t="s">
        <v>72</v>
      </c>
      <c r="C77" s="90">
        <v>5533</v>
      </c>
      <c r="D77" s="204">
        <v>228.5</v>
      </c>
      <c r="E77" s="205">
        <v>11883</v>
      </c>
      <c r="F77" s="205">
        <v>4225</v>
      </c>
      <c r="G77" s="206">
        <v>0.35554994530000844</v>
      </c>
      <c r="H77" s="205">
        <v>7790</v>
      </c>
      <c r="I77" s="205">
        <v>3777</v>
      </c>
      <c r="J77" s="206">
        <v>0.48485237483953786</v>
      </c>
      <c r="K77" s="205">
        <v>1604</v>
      </c>
      <c r="L77" s="205">
        <v>1387</v>
      </c>
      <c r="M77" s="206">
        <v>0.864713216957606</v>
      </c>
      <c r="N77" s="205">
        <v>3406</v>
      </c>
      <c r="O77" s="205">
        <v>2679</v>
      </c>
      <c r="P77" s="206">
        <v>0.7865531415149736</v>
      </c>
      <c r="Q77" s="205">
        <v>4</v>
      </c>
      <c r="R77" s="205">
        <v>204</v>
      </c>
      <c r="S77" s="90">
        <v>5478</v>
      </c>
    </row>
    <row r="78" spans="1:19" ht="12.75">
      <c r="A78" s="252" t="s">
        <v>121</v>
      </c>
      <c r="B78" s="101" t="s">
        <v>83</v>
      </c>
      <c r="C78" s="90">
        <v>15626</v>
      </c>
      <c r="D78" s="204">
        <v>428.7</v>
      </c>
      <c r="E78" s="205">
        <v>17655</v>
      </c>
      <c r="F78" s="205">
        <v>8686</v>
      </c>
      <c r="G78" s="206">
        <v>0.4919852732936845</v>
      </c>
      <c r="H78" s="205">
        <v>18019</v>
      </c>
      <c r="I78" s="205">
        <v>13527</v>
      </c>
      <c r="J78" s="206">
        <v>0.7507075864365392</v>
      </c>
      <c r="K78" s="205">
        <v>2672</v>
      </c>
      <c r="L78" s="205">
        <v>2260</v>
      </c>
      <c r="M78" s="206">
        <v>0.8458083832335329</v>
      </c>
      <c r="N78" s="205">
        <v>6523</v>
      </c>
      <c r="O78" s="205">
        <v>4483</v>
      </c>
      <c r="P78" s="206">
        <v>0.6872604629771577</v>
      </c>
      <c r="Q78" s="205">
        <v>6</v>
      </c>
      <c r="R78" s="205">
        <v>25</v>
      </c>
      <c r="S78" s="90">
        <v>11074</v>
      </c>
    </row>
    <row r="79" spans="1:19" ht="12.75">
      <c r="A79" s="252" t="s">
        <v>198</v>
      </c>
      <c r="B79" s="101" t="s">
        <v>86</v>
      </c>
      <c r="C79" s="90">
        <v>2636</v>
      </c>
      <c r="D79" s="204">
        <v>321.8</v>
      </c>
      <c r="E79" s="205">
        <v>3424</v>
      </c>
      <c r="F79" s="205">
        <v>1413</v>
      </c>
      <c r="G79" s="206">
        <v>0.4126752336448598</v>
      </c>
      <c r="H79" s="205">
        <v>3814</v>
      </c>
      <c r="I79" s="205">
        <v>2530</v>
      </c>
      <c r="J79" s="206">
        <v>0.6633455689564761</v>
      </c>
      <c r="K79" s="205">
        <v>653</v>
      </c>
      <c r="L79" s="205">
        <v>591</v>
      </c>
      <c r="M79" s="206">
        <v>0.9050535987748851</v>
      </c>
      <c r="N79" s="205">
        <v>2162</v>
      </c>
      <c r="O79" s="205">
        <v>1439</v>
      </c>
      <c r="P79" s="206">
        <v>0.6655874190564293</v>
      </c>
      <c r="Q79" s="205">
        <v>0</v>
      </c>
      <c r="R79" s="205">
        <v>3</v>
      </c>
      <c r="S79" s="90">
        <v>5440</v>
      </c>
    </row>
    <row r="80" spans="1:19" ht="12.75">
      <c r="A80" s="252" t="s">
        <v>169</v>
      </c>
      <c r="B80" s="101" t="s">
        <v>91</v>
      </c>
      <c r="C80" s="90">
        <v>18060</v>
      </c>
      <c r="D80" s="204">
        <v>349</v>
      </c>
      <c r="E80" s="205">
        <v>35555</v>
      </c>
      <c r="F80" s="205">
        <v>19709</v>
      </c>
      <c r="G80" s="206">
        <v>0.5543242863169737</v>
      </c>
      <c r="H80" s="205">
        <v>21994</v>
      </c>
      <c r="I80" s="205">
        <v>15685</v>
      </c>
      <c r="J80" s="206">
        <v>0.7131490406474493</v>
      </c>
      <c r="K80" s="205">
        <v>2510</v>
      </c>
      <c r="L80" s="205">
        <v>1938</v>
      </c>
      <c r="M80" s="206">
        <v>0.7721115537848605</v>
      </c>
      <c r="N80" s="205">
        <v>21263</v>
      </c>
      <c r="O80" s="205">
        <v>6411</v>
      </c>
      <c r="P80" s="206">
        <v>0.3015096646757278</v>
      </c>
      <c r="Q80" s="205">
        <v>7</v>
      </c>
      <c r="R80" s="205">
        <v>161</v>
      </c>
      <c r="S80" s="90">
        <v>25355</v>
      </c>
    </row>
    <row r="81" spans="1:19" ht="12.75">
      <c r="A81" s="252" t="s">
        <v>418</v>
      </c>
      <c r="B81" s="104" t="s">
        <v>94</v>
      </c>
      <c r="C81" s="90">
        <v>47607</v>
      </c>
      <c r="D81" s="204">
        <v>264.3</v>
      </c>
      <c r="E81" s="205">
        <v>893</v>
      </c>
      <c r="F81" s="205">
        <v>243</v>
      </c>
      <c r="G81" s="206">
        <v>0.2721164613661814</v>
      </c>
      <c r="H81" s="205">
        <v>48296</v>
      </c>
      <c r="I81" s="205">
        <v>43844</v>
      </c>
      <c r="J81" s="206">
        <v>0.907818452873944</v>
      </c>
      <c r="K81" s="205">
        <v>137</v>
      </c>
      <c r="L81" s="205">
        <v>134</v>
      </c>
      <c r="M81" s="206">
        <v>0.9781021897810219</v>
      </c>
      <c r="N81" s="205">
        <v>763</v>
      </c>
      <c r="O81" s="205">
        <v>588</v>
      </c>
      <c r="P81" s="206">
        <v>0.7706422018348624</v>
      </c>
      <c r="Q81" s="205">
        <v>0</v>
      </c>
      <c r="R81" s="205">
        <v>2</v>
      </c>
      <c r="S81" s="90">
        <v>55</v>
      </c>
    </row>
    <row r="82" spans="1:19" ht="12.75">
      <c r="A82" s="252" t="s">
        <v>170</v>
      </c>
      <c r="B82" s="105" t="s">
        <v>97</v>
      </c>
      <c r="C82" s="90">
        <v>22224</v>
      </c>
      <c r="D82" s="212">
        <v>381.5</v>
      </c>
      <c r="E82" s="208">
        <v>34090</v>
      </c>
      <c r="F82" s="208">
        <v>15159</v>
      </c>
      <c r="G82" s="209">
        <v>0.4446758580228806</v>
      </c>
      <c r="H82" s="208">
        <v>27260</v>
      </c>
      <c r="I82" s="208">
        <v>18144</v>
      </c>
      <c r="J82" s="209">
        <v>0.6655906089508438</v>
      </c>
      <c r="K82" s="208">
        <v>4668</v>
      </c>
      <c r="L82" s="208">
        <v>4432</v>
      </c>
      <c r="M82" s="209">
        <v>0.9494430162810625</v>
      </c>
      <c r="N82" s="208">
        <v>8693</v>
      </c>
      <c r="O82" s="208">
        <v>4311</v>
      </c>
      <c r="P82" s="209">
        <v>0.49591625445760956</v>
      </c>
      <c r="Q82" s="208">
        <v>2</v>
      </c>
      <c r="R82" s="208">
        <v>13</v>
      </c>
      <c r="S82" s="90">
        <v>8955</v>
      </c>
    </row>
    <row r="83" spans="1:19" ht="12.75">
      <c r="A83" s="78"/>
      <c r="B83" s="470"/>
      <c r="C83" s="470"/>
      <c r="D83" s="470"/>
      <c r="E83" s="470"/>
      <c r="F83" s="470"/>
      <c r="G83" s="470"/>
      <c r="H83" s="470"/>
      <c r="I83" s="470"/>
      <c r="J83" s="470"/>
      <c r="K83" s="470"/>
      <c r="L83" s="470"/>
      <c r="M83" s="470"/>
      <c r="N83" s="470"/>
      <c r="O83" s="470"/>
      <c r="P83" s="470"/>
      <c r="Q83" s="470"/>
      <c r="R83" s="470"/>
      <c r="S83" s="470"/>
    </row>
    <row r="84" spans="1:19" ht="23.25" customHeight="1">
      <c r="A84" s="78"/>
      <c r="B84" s="12"/>
      <c r="C84" s="476" t="s">
        <v>355</v>
      </c>
      <c r="D84" s="477"/>
      <c r="E84" s="477"/>
      <c r="F84" s="477"/>
      <c r="G84" s="477"/>
      <c r="H84" s="477"/>
      <c r="I84" s="477"/>
      <c r="J84" s="477"/>
      <c r="K84" s="477"/>
      <c r="L84" s="477"/>
      <c r="M84" s="477"/>
      <c r="N84" s="477"/>
      <c r="O84" s="477"/>
      <c r="P84" s="477"/>
      <c r="Q84" s="477"/>
      <c r="R84" s="477"/>
      <c r="S84" s="478"/>
    </row>
    <row r="85" spans="1:19" ht="12.75">
      <c r="A85" s="78"/>
      <c r="B85" s="28"/>
      <c r="C85" s="473" t="s">
        <v>289</v>
      </c>
      <c r="D85" s="473"/>
      <c r="E85" s="467" t="s">
        <v>239</v>
      </c>
      <c r="F85" s="468"/>
      <c r="G85" s="469"/>
      <c r="H85" s="467" t="s">
        <v>8</v>
      </c>
      <c r="I85" s="468"/>
      <c r="J85" s="469"/>
      <c r="K85" s="467" t="s">
        <v>43</v>
      </c>
      <c r="L85" s="468"/>
      <c r="M85" s="469"/>
      <c r="N85" s="467" t="s">
        <v>9</v>
      </c>
      <c r="O85" s="468"/>
      <c r="P85" s="469"/>
      <c r="Q85" s="270" t="s">
        <v>10</v>
      </c>
      <c r="R85" s="226" t="s">
        <v>11</v>
      </c>
      <c r="S85" s="226" t="s">
        <v>12</v>
      </c>
    </row>
    <row r="86" spans="1:19" s="10" customFormat="1" ht="51">
      <c r="A86" s="250"/>
      <c r="B86" s="29"/>
      <c r="C86" s="31" t="s">
        <v>13</v>
      </c>
      <c r="D86" s="62"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19" ht="12.75">
      <c r="A87" s="78"/>
      <c r="B87" s="100" t="s">
        <v>21</v>
      </c>
      <c r="C87" s="281">
        <v>70257</v>
      </c>
      <c r="D87" s="199">
        <v>343</v>
      </c>
      <c r="E87" s="200">
        <v>120793</v>
      </c>
      <c r="F87" s="200">
        <v>54388</v>
      </c>
      <c r="G87" s="202">
        <v>0.45025787918174065</v>
      </c>
      <c r="H87" s="200">
        <v>96539</v>
      </c>
      <c r="I87" s="200">
        <v>54928</v>
      </c>
      <c r="J87" s="202">
        <v>0.5689721252550782</v>
      </c>
      <c r="K87" s="200">
        <v>13940</v>
      </c>
      <c r="L87" s="200">
        <v>10797</v>
      </c>
      <c r="M87" s="202">
        <v>0.7745337159253946</v>
      </c>
      <c r="N87" s="200">
        <v>47370</v>
      </c>
      <c r="O87" s="200">
        <v>19116</v>
      </c>
      <c r="P87" s="202">
        <v>0.40354654844838506</v>
      </c>
      <c r="Q87" s="200">
        <v>2567</v>
      </c>
      <c r="R87" s="200">
        <v>1370</v>
      </c>
      <c r="S87" s="89">
        <v>70913</v>
      </c>
    </row>
    <row r="88" spans="1:20" ht="12.75">
      <c r="A88" s="251" t="s">
        <v>178</v>
      </c>
      <c r="B88" s="101" t="s">
        <v>50</v>
      </c>
      <c r="C88" s="90">
        <v>6870</v>
      </c>
      <c r="D88" s="204">
        <v>468.5</v>
      </c>
      <c r="E88" s="205">
        <v>12172</v>
      </c>
      <c r="F88" s="205">
        <v>6670</v>
      </c>
      <c r="G88" s="206">
        <v>0.5479789681235623</v>
      </c>
      <c r="H88" s="205">
        <v>8539</v>
      </c>
      <c r="I88" s="205">
        <v>6520</v>
      </c>
      <c r="J88" s="206">
        <v>0.7635554514580162</v>
      </c>
      <c r="K88" s="205">
        <v>1555</v>
      </c>
      <c r="L88" s="205">
        <v>1468</v>
      </c>
      <c r="M88" s="206">
        <v>0.9440514469453376</v>
      </c>
      <c r="N88" s="205">
        <v>3696</v>
      </c>
      <c r="O88" s="205">
        <v>3034</v>
      </c>
      <c r="P88" s="206">
        <v>0.8208874458874459</v>
      </c>
      <c r="Q88" s="205">
        <v>9</v>
      </c>
      <c r="R88" s="205">
        <v>242</v>
      </c>
      <c r="S88" s="90">
        <v>7108</v>
      </c>
      <c r="T88" s="145"/>
    </row>
    <row r="89" spans="1:20" ht="12.75">
      <c r="A89" s="251" t="s">
        <v>182</v>
      </c>
      <c r="B89" s="101" t="s">
        <v>54</v>
      </c>
      <c r="C89" s="90">
        <v>1936</v>
      </c>
      <c r="D89" s="204">
        <v>166.1</v>
      </c>
      <c r="E89" s="205">
        <v>2463</v>
      </c>
      <c r="F89" s="205">
        <v>899</v>
      </c>
      <c r="G89" s="206">
        <v>0.365002030044661</v>
      </c>
      <c r="H89" s="205">
        <v>2829</v>
      </c>
      <c r="I89" s="205">
        <v>1248</v>
      </c>
      <c r="J89" s="206">
        <v>0.4411452810180276</v>
      </c>
      <c r="K89" s="205">
        <v>359</v>
      </c>
      <c r="L89" s="205">
        <v>234</v>
      </c>
      <c r="M89" s="206">
        <v>0.6518105849582173</v>
      </c>
      <c r="N89" s="205">
        <v>1470</v>
      </c>
      <c r="O89" s="205">
        <v>241</v>
      </c>
      <c r="P89" s="206">
        <v>0.16394557823129252</v>
      </c>
      <c r="Q89" s="205">
        <v>0</v>
      </c>
      <c r="R89" s="205">
        <v>18</v>
      </c>
      <c r="S89" s="90">
        <v>1025</v>
      </c>
      <c r="T89" s="145"/>
    </row>
    <row r="90" spans="1:20" ht="12.75">
      <c r="A90" s="251" t="s">
        <v>207</v>
      </c>
      <c r="B90" s="101" t="s">
        <v>56</v>
      </c>
      <c r="C90" s="90">
        <v>405</v>
      </c>
      <c r="D90" s="204">
        <v>103</v>
      </c>
      <c r="E90" s="205">
        <v>1170</v>
      </c>
      <c r="F90" s="205">
        <v>402</v>
      </c>
      <c r="G90" s="206">
        <v>0.3435897435897436</v>
      </c>
      <c r="H90" s="205">
        <v>577</v>
      </c>
      <c r="I90" s="205">
        <v>121</v>
      </c>
      <c r="J90" s="206">
        <v>0.2097053726169844</v>
      </c>
      <c r="K90" s="205">
        <v>44</v>
      </c>
      <c r="L90" s="205">
        <v>23</v>
      </c>
      <c r="M90" s="206">
        <v>0.5227272727272727</v>
      </c>
      <c r="N90" s="205">
        <v>128</v>
      </c>
      <c r="O90" s="205">
        <v>48</v>
      </c>
      <c r="P90" s="206">
        <v>0.375</v>
      </c>
      <c r="Q90" s="205">
        <v>0</v>
      </c>
      <c r="R90" s="205">
        <v>1</v>
      </c>
      <c r="S90" s="90">
        <v>421</v>
      </c>
      <c r="T90" s="145"/>
    </row>
    <row r="91" spans="1:20" ht="12.75">
      <c r="A91" s="251" t="s">
        <v>200</v>
      </c>
      <c r="B91" s="101" t="s">
        <v>60</v>
      </c>
      <c r="C91" s="90">
        <v>12434</v>
      </c>
      <c r="D91" s="204">
        <v>328.6</v>
      </c>
      <c r="E91" s="205">
        <v>24974</v>
      </c>
      <c r="F91" s="205">
        <v>13797</v>
      </c>
      <c r="G91" s="206">
        <v>0.5524545527348442</v>
      </c>
      <c r="H91" s="205">
        <v>16741</v>
      </c>
      <c r="I91" s="205">
        <v>10357</v>
      </c>
      <c r="J91" s="206">
        <v>0.6186607729526312</v>
      </c>
      <c r="K91" s="205">
        <v>1403</v>
      </c>
      <c r="L91" s="205">
        <v>1158</v>
      </c>
      <c r="M91" s="206">
        <v>0.8253741981468282</v>
      </c>
      <c r="N91" s="205">
        <v>6790</v>
      </c>
      <c r="O91" s="205">
        <v>5398</v>
      </c>
      <c r="P91" s="206">
        <v>0.7949926362297496</v>
      </c>
      <c r="Q91" s="205">
        <v>0</v>
      </c>
      <c r="R91" s="205">
        <v>211</v>
      </c>
      <c r="S91" s="90">
        <v>17510</v>
      </c>
      <c r="T91" s="145"/>
    </row>
    <row r="92" spans="1:20" ht="12.75">
      <c r="A92" s="251" t="s">
        <v>183</v>
      </c>
      <c r="B92" s="101" t="s">
        <v>64</v>
      </c>
      <c r="C92" s="90">
        <v>1967</v>
      </c>
      <c r="D92" s="204">
        <v>118.9</v>
      </c>
      <c r="E92" s="205">
        <v>2024</v>
      </c>
      <c r="F92" s="205">
        <v>325</v>
      </c>
      <c r="G92" s="206">
        <v>0.16057312252964426</v>
      </c>
      <c r="H92" s="205">
        <v>3529</v>
      </c>
      <c r="I92" s="205">
        <v>829</v>
      </c>
      <c r="J92" s="206">
        <v>0.23491073958628506</v>
      </c>
      <c r="K92" s="205">
        <v>524</v>
      </c>
      <c r="L92" s="205">
        <v>441</v>
      </c>
      <c r="M92" s="206">
        <v>0.8416030534351145</v>
      </c>
      <c r="N92" s="205">
        <v>762</v>
      </c>
      <c r="O92" s="205">
        <v>547</v>
      </c>
      <c r="P92" s="206">
        <v>0.7178477690288714</v>
      </c>
      <c r="Q92" s="205">
        <v>0</v>
      </c>
      <c r="R92" s="205">
        <v>8</v>
      </c>
      <c r="S92" s="90">
        <v>1432</v>
      </c>
      <c r="T92" s="145"/>
    </row>
    <row r="93" spans="1:20" ht="12.75">
      <c r="A93" s="251" t="s">
        <v>195</v>
      </c>
      <c r="B93" s="101" t="s">
        <v>65</v>
      </c>
      <c r="C93" s="90">
        <v>3610</v>
      </c>
      <c r="D93" s="204">
        <v>366.6</v>
      </c>
      <c r="E93" s="205">
        <v>4811</v>
      </c>
      <c r="F93" s="205">
        <v>2022</v>
      </c>
      <c r="G93" s="206">
        <v>0.42028684265225524</v>
      </c>
      <c r="H93" s="205">
        <v>5893</v>
      </c>
      <c r="I93" s="205">
        <v>3253</v>
      </c>
      <c r="J93" s="206">
        <v>0.5520108603427796</v>
      </c>
      <c r="K93" s="205">
        <v>1862</v>
      </c>
      <c r="L93" s="205">
        <v>1733</v>
      </c>
      <c r="M93" s="206">
        <v>0.930719656283566</v>
      </c>
      <c r="N93" s="205">
        <v>19104</v>
      </c>
      <c r="O93" s="205">
        <v>1450</v>
      </c>
      <c r="P93" s="206">
        <v>0.0759003350083752</v>
      </c>
      <c r="Q93" s="205">
        <v>0</v>
      </c>
      <c r="R93" s="205">
        <v>140</v>
      </c>
      <c r="S93" s="90">
        <v>4564</v>
      </c>
      <c r="T93" s="145"/>
    </row>
    <row r="94" spans="1:20" ht="12.75">
      <c r="A94" s="251" t="s">
        <v>180</v>
      </c>
      <c r="B94" s="32" t="s">
        <v>70</v>
      </c>
      <c r="C94" s="90">
        <v>3790</v>
      </c>
      <c r="D94" s="204">
        <v>194.8</v>
      </c>
      <c r="E94" s="205">
        <v>6470</v>
      </c>
      <c r="F94" s="205">
        <v>2222</v>
      </c>
      <c r="G94" s="206">
        <v>0.3434312210200927</v>
      </c>
      <c r="H94" s="205">
        <v>6710</v>
      </c>
      <c r="I94" s="205">
        <v>2372</v>
      </c>
      <c r="J94" s="206">
        <v>0.3535022354694486</v>
      </c>
      <c r="K94" s="205">
        <v>286</v>
      </c>
      <c r="L94" s="205">
        <v>118</v>
      </c>
      <c r="M94" s="206">
        <v>0.4125874125874126</v>
      </c>
      <c r="N94" s="205">
        <v>715</v>
      </c>
      <c r="O94" s="205">
        <v>298</v>
      </c>
      <c r="P94" s="206">
        <v>0.4167832167832168</v>
      </c>
      <c r="Q94" s="205">
        <v>2494</v>
      </c>
      <c r="R94" s="205">
        <v>0</v>
      </c>
      <c r="S94" s="90">
        <v>2585</v>
      </c>
      <c r="T94" s="145"/>
    </row>
    <row r="95" spans="1:20" ht="12.75">
      <c r="A95" s="251" t="s">
        <v>196</v>
      </c>
      <c r="B95" s="101" t="s">
        <v>36</v>
      </c>
      <c r="C95" s="90">
        <v>6566</v>
      </c>
      <c r="D95" s="204">
        <v>540.5</v>
      </c>
      <c r="E95" s="205">
        <v>9390</v>
      </c>
      <c r="F95" s="205">
        <v>3370</v>
      </c>
      <c r="G95" s="206">
        <v>0.3588924387646432</v>
      </c>
      <c r="H95" s="205">
        <v>7862</v>
      </c>
      <c r="I95" s="205">
        <v>3800</v>
      </c>
      <c r="J95" s="206">
        <v>0.48333757313660647</v>
      </c>
      <c r="K95" s="205">
        <v>1823</v>
      </c>
      <c r="L95" s="205">
        <v>711</v>
      </c>
      <c r="M95" s="206">
        <v>0.390016456390565</v>
      </c>
      <c r="N95" s="205">
        <v>1079</v>
      </c>
      <c r="O95" s="205">
        <v>459</v>
      </c>
      <c r="P95" s="206">
        <v>0.42539388322520855</v>
      </c>
      <c r="Q95" s="205">
        <v>0</v>
      </c>
      <c r="R95" s="205">
        <v>77</v>
      </c>
      <c r="S95" s="90">
        <v>3473</v>
      </c>
      <c r="T95" s="145"/>
    </row>
    <row r="96" spans="1:20" ht="12.75">
      <c r="A96" s="251" t="s">
        <v>172</v>
      </c>
      <c r="B96" s="101" t="s">
        <v>73</v>
      </c>
      <c r="C96" s="90">
        <v>6822</v>
      </c>
      <c r="D96" s="204">
        <v>475.2</v>
      </c>
      <c r="E96" s="205">
        <v>7857</v>
      </c>
      <c r="F96" s="205">
        <v>3337</v>
      </c>
      <c r="G96" s="206">
        <v>0.4247168130329642</v>
      </c>
      <c r="H96" s="205">
        <v>8010</v>
      </c>
      <c r="I96" s="205">
        <v>6312</v>
      </c>
      <c r="J96" s="206">
        <v>0.7880149812734082</v>
      </c>
      <c r="K96" s="205">
        <v>426</v>
      </c>
      <c r="L96" s="205">
        <v>390</v>
      </c>
      <c r="M96" s="206">
        <v>0.9154929577464789</v>
      </c>
      <c r="N96" s="205">
        <v>1407</v>
      </c>
      <c r="O96" s="205">
        <v>691</v>
      </c>
      <c r="P96" s="206">
        <v>0.49111584932480457</v>
      </c>
      <c r="Q96" s="205">
        <v>3</v>
      </c>
      <c r="R96" s="205">
        <v>276</v>
      </c>
      <c r="S96" s="90">
        <v>4790</v>
      </c>
      <c r="T96" s="145"/>
    </row>
    <row r="97" spans="1:20" ht="12.75">
      <c r="A97" s="251" t="s">
        <v>208</v>
      </c>
      <c r="B97" s="101" t="s">
        <v>88</v>
      </c>
      <c r="C97" s="90">
        <v>184</v>
      </c>
      <c r="D97" s="204">
        <v>62.8</v>
      </c>
      <c r="E97" s="205">
        <v>1170</v>
      </c>
      <c r="F97" s="205">
        <v>346</v>
      </c>
      <c r="G97" s="206">
        <v>0.29572649572649573</v>
      </c>
      <c r="H97" s="205">
        <v>404</v>
      </c>
      <c r="I97" s="205">
        <v>55</v>
      </c>
      <c r="J97" s="206">
        <v>0.13613861386138615</v>
      </c>
      <c r="K97" s="205">
        <v>383</v>
      </c>
      <c r="L97" s="205">
        <v>142</v>
      </c>
      <c r="M97" s="206">
        <v>0.370757180156658</v>
      </c>
      <c r="N97" s="205">
        <v>212</v>
      </c>
      <c r="O97" s="205">
        <v>100</v>
      </c>
      <c r="P97" s="206">
        <v>0.4716981132075472</v>
      </c>
      <c r="Q97" s="205">
        <v>0</v>
      </c>
      <c r="R97" s="205">
        <v>4</v>
      </c>
      <c r="S97" s="90">
        <v>180</v>
      </c>
      <c r="T97" s="145"/>
    </row>
    <row r="98" spans="1:20" ht="12.75">
      <c r="A98" s="251" t="s">
        <v>181</v>
      </c>
      <c r="B98" s="101" t="s">
        <v>89</v>
      </c>
      <c r="C98" s="90">
        <v>4933</v>
      </c>
      <c r="D98" s="204">
        <v>323.2</v>
      </c>
      <c r="E98" s="205">
        <v>8908</v>
      </c>
      <c r="F98" s="205">
        <v>4242</v>
      </c>
      <c r="G98" s="206">
        <v>0.4762011674898967</v>
      </c>
      <c r="H98" s="205">
        <v>8594</v>
      </c>
      <c r="I98" s="205">
        <v>5694</v>
      </c>
      <c r="J98" s="206">
        <v>0.6625552711193856</v>
      </c>
      <c r="K98" s="205">
        <v>3137</v>
      </c>
      <c r="L98" s="205">
        <v>3021</v>
      </c>
      <c r="M98" s="206">
        <v>0.9630219955371374</v>
      </c>
      <c r="N98" s="205">
        <v>3893</v>
      </c>
      <c r="O98" s="205">
        <v>2870</v>
      </c>
      <c r="P98" s="206">
        <v>0.737220652453121</v>
      </c>
      <c r="Q98" s="205">
        <v>46</v>
      </c>
      <c r="R98" s="205">
        <v>212</v>
      </c>
      <c r="S98" s="90">
        <v>6061</v>
      </c>
      <c r="T98" s="145"/>
    </row>
    <row r="99" spans="1:20" ht="12.75">
      <c r="A99" s="251" t="s">
        <v>184</v>
      </c>
      <c r="B99" s="106" t="s">
        <v>90</v>
      </c>
      <c r="C99" s="90">
        <v>1579</v>
      </c>
      <c r="D99" s="204">
        <v>156.5</v>
      </c>
      <c r="E99" s="205">
        <v>10795</v>
      </c>
      <c r="F99" s="205">
        <v>3321</v>
      </c>
      <c r="G99" s="206">
        <v>0.30764242704955996</v>
      </c>
      <c r="H99" s="205">
        <v>4333</v>
      </c>
      <c r="I99" s="205">
        <v>1230</v>
      </c>
      <c r="J99" s="206">
        <v>0.2838679898453727</v>
      </c>
      <c r="K99" s="205">
        <v>577</v>
      </c>
      <c r="L99" s="205">
        <v>367</v>
      </c>
      <c r="M99" s="206">
        <v>0.6360485268630849</v>
      </c>
      <c r="N99" s="205">
        <v>1811</v>
      </c>
      <c r="O99" s="205">
        <v>827</v>
      </c>
      <c r="P99" s="206">
        <v>0.45665378244064053</v>
      </c>
      <c r="Q99" s="205">
        <v>10</v>
      </c>
      <c r="R99" s="205">
        <v>0</v>
      </c>
      <c r="S99" s="90">
        <v>1456</v>
      </c>
      <c r="T99" s="145"/>
    </row>
    <row r="100" spans="1:20" ht="12.75">
      <c r="A100" s="251" t="s">
        <v>194</v>
      </c>
      <c r="B100" s="101" t="s">
        <v>93</v>
      </c>
      <c r="C100" s="90">
        <v>17478</v>
      </c>
      <c r="D100" s="204">
        <v>294.8</v>
      </c>
      <c r="E100" s="205">
        <v>25082</v>
      </c>
      <c r="F100" s="205">
        <v>11928</v>
      </c>
      <c r="G100" s="206">
        <v>0.475560162666454</v>
      </c>
      <c r="H100" s="205">
        <v>19745</v>
      </c>
      <c r="I100" s="205">
        <v>11947</v>
      </c>
      <c r="J100" s="206">
        <v>0.6050645733096987</v>
      </c>
      <c r="K100" s="205">
        <v>1415</v>
      </c>
      <c r="L100" s="205">
        <v>920</v>
      </c>
      <c r="M100" s="206">
        <v>0.6501766784452296</v>
      </c>
      <c r="N100" s="205">
        <v>5011</v>
      </c>
      <c r="O100" s="205">
        <v>2960</v>
      </c>
      <c r="P100" s="206">
        <v>0.5907004589902215</v>
      </c>
      <c r="Q100" s="205">
        <v>5</v>
      </c>
      <c r="R100" s="205">
        <v>161</v>
      </c>
      <c r="S100" s="90">
        <v>18811</v>
      </c>
      <c r="T100" s="145"/>
    </row>
    <row r="101" spans="1:20" ht="12.75">
      <c r="A101" s="251" t="s">
        <v>209</v>
      </c>
      <c r="B101" s="103" t="s">
        <v>95</v>
      </c>
      <c r="C101" s="90">
        <v>1683</v>
      </c>
      <c r="D101" s="204">
        <v>200.6</v>
      </c>
      <c r="E101" s="205">
        <v>3507</v>
      </c>
      <c r="F101" s="205">
        <v>1507</v>
      </c>
      <c r="G101" s="206">
        <v>0.42971200456230396</v>
      </c>
      <c r="H101" s="205">
        <v>2773</v>
      </c>
      <c r="I101" s="205">
        <v>1190</v>
      </c>
      <c r="J101" s="206">
        <v>0.429138117562207</v>
      </c>
      <c r="K101" s="205">
        <v>146</v>
      </c>
      <c r="L101" s="205">
        <v>71</v>
      </c>
      <c r="M101" s="206">
        <v>0.4863013698630137</v>
      </c>
      <c r="N101" s="205">
        <v>1292</v>
      </c>
      <c r="O101" s="205">
        <v>193</v>
      </c>
      <c r="P101" s="206">
        <v>0.14938080495356038</v>
      </c>
      <c r="Q101" s="205">
        <v>0</v>
      </c>
      <c r="R101" s="205">
        <v>20</v>
      </c>
      <c r="S101" s="90">
        <v>1497</v>
      </c>
      <c r="T101" s="145"/>
    </row>
    <row r="102" spans="1:19" ht="12.75">
      <c r="A102" s="251"/>
      <c r="B102" s="100" t="s">
        <v>22</v>
      </c>
      <c r="C102" s="89">
        <v>82876</v>
      </c>
      <c r="D102" s="199">
        <v>418</v>
      </c>
      <c r="E102" s="200">
        <v>114859</v>
      </c>
      <c r="F102" s="200">
        <v>56221</v>
      </c>
      <c r="G102" s="202">
        <v>0.48947840395615494</v>
      </c>
      <c r="H102" s="200">
        <v>110298</v>
      </c>
      <c r="I102" s="200">
        <v>77179</v>
      </c>
      <c r="J102" s="202">
        <v>0.6997316361130755</v>
      </c>
      <c r="K102" s="200">
        <v>20150</v>
      </c>
      <c r="L102" s="200">
        <v>18021</v>
      </c>
      <c r="M102" s="202">
        <v>0.8943424317617866</v>
      </c>
      <c r="N102" s="200">
        <v>48924</v>
      </c>
      <c r="O102" s="200">
        <v>30502</v>
      </c>
      <c r="P102" s="202">
        <v>0.6234567901234568</v>
      </c>
      <c r="Q102" s="200">
        <v>297</v>
      </c>
      <c r="R102" s="200">
        <v>593</v>
      </c>
      <c r="S102" s="89">
        <v>44157</v>
      </c>
    </row>
    <row r="103" spans="1:19" ht="12.75">
      <c r="A103" s="251" t="s">
        <v>186</v>
      </c>
      <c r="B103" s="101" t="s">
        <v>44</v>
      </c>
      <c r="C103" s="90">
        <v>2009</v>
      </c>
      <c r="D103" s="204">
        <v>309.3</v>
      </c>
      <c r="E103" s="205">
        <v>3941</v>
      </c>
      <c r="F103" s="205">
        <v>1651</v>
      </c>
      <c r="G103" s="206">
        <v>0.41892920578533366</v>
      </c>
      <c r="H103" s="205">
        <v>3101</v>
      </c>
      <c r="I103" s="205">
        <v>1765</v>
      </c>
      <c r="J103" s="206">
        <v>0.5691712350854563</v>
      </c>
      <c r="K103" s="205">
        <v>128</v>
      </c>
      <c r="L103" s="205">
        <v>61</v>
      </c>
      <c r="M103" s="206">
        <v>0.4765625</v>
      </c>
      <c r="N103" s="205">
        <v>460</v>
      </c>
      <c r="O103" s="205">
        <v>344</v>
      </c>
      <c r="P103" s="206">
        <v>0.7478260869565218</v>
      </c>
      <c r="Q103" s="205">
        <v>0</v>
      </c>
      <c r="R103" s="205">
        <v>7</v>
      </c>
      <c r="S103" s="90">
        <v>1842</v>
      </c>
    </row>
    <row r="104" spans="1:19" ht="12.75">
      <c r="A104" s="251" t="s">
        <v>422</v>
      </c>
      <c r="B104" s="101" t="s">
        <v>45</v>
      </c>
      <c r="C104" s="90">
        <v>2560</v>
      </c>
      <c r="D104" s="204">
        <v>521.7</v>
      </c>
      <c r="E104" s="205">
        <v>1119</v>
      </c>
      <c r="F104" s="205">
        <v>253</v>
      </c>
      <c r="G104" s="206">
        <v>0.22609472743521</v>
      </c>
      <c r="H104" s="205">
        <v>3158</v>
      </c>
      <c r="I104" s="205">
        <v>2588</v>
      </c>
      <c r="J104" s="206">
        <v>0.8195060164661178</v>
      </c>
      <c r="K104" s="205">
        <v>1693</v>
      </c>
      <c r="L104" s="205">
        <v>1578</v>
      </c>
      <c r="M104" s="206">
        <v>0.9320732427643237</v>
      </c>
      <c r="N104" s="205">
        <v>710</v>
      </c>
      <c r="O104" s="205">
        <v>320</v>
      </c>
      <c r="P104" s="206">
        <v>0.4507042253521127</v>
      </c>
      <c r="Q104" s="205">
        <v>0</v>
      </c>
      <c r="R104" s="205">
        <v>5</v>
      </c>
      <c r="S104" s="90">
        <v>229</v>
      </c>
    </row>
    <row r="105" spans="1:19" ht="12.75">
      <c r="A105" s="251" t="s">
        <v>192</v>
      </c>
      <c r="B105" s="101" t="s">
        <v>47</v>
      </c>
      <c r="C105" s="90">
        <v>738</v>
      </c>
      <c r="D105" s="204">
        <v>122.2</v>
      </c>
      <c r="E105" s="205">
        <v>1621</v>
      </c>
      <c r="F105" s="205">
        <v>529</v>
      </c>
      <c r="G105" s="206">
        <v>0.32634176434299816</v>
      </c>
      <c r="H105" s="205">
        <v>1187</v>
      </c>
      <c r="I105" s="205">
        <v>276</v>
      </c>
      <c r="J105" s="206">
        <v>0.2325189553496209</v>
      </c>
      <c r="K105" s="205">
        <v>186</v>
      </c>
      <c r="L105" s="205">
        <v>144</v>
      </c>
      <c r="M105" s="206">
        <v>0.7741935483870968</v>
      </c>
      <c r="N105" s="205">
        <v>536</v>
      </c>
      <c r="O105" s="205">
        <v>326</v>
      </c>
      <c r="P105" s="206">
        <v>0.6082089552238806</v>
      </c>
      <c r="Q105" s="205">
        <v>0</v>
      </c>
      <c r="R105" s="205">
        <v>6</v>
      </c>
      <c r="S105" s="90">
        <v>983</v>
      </c>
    </row>
    <row r="106" spans="1:19" ht="12.75">
      <c r="A106" s="251" t="s">
        <v>423</v>
      </c>
      <c r="B106" s="32" t="s">
        <v>49</v>
      </c>
      <c r="C106" s="90">
        <v>550</v>
      </c>
      <c r="D106" s="204">
        <v>349.1</v>
      </c>
      <c r="E106" s="205">
        <v>967</v>
      </c>
      <c r="F106" s="205">
        <v>281</v>
      </c>
      <c r="G106" s="206">
        <v>0.2905894519131334</v>
      </c>
      <c r="H106" s="205">
        <v>858</v>
      </c>
      <c r="I106" s="205">
        <v>487</v>
      </c>
      <c r="J106" s="206">
        <v>0.5675990675990676</v>
      </c>
      <c r="K106" s="205">
        <v>70</v>
      </c>
      <c r="L106" s="205">
        <v>43</v>
      </c>
      <c r="M106" s="206">
        <v>0.6142857142857143</v>
      </c>
      <c r="N106" s="205">
        <v>1161</v>
      </c>
      <c r="O106" s="205">
        <v>308</v>
      </c>
      <c r="P106" s="206">
        <v>0.2652885443583118</v>
      </c>
      <c r="Q106" s="205">
        <v>9</v>
      </c>
      <c r="R106" s="205">
        <v>6</v>
      </c>
      <c r="S106" s="90">
        <v>246</v>
      </c>
    </row>
    <row r="107" spans="1:21" ht="12.75">
      <c r="A107" s="251" t="s">
        <v>185</v>
      </c>
      <c r="B107" s="32" t="s">
        <v>53</v>
      </c>
      <c r="C107" s="90">
        <v>7120</v>
      </c>
      <c r="D107" s="204">
        <v>453.3</v>
      </c>
      <c r="E107" s="205">
        <v>9392</v>
      </c>
      <c r="F107" s="205">
        <v>5045</v>
      </c>
      <c r="G107" s="206">
        <v>0.5371592844974447</v>
      </c>
      <c r="H107" s="205">
        <v>9298</v>
      </c>
      <c r="I107" s="205">
        <v>7150</v>
      </c>
      <c r="J107" s="206">
        <v>0.7689825768982577</v>
      </c>
      <c r="K107" s="205">
        <v>2106</v>
      </c>
      <c r="L107" s="205">
        <v>1780</v>
      </c>
      <c r="M107" s="206">
        <v>0.8452041785375118</v>
      </c>
      <c r="N107" s="205">
        <v>4948</v>
      </c>
      <c r="O107" s="205">
        <v>2130</v>
      </c>
      <c r="P107" s="206">
        <v>0.43047696038803557</v>
      </c>
      <c r="Q107" s="205">
        <v>2</v>
      </c>
      <c r="R107" s="205">
        <v>34</v>
      </c>
      <c r="S107" s="90">
        <v>4776</v>
      </c>
      <c r="U107" s="17"/>
    </row>
    <row r="108" spans="1:21" ht="12.75">
      <c r="A108" s="251" t="s">
        <v>206</v>
      </c>
      <c r="B108" s="32" t="s">
        <v>57</v>
      </c>
      <c r="C108" s="90">
        <v>948</v>
      </c>
      <c r="D108" s="204">
        <v>265.2</v>
      </c>
      <c r="E108" s="205">
        <v>867</v>
      </c>
      <c r="F108" s="205">
        <v>113</v>
      </c>
      <c r="G108" s="206">
        <v>0.1303344867358708</v>
      </c>
      <c r="H108" s="205">
        <v>1399</v>
      </c>
      <c r="I108" s="205">
        <v>682</v>
      </c>
      <c r="J108" s="206">
        <v>0.4874910650464618</v>
      </c>
      <c r="K108" s="205">
        <v>315</v>
      </c>
      <c r="L108" s="205">
        <v>204</v>
      </c>
      <c r="M108" s="206">
        <v>0.6476190476190476</v>
      </c>
      <c r="N108" s="205">
        <v>463</v>
      </c>
      <c r="O108" s="205">
        <v>80</v>
      </c>
      <c r="P108" s="206">
        <v>0.17278617710583152</v>
      </c>
      <c r="Q108" s="205">
        <v>0</v>
      </c>
      <c r="R108" s="205">
        <v>4</v>
      </c>
      <c r="S108" s="90">
        <v>251</v>
      </c>
      <c r="U108"/>
    </row>
    <row r="109" spans="1:21" ht="12.75">
      <c r="A109" s="251" t="s">
        <v>210</v>
      </c>
      <c r="B109" s="101" t="s">
        <v>59</v>
      </c>
      <c r="C109" s="90">
        <v>1412</v>
      </c>
      <c r="D109" s="204">
        <v>212.1</v>
      </c>
      <c r="E109" s="205">
        <v>3731</v>
      </c>
      <c r="F109" s="205">
        <v>1966</v>
      </c>
      <c r="G109" s="206">
        <v>0.5269364781559903</v>
      </c>
      <c r="H109" s="205">
        <v>2092</v>
      </c>
      <c r="I109" s="205">
        <v>1286</v>
      </c>
      <c r="J109" s="206">
        <v>0.6147227533460803</v>
      </c>
      <c r="K109" s="205">
        <v>421</v>
      </c>
      <c r="L109" s="205">
        <v>393</v>
      </c>
      <c r="M109" s="206">
        <v>0.9334916864608076</v>
      </c>
      <c r="N109" s="205">
        <v>974</v>
      </c>
      <c r="O109" s="205">
        <v>675</v>
      </c>
      <c r="P109" s="206">
        <v>0.6930184804928131</v>
      </c>
      <c r="Q109" s="205">
        <v>0</v>
      </c>
      <c r="R109" s="205">
        <v>2</v>
      </c>
      <c r="S109" s="90">
        <v>894</v>
      </c>
      <c r="U109"/>
    </row>
    <row r="110" spans="1:21" ht="12.75">
      <c r="A110" s="251" t="s">
        <v>189</v>
      </c>
      <c r="B110" s="101" t="s">
        <v>66</v>
      </c>
      <c r="C110" s="90">
        <v>5989</v>
      </c>
      <c r="D110" s="204">
        <v>426.8</v>
      </c>
      <c r="E110" s="205">
        <v>15798</v>
      </c>
      <c r="F110" s="205">
        <v>9415</v>
      </c>
      <c r="G110" s="206">
        <v>0.5959615141157109</v>
      </c>
      <c r="H110" s="205">
        <v>7782</v>
      </c>
      <c r="I110" s="205">
        <v>6029</v>
      </c>
      <c r="J110" s="206">
        <v>0.7747365715754305</v>
      </c>
      <c r="K110" s="205">
        <v>1539</v>
      </c>
      <c r="L110" s="205">
        <v>1389</v>
      </c>
      <c r="M110" s="206">
        <v>0.9025341130604289</v>
      </c>
      <c r="N110" s="205">
        <v>4025</v>
      </c>
      <c r="O110" s="205">
        <v>3164</v>
      </c>
      <c r="P110" s="206">
        <v>0.7860869565217391</v>
      </c>
      <c r="Q110" s="205">
        <v>2</v>
      </c>
      <c r="R110" s="205">
        <v>32</v>
      </c>
      <c r="S110" s="90">
        <v>4678</v>
      </c>
      <c r="U110"/>
    </row>
    <row r="111" spans="1:21" ht="12.75">
      <c r="A111" s="251" t="s">
        <v>199</v>
      </c>
      <c r="B111" s="101" t="s">
        <v>69</v>
      </c>
      <c r="C111" s="90">
        <v>788</v>
      </c>
      <c r="D111" s="204">
        <v>146.2</v>
      </c>
      <c r="E111" s="205">
        <v>1533</v>
      </c>
      <c r="F111" s="205">
        <v>629</v>
      </c>
      <c r="G111" s="206">
        <v>0.41030658838878015</v>
      </c>
      <c r="H111" s="205">
        <v>929</v>
      </c>
      <c r="I111" s="205">
        <v>362</v>
      </c>
      <c r="J111" s="206">
        <v>0.38966630785791173</v>
      </c>
      <c r="K111" s="205">
        <v>192</v>
      </c>
      <c r="L111" s="205">
        <v>163</v>
      </c>
      <c r="M111" s="206">
        <v>0.8489583333333334</v>
      </c>
      <c r="N111" s="205">
        <v>917</v>
      </c>
      <c r="O111" s="205">
        <v>415</v>
      </c>
      <c r="P111" s="206">
        <v>0.4525627044711014</v>
      </c>
      <c r="Q111" s="205">
        <v>257</v>
      </c>
      <c r="R111" s="205">
        <v>119</v>
      </c>
      <c r="S111" s="90">
        <v>1121</v>
      </c>
      <c r="U111"/>
    </row>
    <row r="112" spans="1:21" ht="12.75">
      <c r="A112" s="251" t="s">
        <v>188</v>
      </c>
      <c r="B112" s="101" t="s">
        <v>76</v>
      </c>
      <c r="C112" s="90">
        <v>9389</v>
      </c>
      <c r="D112" s="204">
        <v>435.6</v>
      </c>
      <c r="E112" s="205">
        <v>18716</v>
      </c>
      <c r="F112" s="205">
        <v>9750</v>
      </c>
      <c r="G112" s="206">
        <v>0.5209446462919427</v>
      </c>
      <c r="H112" s="205">
        <v>12310</v>
      </c>
      <c r="I112" s="205">
        <v>9846</v>
      </c>
      <c r="J112" s="206">
        <v>0.7998375304630382</v>
      </c>
      <c r="K112" s="205">
        <v>1561</v>
      </c>
      <c r="L112" s="205">
        <v>1449</v>
      </c>
      <c r="M112" s="206">
        <v>0.9282511210762332</v>
      </c>
      <c r="N112" s="205">
        <v>13089</v>
      </c>
      <c r="O112" s="205">
        <v>8763</v>
      </c>
      <c r="P112" s="206">
        <v>0.6694934677973872</v>
      </c>
      <c r="Q112" s="205">
        <v>0</v>
      </c>
      <c r="R112" s="205">
        <v>22</v>
      </c>
      <c r="S112" s="90">
        <v>8426</v>
      </c>
      <c r="U112"/>
    </row>
    <row r="113" spans="1:21" ht="12.75">
      <c r="A113" s="251" t="s">
        <v>190</v>
      </c>
      <c r="B113" s="101" t="s">
        <v>78</v>
      </c>
      <c r="C113" s="90">
        <v>5870</v>
      </c>
      <c r="D113" s="204">
        <v>378.1</v>
      </c>
      <c r="E113" s="205">
        <v>6354</v>
      </c>
      <c r="F113" s="205">
        <v>2714</v>
      </c>
      <c r="G113" s="206">
        <v>0.42713251495121185</v>
      </c>
      <c r="H113" s="205">
        <v>7499</v>
      </c>
      <c r="I113" s="205">
        <v>5401</v>
      </c>
      <c r="J113" s="206">
        <v>0.7202293639151887</v>
      </c>
      <c r="K113" s="205">
        <v>544</v>
      </c>
      <c r="L113" s="205">
        <v>392</v>
      </c>
      <c r="M113" s="206">
        <v>0.7205882352941176</v>
      </c>
      <c r="N113" s="205">
        <v>5297</v>
      </c>
      <c r="O113" s="205">
        <v>2965</v>
      </c>
      <c r="P113" s="206">
        <v>0.5597508023409477</v>
      </c>
      <c r="Q113" s="205">
        <v>1</v>
      </c>
      <c r="R113" s="205">
        <v>40</v>
      </c>
      <c r="S113" s="90">
        <v>6232</v>
      </c>
      <c r="U113"/>
    </row>
    <row r="114" spans="1:21" ht="12.75">
      <c r="A114" s="251" t="s">
        <v>193</v>
      </c>
      <c r="B114" s="101" t="s">
        <v>80</v>
      </c>
      <c r="C114" s="90">
        <v>7999</v>
      </c>
      <c r="D114" s="204">
        <v>431.9</v>
      </c>
      <c r="E114" s="205">
        <v>7881</v>
      </c>
      <c r="F114" s="205">
        <v>3954</v>
      </c>
      <c r="G114" s="206">
        <v>0.50171298058622</v>
      </c>
      <c r="H114" s="205">
        <v>10087</v>
      </c>
      <c r="I114" s="205">
        <v>7509</v>
      </c>
      <c r="J114" s="206">
        <v>0.7444235154158818</v>
      </c>
      <c r="K114" s="205">
        <v>3451</v>
      </c>
      <c r="L114" s="205">
        <v>2960</v>
      </c>
      <c r="M114" s="206">
        <v>0.8577223993045494</v>
      </c>
      <c r="N114" s="205">
        <v>2183</v>
      </c>
      <c r="O114" s="205">
        <v>1657</v>
      </c>
      <c r="P114" s="206">
        <v>0.7590471827759964</v>
      </c>
      <c r="Q114" s="205">
        <v>2</v>
      </c>
      <c r="R114" s="205">
        <v>55</v>
      </c>
      <c r="S114" s="90">
        <v>5340</v>
      </c>
      <c r="U114"/>
    </row>
    <row r="115" spans="1:21" ht="12.75">
      <c r="A115" s="251" t="s">
        <v>197</v>
      </c>
      <c r="B115" s="101" t="s">
        <v>82</v>
      </c>
      <c r="C115" s="90">
        <v>3363</v>
      </c>
      <c r="D115" s="204">
        <v>479.4</v>
      </c>
      <c r="E115" s="205">
        <v>5523</v>
      </c>
      <c r="F115" s="205">
        <v>3664</v>
      </c>
      <c r="G115" s="206">
        <v>0.6634075683505342</v>
      </c>
      <c r="H115" s="205">
        <v>3862</v>
      </c>
      <c r="I115" s="205">
        <v>3283</v>
      </c>
      <c r="J115" s="206">
        <v>0.8500776799585706</v>
      </c>
      <c r="K115" s="205">
        <v>439</v>
      </c>
      <c r="L115" s="205">
        <v>415</v>
      </c>
      <c r="M115" s="206">
        <v>0.9453302961275627</v>
      </c>
      <c r="N115" s="205">
        <v>2068</v>
      </c>
      <c r="O115" s="205">
        <v>1378</v>
      </c>
      <c r="P115" s="206">
        <v>0.6663442940038685</v>
      </c>
      <c r="Q115" s="205">
        <v>4</v>
      </c>
      <c r="R115" s="205">
        <v>72</v>
      </c>
      <c r="S115" s="90">
        <v>1450</v>
      </c>
      <c r="U115"/>
    </row>
    <row r="116" spans="1:21" ht="13.5" customHeight="1">
      <c r="A116" s="251" t="s">
        <v>187</v>
      </c>
      <c r="B116" s="32" t="s">
        <v>84</v>
      </c>
      <c r="C116" s="90">
        <v>11765</v>
      </c>
      <c r="D116" s="204">
        <v>510.2</v>
      </c>
      <c r="E116" s="205">
        <v>7254</v>
      </c>
      <c r="F116" s="205">
        <v>2497</v>
      </c>
      <c r="G116" s="206">
        <v>0.34422387648194097</v>
      </c>
      <c r="H116" s="205">
        <v>15280</v>
      </c>
      <c r="I116" s="205">
        <v>10606</v>
      </c>
      <c r="J116" s="206">
        <v>0.694109947643979</v>
      </c>
      <c r="K116" s="205">
        <v>1893</v>
      </c>
      <c r="L116" s="205">
        <v>1852</v>
      </c>
      <c r="M116" s="206">
        <v>0.9783412572636028</v>
      </c>
      <c r="N116" s="205">
        <v>456</v>
      </c>
      <c r="O116" s="205">
        <v>217</v>
      </c>
      <c r="P116" s="206">
        <v>0.4758771929824561</v>
      </c>
      <c r="Q116" s="205">
        <v>0</v>
      </c>
      <c r="R116" s="205">
        <v>4</v>
      </c>
      <c r="S116" s="90">
        <v>517</v>
      </c>
      <c r="U116"/>
    </row>
    <row r="117" spans="1:21" ht="12.75">
      <c r="A117" s="251" t="s">
        <v>202</v>
      </c>
      <c r="B117" s="32" t="s">
        <v>85</v>
      </c>
      <c r="C117" s="90">
        <v>9141</v>
      </c>
      <c r="D117" s="204">
        <v>301.7</v>
      </c>
      <c r="E117" s="205">
        <v>14113</v>
      </c>
      <c r="F117" s="205">
        <v>4744</v>
      </c>
      <c r="G117" s="206">
        <v>0.3361439807269893</v>
      </c>
      <c r="H117" s="205">
        <v>12542</v>
      </c>
      <c r="I117" s="205">
        <v>6806</v>
      </c>
      <c r="J117" s="206">
        <v>0.542656673576782</v>
      </c>
      <c r="K117" s="205">
        <v>1339</v>
      </c>
      <c r="L117" s="205">
        <v>1160</v>
      </c>
      <c r="M117" s="206">
        <v>0.8663181478715459</v>
      </c>
      <c r="N117" s="205">
        <v>1919</v>
      </c>
      <c r="O117" s="205">
        <v>1158</v>
      </c>
      <c r="P117" s="206">
        <v>0.6034392912975508</v>
      </c>
      <c r="Q117" s="205">
        <v>0</v>
      </c>
      <c r="R117" s="205">
        <v>62</v>
      </c>
      <c r="S117" s="90">
        <v>3422</v>
      </c>
      <c r="U117"/>
    </row>
    <row r="118" spans="1:21" ht="12.75">
      <c r="A118" s="251" t="s">
        <v>191</v>
      </c>
      <c r="B118" s="101" t="s">
        <v>87</v>
      </c>
      <c r="C118" s="90">
        <v>13235</v>
      </c>
      <c r="D118" s="213">
        <v>439.7</v>
      </c>
      <c r="E118" s="205">
        <v>16049</v>
      </c>
      <c r="F118" s="205">
        <v>9016</v>
      </c>
      <c r="G118" s="206">
        <v>0.5617795501277338</v>
      </c>
      <c r="H118" s="205">
        <v>18914</v>
      </c>
      <c r="I118" s="205">
        <v>13103</v>
      </c>
      <c r="J118" s="206">
        <v>0.6927672623453527</v>
      </c>
      <c r="K118" s="205">
        <v>4273</v>
      </c>
      <c r="L118" s="205">
        <v>4038</v>
      </c>
      <c r="M118" s="206">
        <v>0.9450035104142289</v>
      </c>
      <c r="N118" s="205">
        <v>9718</v>
      </c>
      <c r="O118" s="205">
        <v>6602</v>
      </c>
      <c r="P118" s="206">
        <v>0.6793578925704877</v>
      </c>
      <c r="Q118" s="205">
        <v>20</v>
      </c>
      <c r="R118" s="205">
        <v>123</v>
      </c>
      <c r="S118" s="90">
        <v>3750</v>
      </c>
      <c r="U118"/>
    </row>
    <row r="119" spans="1:21" ht="12.75">
      <c r="A119" s="251"/>
      <c r="B119" s="280" t="s">
        <v>437</v>
      </c>
      <c r="C119" s="284">
        <v>72</v>
      </c>
      <c r="D119" s="210">
        <v>517.2</v>
      </c>
      <c r="E119" s="211">
        <v>18</v>
      </c>
      <c r="F119" s="211">
        <v>17</v>
      </c>
      <c r="G119" s="201">
        <v>0.9444444444444444</v>
      </c>
      <c r="H119" s="211">
        <v>64</v>
      </c>
      <c r="I119" s="211">
        <v>63</v>
      </c>
      <c r="J119" s="201">
        <v>0.984375</v>
      </c>
      <c r="K119" s="211">
        <v>2</v>
      </c>
      <c r="L119" s="211">
        <v>0</v>
      </c>
      <c r="M119" s="201">
        <v>0</v>
      </c>
      <c r="N119" s="211">
        <v>4093</v>
      </c>
      <c r="O119" s="211">
        <v>2096</v>
      </c>
      <c r="P119" s="201">
        <v>0.512093818714879</v>
      </c>
      <c r="Q119" s="211">
        <v>1</v>
      </c>
      <c r="R119" s="211">
        <v>12</v>
      </c>
      <c r="S119" s="281">
        <v>12325</v>
      </c>
      <c r="U119"/>
    </row>
    <row r="120" spans="2:19" ht="17.25" customHeight="1">
      <c r="B120" s="470"/>
      <c r="C120" s="470"/>
      <c r="D120" s="470"/>
      <c r="E120" s="470"/>
      <c r="F120" s="470"/>
      <c r="G120" s="470"/>
      <c r="H120" s="470"/>
      <c r="I120" s="470"/>
      <c r="J120" s="470"/>
      <c r="K120" s="470"/>
      <c r="L120" s="470"/>
      <c r="M120" s="470"/>
      <c r="N120" s="470"/>
      <c r="O120" s="470"/>
      <c r="P120" s="470"/>
      <c r="Q120" s="470"/>
      <c r="R120" s="470"/>
      <c r="S120" s="470"/>
    </row>
    <row r="121" spans="2:19" ht="27" customHeight="1">
      <c r="B121" s="13"/>
      <c r="C121" s="476" t="s">
        <v>356</v>
      </c>
      <c r="D121" s="477"/>
      <c r="E121" s="477"/>
      <c r="F121" s="477"/>
      <c r="G121" s="477"/>
      <c r="H121" s="477"/>
      <c r="I121" s="477"/>
      <c r="J121" s="477"/>
      <c r="K121" s="477"/>
      <c r="L121" s="477"/>
      <c r="M121" s="477"/>
      <c r="N121" s="477"/>
      <c r="O121" s="477"/>
      <c r="P121" s="477"/>
      <c r="Q121" s="477"/>
      <c r="R121" s="477"/>
      <c r="S121" s="478"/>
    </row>
    <row r="122" spans="2:19" ht="12.75">
      <c r="B122" s="30"/>
      <c r="C122" s="473" t="s">
        <v>289</v>
      </c>
      <c r="D122" s="473"/>
      <c r="E122" s="467" t="s">
        <v>239</v>
      </c>
      <c r="F122" s="468"/>
      <c r="G122" s="469"/>
      <c r="H122" s="467" t="s">
        <v>8</v>
      </c>
      <c r="I122" s="468"/>
      <c r="J122" s="469"/>
      <c r="K122" s="467" t="s">
        <v>43</v>
      </c>
      <c r="L122" s="468"/>
      <c r="M122" s="469"/>
      <c r="N122" s="467" t="s">
        <v>9</v>
      </c>
      <c r="O122" s="468"/>
      <c r="P122" s="469"/>
      <c r="Q122" s="270" t="s">
        <v>10</v>
      </c>
      <c r="R122" s="226" t="s">
        <v>11</v>
      </c>
      <c r="S122" s="226" t="s">
        <v>12</v>
      </c>
    </row>
    <row r="123" spans="2:19" s="10" customFormat="1" ht="53.25" customHeight="1">
      <c r="B123" s="29"/>
      <c r="C123" s="31" t="s">
        <v>13</v>
      </c>
      <c r="D123" s="62"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2:19" ht="12.75">
      <c r="B124" s="11" t="s">
        <v>288</v>
      </c>
      <c r="C124" s="283">
        <v>20764</v>
      </c>
      <c r="D124" s="214">
        <v>76.5</v>
      </c>
      <c r="E124" s="215">
        <v>21577</v>
      </c>
      <c r="F124" s="215">
        <v>1751</v>
      </c>
      <c r="G124" s="216">
        <v>0.08115122584233211</v>
      </c>
      <c r="H124" s="215">
        <v>34443</v>
      </c>
      <c r="I124" s="215">
        <v>6519</v>
      </c>
      <c r="J124" s="216">
        <v>0.18926922741921434</v>
      </c>
      <c r="K124" s="215">
        <v>9853</v>
      </c>
      <c r="L124" s="215">
        <v>9747</v>
      </c>
      <c r="M124" s="216">
        <v>0.9892418552725059</v>
      </c>
      <c r="N124" s="215">
        <v>2997</v>
      </c>
      <c r="O124" s="215">
        <v>433</v>
      </c>
      <c r="P124" s="216">
        <v>0.1444778111444778</v>
      </c>
      <c r="Q124" s="215">
        <v>6098</v>
      </c>
      <c r="R124" s="215">
        <v>3757</v>
      </c>
      <c r="S124" s="93">
        <v>4104</v>
      </c>
    </row>
    <row r="125" spans="1:19" ht="12.75">
      <c r="A125" s="251" t="s">
        <v>416</v>
      </c>
      <c r="B125" s="15" t="s">
        <v>285</v>
      </c>
      <c r="C125" s="90">
        <v>10841</v>
      </c>
      <c r="D125" s="204">
        <v>87.1</v>
      </c>
      <c r="E125" s="205">
        <v>8188</v>
      </c>
      <c r="F125" s="205">
        <v>988</v>
      </c>
      <c r="G125" s="206">
        <v>0.12066438690766976</v>
      </c>
      <c r="H125" s="205">
        <v>17045</v>
      </c>
      <c r="I125" s="205">
        <v>3264</v>
      </c>
      <c r="J125" s="206">
        <v>0.19149310648283954</v>
      </c>
      <c r="K125" s="205">
        <v>9173</v>
      </c>
      <c r="L125" s="205">
        <v>9141</v>
      </c>
      <c r="M125" s="206">
        <v>0.9965115011446637</v>
      </c>
      <c r="N125" s="205">
        <v>2265</v>
      </c>
      <c r="O125" s="205">
        <v>119</v>
      </c>
      <c r="P125" s="206">
        <v>0.052538631346578366</v>
      </c>
      <c r="Q125" s="205">
        <v>1045</v>
      </c>
      <c r="R125" s="205">
        <v>1444</v>
      </c>
      <c r="S125" s="90">
        <v>1608</v>
      </c>
    </row>
    <row r="126" spans="1:19" ht="12.75">
      <c r="A126" s="253" t="s">
        <v>420</v>
      </c>
      <c r="B126" s="15" t="s">
        <v>286</v>
      </c>
      <c r="C126" s="90">
        <v>3293</v>
      </c>
      <c r="D126" s="204">
        <v>62.4</v>
      </c>
      <c r="E126" s="205">
        <v>5745</v>
      </c>
      <c r="F126" s="205">
        <v>396</v>
      </c>
      <c r="G126" s="206">
        <v>0.06892950391644909</v>
      </c>
      <c r="H126" s="205">
        <v>5249</v>
      </c>
      <c r="I126" s="205">
        <v>554</v>
      </c>
      <c r="J126" s="206">
        <v>0.10554391312630977</v>
      </c>
      <c r="K126" s="205">
        <v>56</v>
      </c>
      <c r="L126" s="205">
        <v>2</v>
      </c>
      <c r="M126" s="206">
        <v>0.03571428571428571</v>
      </c>
      <c r="N126" s="205">
        <v>391</v>
      </c>
      <c r="O126" s="205">
        <v>71</v>
      </c>
      <c r="P126" s="206">
        <v>0.1815856777493606</v>
      </c>
      <c r="Q126" s="205">
        <v>509</v>
      </c>
      <c r="R126" s="205">
        <v>385</v>
      </c>
      <c r="S126" s="90">
        <v>1181</v>
      </c>
    </row>
    <row r="127" spans="1:19" ht="12.75">
      <c r="A127" s="251" t="s">
        <v>421</v>
      </c>
      <c r="B127" s="18" t="s">
        <v>287</v>
      </c>
      <c r="C127" s="90">
        <v>6630</v>
      </c>
      <c r="D127" s="204">
        <v>66.2</v>
      </c>
      <c r="E127" s="205">
        <v>7380</v>
      </c>
      <c r="F127" s="205">
        <v>244</v>
      </c>
      <c r="G127" s="206">
        <v>0.033062330623306234</v>
      </c>
      <c r="H127" s="205">
        <v>10087</v>
      </c>
      <c r="I127" s="205">
        <v>899</v>
      </c>
      <c r="J127" s="206">
        <v>0.0891246158421731</v>
      </c>
      <c r="K127" s="205">
        <v>306</v>
      </c>
      <c r="L127" s="205">
        <v>302</v>
      </c>
      <c r="M127" s="206">
        <v>0.9869281045751634</v>
      </c>
      <c r="N127" s="205">
        <v>127</v>
      </c>
      <c r="O127" s="205">
        <v>61</v>
      </c>
      <c r="P127" s="206">
        <v>0.48031496062992124</v>
      </c>
      <c r="Q127" s="205">
        <v>4441</v>
      </c>
      <c r="R127" s="205">
        <v>1928</v>
      </c>
      <c r="S127" s="90">
        <v>1315</v>
      </c>
    </row>
    <row r="128" spans="1:19" ht="12.75">
      <c r="A128" s="78"/>
      <c r="B128" s="18" t="s">
        <v>27</v>
      </c>
      <c r="C128" s="217" t="s">
        <v>31</v>
      </c>
      <c r="D128" s="217" t="s">
        <v>31</v>
      </c>
      <c r="E128" s="218">
        <v>264</v>
      </c>
      <c r="F128" s="218">
        <v>123</v>
      </c>
      <c r="G128" s="219">
        <v>0.4659090909090909</v>
      </c>
      <c r="H128" s="218">
        <v>2062</v>
      </c>
      <c r="I128" s="218">
        <v>1802</v>
      </c>
      <c r="J128" s="219">
        <v>0.8739088263821533</v>
      </c>
      <c r="K128" s="218">
        <v>318</v>
      </c>
      <c r="L128" s="218">
        <v>302</v>
      </c>
      <c r="M128" s="219">
        <v>0.949685534591195</v>
      </c>
      <c r="N128" s="218">
        <v>214</v>
      </c>
      <c r="O128" s="218">
        <v>182</v>
      </c>
      <c r="P128" s="219">
        <v>0.8504672897196262</v>
      </c>
      <c r="Q128" s="218">
        <v>103</v>
      </c>
      <c r="R128" s="218" t="s">
        <v>216</v>
      </c>
      <c r="S128" s="94" t="s">
        <v>216</v>
      </c>
    </row>
    <row r="129" spans="4:19" ht="12.75">
      <c r="D129" s="97"/>
      <c r="E129" s="98"/>
      <c r="F129" s="98"/>
      <c r="G129" s="99"/>
      <c r="H129" s="98"/>
      <c r="I129" s="98"/>
      <c r="J129" s="99"/>
      <c r="K129" s="98"/>
      <c r="L129" s="98"/>
      <c r="M129" s="99"/>
      <c r="N129" s="98"/>
      <c r="O129" s="98"/>
      <c r="P129" s="99"/>
      <c r="Q129" s="98"/>
      <c r="R129" s="98"/>
      <c r="S129" s="98"/>
    </row>
    <row r="130" spans="2:19" ht="15.75" customHeight="1">
      <c r="B130" s="17"/>
      <c r="C130" s="17"/>
      <c r="D130" s="63"/>
      <c r="E130" s="17"/>
      <c r="F130" s="17"/>
      <c r="G130" s="17"/>
      <c r="H130" s="17"/>
      <c r="I130" s="17"/>
      <c r="J130" s="17"/>
      <c r="K130" s="17"/>
      <c r="L130" s="17"/>
      <c r="M130" s="17"/>
      <c r="N130" s="17"/>
      <c r="O130" s="17"/>
      <c r="P130" s="17"/>
      <c r="Q130" s="19"/>
      <c r="R130" s="17"/>
      <c r="S130" s="17"/>
    </row>
    <row r="131" spans="4:15" ht="39" customHeight="1">
      <c r="D131" s="67"/>
      <c r="G131" s="471"/>
      <c r="H131" s="471"/>
      <c r="I131" s="471"/>
      <c r="J131" s="471"/>
      <c r="K131" s="471"/>
      <c r="L131" s="471"/>
      <c r="M131" s="471"/>
      <c r="N131" s="471"/>
      <c r="O131" s="471"/>
    </row>
    <row r="132" spans="4:19" ht="12.75">
      <c r="D132" s="56"/>
      <c r="G132" s="13"/>
      <c r="H132" s="472"/>
      <c r="I132" s="472"/>
      <c r="J132" s="472"/>
      <c r="K132" s="472"/>
      <c r="L132" s="472"/>
      <c r="M132" s="472"/>
      <c r="N132" s="472"/>
      <c r="O132" s="472"/>
      <c r="S132" s="81"/>
    </row>
    <row r="133" spans="2:19" ht="49.5" customHeight="1">
      <c r="B133" s="57"/>
      <c r="C133" s="57"/>
      <c r="G133" s="5"/>
      <c r="H133" s="141"/>
      <c r="I133" s="141"/>
      <c r="J133" s="141"/>
      <c r="K133" s="141"/>
      <c r="L133" s="141"/>
      <c r="M133" s="141"/>
      <c r="N133" s="141"/>
      <c r="O133" s="141"/>
      <c r="S133" s="81"/>
    </row>
    <row r="134" spans="7:15" ht="12.75">
      <c r="G134" s="77"/>
      <c r="H134" s="142"/>
      <c r="I134" s="142"/>
      <c r="J134" s="143"/>
      <c r="K134" s="144"/>
      <c r="L134" s="142"/>
      <c r="M134" s="142"/>
      <c r="N134" s="143"/>
      <c r="O134" s="144"/>
    </row>
    <row r="135" spans="7:15" ht="12.75">
      <c r="G135" s="4"/>
      <c r="H135" s="145"/>
      <c r="I135" s="145"/>
      <c r="J135" s="145"/>
      <c r="K135" s="146"/>
      <c r="L135" s="145"/>
      <c r="M135" s="145"/>
      <c r="N135" s="145"/>
      <c r="O135" s="146"/>
    </row>
    <row r="136" spans="7:15" ht="12.75">
      <c r="G136" s="5"/>
      <c r="H136" s="145"/>
      <c r="I136" s="145"/>
      <c r="J136" s="145"/>
      <c r="K136" s="146"/>
      <c r="L136" s="145"/>
      <c r="M136" s="145"/>
      <c r="N136" s="145"/>
      <c r="O136" s="146"/>
    </row>
    <row r="137" spans="4:15" ht="28.5" customHeight="1">
      <c r="D137" s="59"/>
      <c r="G137" s="4"/>
      <c r="H137" s="145"/>
      <c r="I137" s="145"/>
      <c r="J137" s="145"/>
      <c r="K137" s="146"/>
      <c r="L137" s="145"/>
      <c r="M137" s="145"/>
      <c r="N137" s="145"/>
      <c r="O137" s="146"/>
    </row>
    <row r="138" spans="4:15" ht="12.75">
      <c r="D138" s="56"/>
      <c r="G138" s="4"/>
      <c r="H138" s="145"/>
      <c r="I138" s="145"/>
      <c r="J138" s="145"/>
      <c r="K138" s="146"/>
      <c r="L138" s="145"/>
      <c r="M138" s="145"/>
      <c r="N138" s="145"/>
      <c r="O138" s="146"/>
    </row>
    <row r="139" spans="2:15" ht="31.5" customHeight="1">
      <c r="B139" s="57"/>
      <c r="C139" s="57"/>
      <c r="G139" s="409"/>
      <c r="H139" s="409"/>
      <c r="I139" s="409"/>
      <c r="J139" s="409"/>
      <c r="K139" s="409"/>
      <c r="L139" s="409"/>
      <c r="M139" s="409"/>
      <c r="N139" s="409"/>
      <c r="O139" s="409"/>
    </row>
    <row r="141" spans="2:12" ht="30" customHeight="1">
      <c r="B141" s="60"/>
      <c r="C141" s="60"/>
      <c r="D141" s="61"/>
      <c r="E141" s="58"/>
      <c r="F141" s="58"/>
      <c r="G141" s="58"/>
      <c r="H141" s="58"/>
      <c r="I141" s="58"/>
      <c r="J141" s="58"/>
      <c r="K141" s="58"/>
      <c r="L141" s="58"/>
    </row>
    <row r="142" spans="2:6" ht="15">
      <c r="B142" s="33"/>
      <c r="C142" s="33"/>
      <c r="D142" s="64"/>
      <c r="E142" s="34"/>
      <c r="F142" s="35"/>
    </row>
  </sheetData>
  <sheetProtection/>
  <mergeCells count="107">
    <mergeCell ref="K26:L26"/>
    <mergeCell ref="K29:O30"/>
    <mergeCell ref="P29:P30"/>
    <mergeCell ref="C41:F41"/>
    <mergeCell ref="C32:F32"/>
    <mergeCell ref="C33:F33"/>
    <mergeCell ref="C34:F34"/>
    <mergeCell ref="C35:F35"/>
    <mergeCell ref="C39:F39"/>
    <mergeCell ref="C44:F44"/>
    <mergeCell ref="C42:F42"/>
    <mergeCell ref="C43:F43"/>
    <mergeCell ref="C36:F36"/>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C7:F7"/>
    <mergeCell ref="C14:F14"/>
    <mergeCell ref="C15:F15"/>
    <mergeCell ref="C16:F16"/>
    <mergeCell ref="C17:F17"/>
    <mergeCell ref="C18:F18"/>
    <mergeCell ref="C8:F8"/>
    <mergeCell ref="C9:F9"/>
    <mergeCell ref="C10:F10"/>
    <mergeCell ref="C12:F12"/>
    <mergeCell ref="C13:F13"/>
    <mergeCell ref="C11:F11"/>
    <mergeCell ref="Q5:S5"/>
    <mergeCell ref="Q6:R6"/>
    <mergeCell ref="K7:L7"/>
    <mergeCell ref="K8:L8"/>
    <mergeCell ref="K12:L12"/>
    <mergeCell ref="K6:L6"/>
    <mergeCell ref="K10:L10"/>
    <mergeCell ref="K11:L11"/>
    <mergeCell ref="K9:L9"/>
    <mergeCell ref="Q12:R12"/>
    <mergeCell ref="K20:L20"/>
    <mergeCell ref="K24:L24"/>
    <mergeCell ref="K14:L14"/>
    <mergeCell ref="K15:L15"/>
    <mergeCell ref="K16:L16"/>
    <mergeCell ref="K5:O5"/>
    <mergeCell ref="K13:L13"/>
    <mergeCell ref="K22:L22"/>
    <mergeCell ref="K23:L23"/>
    <mergeCell ref="Q14:R14"/>
    <mergeCell ref="Q7:R7"/>
    <mergeCell ref="Q8:R8"/>
    <mergeCell ref="Q9:R9"/>
    <mergeCell ref="Q10:R10"/>
    <mergeCell ref="Q11:R11"/>
    <mergeCell ref="Q13:R13"/>
    <mergeCell ref="Q15:R15"/>
    <mergeCell ref="T22:U22"/>
    <mergeCell ref="Q16:R16"/>
    <mergeCell ref="Q18:R18"/>
    <mergeCell ref="Q19:R19"/>
    <mergeCell ref="K21:L21"/>
    <mergeCell ref="Q17:R17"/>
    <mergeCell ref="K17:L17"/>
    <mergeCell ref="K18:L18"/>
    <mergeCell ref="K19:L19"/>
    <mergeCell ref="K25:L25"/>
    <mergeCell ref="E122:G122"/>
    <mergeCell ref="H122:J122"/>
    <mergeCell ref="K122:M122"/>
    <mergeCell ref="C49:S49"/>
    <mergeCell ref="C84:S84"/>
    <mergeCell ref="C121:S121"/>
    <mergeCell ref="C40:F40"/>
    <mergeCell ref="N50:P50"/>
    <mergeCell ref="C122:D122"/>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s>
  <conditionalFormatting sqref="N123 H123 K86 Q123:S123 N86 H86 K123 D47 E123 Q86:S86 B52:C52 E52:S52 E86 E129:S129 S124:S128 S53:S82 S87:S119 B129:C129 B86:C86 B123:C124 B53:B82 B84:B85 B121:B122 B87:B119 B125:B128">
    <cfRule type="expression" priority="117" dxfId="0" stopIfTrue="1">
      <formula>ISERROR(B47)</formula>
    </cfRule>
  </conditionalFormatting>
  <conditionalFormatting sqref="D52">
    <cfRule type="expression" priority="94" dxfId="0" stopIfTrue="1">
      <formula>ISERROR(D52)</formula>
    </cfRule>
  </conditionalFormatting>
  <conditionalFormatting sqref="D129">
    <cfRule type="expression" priority="93" dxfId="0" stopIfTrue="1">
      <formula>ISERROR(D129)</formula>
    </cfRule>
  </conditionalFormatting>
  <conditionalFormatting sqref="Y29:Y32 I12:I13 O10">
    <cfRule type="expression" priority="63" dxfId="42" stopIfTrue="1">
      <formula>ISERROR(I10)</formula>
    </cfRule>
  </conditionalFormatting>
  <conditionalFormatting sqref="Y34:Y36">
    <cfRule type="expression" priority="64" dxfId="42" stopIfTrue="1">
      <formula>ISERROR(Y34)</formula>
    </cfRule>
  </conditionalFormatting>
  <conditionalFormatting sqref="Y23:Y28">
    <cfRule type="expression" priority="62" dxfId="42" stopIfTrue="1">
      <formula>ISERROR(Y23)</formula>
    </cfRule>
  </conditionalFormatting>
  <conditionalFormatting sqref="Y22">
    <cfRule type="expression" priority="48" dxfId="42" stopIfTrue="1">
      <formula>ISERROR(Y22)</formula>
    </cfRule>
  </conditionalFormatting>
  <conditionalFormatting sqref="Y33">
    <cfRule type="expression" priority="47" dxfId="42" stopIfTrue="1">
      <formula>ISERROR(Y33)</formula>
    </cfRule>
  </conditionalFormatting>
  <conditionalFormatting sqref="I9:I10">
    <cfRule type="expression" priority="44" dxfId="42" stopIfTrue="1">
      <formula>ISERROR(I9)</formula>
    </cfRule>
  </conditionalFormatting>
  <conditionalFormatting sqref="I8">
    <cfRule type="expression" priority="45" dxfId="42" stopIfTrue="1">
      <formula>ISERROR(I8)</formula>
    </cfRule>
  </conditionalFormatting>
  <conditionalFormatting sqref="I15:I17">
    <cfRule type="expression" priority="43" dxfId="42" stopIfTrue="1">
      <formula>ISERROR(I15)</formula>
    </cfRule>
  </conditionalFormatting>
  <conditionalFormatting sqref="I18:I21">
    <cfRule type="expression" priority="42" dxfId="42" stopIfTrue="1">
      <formula>ISERROR(I18)</formula>
    </cfRule>
  </conditionalFormatting>
  <conditionalFormatting sqref="I28">
    <cfRule type="expression" priority="40" dxfId="42" stopIfTrue="1">
      <formula>ISERROR(I28)</formula>
    </cfRule>
  </conditionalFormatting>
  <conditionalFormatting sqref="I23:I27 I29">
    <cfRule type="expression" priority="41" dxfId="42" stopIfTrue="1">
      <formula>ISERROR(I23)</formula>
    </cfRule>
  </conditionalFormatting>
  <conditionalFormatting sqref="I31:I37">
    <cfRule type="expression" priority="39" dxfId="42" stopIfTrue="1">
      <formula>ISERROR(I31)</formula>
    </cfRule>
  </conditionalFormatting>
  <conditionalFormatting sqref="I30">
    <cfRule type="expression" priority="38" dxfId="42" stopIfTrue="1">
      <formula>ISERROR(I30)</formula>
    </cfRule>
  </conditionalFormatting>
  <conditionalFormatting sqref="I39:I44">
    <cfRule type="expression" priority="37" dxfId="42" stopIfTrue="1">
      <formula>ISERROR(I39)</formula>
    </cfRule>
  </conditionalFormatting>
  <conditionalFormatting sqref="I38">
    <cfRule type="expression" priority="36" dxfId="42" stopIfTrue="1">
      <formula>ISERROR(I38)</formula>
    </cfRule>
  </conditionalFormatting>
  <conditionalFormatting sqref="K8">
    <cfRule type="expression" priority="32" dxfId="42" stopIfTrue="1">
      <formula>ISERROR(K8)</formula>
    </cfRule>
  </conditionalFormatting>
  <conditionalFormatting sqref="O8">
    <cfRule type="expression" priority="33" dxfId="42" stopIfTrue="1">
      <formula>ISERROR(O8)</formula>
    </cfRule>
  </conditionalFormatting>
  <conditionalFormatting sqref="O10">
    <cfRule type="expression" priority="31" dxfId="42" stopIfTrue="1">
      <formula>ISERROR(O10)</formula>
    </cfRule>
  </conditionalFormatting>
  <conditionalFormatting sqref="O9">
    <cfRule type="expression" priority="30" dxfId="42" stopIfTrue="1">
      <formula>ISERROR(O9)</formula>
    </cfRule>
  </conditionalFormatting>
  <conditionalFormatting sqref="O9">
    <cfRule type="expression" priority="29" dxfId="42" stopIfTrue="1">
      <formula>ISERROR(O9)</formula>
    </cfRule>
  </conditionalFormatting>
  <conditionalFormatting sqref="K10">
    <cfRule type="expression" priority="28" dxfId="42" stopIfTrue="1">
      <formula>ISERROR(K10)</formula>
    </cfRule>
  </conditionalFormatting>
  <conditionalFormatting sqref="O19:O21">
    <cfRule type="expression" priority="27" dxfId="42" stopIfTrue="1">
      <formula>ISERROR(O19)</formula>
    </cfRule>
  </conditionalFormatting>
  <conditionalFormatting sqref="O12:O17">
    <cfRule type="expression" priority="26" dxfId="42" stopIfTrue="1">
      <formula>ISERROR(O12)</formula>
    </cfRule>
  </conditionalFormatting>
  <conditionalFormatting sqref="O11">
    <cfRule type="expression" priority="25" dxfId="42" stopIfTrue="1">
      <formula>ISERROR(O11)</formula>
    </cfRule>
  </conditionalFormatting>
  <conditionalFormatting sqref="O18">
    <cfRule type="expression" priority="24" dxfId="42" stopIfTrue="1">
      <formula>ISERROR(O18)</formula>
    </cfRule>
  </conditionalFormatting>
  <conditionalFormatting sqref="O23:O25">
    <cfRule type="expression" priority="23" dxfId="42" stopIfTrue="1">
      <formula>ISERROR(O23)</formula>
    </cfRule>
  </conditionalFormatting>
  <conditionalFormatting sqref="O22">
    <cfRule type="expression" priority="22" dxfId="42" stopIfTrue="1">
      <formula>ISERROR(O22)</formula>
    </cfRule>
  </conditionalFormatting>
  <conditionalFormatting sqref="D53:R82">
    <cfRule type="expression" priority="21" dxfId="0" stopIfTrue="1">
      <formula>ISERROR(D53)</formula>
    </cfRule>
  </conditionalFormatting>
  <conditionalFormatting sqref="E87:R119">
    <cfRule type="expression" priority="20" dxfId="0" stopIfTrue="1">
      <formula>ISERROR(E87)</formula>
    </cfRule>
  </conditionalFormatting>
  <conditionalFormatting sqref="D87:D119">
    <cfRule type="expression" priority="19" dxfId="0" stopIfTrue="1">
      <formula>ISERROR(D87)</formula>
    </cfRule>
  </conditionalFormatting>
  <conditionalFormatting sqref="E124:R128">
    <cfRule type="expression" priority="18" dxfId="0" stopIfTrue="1">
      <formula>ISERROR(E124)</formula>
    </cfRule>
  </conditionalFormatting>
  <conditionalFormatting sqref="D124:D128">
    <cfRule type="expression" priority="17" dxfId="0" stopIfTrue="1">
      <formula>ISERROR(D124)</formula>
    </cfRule>
  </conditionalFormatting>
  <conditionalFormatting sqref="C128">
    <cfRule type="expression" priority="16" dxfId="0" stopIfTrue="1">
      <formula>ISERROR(C128)</formula>
    </cfRule>
  </conditionalFormatting>
  <conditionalFormatting sqref="E51">
    <cfRule type="expression" priority="15" dxfId="0" stopIfTrue="1">
      <formula>ISERROR(E51)</formula>
    </cfRule>
  </conditionalFormatting>
  <conditionalFormatting sqref="C51">
    <cfRule type="expression" priority="14" dxfId="0" stopIfTrue="1">
      <formula>ISERROR(C51)</formula>
    </cfRule>
  </conditionalFormatting>
  <conditionalFormatting sqref="H51">
    <cfRule type="expression" priority="13" dxfId="0" stopIfTrue="1">
      <formula>ISERROR(H51)</formula>
    </cfRule>
  </conditionalFormatting>
  <conditionalFormatting sqref="K51">
    <cfRule type="expression" priority="12" dxfId="0" stopIfTrue="1">
      <formula>ISERROR(K51)</formula>
    </cfRule>
  </conditionalFormatting>
  <conditionalFormatting sqref="N51">
    <cfRule type="expression" priority="11" dxfId="0" stopIfTrue="1">
      <formula>ISERROR(N51)</formula>
    </cfRule>
  </conditionalFormatting>
  <conditionalFormatting sqref="Q51">
    <cfRule type="expression" priority="10" dxfId="0" stopIfTrue="1">
      <formula>ISERROR(Q51)</formula>
    </cfRule>
  </conditionalFormatting>
  <conditionalFormatting sqref="R51">
    <cfRule type="expression" priority="9" dxfId="0" stopIfTrue="1">
      <formula>ISERROR(R51)</formula>
    </cfRule>
  </conditionalFormatting>
  <conditionalFormatting sqref="S51">
    <cfRule type="expression" priority="8" dxfId="0" stopIfTrue="1">
      <formula>ISERROR(S51)</formula>
    </cfRule>
  </conditionalFormatting>
  <conditionalFormatting sqref="G6">
    <cfRule type="expression" priority="7" dxfId="0" stopIfTrue="1">
      <formula>ISERROR(G6)</formula>
    </cfRule>
  </conditionalFormatting>
  <conditionalFormatting sqref="M6">
    <cfRule type="expression" priority="6" dxfId="0" stopIfTrue="1">
      <formula>ISERROR(M6)</formula>
    </cfRule>
  </conditionalFormatting>
  <conditionalFormatting sqref="S6">
    <cfRule type="expression" priority="5" dxfId="0" stopIfTrue="1">
      <formula>ISERROR(S6)</formula>
    </cfRule>
  </conditionalFormatting>
  <conditionalFormatting sqref="C53:C82">
    <cfRule type="expression" priority="4" dxfId="0" stopIfTrue="1">
      <formula>ISERROR(C53)</formula>
    </cfRule>
  </conditionalFormatting>
  <conditionalFormatting sqref="C87:C119">
    <cfRule type="expression" priority="3" dxfId="0" stopIfTrue="1">
      <formula>ISERROR(C87)</formula>
    </cfRule>
  </conditionalFormatting>
  <conditionalFormatting sqref="C125:C127">
    <cfRule type="expression" priority="2" dxfId="0" stopIfTrue="1">
      <formula>ISERROR(C125)</formula>
    </cfRule>
  </conditionalFormatting>
  <conditionalFormatting sqref="O26">
    <cfRule type="expression" priority="1" dxfId="42" stopIfTrue="1">
      <formula>ISERROR(O26)</formula>
    </cfRule>
  </conditionalFormatting>
  <printOptions horizontalCentered="1" verticalCentered="1"/>
  <pageMargins left="0.7" right="0.7" top="0.75" bottom="0.75" header="0.3" footer="0.3"/>
  <pageSetup fitToHeight="1" fitToWidth="1" horizontalDpi="600" verticalDpi="600" orientation="landscape" scale="18" r:id="rId3"/>
  <headerFooter>
    <oddHeader>&amp;C&amp;14VBA Monday Morning Workload Report</oddHeader>
    <oddFooter>&amp;LPrepared by VBA Office of Performance Analysis &amp;&amp; Integrity</oddFooter>
  </headerFooter>
  <rowBreaks count="2" manualBreakCount="2">
    <brk id="83" max="255" man="1"/>
    <brk id="139" max="255" man="1"/>
  </rowBreaks>
  <legacyDrawing r:id="rId2"/>
</worksheet>
</file>

<file path=xl/worksheets/sheet6.xml><?xml version="1.0" encoding="utf-8"?>
<worksheet xmlns="http://schemas.openxmlformats.org/spreadsheetml/2006/main" xmlns:r="http://schemas.openxmlformats.org/officeDocument/2006/relationships">
  <sheetPr>
    <tabColor rgb="FFFF0000"/>
  </sheetPr>
  <dimension ref="A1:AV129"/>
  <sheetViews>
    <sheetView zoomScalePageLayoutView="0" workbookViewId="0" topLeftCell="A1">
      <selection activeCell="A1" sqref="A1:C1"/>
    </sheetView>
  </sheetViews>
  <sheetFormatPr defaultColWidth="9.140625" defaultRowHeight="12.75"/>
  <cols>
    <col min="1" max="1" width="5.7109375" style="0" customWidth="1"/>
    <col min="2" max="2" width="11.00390625" style="0" customWidth="1"/>
    <col min="3" max="4" width="14.00390625" style="0" customWidth="1"/>
    <col min="5" max="5" width="18.28125" style="0" customWidth="1"/>
    <col min="6" max="6" width="8.421875" style="0" customWidth="1"/>
    <col min="7" max="7" width="11.421875" style="0" customWidth="1"/>
    <col min="8" max="8" width="7.7109375" style="0" customWidth="1"/>
    <col min="9" max="9" width="10.7109375" style="0" customWidth="1"/>
    <col min="10" max="10" width="13.140625" style="0" customWidth="1"/>
    <col min="11" max="11" width="16.28125" style="0" customWidth="1"/>
    <col min="12" max="12" width="7.140625" style="0" customWidth="1"/>
    <col min="13" max="13" width="10.140625" style="0" customWidth="1"/>
    <col min="14" max="14" width="7.28125" style="0" customWidth="1"/>
    <col min="15" max="15" width="7.140625" style="0" customWidth="1"/>
    <col min="16" max="16" width="7.00390625" style="0" customWidth="1"/>
    <col min="17" max="17" width="10.28125" style="0" customWidth="1"/>
    <col min="18" max="18" width="7.140625" style="0" customWidth="1"/>
    <col min="19" max="19" width="3.7109375" style="0" customWidth="1"/>
    <col min="20" max="20" width="31.28125" style="0" customWidth="1"/>
    <col min="21" max="21" width="10.00390625" style="0" customWidth="1"/>
    <col min="22" max="22" width="10.7109375" style="0" customWidth="1"/>
    <col min="23" max="23" width="13.7109375" style="0" customWidth="1"/>
    <col min="24" max="24" width="10.8515625" style="0" customWidth="1"/>
    <col min="25" max="25" width="11.7109375" style="0" customWidth="1"/>
    <col min="26" max="26" width="14.7109375" style="0" customWidth="1"/>
    <col min="27" max="27" width="15.7109375" style="0" customWidth="1"/>
    <col min="28" max="28" width="9.8515625" style="0" customWidth="1"/>
    <col min="29" max="29" width="10.7109375" style="0" customWidth="1"/>
    <col min="30" max="30" width="13.7109375" style="0" customWidth="1"/>
    <col min="31" max="31" width="10.7109375" style="0" customWidth="1"/>
    <col min="32" max="32" width="11.57421875" style="0" customWidth="1"/>
    <col min="33" max="33" width="14.7109375" style="0" customWidth="1"/>
    <col min="34" max="34" width="15.57421875" style="0" customWidth="1"/>
    <col min="35" max="35" width="3.7109375" style="0" customWidth="1"/>
    <col min="36" max="36" width="4.421875" style="0" customWidth="1"/>
    <col min="37" max="37" width="20.00390625" style="0" customWidth="1"/>
    <col min="38" max="38" width="16.7109375" style="0" customWidth="1"/>
    <col min="39" max="39" width="18.28125" style="0" customWidth="1"/>
    <col min="40" max="40" width="16.7109375" style="0" customWidth="1"/>
    <col min="41" max="41" width="14.7109375" style="0" customWidth="1"/>
    <col min="42" max="42" width="16.28125" style="0" customWidth="1"/>
    <col min="43" max="43" width="14.28125" style="0" customWidth="1"/>
    <col min="44" max="44" width="35.00390625" style="0" customWidth="1"/>
    <col min="45" max="45" width="15.7109375" style="0" customWidth="1"/>
    <col min="46" max="46" width="31.140625" style="0" customWidth="1"/>
    <col min="47" max="47" width="10.421875" style="0" customWidth="1"/>
    <col min="48" max="48" width="18.7109375" style="0" customWidth="1"/>
  </cols>
  <sheetData>
    <row r="1" spans="1:48" ht="12.75">
      <c r="A1" s="520" t="s">
        <v>282</v>
      </c>
      <c r="B1" s="520"/>
      <c r="C1" s="520"/>
      <c r="D1" s="38"/>
      <c r="E1" s="522" t="s">
        <v>282</v>
      </c>
      <c r="F1" s="523"/>
      <c r="G1" s="523"/>
      <c r="H1" s="523"/>
      <c r="I1" s="523"/>
      <c r="J1" s="523"/>
      <c r="K1" s="523"/>
      <c r="L1" s="523"/>
      <c r="M1" s="523"/>
      <c r="N1" s="523"/>
      <c r="O1" s="523"/>
      <c r="P1" s="523"/>
      <c r="Q1" s="523"/>
      <c r="R1" s="271"/>
      <c r="T1" s="521" t="s">
        <v>283</v>
      </c>
      <c r="U1" s="521"/>
      <c r="V1" s="521"/>
      <c r="W1" s="521"/>
      <c r="X1" s="521"/>
      <c r="Y1" s="521"/>
      <c r="Z1" s="521"/>
      <c r="AA1" s="521"/>
      <c r="AB1" s="521"/>
      <c r="AC1" s="521"/>
      <c r="AD1" s="521"/>
      <c r="AE1" s="521"/>
      <c r="AF1" s="521"/>
      <c r="AG1" s="521"/>
      <c r="AH1" s="521"/>
      <c r="AI1" s="259"/>
      <c r="AJ1" s="259"/>
      <c r="AK1" s="521" t="s">
        <v>425</v>
      </c>
      <c r="AL1" s="521"/>
      <c r="AM1" s="521"/>
      <c r="AN1" s="521"/>
      <c r="AO1" s="521"/>
      <c r="AP1" s="521"/>
      <c r="AQ1" s="521"/>
      <c r="AR1" s="521"/>
      <c r="AS1" s="521"/>
      <c r="AT1" s="521"/>
      <c r="AU1" s="521"/>
      <c r="AV1" s="521"/>
    </row>
    <row r="2" spans="1:48" ht="12.75">
      <c r="A2" t="s">
        <v>2</v>
      </c>
      <c r="B2" t="s">
        <v>102</v>
      </c>
      <c r="C2" t="s">
        <v>103</v>
      </c>
      <c r="E2" t="s">
        <v>146</v>
      </c>
      <c r="F2" t="s">
        <v>270</v>
      </c>
      <c r="G2" t="s">
        <v>271</v>
      </c>
      <c r="H2" t="s">
        <v>272</v>
      </c>
      <c r="I2" t="s">
        <v>273</v>
      </c>
      <c r="J2" t="s">
        <v>274</v>
      </c>
      <c r="K2" t="s">
        <v>275</v>
      </c>
      <c r="L2" t="s">
        <v>276</v>
      </c>
      <c r="M2" t="s">
        <v>277</v>
      </c>
      <c r="N2" t="s">
        <v>278</v>
      </c>
      <c r="O2" t="s">
        <v>279</v>
      </c>
      <c r="P2" t="s">
        <v>153</v>
      </c>
      <c r="Q2" t="s">
        <v>433</v>
      </c>
      <c r="T2" t="s">
        <v>146</v>
      </c>
      <c r="U2" t="s">
        <v>372</v>
      </c>
      <c r="V2" t="s">
        <v>373</v>
      </c>
      <c r="W2" t="s">
        <v>374</v>
      </c>
      <c r="X2" t="s">
        <v>382</v>
      </c>
      <c r="Y2" t="s">
        <v>383</v>
      </c>
      <c r="Z2" t="s">
        <v>384</v>
      </c>
      <c r="AA2" t="s">
        <v>385</v>
      </c>
      <c r="AB2" t="s">
        <v>375</v>
      </c>
      <c r="AC2" t="s">
        <v>376</v>
      </c>
      <c r="AD2" t="s">
        <v>377</v>
      </c>
      <c r="AE2" t="s">
        <v>378</v>
      </c>
      <c r="AF2" t="s">
        <v>379</v>
      </c>
      <c r="AG2" t="s">
        <v>380</v>
      </c>
      <c r="AH2" t="s">
        <v>381</v>
      </c>
      <c r="AK2" t="s">
        <v>402</v>
      </c>
      <c r="AL2" s="249" t="s">
        <v>403</v>
      </c>
      <c r="AM2" s="249" t="s">
        <v>404</v>
      </c>
      <c r="AN2" s="249" t="s">
        <v>405</v>
      </c>
      <c r="AO2" s="249" t="s">
        <v>406</v>
      </c>
      <c r="AP2" s="249" t="s">
        <v>407</v>
      </c>
      <c r="AQ2" s="249" t="s">
        <v>408</v>
      </c>
      <c r="AR2" s="249" t="s">
        <v>409</v>
      </c>
      <c r="AS2" s="249" t="s">
        <v>410</v>
      </c>
      <c r="AT2" s="249" t="s">
        <v>411</v>
      </c>
      <c r="AU2" s="249" t="s">
        <v>412</v>
      </c>
      <c r="AV2" s="249" t="s">
        <v>413</v>
      </c>
    </row>
    <row r="3" spans="2:48" ht="12.75">
      <c r="B3">
        <v>476084</v>
      </c>
      <c r="C3">
        <v>305528</v>
      </c>
      <c r="E3" t="s">
        <v>9</v>
      </c>
      <c r="F3">
        <v>18</v>
      </c>
      <c r="G3">
        <v>17</v>
      </c>
      <c r="H3">
        <v>64</v>
      </c>
      <c r="I3">
        <v>63</v>
      </c>
      <c r="J3">
        <v>2</v>
      </c>
      <c r="L3">
        <v>4093</v>
      </c>
      <c r="M3">
        <v>2096</v>
      </c>
      <c r="N3">
        <v>1</v>
      </c>
      <c r="O3">
        <v>12</v>
      </c>
      <c r="P3">
        <v>517.2</v>
      </c>
      <c r="Q3">
        <v>72</v>
      </c>
      <c r="T3" t="s">
        <v>44</v>
      </c>
      <c r="U3">
        <v>3968</v>
      </c>
      <c r="V3">
        <v>122.3</v>
      </c>
      <c r="W3">
        <v>0.41179</v>
      </c>
      <c r="X3">
        <v>176</v>
      </c>
      <c r="Y3">
        <v>1413</v>
      </c>
      <c r="Z3">
        <v>181.5</v>
      </c>
      <c r="AA3">
        <v>192</v>
      </c>
      <c r="AB3">
        <v>4264</v>
      </c>
      <c r="AC3">
        <v>120.9</v>
      </c>
      <c r="AD3">
        <v>0.39001</v>
      </c>
      <c r="AE3">
        <v>179</v>
      </c>
      <c r="AF3">
        <v>1472</v>
      </c>
      <c r="AG3">
        <v>184.1</v>
      </c>
      <c r="AH3">
        <v>194.2</v>
      </c>
      <c r="AK3" t="s">
        <v>159</v>
      </c>
      <c r="AV3">
        <v>4039</v>
      </c>
    </row>
    <row r="4" spans="1:48" ht="12.75">
      <c r="A4" t="s">
        <v>114</v>
      </c>
      <c r="B4">
        <v>112724</v>
      </c>
      <c r="C4">
        <v>92036</v>
      </c>
      <c r="E4" t="s">
        <v>9</v>
      </c>
      <c r="F4">
        <v>18</v>
      </c>
      <c r="G4">
        <v>17</v>
      </c>
      <c r="H4">
        <v>64</v>
      </c>
      <c r="I4">
        <v>63</v>
      </c>
      <c r="J4">
        <v>2</v>
      </c>
      <c r="L4">
        <v>4093</v>
      </c>
      <c r="M4">
        <v>2096</v>
      </c>
      <c r="N4">
        <v>1</v>
      </c>
      <c r="O4">
        <v>12</v>
      </c>
      <c r="P4">
        <v>517.2</v>
      </c>
      <c r="Q4">
        <v>72</v>
      </c>
      <c r="T4" t="s">
        <v>45</v>
      </c>
      <c r="U4">
        <v>1215</v>
      </c>
      <c r="V4">
        <v>89.1</v>
      </c>
      <c r="W4">
        <v>0.23539</v>
      </c>
      <c r="X4">
        <v>65</v>
      </c>
      <c r="Y4">
        <v>617</v>
      </c>
      <c r="Z4">
        <v>152.4</v>
      </c>
      <c r="AA4">
        <v>150.9</v>
      </c>
      <c r="AB4">
        <v>1255</v>
      </c>
      <c r="AC4">
        <v>90.6</v>
      </c>
      <c r="AD4">
        <v>0.25259</v>
      </c>
      <c r="AE4">
        <v>68</v>
      </c>
      <c r="AF4">
        <v>626</v>
      </c>
      <c r="AG4">
        <v>153.3</v>
      </c>
      <c r="AH4">
        <v>150.6</v>
      </c>
      <c r="AK4" t="s">
        <v>160</v>
      </c>
      <c r="AV4">
        <v>646</v>
      </c>
    </row>
    <row r="5" spans="1:48" ht="12.75">
      <c r="A5" t="s">
        <v>106</v>
      </c>
      <c r="B5">
        <v>5748</v>
      </c>
      <c r="C5">
        <v>912</v>
      </c>
      <c r="E5" t="s">
        <v>93</v>
      </c>
      <c r="F5">
        <v>25082</v>
      </c>
      <c r="G5">
        <v>11928</v>
      </c>
      <c r="H5">
        <v>19745</v>
      </c>
      <c r="I5">
        <v>11947</v>
      </c>
      <c r="J5">
        <v>1415</v>
      </c>
      <c r="K5">
        <v>920</v>
      </c>
      <c r="L5">
        <v>5011</v>
      </c>
      <c r="M5">
        <v>2960</v>
      </c>
      <c r="N5">
        <v>5</v>
      </c>
      <c r="O5">
        <v>161</v>
      </c>
      <c r="P5">
        <v>294.8</v>
      </c>
      <c r="Q5">
        <v>17478</v>
      </c>
      <c r="T5" t="s">
        <v>34</v>
      </c>
      <c r="U5">
        <v>23099</v>
      </c>
      <c r="V5">
        <v>145.8</v>
      </c>
      <c r="W5">
        <v>0.46335</v>
      </c>
      <c r="X5">
        <v>1064</v>
      </c>
      <c r="Y5">
        <v>9891</v>
      </c>
      <c r="Z5">
        <v>210.3</v>
      </c>
      <c r="AA5">
        <v>224.6</v>
      </c>
      <c r="AB5">
        <v>19874</v>
      </c>
      <c r="AC5">
        <v>144.1</v>
      </c>
      <c r="AD5">
        <v>0.49326</v>
      </c>
      <c r="AE5">
        <v>962</v>
      </c>
      <c r="AF5">
        <v>8806</v>
      </c>
      <c r="AG5">
        <v>199.2</v>
      </c>
      <c r="AH5">
        <v>208.5</v>
      </c>
      <c r="AK5" t="s">
        <v>161</v>
      </c>
      <c r="AV5">
        <v>3763</v>
      </c>
    </row>
    <row r="6" spans="1:48" ht="12.75">
      <c r="A6" t="s">
        <v>107</v>
      </c>
      <c r="B6">
        <v>1418</v>
      </c>
      <c r="C6">
        <v>514</v>
      </c>
      <c r="E6" t="s">
        <v>56</v>
      </c>
      <c r="F6">
        <v>1170</v>
      </c>
      <c r="G6">
        <v>402</v>
      </c>
      <c r="H6">
        <v>577</v>
      </c>
      <c r="I6">
        <v>121</v>
      </c>
      <c r="J6">
        <v>44</v>
      </c>
      <c r="K6">
        <v>23</v>
      </c>
      <c r="L6">
        <v>128</v>
      </c>
      <c r="M6">
        <v>48</v>
      </c>
      <c r="N6">
        <v>0</v>
      </c>
      <c r="O6">
        <v>1</v>
      </c>
      <c r="P6">
        <v>103</v>
      </c>
      <c r="Q6">
        <v>405</v>
      </c>
      <c r="T6" t="s">
        <v>46</v>
      </c>
      <c r="U6">
        <v>9505</v>
      </c>
      <c r="V6">
        <v>213.7</v>
      </c>
      <c r="W6">
        <v>0.66428</v>
      </c>
      <c r="X6">
        <v>261</v>
      </c>
      <c r="Y6">
        <v>2635</v>
      </c>
      <c r="Z6">
        <v>312</v>
      </c>
      <c r="AA6">
        <v>286.7</v>
      </c>
      <c r="AB6">
        <v>5750</v>
      </c>
      <c r="AC6">
        <v>220.9</v>
      </c>
      <c r="AD6">
        <v>0.6567</v>
      </c>
      <c r="AE6">
        <v>138</v>
      </c>
      <c r="AF6">
        <v>836</v>
      </c>
      <c r="AG6">
        <v>359.5</v>
      </c>
      <c r="AH6">
        <v>373.2</v>
      </c>
      <c r="AK6" t="s">
        <v>162</v>
      </c>
      <c r="AV6">
        <v>1434</v>
      </c>
    </row>
    <row r="7" spans="1:48" ht="12.75">
      <c r="A7" t="s">
        <v>116</v>
      </c>
      <c r="B7">
        <v>248</v>
      </c>
      <c r="C7">
        <v>172</v>
      </c>
      <c r="E7" t="s">
        <v>50</v>
      </c>
      <c r="F7">
        <v>12172</v>
      </c>
      <c r="G7">
        <v>6670</v>
      </c>
      <c r="H7">
        <v>8539</v>
      </c>
      <c r="I7">
        <v>6520</v>
      </c>
      <c r="J7">
        <v>1555</v>
      </c>
      <c r="K7">
        <v>1468</v>
      </c>
      <c r="L7">
        <v>3696</v>
      </c>
      <c r="M7">
        <v>3034</v>
      </c>
      <c r="N7">
        <v>9</v>
      </c>
      <c r="O7">
        <v>242</v>
      </c>
      <c r="P7">
        <v>468.5</v>
      </c>
      <c r="Q7">
        <v>6870</v>
      </c>
      <c r="T7" t="s">
        <v>47</v>
      </c>
      <c r="U7">
        <v>1677</v>
      </c>
      <c r="V7">
        <v>104</v>
      </c>
      <c r="W7">
        <v>0.32618</v>
      </c>
      <c r="X7">
        <v>124</v>
      </c>
      <c r="Y7">
        <v>944</v>
      </c>
      <c r="Z7">
        <v>167.8</v>
      </c>
      <c r="AA7">
        <v>166.5</v>
      </c>
      <c r="AB7">
        <v>1926</v>
      </c>
      <c r="AC7">
        <v>112.9</v>
      </c>
      <c r="AD7">
        <v>0.36449</v>
      </c>
      <c r="AE7">
        <v>157</v>
      </c>
      <c r="AF7">
        <v>1156</v>
      </c>
      <c r="AG7">
        <v>177.7</v>
      </c>
      <c r="AH7">
        <v>172.4</v>
      </c>
      <c r="AK7" t="s">
        <v>163</v>
      </c>
      <c r="AV7">
        <v>922</v>
      </c>
    </row>
    <row r="8" spans="1:48" ht="12.75">
      <c r="A8" t="s">
        <v>108</v>
      </c>
      <c r="B8">
        <v>261</v>
      </c>
      <c r="C8">
        <v>180</v>
      </c>
      <c r="E8" t="s">
        <v>60</v>
      </c>
      <c r="F8">
        <v>24974</v>
      </c>
      <c r="G8">
        <v>13797</v>
      </c>
      <c r="H8">
        <v>16741</v>
      </c>
      <c r="I8">
        <v>10357</v>
      </c>
      <c r="J8">
        <v>1403</v>
      </c>
      <c r="K8">
        <v>1158</v>
      </c>
      <c r="L8">
        <v>6790</v>
      </c>
      <c r="M8">
        <v>5398</v>
      </c>
      <c r="N8">
        <v>0</v>
      </c>
      <c r="O8">
        <v>211</v>
      </c>
      <c r="P8">
        <v>328.6</v>
      </c>
      <c r="Q8">
        <v>12434</v>
      </c>
      <c r="T8" t="s">
        <v>48</v>
      </c>
      <c r="U8">
        <v>6395</v>
      </c>
      <c r="V8">
        <v>161.8</v>
      </c>
      <c r="W8">
        <v>0.51634</v>
      </c>
      <c r="X8">
        <v>142</v>
      </c>
      <c r="Y8">
        <v>1485</v>
      </c>
      <c r="Z8">
        <v>288</v>
      </c>
      <c r="AA8">
        <v>256.1</v>
      </c>
      <c r="AB8">
        <v>5748</v>
      </c>
      <c r="AC8">
        <v>155.5</v>
      </c>
      <c r="AD8">
        <v>0.47599</v>
      </c>
      <c r="AE8">
        <v>116</v>
      </c>
      <c r="AF8">
        <v>1265</v>
      </c>
      <c r="AG8">
        <v>290.6</v>
      </c>
      <c r="AH8">
        <v>252.9</v>
      </c>
      <c r="AK8" t="s">
        <v>164</v>
      </c>
      <c r="AV8">
        <v>2472</v>
      </c>
    </row>
    <row r="9" spans="1:48" ht="12.75">
      <c r="A9" t="s">
        <v>140</v>
      </c>
      <c r="B9">
        <v>483</v>
      </c>
      <c r="C9">
        <v>194</v>
      </c>
      <c r="E9" t="s">
        <v>64</v>
      </c>
      <c r="F9">
        <v>2024</v>
      </c>
      <c r="G9">
        <v>325</v>
      </c>
      <c r="H9">
        <v>3529</v>
      </c>
      <c r="I9">
        <v>829</v>
      </c>
      <c r="J9">
        <v>524</v>
      </c>
      <c r="K9">
        <v>441</v>
      </c>
      <c r="L9">
        <v>762</v>
      </c>
      <c r="M9">
        <v>547</v>
      </c>
      <c r="N9">
        <v>0</v>
      </c>
      <c r="O9">
        <v>8</v>
      </c>
      <c r="P9">
        <v>118.9</v>
      </c>
      <c r="Q9">
        <v>1967</v>
      </c>
      <c r="T9" t="s">
        <v>33</v>
      </c>
      <c r="U9">
        <v>6037</v>
      </c>
      <c r="V9">
        <v>155</v>
      </c>
      <c r="W9">
        <v>0.55276</v>
      </c>
      <c r="X9">
        <v>178</v>
      </c>
      <c r="Y9">
        <v>1870</v>
      </c>
      <c r="Z9">
        <v>278.4</v>
      </c>
      <c r="AA9">
        <v>256.2</v>
      </c>
      <c r="AB9">
        <v>6018</v>
      </c>
      <c r="AC9">
        <v>153.7</v>
      </c>
      <c r="AD9">
        <v>0.54985</v>
      </c>
      <c r="AE9">
        <v>178</v>
      </c>
      <c r="AF9">
        <v>1823</v>
      </c>
      <c r="AG9">
        <v>278.4</v>
      </c>
      <c r="AH9">
        <v>254.3</v>
      </c>
      <c r="AK9" t="s">
        <v>115</v>
      </c>
      <c r="AV9">
        <v>3778</v>
      </c>
    </row>
    <row r="10" spans="1:48" ht="12.75">
      <c r="A10" t="s">
        <v>113</v>
      </c>
      <c r="B10">
        <v>322</v>
      </c>
      <c r="C10">
        <v>188</v>
      </c>
      <c r="E10" t="s">
        <v>95</v>
      </c>
      <c r="F10">
        <v>3507</v>
      </c>
      <c r="G10">
        <v>1507</v>
      </c>
      <c r="H10">
        <v>2773</v>
      </c>
      <c r="I10">
        <v>1190</v>
      </c>
      <c r="J10">
        <v>146</v>
      </c>
      <c r="K10">
        <v>71</v>
      </c>
      <c r="L10">
        <v>1292</v>
      </c>
      <c r="M10">
        <v>193</v>
      </c>
      <c r="N10">
        <v>0</v>
      </c>
      <c r="O10">
        <v>20</v>
      </c>
      <c r="P10">
        <v>200.6</v>
      </c>
      <c r="Q10">
        <v>1683</v>
      </c>
      <c r="T10" t="s">
        <v>151</v>
      </c>
      <c r="U10">
        <v>118671</v>
      </c>
      <c r="V10">
        <v>142.4</v>
      </c>
      <c r="W10">
        <v>0.46145</v>
      </c>
      <c r="X10">
        <v>4886</v>
      </c>
      <c r="Y10">
        <v>43999</v>
      </c>
      <c r="Z10">
        <v>198.4</v>
      </c>
      <c r="AA10">
        <v>199.8</v>
      </c>
      <c r="AB10">
        <v>126710</v>
      </c>
      <c r="AC10">
        <v>145.2</v>
      </c>
      <c r="AD10">
        <v>0.46647</v>
      </c>
      <c r="AE10">
        <v>5369</v>
      </c>
      <c r="AF10">
        <v>48355</v>
      </c>
      <c r="AG10">
        <v>205.7</v>
      </c>
      <c r="AH10">
        <v>208.5</v>
      </c>
      <c r="AK10" t="s">
        <v>165</v>
      </c>
      <c r="AV10">
        <v>2725</v>
      </c>
    </row>
    <row r="11" spans="1:48" ht="12.75">
      <c r="A11" t="s">
        <v>130</v>
      </c>
      <c r="B11">
        <v>6704</v>
      </c>
      <c r="C11">
        <v>402</v>
      </c>
      <c r="E11" t="s">
        <v>36</v>
      </c>
      <c r="F11">
        <v>9390</v>
      </c>
      <c r="G11">
        <v>3370</v>
      </c>
      <c r="H11">
        <v>7862</v>
      </c>
      <c r="I11">
        <v>3800</v>
      </c>
      <c r="J11">
        <v>1823</v>
      </c>
      <c r="K11">
        <v>711</v>
      </c>
      <c r="L11">
        <v>1079</v>
      </c>
      <c r="M11">
        <v>459</v>
      </c>
      <c r="N11">
        <v>0</v>
      </c>
      <c r="O11">
        <v>77</v>
      </c>
      <c r="P11">
        <v>540.5</v>
      </c>
      <c r="Q11">
        <v>6566</v>
      </c>
      <c r="T11" t="s">
        <v>49</v>
      </c>
      <c r="U11">
        <v>1063</v>
      </c>
      <c r="V11">
        <v>95.4</v>
      </c>
      <c r="W11">
        <v>0.26717</v>
      </c>
      <c r="X11">
        <v>35</v>
      </c>
      <c r="Y11">
        <v>456</v>
      </c>
      <c r="Z11">
        <v>170.8</v>
      </c>
      <c r="AA11">
        <v>147.1</v>
      </c>
      <c r="AB11">
        <v>1303</v>
      </c>
      <c r="AC11">
        <v>113.2</v>
      </c>
      <c r="AD11">
        <v>0.31236</v>
      </c>
      <c r="AE11">
        <v>40</v>
      </c>
      <c r="AF11">
        <v>565</v>
      </c>
      <c r="AG11">
        <v>177.1</v>
      </c>
      <c r="AH11">
        <v>172.9</v>
      </c>
      <c r="AK11" t="s">
        <v>166</v>
      </c>
      <c r="AV11">
        <v>4296</v>
      </c>
    </row>
    <row r="12" spans="1:48" ht="12.75">
      <c r="A12" t="s">
        <v>148</v>
      </c>
      <c r="B12">
        <v>646</v>
      </c>
      <c r="C12">
        <v>27</v>
      </c>
      <c r="E12" t="s">
        <v>90</v>
      </c>
      <c r="F12">
        <v>10795</v>
      </c>
      <c r="G12">
        <v>3321</v>
      </c>
      <c r="H12">
        <v>4333</v>
      </c>
      <c r="I12">
        <v>1230</v>
      </c>
      <c r="J12">
        <v>577</v>
      </c>
      <c r="K12">
        <v>367</v>
      </c>
      <c r="L12">
        <v>1811</v>
      </c>
      <c r="M12">
        <v>827</v>
      </c>
      <c r="N12">
        <v>10</v>
      </c>
      <c r="O12">
        <v>0</v>
      </c>
      <c r="P12">
        <v>156.5</v>
      </c>
      <c r="Q12">
        <v>1579</v>
      </c>
      <c r="T12" t="s">
        <v>50</v>
      </c>
      <c r="U12">
        <v>12347</v>
      </c>
      <c r="V12">
        <v>165.4</v>
      </c>
      <c r="W12">
        <v>0.55422</v>
      </c>
      <c r="X12">
        <v>394</v>
      </c>
      <c r="Y12">
        <v>3853</v>
      </c>
      <c r="Z12">
        <v>264.3</v>
      </c>
      <c r="AA12">
        <v>275.5</v>
      </c>
      <c r="AB12">
        <v>9208</v>
      </c>
      <c r="AC12">
        <v>184.6</v>
      </c>
      <c r="AD12">
        <v>0.63966</v>
      </c>
      <c r="AE12">
        <v>325</v>
      </c>
      <c r="AF12">
        <v>3163</v>
      </c>
      <c r="AG12">
        <v>277.4</v>
      </c>
      <c r="AH12">
        <v>288.6</v>
      </c>
      <c r="AK12" t="s">
        <v>175</v>
      </c>
      <c r="AV12">
        <v>12600</v>
      </c>
    </row>
    <row r="13" spans="1:48" ht="12.75">
      <c r="A13" t="s">
        <v>137</v>
      </c>
      <c r="B13">
        <v>9</v>
      </c>
      <c r="C13">
        <v>6</v>
      </c>
      <c r="E13" t="s">
        <v>70</v>
      </c>
      <c r="F13">
        <v>6470</v>
      </c>
      <c r="G13">
        <v>2222</v>
      </c>
      <c r="H13">
        <v>6710</v>
      </c>
      <c r="I13">
        <v>2372</v>
      </c>
      <c r="J13">
        <v>286</v>
      </c>
      <c r="K13">
        <v>118</v>
      </c>
      <c r="L13">
        <v>715</v>
      </c>
      <c r="M13">
        <v>298</v>
      </c>
      <c r="N13">
        <v>2494</v>
      </c>
      <c r="O13">
        <v>0</v>
      </c>
      <c r="P13">
        <v>194.8</v>
      </c>
      <c r="Q13">
        <v>3790</v>
      </c>
      <c r="T13" t="s">
        <v>51</v>
      </c>
      <c r="U13">
        <v>10792</v>
      </c>
      <c r="V13">
        <v>133.3</v>
      </c>
      <c r="W13">
        <v>0.3775</v>
      </c>
      <c r="X13">
        <v>647</v>
      </c>
      <c r="Y13">
        <v>5538</v>
      </c>
      <c r="Z13">
        <v>179.9</v>
      </c>
      <c r="AA13">
        <v>184.5</v>
      </c>
      <c r="AB13">
        <v>11672</v>
      </c>
      <c r="AC13">
        <v>136.3</v>
      </c>
      <c r="AD13">
        <v>0.38468</v>
      </c>
      <c r="AE13">
        <v>699</v>
      </c>
      <c r="AF13">
        <v>5899</v>
      </c>
      <c r="AG13">
        <v>185.2</v>
      </c>
      <c r="AH13">
        <v>189</v>
      </c>
      <c r="AK13" t="s">
        <v>176</v>
      </c>
      <c r="AV13">
        <v>7142</v>
      </c>
    </row>
    <row r="14" spans="1:48" ht="12.75">
      <c r="A14" t="s">
        <v>138</v>
      </c>
      <c r="B14">
        <v>153</v>
      </c>
      <c r="C14">
        <v>68</v>
      </c>
      <c r="E14" t="s">
        <v>89</v>
      </c>
      <c r="F14">
        <v>8908</v>
      </c>
      <c r="G14">
        <v>4242</v>
      </c>
      <c r="H14">
        <v>8594</v>
      </c>
      <c r="I14">
        <v>5694</v>
      </c>
      <c r="J14">
        <v>3137</v>
      </c>
      <c r="K14">
        <v>3021</v>
      </c>
      <c r="L14">
        <v>3893</v>
      </c>
      <c r="M14">
        <v>2870</v>
      </c>
      <c r="N14">
        <v>46</v>
      </c>
      <c r="O14">
        <v>212</v>
      </c>
      <c r="P14">
        <v>323.2</v>
      </c>
      <c r="Q14">
        <v>4933</v>
      </c>
      <c r="T14" t="s">
        <v>52</v>
      </c>
      <c r="U14">
        <v>14780</v>
      </c>
      <c r="V14">
        <v>144.4</v>
      </c>
      <c r="W14">
        <v>0.46969</v>
      </c>
      <c r="X14">
        <v>553</v>
      </c>
      <c r="Y14">
        <v>5626</v>
      </c>
      <c r="Z14">
        <v>225.8</v>
      </c>
      <c r="AA14">
        <v>236</v>
      </c>
      <c r="AB14">
        <v>13361</v>
      </c>
      <c r="AC14">
        <v>142.5</v>
      </c>
      <c r="AD14">
        <v>0.46276</v>
      </c>
      <c r="AE14">
        <v>500</v>
      </c>
      <c r="AF14">
        <v>5003</v>
      </c>
      <c r="AG14">
        <v>223.8</v>
      </c>
      <c r="AH14">
        <v>231.9</v>
      </c>
      <c r="AK14" t="s">
        <v>179</v>
      </c>
      <c r="AV14">
        <v>5696</v>
      </c>
    </row>
    <row r="15" spans="1:48" ht="12.75">
      <c r="A15" t="s">
        <v>110</v>
      </c>
      <c r="B15">
        <v>30</v>
      </c>
      <c r="C15">
        <v>30</v>
      </c>
      <c r="E15" t="s">
        <v>54</v>
      </c>
      <c r="F15">
        <v>2463</v>
      </c>
      <c r="G15">
        <v>899</v>
      </c>
      <c r="H15">
        <v>2829</v>
      </c>
      <c r="I15">
        <v>1248</v>
      </c>
      <c r="J15">
        <v>359</v>
      </c>
      <c r="K15">
        <v>234</v>
      </c>
      <c r="L15">
        <v>1470</v>
      </c>
      <c r="M15">
        <v>241</v>
      </c>
      <c r="N15">
        <v>0</v>
      </c>
      <c r="O15">
        <v>18</v>
      </c>
      <c r="P15">
        <v>166.1</v>
      </c>
      <c r="Q15">
        <v>1936</v>
      </c>
      <c r="T15" t="s">
        <v>53</v>
      </c>
      <c r="U15">
        <v>9207</v>
      </c>
      <c r="V15">
        <v>156.4</v>
      </c>
      <c r="W15">
        <v>0.52384</v>
      </c>
      <c r="X15">
        <v>332</v>
      </c>
      <c r="Y15">
        <v>3064</v>
      </c>
      <c r="Z15">
        <v>251.7</v>
      </c>
      <c r="AA15">
        <v>233.6</v>
      </c>
      <c r="AB15">
        <v>9453</v>
      </c>
      <c r="AC15">
        <v>159.1</v>
      </c>
      <c r="AD15">
        <v>0.53084</v>
      </c>
      <c r="AE15">
        <v>346</v>
      </c>
      <c r="AF15">
        <v>3335</v>
      </c>
      <c r="AG15">
        <v>254.3</v>
      </c>
      <c r="AH15">
        <v>240.8</v>
      </c>
      <c r="AK15" t="s">
        <v>414</v>
      </c>
      <c r="AV15">
        <v>1425</v>
      </c>
    </row>
    <row r="16" spans="1:48" ht="12.75">
      <c r="A16" t="s">
        <v>142</v>
      </c>
      <c r="B16">
        <v>28</v>
      </c>
      <c r="C16">
        <v>18</v>
      </c>
      <c r="E16" t="s">
        <v>65</v>
      </c>
      <c r="F16">
        <v>4811</v>
      </c>
      <c r="G16">
        <v>2022</v>
      </c>
      <c r="H16">
        <v>5893</v>
      </c>
      <c r="I16">
        <v>3253</v>
      </c>
      <c r="J16">
        <v>1862</v>
      </c>
      <c r="K16">
        <v>1733</v>
      </c>
      <c r="L16">
        <v>19104</v>
      </c>
      <c r="M16">
        <v>1450</v>
      </c>
      <c r="N16">
        <v>0</v>
      </c>
      <c r="O16">
        <v>140</v>
      </c>
      <c r="P16">
        <v>366.6</v>
      </c>
      <c r="Q16">
        <v>3610</v>
      </c>
      <c r="T16" t="s">
        <v>54</v>
      </c>
      <c r="U16">
        <v>2552</v>
      </c>
      <c r="V16">
        <v>121.5</v>
      </c>
      <c r="W16">
        <v>0.35815</v>
      </c>
      <c r="X16">
        <v>136</v>
      </c>
      <c r="Y16">
        <v>1586</v>
      </c>
      <c r="Z16">
        <v>185.9</v>
      </c>
      <c r="AA16">
        <v>159.9</v>
      </c>
      <c r="AB16">
        <v>3466</v>
      </c>
      <c r="AC16">
        <v>130.3</v>
      </c>
      <c r="AD16">
        <v>0.37651</v>
      </c>
      <c r="AE16">
        <v>182</v>
      </c>
      <c r="AF16">
        <v>1932</v>
      </c>
      <c r="AG16">
        <v>210.6</v>
      </c>
      <c r="AH16">
        <v>180.2</v>
      </c>
      <c r="AK16" t="s">
        <v>201</v>
      </c>
      <c r="AV16">
        <v>738</v>
      </c>
    </row>
    <row r="17" spans="1:48" ht="12.75">
      <c r="A17" t="s">
        <v>135</v>
      </c>
      <c r="B17">
        <v>12398</v>
      </c>
      <c r="C17">
        <v>1861</v>
      </c>
      <c r="E17" t="s">
        <v>73</v>
      </c>
      <c r="F17">
        <v>7857</v>
      </c>
      <c r="G17">
        <v>3337</v>
      </c>
      <c r="H17">
        <v>8010</v>
      </c>
      <c r="I17">
        <v>6312</v>
      </c>
      <c r="J17">
        <v>426</v>
      </c>
      <c r="K17">
        <v>390</v>
      </c>
      <c r="L17">
        <v>1407</v>
      </c>
      <c r="M17">
        <v>691</v>
      </c>
      <c r="N17">
        <v>3</v>
      </c>
      <c r="O17">
        <v>276</v>
      </c>
      <c r="P17">
        <v>475.2</v>
      </c>
      <c r="Q17">
        <v>6822</v>
      </c>
      <c r="T17" t="s">
        <v>55</v>
      </c>
      <c r="U17">
        <v>10294</v>
      </c>
      <c r="V17">
        <v>131</v>
      </c>
      <c r="W17">
        <v>0.42646</v>
      </c>
      <c r="X17">
        <v>427</v>
      </c>
      <c r="Y17">
        <v>4221</v>
      </c>
      <c r="Z17">
        <v>189.9</v>
      </c>
      <c r="AA17">
        <v>188.2</v>
      </c>
      <c r="AB17">
        <v>10764</v>
      </c>
      <c r="AC17">
        <v>130.2</v>
      </c>
      <c r="AD17">
        <v>0.42289</v>
      </c>
      <c r="AE17">
        <v>467</v>
      </c>
      <c r="AF17">
        <v>4523</v>
      </c>
      <c r="AG17">
        <v>188.1</v>
      </c>
      <c r="AH17">
        <v>186.2</v>
      </c>
      <c r="AK17" t="s">
        <v>203</v>
      </c>
      <c r="AV17">
        <v>395</v>
      </c>
    </row>
    <row r="18" spans="1:48" ht="12.75">
      <c r="A18" t="s">
        <v>123</v>
      </c>
      <c r="B18">
        <v>51</v>
      </c>
      <c r="C18">
        <v>44</v>
      </c>
      <c r="E18" t="s">
        <v>88</v>
      </c>
      <c r="F18">
        <v>1170</v>
      </c>
      <c r="G18">
        <v>346</v>
      </c>
      <c r="H18">
        <v>404</v>
      </c>
      <c r="I18">
        <v>55</v>
      </c>
      <c r="J18">
        <v>383</v>
      </c>
      <c r="K18">
        <v>142</v>
      </c>
      <c r="L18">
        <v>212</v>
      </c>
      <c r="M18">
        <v>100</v>
      </c>
      <c r="N18">
        <v>0</v>
      </c>
      <c r="O18">
        <v>4</v>
      </c>
      <c r="P18">
        <v>62.8</v>
      </c>
      <c r="Q18">
        <v>184</v>
      </c>
      <c r="T18" t="s">
        <v>149</v>
      </c>
      <c r="U18">
        <v>92570</v>
      </c>
      <c r="V18">
        <v>154</v>
      </c>
      <c r="W18">
        <v>0.49498</v>
      </c>
      <c r="X18">
        <v>3604</v>
      </c>
      <c r="Y18">
        <v>37119</v>
      </c>
      <c r="Z18">
        <v>205.2</v>
      </c>
      <c r="AA18">
        <v>202.6</v>
      </c>
      <c r="AB18">
        <v>96414</v>
      </c>
      <c r="AC18">
        <v>151.5</v>
      </c>
      <c r="AD18">
        <v>0.48346</v>
      </c>
      <c r="AE18">
        <v>3724</v>
      </c>
      <c r="AF18">
        <v>38140</v>
      </c>
      <c r="AG18">
        <v>204.3</v>
      </c>
      <c r="AH18">
        <v>201.7</v>
      </c>
      <c r="AK18" t="s">
        <v>415</v>
      </c>
      <c r="AV18">
        <v>15</v>
      </c>
    </row>
    <row r="19" spans="1:48" ht="12.75">
      <c r="A19" t="s">
        <v>121</v>
      </c>
      <c r="B19">
        <v>78</v>
      </c>
      <c r="C19">
        <v>73</v>
      </c>
      <c r="E19" t="s">
        <v>151</v>
      </c>
      <c r="F19">
        <v>120793</v>
      </c>
      <c r="G19">
        <v>54388</v>
      </c>
      <c r="H19">
        <v>96539</v>
      </c>
      <c r="I19">
        <v>54928</v>
      </c>
      <c r="J19">
        <v>13940</v>
      </c>
      <c r="K19">
        <v>10797</v>
      </c>
      <c r="L19">
        <v>47370</v>
      </c>
      <c r="M19">
        <v>19116</v>
      </c>
      <c r="N19">
        <v>2567</v>
      </c>
      <c r="O19">
        <v>1370</v>
      </c>
      <c r="P19">
        <v>343</v>
      </c>
      <c r="Q19">
        <v>70257</v>
      </c>
      <c r="T19" t="s">
        <v>56</v>
      </c>
      <c r="U19">
        <v>1241</v>
      </c>
      <c r="V19">
        <v>107.6</v>
      </c>
      <c r="W19">
        <v>0.33199</v>
      </c>
      <c r="X19">
        <v>42</v>
      </c>
      <c r="Y19">
        <v>503</v>
      </c>
      <c r="Z19">
        <v>140.8</v>
      </c>
      <c r="AA19">
        <v>143</v>
      </c>
      <c r="AB19">
        <v>1591</v>
      </c>
      <c r="AC19">
        <v>120.9</v>
      </c>
      <c r="AD19">
        <v>0.39283</v>
      </c>
      <c r="AE19">
        <v>48</v>
      </c>
      <c r="AF19">
        <v>619</v>
      </c>
      <c r="AG19">
        <v>172.1</v>
      </c>
      <c r="AH19">
        <v>168.3</v>
      </c>
      <c r="AK19" t="s">
        <v>105</v>
      </c>
      <c r="AV19">
        <v>98</v>
      </c>
    </row>
    <row r="20" spans="1:48" ht="12.75">
      <c r="A20" t="s">
        <v>112</v>
      </c>
      <c r="B20">
        <v>91697</v>
      </c>
      <c r="C20">
        <v>37334</v>
      </c>
      <c r="E20" t="s">
        <v>92</v>
      </c>
      <c r="F20">
        <v>1090</v>
      </c>
      <c r="G20">
        <v>279</v>
      </c>
      <c r="H20">
        <v>1740</v>
      </c>
      <c r="I20">
        <v>709</v>
      </c>
      <c r="J20">
        <v>638</v>
      </c>
      <c r="K20">
        <v>430</v>
      </c>
      <c r="L20">
        <v>4087</v>
      </c>
      <c r="M20">
        <v>1033</v>
      </c>
      <c r="N20">
        <v>0</v>
      </c>
      <c r="O20">
        <v>0</v>
      </c>
      <c r="P20">
        <v>216.6</v>
      </c>
      <c r="Q20">
        <v>1019</v>
      </c>
      <c r="T20" t="s">
        <v>205</v>
      </c>
      <c r="U20">
        <v>906</v>
      </c>
      <c r="V20">
        <v>73.9</v>
      </c>
      <c r="W20">
        <v>0.12583</v>
      </c>
      <c r="X20">
        <v>110</v>
      </c>
      <c r="Y20">
        <v>658</v>
      </c>
      <c r="Z20">
        <v>101.9</v>
      </c>
      <c r="AA20">
        <v>108.2</v>
      </c>
      <c r="AB20">
        <v>1425</v>
      </c>
      <c r="AC20">
        <v>109.6</v>
      </c>
      <c r="AD20">
        <v>0.28982</v>
      </c>
      <c r="AE20">
        <v>136</v>
      </c>
      <c r="AF20">
        <v>950</v>
      </c>
      <c r="AG20">
        <v>131.6</v>
      </c>
      <c r="AH20">
        <v>154.4</v>
      </c>
      <c r="AK20" t="s">
        <v>212</v>
      </c>
      <c r="AV20">
        <v>284</v>
      </c>
    </row>
    <row r="21" spans="1:48" ht="12.75">
      <c r="A21" t="s">
        <v>28</v>
      </c>
      <c r="B21">
        <v>688</v>
      </c>
      <c r="C21">
        <v>524</v>
      </c>
      <c r="E21" t="s">
        <v>48</v>
      </c>
      <c r="F21">
        <v>6033</v>
      </c>
      <c r="G21">
        <v>3249</v>
      </c>
      <c r="H21">
        <v>6542</v>
      </c>
      <c r="I21">
        <v>4753</v>
      </c>
      <c r="J21">
        <v>2285</v>
      </c>
      <c r="K21">
        <v>1657</v>
      </c>
      <c r="L21">
        <v>1077</v>
      </c>
      <c r="M21">
        <v>949</v>
      </c>
      <c r="N21">
        <v>4</v>
      </c>
      <c r="O21">
        <v>6</v>
      </c>
      <c r="P21">
        <v>460.5</v>
      </c>
      <c r="Q21">
        <v>4959</v>
      </c>
      <c r="T21" t="s">
        <v>58</v>
      </c>
      <c r="U21">
        <v>2167</v>
      </c>
      <c r="V21">
        <v>109.9</v>
      </c>
      <c r="W21">
        <v>0.32164</v>
      </c>
      <c r="X21">
        <v>177</v>
      </c>
      <c r="Y21">
        <v>1385</v>
      </c>
      <c r="Z21">
        <v>163.3</v>
      </c>
      <c r="AA21">
        <v>159.1</v>
      </c>
      <c r="AB21">
        <v>2724</v>
      </c>
      <c r="AC21">
        <v>113.5</v>
      </c>
      <c r="AD21">
        <v>0.35389</v>
      </c>
      <c r="AE21">
        <v>202</v>
      </c>
      <c r="AF21">
        <v>1657</v>
      </c>
      <c r="AG21">
        <v>162.6</v>
      </c>
      <c r="AH21">
        <v>169.1</v>
      </c>
      <c r="AK21" t="s">
        <v>416</v>
      </c>
      <c r="AV21">
        <v>1608</v>
      </c>
    </row>
    <row r="22" spans="1:48" ht="12.75">
      <c r="A22" t="s">
        <v>104</v>
      </c>
      <c r="B22">
        <v>121411</v>
      </c>
      <c r="C22">
        <v>59631</v>
      </c>
      <c r="E22" t="s">
        <v>75</v>
      </c>
      <c r="F22">
        <v>3086</v>
      </c>
      <c r="G22">
        <v>1161</v>
      </c>
      <c r="H22">
        <v>1201</v>
      </c>
      <c r="I22">
        <v>464</v>
      </c>
      <c r="J22">
        <v>85</v>
      </c>
      <c r="K22">
        <v>64</v>
      </c>
      <c r="L22">
        <v>870</v>
      </c>
      <c r="M22">
        <v>307</v>
      </c>
      <c r="N22">
        <v>1</v>
      </c>
      <c r="O22">
        <v>2</v>
      </c>
      <c r="P22">
        <v>137.5</v>
      </c>
      <c r="Q22">
        <v>695</v>
      </c>
      <c r="T22" t="s">
        <v>59</v>
      </c>
      <c r="U22">
        <v>3694</v>
      </c>
      <c r="V22">
        <v>157.1</v>
      </c>
      <c r="W22">
        <v>0.52707</v>
      </c>
      <c r="X22">
        <v>174</v>
      </c>
      <c r="Y22">
        <v>1363</v>
      </c>
      <c r="Z22">
        <v>215.1</v>
      </c>
      <c r="AA22">
        <v>228.4</v>
      </c>
      <c r="AB22">
        <v>3387</v>
      </c>
      <c r="AC22">
        <v>149.9</v>
      </c>
      <c r="AD22">
        <v>0.48598</v>
      </c>
      <c r="AE22">
        <v>154</v>
      </c>
      <c r="AF22">
        <v>1192</v>
      </c>
      <c r="AG22">
        <v>213.9</v>
      </c>
      <c r="AH22">
        <v>228.9</v>
      </c>
      <c r="AK22" t="s">
        <v>417</v>
      </c>
      <c r="AV22">
        <v>54076</v>
      </c>
    </row>
    <row r="23" spans="1:48" ht="12.75">
      <c r="A23" t="s">
        <v>133</v>
      </c>
      <c r="B23">
        <v>12017</v>
      </c>
      <c r="C23">
        <v>1979</v>
      </c>
      <c r="E23" t="s">
        <v>33</v>
      </c>
      <c r="F23">
        <v>5810</v>
      </c>
      <c r="G23">
        <v>3270</v>
      </c>
      <c r="H23">
        <v>2991</v>
      </c>
      <c r="I23">
        <v>1614</v>
      </c>
      <c r="J23">
        <v>81</v>
      </c>
      <c r="K23">
        <v>43</v>
      </c>
      <c r="L23">
        <v>601</v>
      </c>
      <c r="M23">
        <v>436</v>
      </c>
      <c r="N23">
        <v>2</v>
      </c>
      <c r="O23">
        <v>5</v>
      </c>
      <c r="P23">
        <v>207.9</v>
      </c>
      <c r="Q23">
        <v>1831</v>
      </c>
      <c r="T23" t="s">
        <v>60</v>
      </c>
      <c r="U23">
        <v>25312</v>
      </c>
      <c r="V23">
        <v>165.1</v>
      </c>
      <c r="W23">
        <v>0.55057</v>
      </c>
      <c r="X23">
        <v>933</v>
      </c>
      <c r="Y23">
        <v>8152</v>
      </c>
      <c r="Z23">
        <v>226.3</v>
      </c>
      <c r="AA23">
        <v>226.2</v>
      </c>
      <c r="AB23">
        <v>20517</v>
      </c>
      <c r="AC23">
        <v>171.9</v>
      </c>
      <c r="AD23">
        <v>0.55856</v>
      </c>
      <c r="AE23">
        <v>766</v>
      </c>
      <c r="AF23">
        <v>7071</v>
      </c>
      <c r="AG23">
        <v>240.4</v>
      </c>
      <c r="AH23">
        <v>235.4</v>
      </c>
      <c r="AK23" t="s">
        <v>121</v>
      </c>
      <c r="AV23">
        <v>11074</v>
      </c>
    </row>
    <row r="24" spans="1:48" ht="12.75">
      <c r="A24" t="s">
        <v>141</v>
      </c>
      <c r="B24">
        <v>288</v>
      </c>
      <c r="C24">
        <v>11</v>
      </c>
      <c r="E24" t="s">
        <v>55</v>
      </c>
      <c r="F24">
        <v>9922</v>
      </c>
      <c r="G24">
        <v>4226</v>
      </c>
      <c r="H24">
        <v>7206</v>
      </c>
      <c r="I24">
        <v>3365</v>
      </c>
      <c r="J24">
        <v>1316</v>
      </c>
      <c r="K24">
        <v>1237</v>
      </c>
      <c r="L24">
        <v>7387</v>
      </c>
      <c r="M24">
        <v>1391</v>
      </c>
      <c r="N24">
        <v>5</v>
      </c>
      <c r="O24">
        <v>159</v>
      </c>
      <c r="P24">
        <v>190.5</v>
      </c>
      <c r="Q24">
        <v>4493</v>
      </c>
      <c r="T24" t="s">
        <v>61</v>
      </c>
      <c r="U24">
        <v>2544</v>
      </c>
      <c r="V24">
        <v>106.8</v>
      </c>
      <c r="W24">
        <v>0.25275</v>
      </c>
      <c r="X24">
        <v>172</v>
      </c>
      <c r="Y24">
        <v>1969</v>
      </c>
      <c r="Z24">
        <v>159.9</v>
      </c>
      <c r="AA24">
        <v>160.5</v>
      </c>
      <c r="AB24">
        <v>5172</v>
      </c>
      <c r="AC24">
        <v>102.6</v>
      </c>
      <c r="AD24">
        <v>0.21288</v>
      </c>
      <c r="AE24">
        <v>283</v>
      </c>
      <c r="AF24">
        <v>2854</v>
      </c>
      <c r="AG24">
        <v>164.5</v>
      </c>
      <c r="AH24">
        <v>182.9</v>
      </c>
      <c r="AK24" t="s">
        <v>167</v>
      </c>
      <c r="AV24">
        <v>2444</v>
      </c>
    </row>
    <row r="25" spans="1:48" ht="12.75">
      <c r="A25" t="s">
        <v>109</v>
      </c>
      <c r="B25">
        <v>100</v>
      </c>
      <c r="C25">
        <v>98</v>
      </c>
      <c r="E25" t="s">
        <v>58</v>
      </c>
      <c r="F25">
        <v>2056</v>
      </c>
      <c r="G25">
        <v>687</v>
      </c>
      <c r="H25">
        <v>2620</v>
      </c>
      <c r="I25">
        <v>1360</v>
      </c>
      <c r="J25">
        <v>191</v>
      </c>
      <c r="K25">
        <v>166</v>
      </c>
      <c r="L25">
        <v>1223</v>
      </c>
      <c r="M25">
        <v>467</v>
      </c>
      <c r="N25">
        <v>0</v>
      </c>
      <c r="O25">
        <v>5</v>
      </c>
      <c r="P25">
        <v>246</v>
      </c>
      <c r="Q25">
        <v>1526</v>
      </c>
      <c r="T25" t="s">
        <v>62</v>
      </c>
      <c r="U25">
        <v>8943</v>
      </c>
      <c r="V25">
        <v>181.3</v>
      </c>
      <c r="W25">
        <v>0.59264</v>
      </c>
      <c r="X25">
        <v>216</v>
      </c>
      <c r="Y25">
        <v>2632</v>
      </c>
      <c r="Z25">
        <v>268.6</v>
      </c>
      <c r="AA25">
        <v>238.2</v>
      </c>
      <c r="AB25">
        <v>8287</v>
      </c>
      <c r="AC25">
        <v>183</v>
      </c>
      <c r="AD25">
        <v>0.60577</v>
      </c>
      <c r="AE25">
        <v>188</v>
      </c>
      <c r="AF25">
        <v>2339</v>
      </c>
      <c r="AG25">
        <v>272.9</v>
      </c>
      <c r="AH25">
        <v>236.7</v>
      </c>
      <c r="AK25" t="s">
        <v>168</v>
      </c>
      <c r="AV25">
        <v>14890</v>
      </c>
    </row>
    <row r="26" spans="1:48" ht="12.75">
      <c r="A26" t="s">
        <v>30</v>
      </c>
      <c r="B26">
        <v>314614</v>
      </c>
      <c r="C26">
        <v>152396</v>
      </c>
      <c r="E26" t="s">
        <v>74</v>
      </c>
      <c r="F26">
        <v>7527</v>
      </c>
      <c r="G26">
        <v>3897</v>
      </c>
      <c r="H26">
        <v>4656</v>
      </c>
      <c r="I26">
        <v>2326</v>
      </c>
      <c r="J26">
        <v>509</v>
      </c>
      <c r="K26">
        <v>332</v>
      </c>
      <c r="L26">
        <v>1518</v>
      </c>
      <c r="M26">
        <v>717</v>
      </c>
      <c r="N26">
        <v>1</v>
      </c>
      <c r="O26">
        <v>10</v>
      </c>
      <c r="P26">
        <v>218.9</v>
      </c>
      <c r="Q26">
        <v>3168</v>
      </c>
      <c r="T26" t="s">
        <v>63</v>
      </c>
      <c r="U26">
        <v>7469</v>
      </c>
      <c r="V26">
        <v>208.1</v>
      </c>
      <c r="W26">
        <v>0.62097</v>
      </c>
      <c r="X26">
        <v>262</v>
      </c>
      <c r="Y26">
        <v>2182</v>
      </c>
      <c r="Z26">
        <v>305.9</v>
      </c>
      <c r="AA26">
        <v>284.3</v>
      </c>
      <c r="AB26">
        <v>6951</v>
      </c>
      <c r="AC26">
        <v>221</v>
      </c>
      <c r="AD26">
        <v>0.67559</v>
      </c>
      <c r="AE26">
        <v>259</v>
      </c>
      <c r="AF26">
        <v>2163</v>
      </c>
      <c r="AG26">
        <v>297.9</v>
      </c>
      <c r="AH26">
        <v>279.5</v>
      </c>
      <c r="AK26" t="s">
        <v>169</v>
      </c>
      <c r="AV26">
        <v>25355</v>
      </c>
    </row>
    <row r="27" spans="1:48" ht="12.75">
      <c r="A27" t="s">
        <v>105</v>
      </c>
      <c r="B27">
        <v>15</v>
      </c>
      <c r="C27">
        <v>1</v>
      </c>
      <c r="E27" t="s">
        <v>46</v>
      </c>
      <c r="F27">
        <v>9230</v>
      </c>
      <c r="G27">
        <v>6130</v>
      </c>
      <c r="H27">
        <v>8856</v>
      </c>
      <c r="I27">
        <v>7488</v>
      </c>
      <c r="J27">
        <v>1073</v>
      </c>
      <c r="K27">
        <v>968</v>
      </c>
      <c r="L27">
        <v>7839</v>
      </c>
      <c r="M27">
        <v>4747</v>
      </c>
      <c r="N27">
        <v>31</v>
      </c>
      <c r="O27">
        <v>8</v>
      </c>
      <c r="P27">
        <v>550</v>
      </c>
      <c r="Q27">
        <v>7331</v>
      </c>
      <c r="T27" t="s">
        <v>64</v>
      </c>
      <c r="U27">
        <v>2094</v>
      </c>
      <c r="V27">
        <v>80.3</v>
      </c>
      <c r="W27">
        <v>0.16141</v>
      </c>
      <c r="X27">
        <v>185</v>
      </c>
      <c r="Y27">
        <v>1369</v>
      </c>
      <c r="Z27">
        <v>112.8</v>
      </c>
      <c r="AA27">
        <v>120.7</v>
      </c>
      <c r="AB27">
        <v>4657</v>
      </c>
      <c r="AC27">
        <v>132.4</v>
      </c>
      <c r="AD27">
        <v>0.45093</v>
      </c>
      <c r="AE27">
        <v>423</v>
      </c>
      <c r="AF27">
        <v>3148</v>
      </c>
      <c r="AG27">
        <v>170.1</v>
      </c>
      <c r="AH27">
        <v>179.2</v>
      </c>
      <c r="AK27" t="s">
        <v>170</v>
      </c>
      <c r="AV27">
        <v>8955</v>
      </c>
    </row>
    <row r="28" spans="1:48" ht="12.75">
      <c r="A28" t="s">
        <v>118</v>
      </c>
      <c r="B28">
        <v>533</v>
      </c>
      <c r="C28">
        <v>500</v>
      </c>
      <c r="E28" t="s">
        <v>51</v>
      </c>
      <c r="F28">
        <v>10496</v>
      </c>
      <c r="G28">
        <v>3934</v>
      </c>
      <c r="H28">
        <v>11660</v>
      </c>
      <c r="I28">
        <v>9082</v>
      </c>
      <c r="J28">
        <v>1152</v>
      </c>
      <c r="K28">
        <v>1109</v>
      </c>
      <c r="L28">
        <v>9679</v>
      </c>
      <c r="M28">
        <v>3700</v>
      </c>
      <c r="N28">
        <v>12</v>
      </c>
      <c r="O28">
        <v>291</v>
      </c>
      <c r="P28">
        <v>465.4</v>
      </c>
      <c r="Q28">
        <v>9411</v>
      </c>
      <c r="T28" t="s">
        <v>65</v>
      </c>
      <c r="U28">
        <v>5039</v>
      </c>
      <c r="V28">
        <v>133.1</v>
      </c>
      <c r="W28">
        <v>0.41099</v>
      </c>
      <c r="X28">
        <v>258</v>
      </c>
      <c r="Y28">
        <v>2220</v>
      </c>
      <c r="Z28">
        <v>210</v>
      </c>
      <c r="AA28">
        <v>197</v>
      </c>
      <c r="AB28">
        <v>5860</v>
      </c>
      <c r="AC28">
        <v>127.1</v>
      </c>
      <c r="AD28">
        <v>0.38174</v>
      </c>
      <c r="AE28">
        <v>279</v>
      </c>
      <c r="AF28">
        <v>2275</v>
      </c>
      <c r="AG28">
        <v>210</v>
      </c>
      <c r="AH28">
        <v>203.4</v>
      </c>
      <c r="AK28" t="s">
        <v>171</v>
      </c>
      <c r="AV28">
        <v>9337</v>
      </c>
    </row>
    <row r="29" spans="1:48" ht="12.75">
      <c r="A29" t="s">
        <v>111</v>
      </c>
      <c r="B29">
        <v>518</v>
      </c>
      <c r="C29">
        <v>504</v>
      </c>
      <c r="E29" t="s">
        <v>68</v>
      </c>
      <c r="F29">
        <v>1524</v>
      </c>
      <c r="G29">
        <v>648</v>
      </c>
      <c r="H29">
        <v>2413</v>
      </c>
      <c r="I29">
        <v>1735</v>
      </c>
      <c r="J29">
        <v>1031</v>
      </c>
      <c r="K29">
        <v>885</v>
      </c>
      <c r="L29">
        <v>226</v>
      </c>
      <c r="M29">
        <v>168</v>
      </c>
      <c r="N29">
        <v>0</v>
      </c>
      <c r="O29">
        <v>3</v>
      </c>
      <c r="P29">
        <v>373.4</v>
      </c>
      <c r="Q29">
        <v>1898</v>
      </c>
      <c r="T29" t="s">
        <v>66</v>
      </c>
      <c r="U29">
        <v>16048</v>
      </c>
      <c r="V29">
        <v>169.4</v>
      </c>
      <c r="W29">
        <v>0.604</v>
      </c>
      <c r="X29">
        <v>538</v>
      </c>
      <c r="Y29">
        <v>4950</v>
      </c>
      <c r="Z29">
        <v>281.3</v>
      </c>
      <c r="AA29">
        <v>263.2</v>
      </c>
      <c r="AB29">
        <v>14144</v>
      </c>
      <c r="AC29">
        <v>171.9</v>
      </c>
      <c r="AD29">
        <v>0.63165</v>
      </c>
      <c r="AE29">
        <v>458</v>
      </c>
      <c r="AF29">
        <v>4038</v>
      </c>
      <c r="AG29">
        <v>291.4</v>
      </c>
      <c r="AH29">
        <v>271</v>
      </c>
      <c r="AK29" t="s">
        <v>107</v>
      </c>
      <c r="AV29">
        <v>5478</v>
      </c>
    </row>
    <row r="30" spans="1:48" ht="12.75">
      <c r="A30" t="s">
        <v>134</v>
      </c>
      <c r="B30">
        <v>5422</v>
      </c>
      <c r="C30">
        <v>1712</v>
      </c>
      <c r="E30" t="s">
        <v>79</v>
      </c>
      <c r="F30">
        <v>6082</v>
      </c>
      <c r="G30">
        <v>3067</v>
      </c>
      <c r="H30">
        <v>5570</v>
      </c>
      <c r="I30">
        <v>4365</v>
      </c>
      <c r="J30">
        <v>348</v>
      </c>
      <c r="K30">
        <v>271</v>
      </c>
      <c r="L30">
        <v>3069</v>
      </c>
      <c r="M30">
        <v>1778</v>
      </c>
      <c r="N30">
        <v>1</v>
      </c>
      <c r="O30">
        <v>3</v>
      </c>
      <c r="P30">
        <v>381.7</v>
      </c>
      <c r="Q30">
        <v>4350</v>
      </c>
      <c r="T30" t="s">
        <v>67</v>
      </c>
      <c r="U30">
        <v>9480</v>
      </c>
      <c r="V30">
        <v>189.5</v>
      </c>
      <c r="W30">
        <v>0.5961</v>
      </c>
      <c r="X30">
        <v>301</v>
      </c>
      <c r="Y30">
        <v>3650</v>
      </c>
      <c r="Z30">
        <v>204.2</v>
      </c>
      <c r="AA30">
        <v>220.1</v>
      </c>
      <c r="AB30">
        <v>9704</v>
      </c>
      <c r="AC30">
        <v>190</v>
      </c>
      <c r="AD30">
        <v>0.59367</v>
      </c>
      <c r="AE30">
        <v>297</v>
      </c>
      <c r="AF30">
        <v>3686</v>
      </c>
      <c r="AG30">
        <v>202.7</v>
      </c>
      <c r="AH30">
        <v>221.9</v>
      </c>
      <c r="AK30" t="s">
        <v>173</v>
      </c>
      <c r="AV30">
        <v>9943</v>
      </c>
    </row>
    <row r="31" spans="1:48" ht="12.75">
      <c r="A31" t="s">
        <v>115</v>
      </c>
      <c r="B31">
        <v>16720</v>
      </c>
      <c r="C31">
        <v>6489</v>
      </c>
      <c r="E31" t="s">
        <v>81</v>
      </c>
      <c r="F31">
        <v>2722</v>
      </c>
      <c r="G31">
        <v>630</v>
      </c>
      <c r="H31">
        <v>2108</v>
      </c>
      <c r="I31">
        <v>873</v>
      </c>
      <c r="J31">
        <v>632</v>
      </c>
      <c r="K31">
        <v>610</v>
      </c>
      <c r="L31">
        <v>1374</v>
      </c>
      <c r="M31">
        <v>945</v>
      </c>
      <c r="N31">
        <v>0</v>
      </c>
      <c r="O31">
        <v>3</v>
      </c>
      <c r="P31">
        <v>186</v>
      </c>
      <c r="Q31">
        <v>1073</v>
      </c>
      <c r="T31" t="s">
        <v>68</v>
      </c>
      <c r="U31">
        <v>1723</v>
      </c>
      <c r="V31">
        <v>132.6</v>
      </c>
      <c r="W31">
        <v>0.42658</v>
      </c>
      <c r="X31">
        <v>40</v>
      </c>
      <c r="Y31">
        <v>570</v>
      </c>
      <c r="Z31">
        <v>209.7</v>
      </c>
      <c r="AA31">
        <v>210.3</v>
      </c>
      <c r="AB31">
        <v>2024</v>
      </c>
      <c r="AC31">
        <v>147.1</v>
      </c>
      <c r="AD31">
        <v>0.48271</v>
      </c>
      <c r="AE31">
        <v>57</v>
      </c>
      <c r="AF31">
        <v>684</v>
      </c>
      <c r="AG31">
        <v>238.7</v>
      </c>
      <c r="AH31">
        <v>230</v>
      </c>
      <c r="AK31" t="s">
        <v>174</v>
      </c>
      <c r="AV31">
        <v>3785</v>
      </c>
    </row>
    <row r="32" spans="1:48" ht="12.75">
      <c r="A32" t="s">
        <v>143</v>
      </c>
      <c r="B32">
        <v>2198</v>
      </c>
      <c r="C32">
        <v>210</v>
      </c>
      <c r="E32" t="s">
        <v>96</v>
      </c>
      <c r="F32">
        <v>1261</v>
      </c>
      <c r="G32">
        <v>658</v>
      </c>
      <c r="H32">
        <v>731</v>
      </c>
      <c r="I32">
        <v>528</v>
      </c>
      <c r="J32">
        <v>9</v>
      </c>
      <c r="K32">
        <v>9</v>
      </c>
      <c r="L32">
        <v>318</v>
      </c>
      <c r="M32">
        <v>164</v>
      </c>
      <c r="N32">
        <v>0</v>
      </c>
      <c r="O32">
        <v>0</v>
      </c>
      <c r="P32">
        <v>415.3</v>
      </c>
      <c r="Q32">
        <v>624</v>
      </c>
      <c r="T32" t="s">
        <v>69</v>
      </c>
      <c r="U32">
        <v>1426</v>
      </c>
      <c r="V32">
        <v>142</v>
      </c>
      <c r="W32">
        <v>0.41374</v>
      </c>
      <c r="X32">
        <v>54</v>
      </c>
      <c r="Y32">
        <v>717</v>
      </c>
      <c r="Z32">
        <v>155.4</v>
      </c>
      <c r="AA32">
        <v>173.2</v>
      </c>
      <c r="AB32">
        <v>2383</v>
      </c>
      <c r="AC32">
        <v>185.3</v>
      </c>
      <c r="AD32">
        <v>0.55434</v>
      </c>
      <c r="AE32">
        <v>98</v>
      </c>
      <c r="AF32">
        <v>1304</v>
      </c>
      <c r="AG32">
        <v>216.8</v>
      </c>
      <c r="AH32">
        <v>229.9</v>
      </c>
      <c r="AK32" t="s">
        <v>177</v>
      </c>
      <c r="AV32">
        <v>4205</v>
      </c>
    </row>
    <row r="33" spans="1:48" ht="12.75">
      <c r="A33" t="s">
        <v>132</v>
      </c>
      <c r="B33">
        <v>10031</v>
      </c>
      <c r="C33">
        <v>1010</v>
      </c>
      <c r="E33" t="s">
        <v>62</v>
      </c>
      <c r="F33">
        <v>8399</v>
      </c>
      <c r="G33">
        <v>4986</v>
      </c>
      <c r="H33">
        <v>10846</v>
      </c>
      <c r="I33">
        <v>6387</v>
      </c>
      <c r="J33">
        <v>1480</v>
      </c>
      <c r="K33">
        <v>1340</v>
      </c>
      <c r="L33">
        <v>1958</v>
      </c>
      <c r="M33">
        <v>1406</v>
      </c>
      <c r="N33">
        <v>4</v>
      </c>
      <c r="O33">
        <v>190</v>
      </c>
      <c r="P33">
        <v>450.6</v>
      </c>
      <c r="Q33">
        <v>7738</v>
      </c>
      <c r="T33" t="s">
        <v>244</v>
      </c>
      <c r="U33">
        <v>5109</v>
      </c>
      <c r="V33">
        <v>127.2</v>
      </c>
      <c r="W33">
        <v>0.40184</v>
      </c>
      <c r="X33">
        <v>175</v>
      </c>
      <c r="Y33">
        <v>2553</v>
      </c>
      <c r="Z33">
        <v>168.2</v>
      </c>
      <c r="AA33">
        <v>175.1</v>
      </c>
      <c r="AB33">
        <v>6376</v>
      </c>
      <c r="AC33">
        <v>125.9</v>
      </c>
      <c r="AD33">
        <v>0.38551</v>
      </c>
      <c r="AE33">
        <v>203</v>
      </c>
      <c r="AF33">
        <v>2827</v>
      </c>
      <c r="AG33">
        <v>178.4</v>
      </c>
      <c r="AH33">
        <v>186.8</v>
      </c>
      <c r="AK33" t="s">
        <v>198</v>
      </c>
      <c r="AV33">
        <v>5440</v>
      </c>
    </row>
    <row r="34" spans="1:48" ht="12.75">
      <c r="A34" t="s">
        <v>131</v>
      </c>
      <c r="B34">
        <v>4842</v>
      </c>
      <c r="C34">
        <v>339</v>
      </c>
      <c r="E34" t="s">
        <v>77</v>
      </c>
      <c r="F34">
        <v>15950</v>
      </c>
      <c r="G34">
        <v>7967</v>
      </c>
      <c r="H34">
        <v>9285</v>
      </c>
      <c r="I34">
        <v>6217</v>
      </c>
      <c r="J34">
        <v>1057</v>
      </c>
      <c r="K34">
        <v>427</v>
      </c>
      <c r="L34">
        <v>8640</v>
      </c>
      <c r="M34">
        <v>4749</v>
      </c>
      <c r="N34">
        <v>7734</v>
      </c>
      <c r="O34">
        <v>0</v>
      </c>
      <c r="P34">
        <v>427.8</v>
      </c>
      <c r="Q34">
        <v>7574</v>
      </c>
      <c r="T34" t="s">
        <v>245</v>
      </c>
      <c r="U34">
        <v>4422</v>
      </c>
      <c r="V34">
        <v>54.1</v>
      </c>
      <c r="W34">
        <v>0.08774</v>
      </c>
      <c r="X34">
        <v>751</v>
      </c>
      <c r="Y34">
        <v>7213</v>
      </c>
      <c r="Z34">
        <v>58</v>
      </c>
      <c r="AA34">
        <v>54</v>
      </c>
      <c r="AB34">
        <v>4424</v>
      </c>
      <c r="AC34">
        <v>54.3</v>
      </c>
      <c r="AD34">
        <v>0.08816</v>
      </c>
      <c r="AE34">
        <v>754</v>
      </c>
      <c r="AF34">
        <v>7220</v>
      </c>
      <c r="AG34">
        <v>59.1</v>
      </c>
      <c r="AH34">
        <v>54.3</v>
      </c>
      <c r="AK34" t="s">
        <v>418</v>
      </c>
      <c r="AV34">
        <v>55</v>
      </c>
    </row>
    <row r="35" spans="1:48" ht="12.75">
      <c r="A35" t="s">
        <v>147</v>
      </c>
      <c r="B35">
        <v>52597</v>
      </c>
      <c r="C35">
        <v>46435</v>
      </c>
      <c r="E35" t="s">
        <v>155</v>
      </c>
      <c r="F35">
        <v>627</v>
      </c>
      <c r="G35">
        <v>312</v>
      </c>
      <c r="H35">
        <v>777</v>
      </c>
      <c r="I35">
        <v>498</v>
      </c>
      <c r="J35">
        <v>54</v>
      </c>
      <c r="K35">
        <v>50</v>
      </c>
      <c r="L35">
        <v>97</v>
      </c>
      <c r="M35">
        <v>47</v>
      </c>
      <c r="N35">
        <v>0</v>
      </c>
      <c r="O35">
        <v>0</v>
      </c>
      <c r="P35">
        <v>390</v>
      </c>
      <c r="Q35">
        <v>475</v>
      </c>
      <c r="T35" t="s">
        <v>71</v>
      </c>
      <c r="U35">
        <v>8971</v>
      </c>
      <c r="V35">
        <v>159.7</v>
      </c>
      <c r="W35">
        <v>0.5287</v>
      </c>
      <c r="X35">
        <v>227</v>
      </c>
      <c r="Y35">
        <v>4051</v>
      </c>
      <c r="Z35">
        <v>234.1</v>
      </c>
      <c r="AA35">
        <v>218.7</v>
      </c>
      <c r="AB35">
        <v>9432</v>
      </c>
      <c r="AC35">
        <v>158</v>
      </c>
      <c r="AD35">
        <v>0.52937</v>
      </c>
      <c r="AE35">
        <v>247</v>
      </c>
      <c r="AF35">
        <v>4175</v>
      </c>
      <c r="AG35">
        <v>235.5</v>
      </c>
      <c r="AH35">
        <v>212.8</v>
      </c>
      <c r="AK35" t="s">
        <v>417</v>
      </c>
      <c r="AV35">
        <v>100961</v>
      </c>
    </row>
    <row r="36" spans="1:48" ht="12.75">
      <c r="A36" t="s">
        <v>145</v>
      </c>
      <c r="B36">
        <v>7499</v>
      </c>
      <c r="C36">
        <v>4569</v>
      </c>
      <c r="E36" t="s">
        <v>149</v>
      </c>
      <c r="F36">
        <v>91815</v>
      </c>
      <c r="G36">
        <v>45101</v>
      </c>
      <c r="H36">
        <v>79202</v>
      </c>
      <c r="I36">
        <v>51764</v>
      </c>
      <c r="J36">
        <v>11941</v>
      </c>
      <c r="K36">
        <v>9598</v>
      </c>
      <c r="L36">
        <v>49963</v>
      </c>
      <c r="M36">
        <v>23004</v>
      </c>
      <c r="N36">
        <v>7795</v>
      </c>
      <c r="O36">
        <v>685</v>
      </c>
      <c r="P36">
        <v>396.4</v>
      </c>
      <c r="Q36">
        <v>58165</v>
      </c>
      <c r="T36" t="s">
        <v>36</v>
      </c>
      <c r="U36">
        <v>9511</v>
      </c>
      <c r="V36">
        <v>111.7</v>
      </c>
      <c r="W36">
        <v>0.35464</v>
      </c>
      <c r="X36">
        <v>385</v>
      </c>
      <c r="Y36">
        <v>3566</v>
      </c>
      <c r="Z36">
        <v>172.2</v>
      </c>
      <c r="AA36">
        <v>164.4</v>
      </c>
      <c r="AB36">
        <v>13574</v>
      </c>
      <c r="AC36">
        <v>120</v>
      </c>
      <c r="AD36">
        <v>0.37881</v>
      </c>
      <c r="AE36">
        <v>502</v>
      </c>
      <c r="AF36">
        <v>4593</v>
      </c>
      <c r="AG36">
        <v>185.8</v>
      </c>
      <c r="AH36">
        <v>189.7</v>
      </c>
      <c r="AK36" t="s">
        <v>172</v>
      </c>
      <c r="AV36">
        <v>4790</v>
      </c>
    </row>
    <row r="37" spans="1:48" ht="12.75">
      <c r="A37" t="s">
        <v>119</v>
      </c>
      <c r="B37">
        <v>219</v>
      </c>
      <c r="C37">
        <v>174</v>
      </c>
      <c r="E37" t="s">
        <v>82</v>
      </c>
      <c r="F37">
        <v>5523</v>
      </c>
      <c r="G37">
        <v>3664</v>
      </c>
      <c r="H37">
        <v>3862</v>
      </c>
      <c r="I37">
        <v>3283</v>
      </c>
      <c r="J37">
        <v>439</v>
      </c>
      <c r="K37">
        <v>415</v>
      </c>
      <c r="L37">
        <v>2068</v>
      </c>
      <c r="M37">
        <v>1378</v>
      </c>
      <c r="N37">
        <v>4</v>
      </c>
      <c r="O37">
        <v>72</v>
      </c>
      <c r="P37">
        <v>479.4</v>
      </c>
      <c r="Q37">
        <v>3363</v>
      </c>
      <c r="T37" t="s">
        <v>72</v>
      </c>
      <c r="U37">
        <v>12477</v>
      </c>
      <c r="V37">
        <v>114.5</v>
      </c>
      <c r="W37">
        <v>0.33975</v>
      </c>
      <c r="X37">
        <v>571</v>
      </c>
      <c r="Y37">
        <v>5165</v>
      </c>
      <c r="Z37">
        <v>178.3</v>
      </c>
      <c r="AA37">
        <v>170.4</v>
      </c>
      <c r="AB37">
        <v>13138</v>
      </c>
      <c r="AC37">
        <v>118.5</v>
      </c>
      <c r="AD37">
        <v>0.36375</v>
      </c>
      <c r="AE37">
        <v>637</v>
      </c>
      <c r="AF37">
        <v>5650</v>
      </c>
      <c r="AG37">
        <v>183.8</v>
      </c>
      <c r="AH37">
        <v>177</v>
      </c>
      <c r="AK37" t="s">
        <v>178</v>
      </c>
      <c r="AV37">
        <v>7108</v>
      </c>
    </row>
    <row r="38" spans="1:48" ht="12.75">
      <c r="A38" t="s">
        <v>120</v>
      </c>
      <c r="B38">
        <v>14909</v>
      </c>
      <c r="C38">
        <v>11814</v>
      </c>
      <c r="E38" t="s">
        <v>47</v>
      </c>
      <c r="F38">
        <v>1621</v>
      </c>
      <c r="G38">
        <v>529</v>
      </c>
      <c r="H38">
        <v>1187</v>
      </c>
      <c r="I38">
        <v>276</v>
      </c>
      <c r="J38">
        <v>186</v>
      </c>
      <c r="K38">
        <v>144</v>
      </c>
      <c r="L38">
        <v>536</v>
      </c>
      <c r="M38">
        <v>326</v>
      </c>
      <c r="N38">
        <v>0</v>
      </c>
      <c r="O38">
        <v>6</v>
      </c>
      <c r="P38">
        <v>122.2</v>
      </c>
      <c r="Q38">
        <v>738</v>
      </c>
      <c r="T38" t="s">
        <v>73</v>
      </c>
      <c r="U38">
        <v>8241</v>
      </c>
      <c r="V38">
        <v>127.9</v>
      </c>
      <c r="W38">
        <v>0.41039</v>
      </c>
      <c r="X38">
        <v>301</v>
      </c>
      <c r="Y38">
        <v>2273</v>
      </c>
      <c r="Z38">
        <v>195.2</v>
      </c>
      <c r="AA38">
        <v>217.8</v>
      </c>
      <c r="AB38">
        <v>8106</v>
      </c>
      <c r="AC38">
        <v>126.5</v>
      </c>
      <c r="AD38">
        <v>0.40229</v>
      </c>
      <c r="AE38">
        <v>275</v>
      </c>
      <c r="AF38">
        <v>2105</v>
      </c>
      <c r="AG38">
        <v>194.6</v>
      </c>
      <c r="AH38">
        <v>220.6</v>
      </c>
      <c r="AK38" t="s">
        <v>180</v>
      </c>
      <c r="AV38">
        <v>2585</v>
      </c>
    </row>
    <row r="39" spans="1:48" ht="12.75">
      <c r="A39" t="s">
        <v>136</v>
      </c>
      <c r="B39">
        <v>3960</v>
      </c>
      <c r="C39">
        <v>940</v>
      </c>
      <c r="E39" t="s">
        <v>53</v>
      </c>
      <c r="F39">
        <v>9392</v>
      </c>
      <c r="G39">
        <v>5045</v>
      </c>
      <c r="H39">
        <v>9298</v>
      </c>
      <c r="I39">
        <v>7150</v>
      </c>
      <c r="J39">
        <v>2106</v>
      </c>
      <c r="K39">
        <v>1780</v>
      </c>
      <c r="L39">
        <v>4948</v>
      </c>
      <c r="M39">
        <v>2130</v>
      </c>
      <c r="N39">
        <v>2</v>
      </c>
      <c r="O39">
        <v>34</v>
      </c>
      <c r="P39">
        <v>453.3</v>
      </c>
      <c r="Q39">
        <v>7120</v>
      </c>
      <c r="T39" t="s">
        <v>74</v>
      </c>
      <c r="U39">
        <v>7874</v>
      </c>
      <c r="V39">
        <v>148.4</v>
      </c>
      <c r="W39">
        <v>0.50648</v>
      </c>
      <c r="X39">
        <v>217</v>
      </c>
      <c r="Y39">
        <v>2329</v>
      </c>
      <c r="Z39">
        <v>245.1</v>
      </c>
      <c r="AA39">
        <v>252.3</v>
      </c>
      <c r="AB39">
        <v>7859</v>
      </c>
      <c r="AC39">
        <v>148.3</v>
      </c>
      <c r="AD39">
        <v>0.50693</v>
      </c>
      <c r="AE39">
        <v>213</v>
      </c>
      <c r="AF39">
        <v>2300</v>
      </c>
      <c r="AG39">
        <v>241.5</v>
      </c>
      <c r="AH39">
        <v>250.7</v>
      </c>
      <c r="AK39" t="s">
        <v>181</v>
      </c>
      <c r="AV39">
        <v>6061</v>
      </c>
    </row>
    <row r="40" spans="1:48" ht="12.75">
      <c r="A40" t="s">
        <v>29</v>
      </c>
      <c r="B40">
        <v>51991</v>
      </c>
      <c r="C40">
        <v>23634</v>
      </c>
      <c r="E40" t="s">
        <v>69</v>
      </c>
      <c r="F40">
        <v>1533</v>
      </c>
      <c r="G40">
        <v>629</v>
      </c>
      <c r="H40">
        <v>929</v>
      </c>
      <c r="I40">
        <v>362</v>
      </c>
      <c r="J40">
        <v>192</v>
      </c>
      <c r="K40">
        <v>163</v>
      </c>
      <c r="L40">
        <v>917</v>
      </c>
      <c r="M40">
        <v>415</v>
      </c>
      <c r="N40">
        <v>257</v>
      </c>
      <c r="O40">
        <v>119</v>
      </c>
      <c r="P40">
        <v>146.2</v>
      </c>
      <c r="Q40">
        <v>788</v>
      </c>
      <c r="T40" t="s">
        <v>75</v>
      </c>
      <c r="U40">
        <v>3219</v>
      </c>
      <c r="V40">
        <v>115</v>
      </c>
      <c r="W40">
        <v>0.36502</v>
      </c>
      <c r="X40">
        <v>132</v>
      </c>
      <c r="Y40">
        <v>1163</v>
      </c>
      <c r="Z40">
        <v>171.1</v>
      </c>
      <c r="AA40">
        <v>170.4</v>
      </c>
      <c r="AB40">
        <v>3531</v>
      </c>
      <c r="AC40">
        <v>117.5</v>
      </c>
      <c r="AD40">
        <v>0.38912</v>
      </c>
      <c r="AE40">
        <v>147</v>
      </c>
      <c r="AF40">
        <v>1304</v>
      </c>
      <c r="AG40">
        <v>176</v>
      </c>
      <c r="AH40">
        <v>172.9</v>
      </c>
      <c r="AK40" t="s">
        <v>182</v>
      </c>
      <c r="AV40">
        <v>1025</v>
      </c>
    </row>
    <row r="41" spans="1:48" ht="12.75">
      <c r="A41" t="s">
        <v>117</v>
      </c>
      <c r="B41">
        <v>259525</v>
      </c>
      <c r="C41">
        <v>190558</v>
      </c>
      <c r="E41" t="s">
        <v>76</v>
      </c>
      <c r="F41">
        <v>18716</v>
      </c>
      <c r="G41">
        <v>9750</v>
      </c>
      <c r="H41">
        <v>12310</v>
      </c>
      <c r="I41">
        <v>9846</v>
      </c>
      <c r="J41">
        <v>1561</v>
      </c>
      <c r="K41">
        <v>1449</v>
      </c>
      <c r="L41">
        <v>13089</v>
      </c>
      <c r="M41">
        <v>8763</v>
      </c>
      <c r="N41">
        <v>0</v>
      </c>
      <c r="O41">
        <v>22</v>
      </c>
      <c r="P41">
        <v>435.6</v>
      </c>
      <c r="Q41">
        <v>9389</v>
      </c>
      <c r="T41" t="s">
        <v>76</v>
      </c>
      <c r="U41">
        <v>19005</v>
      </c>
      <c r="V41">
        <v>164.1</v>
      </c>
      <c r="W41">
        <v>0.52907</v>
      </c>
      <c r="X41">
        <v>671</v>
      </c>
      <c r="Y41">
        <v>5937</v>
      </c>
      <c r="Z41">
        <v>251</v>
      </c>
      <c r="AA41">
        <v>248.9</v>
      </c>
      <c r="AB41">
        <v>15926</v>
      </c>
      <c r="AC41">
        <v>158</v>
      </c>
      <c r="AD41">
        <v>0.48675</v>
      </c>
      <c r="AE41">
        <v>407</v>
      </c>
      <c r="AF41">
        <v>4048</v>
      </c>
      <c r="AG41">
        <v>268.5</v>
      </c>
      <c r="AH41">
        <v>264.4</v>
      </c>
      <c r="AK41" t="s">
        <v>183</v>
      </c>
      <c r="AV41">
        <v>1432</v>
      </c>
    </row>
    <row r="42" spans="1:48" ht="12.75">
      <c r="A42" t="s">
        <v>144</v>
      </c>
      <c r="B42">
        <v>16974</v>
      </c>
      <c r="C42">
        <v>2024</v>
      </c>
      <c r="E42" t="s">
        <v>78</v>
      </c>
      <c r="F42">
        <v>6354</v>
      </c>
      <c r="G42">
        <v>2714</v>
      </c>
      <c r="H42">
        <v>7499</v>
      </c>
      <c r="I42">
        <v>5401</v>
      </c>
      <c r="J42">
        <v>544</v>
      </c>
      <c r="K42">
        <v>392</v>
      </c>
      <c r="L42">
        <v>5297</v>
      </c>
      <c r="M42">
        <v>2965</v>
      </c>
      <c r="N42">
        <v>1</v>
      </c>
      <c r="O42">
        <v>40</v>
      </c>
      <c r="P42">
        <v>378.1</v>
      </c>
      <c r="Q42">
        <v>5870</v>
      </c>
      <c r="T42" t="s">
        <v>9</v>
      </c>
      <c r="U42">
        <v>650</v>
      </c>
      <c r="V42">
        <v>138.6</v>
      </c>
      <c r="W42">
        <v>0.31385</v>
      </c>
      <c r="X42">
        <v>8</v>
      </c>
      <c r="Y42">
        <v>96</v>
      </c>
      <c r="Z42">
        <v>291.6</v>
      </c>
      <c r="AA42">
        <v>250.6</v>
      </c>
      <c r="AB42">
        <v>2368</v>
      </c>
      <c r="AC42">
        <v>237.6</v>
      </c>
      <c r="AD42">
        <v>0.80743</v>
      </c>
      <c r="AE42">
        <v>3</v>
      </c>
      <c r="AF42">
        <v>62</v>
      </c>
      <c r="AG42">
        <v>323.3</v>
      </c>
      <c r="AH42">
        <v>247.7</v>
      </c>
      <c r="AK42" t="s">
        <v>184</v>
      </c>
      <c r="AV42">
        <v>1456</v>
      </c>
    </row>
    <row r="43" spans="1:48" ht="12.75">
      <c r="A43" t="s">
        <v>139</v>
      </c>
      <c r="B43">
        <v>9691</v>
      </c>
      <c r="C43">
        <v>9673</v>
      </c>
      <c r="E43" t="s">
        <v>87</v>
      </c>
      <c r="F43">
        <v>16049</v>
      </c>
      <c r="G43">
        <v>9016</v>
      </c>
      <c r="H43">
        <v>18914</v>
      </c>
      <c r="I43">
        <v>13103</v>
      </c>
      <c r="J43">
        <v>4273</v>
      </c>
      <c r="K43">
        <v>4038</v>
      </c>
      <c r="L43">
        <v>9718</v>
      </c>
      <c r="M43">
        <v>6602</v>
      </c>
      <c r="N43">
        <v>20</v>
      </c>
      <c r="O43">
        <v>123</v>
      </c>
      <c r="P43">
        <v>439.7</v>
      </c>
      <c r="Q43">
        <v>13235</v>
      </c>
      <c r="T43" t="s">
        <v>436</v>
      </c>
      <c r="U43">
        <v>1628</v>
      </c>
      <c r="V43">
        <v>78.6</v>
      </c>
      <c r="W43">
        <v>0.22359</v>
      </c>
      <c r="X43">
        <v>39</v>
      </c>
      <c r="Y43">
        <v>357</v>
      </c>
      <c r="Z43">
        <v>171.6</v>
      </c>
      <c r="AA43">
        <v>167.1</v>
      </c>
      <c r="AB43">
        <v>1343</v>
      </c>
      <c r="AC43">
        <v>92.3</v>
      </c>
      <c r="AD43">
        <v>0.26955</v>
      </c>
      <c r="AE43">
        <v>39</v>
      </c>
      <c r="AF43">
        <v>380</v>
      </c>
      <c r="AG43">
        <v>171.6</v>
      </c>
      <c r="AH43">
        <v>166.3</v>
      </c>
      <c r="AK43" t="s">
        <v>194</v>
      </c>
      <c r="AV43">
        <v>18811</v>
      </c>
    </row>
    <row r="44" spans="1:48" ht="12.75">
      <c r="A44" t="s">
        <v>122</v>
      </c>
      <c r="B44">
        <v>1853</v>
      </c>
      <c r="C44">
        <v>870</v>
      </c>
      <c r="E44" t="s">
        <v>49</v>
      </c>
      <c r="F44">
        <v>967</v>
      </c>
      <c r="G44">
        <v>281</v>
      </c>
      <c r="H44">
        <v>858</v>
      </c>
      <c r="I44">
        <v>487</v>
      </c>
      <c r="J44">
        <v>70</v>
      </c>
      <c r="K44">
        <v>43</v>
      </c>
      <c r="L44">
        <v>1161</v>
      </c>
      <c r="M44">
        <v>308</v>
      </c>
      <c r="N44">
        <v>9</v>
      </c>
      <c r="O44">
        <v>6</v>
      </c>
      <c r="P44">
        <v>349.1</v>
      </c>
      <c r="Q44">
        <v>550</v>
      </c>
      <c r="T44" t="s">
        <v>435</v>
      </c>
      <c r="U44">
        <v>654</v>
      </c>
      <c r="V44">
        <v>174.2</v>
      </c>
      <c r="W44">
        <v>0.56269</v>
      </c>
      <c r="X44">
        <v>98</v>
      </c>
      <c r="Y44">
        <v>1047</v>
      </c>
      <c r="Z44">
        <v>67.8</v>
      </c>
      <c r="AA44">
        <v>62.4</v>
      </c>
      <c r="AB44">
        <v>641</v>
      </c>
      <c r="AC44">
        <v>172.4</v>
      </c>
      <c r="AD44">
        <v>0.5585</v>
      </c>
      <c r="AE44">
        <v>94</v>
      </c>
      <c r="AF44">
        <v>1027</v>
      </c>
      <c r="AG44">
        <v>56.3</v>
      </c>
      <c r="AH44">
        <v>58.3</v>
      </c>
      <c r="AK44" t="s">
        <v>195</v>
      </c>
      <c r="AV44">
        <v>4564</v>
      </c>
    </row>
    <row r="45" spans="1:48" ht="12.75">
      <c r="A45" t="s">
        <v>125</v>
      </c>
      <c r="B45">
        <v>31813</v>
      </c>
      <c r="C45">
        <v>21666</v>
      </c>
      <c r="E45" t="s">
        <v>59</v>
      </c>
      <c r="F45">
        <v>3731</v>
      </c>
      <c r="G45">
        <v>1966</v>
      </c>
      <c r="H45">
        <v>2092</v>
      </c>
      <c r="I45">
        <v>1286</v>
      </c>
      <c r="J45">
        <v>421</v>
      </c>
      <c r="K45">
        <v>393</v>
      </c>
      <c r="L45">
        <v>974</v>
      </c>
      <c r="M45">
        <v>675</v>
      </c>
      <c r="N45">
        <v>0</v>
      </c>
      <c r="O45">
        <v>2</v>
      </c>
      <c r="P45">
        <v>212.1</v>
      </c>
      <c r="Q45">
        <v>1412</v>
      </c>
      <c r="T45" s="17" t="s">
        <v>434</v>
      </c>
      <c r="U45">
        <v>2445</v>
      </c>
      <c r="V45">
        <v>67.6</v>
      </c>
      <c r="W45">
        <v>0.15746</v>
      </c>
      <c r="X45">
        <v>54</v>
      </c>
      <c r="Y45">
        <v>323</v>
      </c>
      <c r="Z45">
        <v>102.6</v>
      </c>
      <c r="AA45">
        <v>139.5</v>
      </c>
      <c r="AB45">
        <v>1036</v>
      </c>
      <c r="AC45">
        <v>91.9</v>
      </c>
      <c r="AD45">
        <v>0.30212</v>
      </c>
      <c r="AE45">
        <v>11</v>
      </c>
      <c r="AF45">
        <v>171</v>
      </c>
      <c r="AG45">
        <v>187</v>
      </c>
      <c r="AH45">
        <v>201.6</v>
      </c>
      <c r="AK45" t="s">
        <v>196</v>
      </c>
      <c r="AV45">
        <v>3473</v>
      </c>
    </row>
    <row r="46" spans="1:48" ht="12.75">
      <c r="A46" t="s">
        <v>124</v>
      </c>
      <c r="B46">
        <v>5168</v>
      </c>
      <c r="C46">
        <v>3829</v>
      </c>
      <c r="E46" t="s">
        <v>80</v>
      </c>
      <c r="F46">
        <v>7881</v>
      </c>
      <c r="G46">
        <v>3954</v>
      </c>
      <c r="H46">
        <v>10087</v>
      </c>
      <c r="I46">
        <v>7509</v>
      </c>
      <c r="J46">
        <v>3451</v>
      </c>
      <c r="K46">
        <v>2960</v>
      </c>
      <c r="L46">
        <v>2183</v>
      </c>
      <c r="M46">
        <v>1657</v>
      </c>
      <c r="N46">
        <v>2</v>
      </c>
      <c r="O46">
        <v>55</v>
      </c>
      <c r="P46">
        <v>431.9</v>
      </c>
      <c r="Q46">
        <v>7999</v>
      </c>
      <c r="T46" t="s">
        <v>246</v>
      </c>
      <c r="U46">
        <v>13226</v>
      </c>
      <c r="V46">
        <v>166.3</v>
      </c>
      <c r="W46">
        <v>0.56737</v>
      </c>
      <c r="X46">
        <v>396</v>
      </c>
      <c r="Y46">
        <v>4750</v>
      </c>
      <c r="Z46">
        <v>289.8</v>
      </c>
      <c r="AA46">
        <v>269</v>
      </c>
      <c r="AB46">
        <v>12836</v>
      </c>
      <c r="AC46">
        <v>166.5</v>
      </c>
      <c r="AD46">
        <v>0.57269</v>
      </c>
      <c r="AE46">
        <v>394</v>
      </c>
      <c r="AF46">
        <v>4702</v>
      </c>
      <c r="AG46">
        <v>295.9</v>
      </c>
      <c r="AH46">
        <v>270.1</v>
      </c>
      <c r="AK46" t="s">
        <v>419</v>
      </c>
      <c r="AV46">
        <v>27</v>
      </c>
    </row>
    <row r="47" spans="1:48" ht="12.75">
      <c r="A47" t="s">
        <v>126</v>
      </c>
      <c r="B47">
        <v>137420</v>
      </c>
      <c r="C47">
        <v>47981</v>
      </c>
      <c r="E47" t="s">
        <v>45</v>
      </c>
      <c r="F47">
        <v>1119</v>
      </c>
      <c r="G47">
        <v>253</v>
      </c>
      <c r="H47">
        <v>3158</v>
      </c>
      <c r="I47">
        <v>2588</v>
      </c>
      <c r="J47">
        <v>1693</v>
      </c>
      <c r="K47">
        <v>1578</v>
      </c>
      <c r="L47">
        <v>710</v>
      </c>
      <c r="M47">
        <v>320</v>
      </c>
      <c r="N47">
        <v>0</v>
      </c>
      <c r="O47">
        <v>5</v>
      </c>
      <c r="P47">
        <v>521.7</v>
      </c>
      <c r="Q47">
        <v>2560</v>
      </c>
      <c r="T47" t="s">
        <v>247</v>
      </c>
      <c r="U47">
        <v>6892</v>
      </c>
      <c r="V47">
        <v>64.4</v>
      </c>
      <c r="W47">
        <v>0.1184</v>
      </c>
      <c r="X47">
        <v>740</v>
      </c>
      <c r="Y47">
        <v>8008</v>
      </c>
      <c r="Z47">
        <v>70</v>
      </c>
      <c r="AA47">
        <v>71.2</v>
      </c>
      <c r="AB47">
        <v>6906</v>
      </c>
      <c r="AC47">
        <v>64.7</v>
      </c>
      <c r="AD47">
        <v>0.11932</v>
      </c>
      <c r="AE47">
        <v>741</v>
      </c>
      <c r="AF47">
        <v>8017</v>
      </c>
      <c r="AG47">
        <v>70.3</v>
      </c>
      <c r="AH47">
        <v>71.4</v>
      </c>
      <c r="AK47" t="s">
        <v>200</v>
      </c>
      <c r="AV47">
        <v>17483</v>
      </c>
    </row>
    <row r="48" spans="1:48" ht="12.75">
      <c r="A48" t="s">
        <v>127</v>
      </c>
      <c r="B48">
        <v>821</v>
      </c>
      <c r="C48">
        <v>675</v>
      </c>
      <c r="E48" t="s">
        <v>85</v>
      </c>
      <c r="F48">
        <v>14113</v>
      </c>
      <c r="G48">
        <v>4744</v>
      </c>
      <c r="H48">
        <v>12542</v>
      </c>
      <c r="I48">
        <v>6806</v>
      </c>
      <c r="J48">
        <v>1339</v>
      </c>
      <c r="K48">
        <v>1160</v>
      </c>
      <c r="L48">
        <v>1919</v>
      </c>
      <c r="M48">
        <v>1158</v>
      </c>
      <c r="N48">
        <v>0</v>
      </c>
      <c r="O48">
        <v>62</v>
      </c>
      <c r="P48">
        <v>301.7</v>
      </c>
      <c r="Q48">
        <v>9141</v>
      </c>
      <c r="T48" t="s">
        <v>78</v>
      </c>
      <c r="U48">
        <v>6684</v>
      </c>
      <c r="V48">
        <v>133.4</v>
      </c>
      <c r="W48">
        <v>0.43986</v>
      </c>
      <c r="X48">
        <v>469</v>
      </c>
      <c r="Y48">
        <v>3803</v>
      </c>
      <c r="Z48">
        <v>182.5</v>
      </c>
      <c r="AA48">
        <v>186.1</v>
      </c>
      <c r="AB48">
        <v>7860</v>
      </c>
      <c r="AC48">
        <v>140.1</v>
      </c>
      <c r="AD48">
        <v>0.47799</v>
      </c>
      <c r="AE48">
        <v>579</v>
      </c>
      <c r="AF48">
        <v>4497</v>
      </c>
      <c r="AG48">
        <v>191.5</v>
      </c>
      <c r="AH48">
        <v>191.5</v>
      </c>
      <c r="AK48" t="s">
        <v>207</v>
      </c>
      <c r="AV48">
        <v>421</v>
      </c>
    </row>
    <row r="49" spans="1:48" ht="12.75">
      <c r="A49" t="s">
        <v>128</v>
      </c>
      <c r="B49">
        <v>34905</v>
      </c>
      <c r="C49">
        <v>29953</v>
      </c>
      <c r="E49" t="s">
        <v>44</v>
      </c>
      <c r="F49">
        <v>3941</v>
      </c>
      <c r="G49">
        <v>1651</v>
      </c>
      <c r="H49">
        <v>3101</v>
      </c>
      <c r="I49">
        <v>1765</v>
      </c>
      <c r="J49">
        <v>128</v>
      </c>
      <c r="K49">
        <v>61</v>
      </c>
      <c r="L49">
        <v>460</v>
      </c>
      <c r="M49">
        <v>344</v>
      </c>
      <c r="N49">
        <v>0</v>
      </c>
      <c r="O49">
        <v>7</v>
      </c>
      <c r="P49">
        <v>309.3</v>
      </c>
      <c r="Q49">
        <v>2009</v>
      </c>
      <c r="T49" t="s">
        <v>79</v>
      </c>
      <c r="U49">
        <v>6127</v>
      </c>
      <c r="V49">
        <v>161.9</v>
      </c>
      <c r="W49">
        <v>0.51412</v>
      </c>
      <c r="X49">
        <v>177</v>
      </c>
      <c r="Y49">
        <v>2199</v>
      </c>
      <c r="Z49">
        <v>202.3</v>
      </c>
      <c r="AA49">
        <v>225.6</v>
      </c>
      <c r="AB49">
        <v>5976</v>
      </c>
      <c r="AC49">
        <v>162.7</v>
      </c>
      <c r="AD49">
        <v>0.51841</v>
      </c>
      <c r="AE49">
        <v>156</v>
      </c>
      <c r="AF49">
        <v>2032</v>
      </c>
      <c r="AG49">
        <v>206</v>
      </c>
      <c r="AH49">
        <v>227.8</v>
      </c>
      <c r="AK49" t="s">
        <v>208</v>
      </c>
      <c r="AV49">
        <v>180</v>
      </c>
    </row>
    <row r="50" spans="1:48" ht="12.75">
      <c r="A50" t="s">
        <v>129</v>
      </c>
      <c r="B50">
        <v>2340</v>
      </c>
      <c r="C50">
        <v>1312</v>
      </c>
      <c r="E50" t="s">
        <v>66</v>
      </c>
      <c r="F50">
        <v>15798</v>
      </c>
      <c r="G50">
        <v>9415</v>
      </c>
      <c r="H50">
        <v>7782</v>
      </c>
      <c r="I50">
        <v>6029</v>
      </c>
      <c r="J50">
        <v>1539</v>
      </c>
      <c r="K50">
        <v>1389</v>
      </c>
      <c r="L50">
        <v>4025</v>
      </c>
      <c r="M50">
        <v>3164</v>
      </c>
      <c r="N50">
        <v>2</v>
      </c>
      <c r="O50">
        <v>32</v>
      </c>
      <c r="P50">
        <v>426.8</v>
      </c>
      <c r="Q50">
        <v>5989</v>
      </c>
      <c r="T50" t="s">
        <v>80</v>
      </c>
      <c r="U50">
        <v>8271</v>
      </c>
      <c r="V50">
        <v>151.7</v>
      </c>
      <c r="W50">
        <v>0.48809</v>
      </c>
      <c r="X50">
        <v>245</v>
      </c>
      <c r="Y50">
        <v>2908</v>
      </c>
      <c r="Z50">
        <v>216.6</v>
      </c>
      <c r="AA50">
        <v>206.8</v>
      </c>
      <c r="AB50">
        <v>8246</v>
      </c>
      <c r="AC50">
        <v>151.5</v>
      </c>
      <c r="AD50">
        <v>0.4863</v>
      </c>
      <c r="AE50">
        <v>245</v>
      </c>
      <c r="AF50">
        <v>2903</v>
      </c>
      <c r="AG50">
        <v>217.8</v>
      </c>
      <c r="AH50">
        <v>206.6</v>
      </c>
      <c r="AK50" t="s">
        <v>209</v>
      </c>
      <c r="AV50">
        <v>1497</v>
      </c>
    </row>
    <row r="51" spans="5:48" ht="12.75">
      <c r="E51" t="s">
        <v>57</v>
      </c>
      <c r="F51">
        <v>867</v>
      </c>
      <c r="G51">
        <v>113</v>
      </c>
      <c r="H51">
        <v>1399</v>
      </c>
      <c r="I51">
        <v>682</v>
      </c>
      <c r="J51">
        <v>315</v>
      </c>
      <c r="K51">
        <v>204</v>
      </c>
      <c r="L51">
        <v>463</v>
      </c>
      <c r="M51">
        <v>80</v>
      </c>
      <c r="N51">
        <v>0</v>
      </c>
      <c r="O51">
        <v>4</v>
      </c>
      <c r="P51">
        <v>265.2</v>
      </c>
      <c r="Q51">
        <v>948</v>
      </c>
      <c r="T51" t="s">
        <v>81</v>
      </c>
      <c r="U51">
        <v>3132</v>
      </c>
      <c r="V51">
        <v>76.4</v>
      </c>
      <c r="W51">
        <v>0.19189</v>
      </c>
      <c r="X51">
        <v>469</v>
      </c>
      <c r="Y51">
        <v>4729</v>
      </c>
      <c r="Z51">
        <v>61.1</v>
      </c>
      <c r="AA51">
        <v>64.4</v>
      </c>
      <c r="AB51">
        <v>3925</v>
      </c>
      <c r="AC51">
        <v>78</v>
      </c>
      <c r="AD51">
        <v>0.19516</v>
      </c>
      <c r="AE51">
        <v>499</v>
      </c>
      <c r="AF51">
        <v>5049</v>
      </c>
      <c r="AG51">
        <v>64.5</v>
      </c>
      <c r="AH51">
        <v>68.9</v>
      </c>
      <c r="AK51" t="s">
        <v>420</v>
      </c>
      <c r="AV51">
        <v>1181</v>
      </c>
    </row>
    <row r="52" spans="5:48" ht="12.75">
      <c r="E52" t="s">
        <v>84</v>
      </c>
      <c r="F52">
        <v>7254</v>
      </c>
      <c r="G52">
        <v>2497</v>
      </c>
      <c r="H52">
        <v>15280</v>
      </c>
      <c r="I52">
        <v>10606</v>
      </c>
      <c r="J52">
        <v>1893</v>
      </c>
      <c r="K52">
        <v>1852</v>
      </c>
      <c r="L52">
        <v>456</v>
      </c>
      <c r="M52">
        <v>217</v>
      </c>
      <c r="N52">
        <v>0</v>
      </c>
      <c r="O52">
        <v>4</v>
      </c>
      <c r="P52">
        <v>510.2</v>
      </c>
      <c r="Q52">
        <v>11765</v>
      </c>
      <c r="T52" t="s">
        <v>82</v>
      </c>
      <c r="U52">
        <v>5560</v>
      </c>
      <c r="V52">
        <v>203.3</v>
      </c>
      <c r="W52">
        <v>0.66619</v>
      </c>
      <c r="X52">
        <v>149</v>
      </c>
      <c r="Y52">
        <v>1704</v>
      </c>
      <c r="Z52">
        <v>256.1</v>
      </c>
      <c r="AA52">
        <v>245.6</v>
      </c>
      <c r="AB52">
        <v>4457</v>
      </c>
      <c r="AC52">
        <v>213.3</v>
      </c>
      <c r="AD52">
        <v>0.66861</v>
      </c>
      <c r="AE52">
        <v>90</v>
      </c>
      <c r="AF52">
        <v>1026</v>
      </c>
      <c r="AG52">
        <v>294</v>
      </c>
      <c r="AH52">
        <v>271</v>
      </c>
      <c r="AK52" t="s">
        <v>421</v>
      </c>
      <c r="AV52">
        <v>1315</v>
      </c>
    </row>
    <row r="53" spans="5:48" ht="12.75">
      <c r="E53" t="s">
        <v>152</v>
      </c>
      <c r="F53">
        <v>114859</v>
      </c>
      <c r="G53">
        <v>56221</v>
      </c>
      <c r="H53">
        <v>110298</v>
      </c>
      <c r="I53">
        <v>77179</v>
      </c>
      <c r="J53">
        <v>20150</v>
      </c>
      <c r="K53">
        <v>18021</v>
      </c>
      <c r="L53">
        <v>48924</v>
      </c>
      <c r="M53">
        <v>30502</v>
      </c>
      <c r="N53">
        <v>297</v>
      </c>
      <c r="O53">
        <v>593</v>
      </c>
      <c r="P53">
        <v>418</v>
      </c>
      <c r="Q53">
        <v>82876</v>
      </c>
      <c r="T53" t="s">
        <v>83</v>
      </c>
      <c r="U53">
        <v>17910</v>
      </c>
      <c r="V53">
        <v>155.5</v>
      </c>
      <c r="W53">
        <v>0.49509</v>
      </c>
      <c r="X53">
        <v>797</v>
      </c>
      <c r="Y53">
        <v>6018</v>
      </c>
      <c r="Z53">
        <v>261.1</v>
      </c>
      <c r="AA53">
        <v>248</v>
      </c>
      <c r="AB53">
        <v>17330</v>
      </c>
      <c r="AC53">
        <v>148</v>
      </c>
      <c r="AD53">
        <v>0.47617</v>
      </c>
      <c r="AE53">
        <v>750</v>
      </c>
      <c r="AF53">
        <v>5522</v>
      </c>
      <c r="AG53">
        <v>256.3</v>
      </c>
      <c r="AH53">
        <v>237.9</v>
      </c>
      <c r="AK53" t="s">
        <v>417</v>
      </c>
      <c r="AV53">
        <v>73409</v>
      </c>
    </row>
    <row r="54" spans="5:48" ht="12.75">
      <c r="E54" t="s">
        <v>34</v>
      </c>
      <c r="F54">
        <v>22975</v>
      </c>
      <c r="G54">
        <v>10558</v>
      </c>
      <c r="H54">
        <v>21042</v>
      </c>
      <c r="I54">
        <v>13995</v>
      </c>
      <c r="J54">
        <v>3215</v>
      </c>
      <c r="K54">
        <v>2607</v>
      </c>
      <c r="L54">
        <v>7627</v>
      </c>
      <c r="M54">
        <v>3270</v>
      </c>
      <c r="N54">
        <v>48</v>
      </c>
      <c r="O54">
        <v>22</v>
      </c>
      <c r="P54">
        <v>359.2</v>
      </c>
      <c r="Q54">
        <v>16475</v>
      </c>
      <c r="T54" t="s">
        <v>248</v>
      </c>
      <c r="U54">
        <v>1542</v>
      </c>
      <c r="V54">
        <v>103.5</v>
      </c>
      <c r="W54">
        <v>0.26978</v>
      </c>
      <c r="X54">
        <v>120</v>
      </c>
      <c r="Y54">
        <v>1133</v>
      </c>
      <c r="Z54">
        <v>158.2</v>
      </c>
      <c r="AA54">
        <v>156.3</v>
      </c>
      <c r="AB54">
        <v>2864</v>
      </c>
      <c r="AC54">
        <v>95</v>
      </c>
      <c r="AD54">
        <v>0.17668</v>
      </c>
      <c r="AE54">
        <v>119</v>
      </c>
      <c r="AF54">
        <v>1205</v>
      </c>
      <c r="AG54">
        <v>151.6</v>
      </c>
      <c r="AH54">
        <v>161.7</v>
      </c>
      <c r="AK54" t="s">
        <v>185</v>
      </c>
      <c r="AV54">
        <v>4776</v>
      </c>
    </row>
    <row r="55" spans="5:48" ht="12.75">
      <c r="E55" t="s">
        <v>63</v>
      </c>
      <c r="F55">
        <v>7451</v>
      </c>
      <c r="G55">
        <v>4637</v>
      </c>
      <c r="H55">
        <v>4698</v>
      </c>
      <c r="I55">
        <v>3551</v>
      </c>
      <c r="J55">
        <v>1106</v>
      </c>
      <c r="K55">
        <v>1023</v>
      </c>
      <c r="L55">
        <v>2739</v>
      </c>
      <c r="M55">
        <v>2017</v>
      </c>
      <c r="N55">
        <v>72</v>
      </c>
      <c r="O55">
        <v>129</v>
      </c>
      <c r="P55">
        <v>385.7</v>
      </c>
      <c r="Q55">
        <v>3915</v>
      </c>
      <c r="T55" t="s">
        <v>249</v>
      </c>
      <c r="U55">
        <v>5787</v>
      </c>
      <c r="V55">
        <v>102.7</v>
      </c>
      <c r="W55">
        <v>0.36236</v>
      </c>
      <c r="X55">
        <v>281</v>
      </c>
      <c r="Y55">
        <v>2519</v>
      </c>
      <c r="Z55">
        <v>171</v>
      </c>
      <c r="AA55">
        <v>189.2</v>
      </c>
      <c r="AB55">
        <v>5857</v>
      </c>
      <c r="AC55">
        <v>101.8</v>
      </c>
      <c r="AD55">
        <v>0.3582</v>
      </c>
      <c r="AE55">
        <v>281</v>
      </c>
      <c r="AF55">
        <v>2500</v>
      </c>
      <c r="AG55">
        <v>171</v>
      </c>
      <c r="AH55">
        <v>189.3</v>
      </c>
      <c r="AK55" t="s">
        <v>186</v>
      </c>
      <c r="AV55">
        <v>1842</v>
      </c>
    </row>
    <row r="56" spans="5:48" ht="12.75">
      <c r="E56" t="s">
        <v>83</v>
      </c>
      <c r="F56">
        <v>17655</v>
      </c>
      <c r="G56">
        <v>8686</v>
      </c>
      <c r="H56">
        <v>18019</v>
      </c>
      <c r="I56">
        <v>13527</v>
      </c>
      <c r="J56">
        <v>2672</v>
      </c>
      <c r="K56">
        <v>2260</v>
      </c>
      <c r="L56">
        <v>6523</v>
      </c>
      <c r="M56">
        <v>4483</v>
      </c>
      <c r="N56">
        <v>6</v>
      </c>
      <c r="O56">
        <v>25</v>
      </c>
      <c r="P56">
        <v>428.7</v>
      </c>
      <c r="Q56">
        <v>15626</v>
      </c>
      <c r="T56" t="s">
        <v>250</v>
      </c>
      <c r="U56">
        <v>10993</v>
      </c>
      <c r="V56">
        <v>116.7</v>
      </c>
      <c r="W56">
        <v>0.35432</v>
      </c>
      <c r="X56">
        <v>690</v>
      </c>
      <c r="Y56">
        <v>6318</v>
      </c>
      <c r="Z56">
        <v>167.5</v>
      </c>
      <c r="AA56">
        <v>175.8</v>
      </c>
      <c r="AB56">
        <v>11678</v>
      </c>
      <c r="AC56">
        <v>119.1</v>
      </c>
      <c r="AD56">
        <v>0.35888</v>
      </c>
      <c r="AE56">
        <v>753</v>
      </c>
      <c r="AF56">
        <v>7007</v>
      </c>
      <c r="AG56">
        <v>173.5</v>
      </c>
      <c r="AH56">
        <v>181.9</v>
      </c>
      <c r="AK56" t="s">
        <v>187</v>
      </c>
      <c r="AV56">
        <v>517</v>
      </c>
    </row>
    <row r="57" spans="5:48" ht="12.75">
      <c r="E57" t="s">
        <v>52</v>
      </c>
      <c r="F57">
        <v>14745</v>
      </c>
      <c r="G57">
        <v>6912</v>
      </c>
      <c r="H57">
        <v>17209</v>
      </c>
      <c r="I57">
        <v>10784</v>
      </c>
      <c r="J57">
        <v>1334</v>
      </c>
      <c r="K57">
        <v>1214</v>
      </c>
      <c r="L57">
        <v>2846</v>
      </c>
      <c r="M57">
        <v>1851</v>
      </c>
      <c r="N57">
        <v>3</v>
      </c>
      <c r="O57">
        <v>36</v>
      </c>
      <c r="P57">
        <v>286</v>
      </c>
      <c r="Q57">
        <v>12633</v>
      </c>
      <c r="T57" t="s">
        <v>251</v>
      </c>
      <c r="U57">
        <v>3366</v>
      </c>
      <c r="V57">
        <v>89.3</v>
      </c>
      <c r="W57">
        <v>0.27956</v>
      </c>
      <c r="X57">
        <v>268</v>
      </c>
      <c r="Y57">
        <v>2176</v>
      </c>
      <c r="Z57">
        <v>117.5</v>
      </c>
      <c r="AA57">
        <v>105.6</v>
      </c>
      <c r="AB57">
        <v>4521</v>
      </c>
      <c r="AC57">
        <v>80.5</v>
      </c>
      <c r="AD57">
        <v>0.22318</v>
      </c>
      <c r="AE57">
        <v>310</v>
      </c>
      <c r="AF57">
        <v>2325</v>
      </c>
      <c r="AG57">
        <v>112.7</v>
      </c>
      <c r="AH57">
        <v>103.4</v>
      </c>
      <c r="AK57" t="s">
        <v>188</v>
      </c>
      <c r="AV57">
        <v>8426</v>
      </c>
    </row>
    <row r="58" spans="5:48" ht="12.75">
      <c r="E58" t="s">
        <v>86</v>
      </c>
      <c r="F58">
        <v>3424</v>
      </c>
      <c r="G58">
        <v>1413</v>
      </c>
      <c r="H58">
        <v>3814</v>
      </c>
      <c r="I58">
        <v>2530</v>
      </c>
      <c r="J58">
        <v>653</v>
      </c>
      <c r="K58">
        <v>591</v>
      </c>
      <c r="L58">
        <v>2162</v>
      </c>
      <c r="M58">
        <v>1439</v>
      </c>
      <c r="N58">
        <v>0</v>
      </c>
      <c r="O58">
        <v>3</v>
      </c>
      <c r="P58">
        <v>321.8</v>
      </c>
      <c r="Q58">
        <v>2636</v>
      </c>
      <c r="T58" t="s">
        <v>86</v>
      </c>
      <c r="U58">
        <v>3438</v>
      </c>
      <c r="V58">
        <v>132.8</v>
      </c>
      <c r="W58">
        <v>0.40518</v>
      </c>
      <c r="X58">
        <v>196</v>
      </c>
      <c r="Y58">
        <v>1797</v>
      </c>
      <c r="Z58">
        <v>164.7</v>
      </c>
      <c r="AA58">
        <v>180.2</v>
      </c>
      <c r="AB58">
        <v>3903</v>
      </c>
      <c r="AC58">
        <v>128.6</v>
      </c>
      <c r="AD58">
        <v>0.3938</v>
      </c>
      <c r="AE58">
        <v>230</v>
      </c>
      <c r="AF58">
        <v>1993</v>
      </c>
      <c r="AG58">
        <v>163.7</v>
      </c>
      <c r="AH58">
        <v>174.6</v>
      </c>
      <c r="AK58" t="s">
        <v>189</v>
      </c>
      <c r="AV58">
        <v>4678</v>
      </c>
    </row>
    <row r="59" spans="5:48" ht="12.75">
      <c r="E59" t="s">
        <v>72</v>
      </c>
      <c r="F59">
        <v>11883</v>
      </c>
      <c r="G59">
        <v>4225</v>
      </c>
      <c r="H59">
        <v>7790</v>
      </c>
      <c r="I59">
        <v>3777</v>
      </c>
      <c r="J59">
        <v>1604</v>
      </c>
      <c r="K59">
        <v>1387</v>
      </c>
      <c r="L59">
        <v>3406</v>
      </c>
      <c r="M59">
        <v>2679</v>
      </c>
      <c r="N59">
        <v>4</v>
      </c>
      <c r="O59">
        <v>204</v>
      </c>
      <c r="P59">
        <v>228.5</v>
      </c>
      <c r="Q59">
        <v>5533</v>
      </c>
      <c r="T59" t="s">
        <v>87</v>
      </c>
      <c r="U59">
        <v>16958</v>
      </c>
      <c r="V59">
        <v>183.9</v>
      </c>
      <c r="W59">
        <v>0.57289</v>
      </c>
      <c r="X59">
        <v>1416</v>
      </c>
      <c r="Y59">
        <v>12268</v>
      </c>
      <c r="Z59">
        <v>143.9</v>
      </c>
      <c r="AA59">
        <v>146</v>
      </c>
      <c r="AB59">
        <v>14687</v>
      </c>
      <c r="AC59">
        <v>183.7</v>
      </c>
      <c r="AD59">
        <v>0.57861</v>
      </c>
      <c r="AE59">
        <v>1323</v>
      </c>
      <c r="AF59">
        <v>11370</v>
      </c>
      <c r="AG59">
        <v>136.2</v>
      </c>
      <c r="AH59">
        <v>136.6</v>
      </c>
      <c r="AK59" t="s">
        <v>190</v>
      </c>
      <c r="AV59">
        <v>6232</v>
      </c>
    </row>
    <row r="60" spans="5:48" ht="12.75">
      <c r="E60" t="s">
        <v>61</v>
      </c>
      <c r="F60">
        <v>2364</v>
      </c>
      <c r="G60">
        <v>631</v>
      </c>
      <c r="H60">
        <v>2556</v>
      </c>
      <c r="I60">
        <v>1473</v>
      </c>
      <c r="J60">
        <v>193</v>
      </c>
      <c r="K60">
        <v>179</v>
      </c>
      <c r="L60">
        <v>1679</v>
      </c>
      <c r="M60">
        <v>529</v>
      </c>
      <c r="N60">
        <v>3</v>
      </c>
      <c r="O60">
        <v>13</v>
      </c>
      <c r="P60">
        <v>245</v>
      </c>
      <c r="Q60">
        <v>1803</v>
      </c>
      <c r="T60" t="s">
        <v>88</v>
      </c>
      <c r="U60">
        <v>1242</v>
      </c>
      <c r="V60">
        <v>99.6</v>
      </c>
      <c r="W60">
        <v>0.281</v>
      </c>
      <c r="X60">
        <v>85</v>
      </c>
      <c r="Y60">
        <v>655</v>
      </c>
      <c r="Z60">
        <v>155.5</v>
      </c>
      <c r="AA60">
        <v>159.4</v>
      </c>
      <c r="AB60">
        <v>1889</v>
      </c>
      <c r="AC60">
        <v>113.4</v>
      </c>
      <c r="AD60">
        <v>0.30757</v>
      </c>
      <c r="AE60">
        <v>115</v>
      </c>
      <c r="AF60">
        <v>985</v>
      </c>
      <c r="AG60">
        <v>181.7</v>
      </c>
      <c r="AH60">
        <v>195.7</v>
      </c>
      <c r="AK60" t="s">
        <v>191</v>
      </c>
      <c r="AV60">
        <v>3750</v>
      </c>
    </row>
    <row r="61" spans="5:48" ht="12.75">
      <c r="E61" t="s">
        <v>67</v>
      </c>
      <c r="F61">
        <v>9285</v>
      </c>
      <c r="G61">
        <v>5742</v>
      </c>
      <c r="H61">
        <v>10745</v>
      </c>
      <c r="I61">
        <v>7139</v>
      </c>
      <c r="J61">
        <v>1499</v>
      </c>
      <c r="K61">
        <v>1414</v>
      </c>
      <c r="L61">
        <v>1786</v>
      </c>
      <c r="M61">
        <v>1480</v>
      </c>
      <c r="N61">
        <v>69</v>
      </c>
      <c r="O61">
        <v>204</v>
      </c>
      <c r="P61">
        <v>432.6</v>
      </c>
      <c r="Q61">
        <v>8136</v>
      </c>
      <c r="T61" t="s">
        <v>150</v>
      </c>
      <c r="U61">
        <v>162693</v>
      </c>
      <c r="V61">
        <v>155.6</v>
      </c>
      <c r="W61">
        <v>0.50218</v>
      </c>
      <c r="X61">
        <v>6384</v>
      </c>
      <c r="Y61">
        <v>61950</v>
      </c>
      <c r="Z61">
        <v>225.2</v>
      </c>
      <c r="AA61">
        <v>225.4</v>
      </c>
      <c r="AB61">
        <v>152051</v>
      </c>
      <c r="AC61">
        <v>155.3</v>
      </c>
      <c r="AD61">
        <v>0.50918</v>
      </c>
      <c r="AE61">
        <v>6002</v>
      </c>
      <c r="AF61">
        <v>58166</v>
      </c>
      <c r="AG61">
        <v>220.9</v>
      </c>
      <c r="AH61">
        <v>219.7</v>
      </c>
      <c r="AK61" t="s">
        <v>192</v>
      </c>
      <c r="AV61">
        <v>983</v>
      </c>
    </row>
    <row r="62" spans="5:48" ht="12.75">
      <c r="E62" t="s">
        <v>71</v>
      </c>
      <c r="F62">
        <v>8959</v>
      </c>
      <c r="G62">
        <v>4752</v>
      </c>
      <c r="H62">
        <v>11740</v>
      </c>
      <c r="I62">
        <v>8424</v>
      </c>
      <c r="J62">
        <v>4616</v>
      </c>
      <c r="K62">
        <v>4315</v>
      </c>
      <c r="L62">
        <v>2630</v>
      </c>
      <c r="M62">
        <v>1640</v>
      </c>
      <c r="N62">
        <v>2</v>
      </c>
      <c r="O62">
        <v>270</v>
      </c>
      <c r="P62">
        <v>367.8</v>
      </c>
      <c r="Q62">
        <v>10728</v>
      </c>
      <c r="T62" t="s">
        <v>89</v>
      </c>
      <c r="U62">
        <v>8951</v>
      </c>
      <c r="V62">
        <v>144.1</v>
      </c>
      <c r="W62">
        <v>0.48453</v>
      </c>
      <c r="X62">
        <v>366</v>
      </c>
      <c r="Y62">
        <v>3529</v>
      </c>
      <c r="Z62">
        <v>204.7</v>
      </c>
      <c r="AA62">
        <v>205.6</v>
      </c>
      <c r="AB62">
        <v>9681</v>
      </c>
      <c r="AC62">
        <v>143.1</v>
      </c>
      <c r="AD62">
        <v>0.47516</v>
      </c>
      <c r="AE62">
        <v>397</v>
      </c>
      <c r="AF62">
        <v>3810</v>
      </c>
      <c r="AG62">
        <v>211.2</v>
      </c>
      <c r="AH62">
        <v>209.4</v>
      </c>
      <c r="AK62" t="s">
        <v>193</v>
      </c>
      <c r="AV62">
        <v>5340</v>
      </c>
    </row>
    <row r="63" spans="5:48" ht="12.75">
      <c r="E63" t="s">
        <v>94</v>
      </c>
      <c r="F63">
        <v>893</v>
      </c>
      <c r="G63">
        <v>243</v>
      </c>
      <c r="H63">
        <v>48296</v>
      </c>
      <c r="I63">
        <v>43844</v>
      </c>
      <c r="J63">
        <v>137</v>
      </c>
      <c r="K63">
        <v>134</v>
      </c>
      <c r="L63">
        <v>763</v>
      </c>
      <c r="M63">
        <v>588</v>
      </c>
      <c r="N63">
        <v>0</v>
      </c>
      <c r="O63">
        <v>2</v>
      </c>
      <c r="P63">
        <v>264.3</v>
      </c>
      <c r="Q63">
        <v>47607</v>
      </c>
      <c r="T63" t="s">
        <v>252</v>
      </c>
      <c r="U63">
        <v>8303</v>
      </c>
      <c r="V63">
        <v>121.8</v>
      </c>
      <c r="W63">
        <v>0.38263</v>
      </c>
      <c r="X63">
        <v>435</v>
      </c>
      <c r="Y63">
        <v>3311</v>
      </c>
      <c r="Z63">
        <v>149.8</v>
      </c>
      <c r="AA63">
        <v>146.7</v>
      </c>
      <c r="AB63">
        <v>13094</v>
      </c>
      <c r="AC63">
        <v>144.1</v>
      </c>
      <c r="AD63">
        <v>0.447</v>
      </c>
      <c r="AE63">
        <v>635</v>
      </c>
      <c r="AF63">
        <v>4980</v>
      </c>
      <c r="AG63">
        <v>182.2</v>
      </c>
      <c r="AH63">
        <v>185.8</v>
      </c>
      <c r="AK63" t="s">
        <v>197</v>
      </c>
      <c r="AV63">
        <v>1450</v>
      </c>
    </row>
    <row r="64" spans="5:48" ht="12.75">
      <c r="E64" t="s">
        <v>97</v>
      </c>
      <c r="F64">
        <v>34090</v>
      </c>
      <c r="G64">
        <v>15159</v>
      </c>
      <c r="H64">
        <v>27260</v>
      </c>
      <c r="I64">
        <v>18144</v>
      </c>
      <c r="J64">
        <v>4668</v>
      </c>
      <c r="K64">
        <v>4432</v>
      </c>
      <c r="L64">
        <v>8693</v>
      </c>
      <c r="M64">
        <v>4311</v>
      </c>
      <c r="N64">
        <v>2</v>
      </c>
      <c r="O64">
        <v>13</v>
      </c>
      <c r="P64">
        <v>381.5</v>
      </c>
      <c r="Q64">
        <v>22224</v>
      </c>
      <c r="T64" t="s">
        <v>253</v>
      </c>
      <c r="U64">
        <v>7189</v>
      </c>
      <c r="V64">
        <v>50.3</v>
      </c>
      <c r="W64">
        <v>0.05147</v>
      </c>
      <c r="X64">
        <v>1215</v>
      </c>
      <c r="Y64">
        <v>10222</v>
      </c>
      <c r="Z64">
        <v>65.5</v>
      </c>
      <c r="AA64">
        <v>62.3</v>
      </c>
      <c r="AB64">
        <v>7186</v>
      </c>
      <c r="AC64">
        <v>50.3</v>
      </c>
      <c r="AD64">
        <v>0.05149</v>
      </c>
      <c r="AE64">
        <v>1215</v>
      </c>
      <c r="AF64">
        <v>10226</v>
      </c>
      <c r="AG64">
        <v>65.5</v>
      </c>
      <c r="AH64">
        <v>62.4</v>
      </c>
      <c r="AK64" t="s">
        <v>199</v>
      </c>
      <c r="AV64">
        <v>1121</v>
      </c>
    </row>
    <row r="65" spans="5:48" ht="12.75">
      <c r="E65" t="s">
        <v>91</v>
      </c>
      <c r="F65">
        <v>35555</v>
      </c>
      <c r="G65">
        <v>19709</v>
      </c>
      <c r="H65">
        <v>21994</v>
      </c>
      <c r="I65">
        <v>15685</v>
      </c>
      <c r="J65">
        <v>2510</v>
      </c>
      <c r="K65">
        <v>1938</v>
      </c>
      <c r="L65">
        <v>21263</v>
      </c>
      <c r="M65">
        <v>6411</v>
      </c>
      <c r="N65">
        <v>7</v>
      </c>
      <c r="O65">
        <v>161</v>
      </c>
      <c r="P65">
        <v>349</v>
      </c>
      <c r="Q65">
        <v>18060</v>
      </c>
      <c r="T65" t="s">
        <v>91</v>
      </c>
      <c r="U65">
        <v>35812</v>
      </c>
      <c r="V65">
        <v>165.6</v>
      </c>
      <c r="W65">
        <v>0.55892</v>
      </c>
      <c r="X65">
        <v>1218</v>
      </c>
      <c r="Y65">
        <v>12510</v>
      </c>
      <c r="Z65">
        <v>245.3</v>
      </c>
      <c r="AA65">
        <v>244.3</v>
      </c>
      <c r="AB65">
        <v>31012</v>
      </c>
      <c r="AC65">
        <v>170.2</v>
      </c>
      <c r="AD65">
        <v>0.58658</v>
      </c>
      <c r="AE65">
        <v>1014</v>
      </c>
      <c r="AF65">
        <v>10731</v>
      </c>
      <c r="AG65">
        <v>246</v>
      </c>
      <c r="AH65">
        <v>241.6</v>
      </c>
      <c r="AK65" t="s">
        <v>422</v>
      </c>
      <c r="AV65">
        <v>229</v>
      </c>
    </row>
    <row r="66" spans="5:48" ht="12.75">
      <c r="E66" t="s">
        <v>150</v>
      </c>
      <c r="F66">
        <v>169279</v>
      </c>
      <c r="G66">
        <v>82667</v>
      </c>
      <c r="H66">
        <v>195163</v>
      </c>
      <c r="I66">
        <v>142873</v>
      </c>
      <c r="J66">
        <v>24207</v>
      </c>
      <c r="K66">
        <v>21494</v>
      </c>
      <c r="L66">
        <v>62117</v>
      </c>
      <c r="M66">
        <v>30698</v>
      </c>
      <c r="N66">
        <v>216</v>
      </c>
      <c r="O66">
        <v>1082</v>
      </c>
      <c r="P66">
        <v>333.3</v>
      </c>
      <c r="Q66">
        <v>165376</v>
      </c>
      <c r="T66" t="s">
        <v>92</v>
      </c>
      <c r="U66">
        <v>1173</v>
      </c>
      <c r="V66">
        <v>97.1</v>
      </c>
      <c r="W66">
        <v>0.23956</v>
      </c>
      <c r="X66">
        <v>50</v>
      </c>
      <c r="Y66">
        <v>951</v>
      </c>
      <c r="Z66">
        <v>108.6</v>
      </c>
      <c r="AA66">
        <v>118.4</v>
      </c>
      <c r="AB66">
        <v>7059</v>
      </c>
      <c r="AC66">
        <v>150.1</v>
      </c>
      <c r="AD66">
        <v>0.42286</v>
      </c>
      <c r="AE66">
        <v>189</v>
      </c>
      <c r="AF66">
        <v>3007</v>
      </c>
      <c r="AG66">
        <v>205.1</v>
      </c>
      <c r="AH66">
        <v>202.8</v>
      </c>
      <c r="AK66" t="s">
        <v>202</v>
      </c>
      <c r="AV66">
        <v>3422</v>
      </c>
    </row>
    <row r="67" spans="5:48" ht="12.75">
      <c r="E67" t="s">
        <v>280</v>
      </c>
      <c r="F67">
        <v>496764</v>
      </c>
      <c r="G67">
        <v>238394</v>
      </c>
      <c r="H67">
        <v>481266</v>
      </c>
      <c r="I67">
        <v>326807</v>
      </c>
      <c r="J67">
        <v>70240</v>
      </c>
      <c r="K67">
        <v>59910</v>
      </c>
      <c r="L67">
        <v>212467</v>
      </c>
      <c r="M67">
        <v>105416</v>
      </c>
      <c r="N67">
        <v>10876</v>
      </c>
      <c r="O67">
        <v>3742</v>
      </c>
      <c r="P67">
        <v>363.5</v>
      </c>
      <c r="Q67">
        <v>376746</v>
      </c>
      <c r="T67" t="s">
        <v>7</v>
      </c>
      <c r="U67">
        <v>523724</v>
      </c>
      <c r="V67">
        <v>145.9</v>
      </c>
      <c r="W67">
        <v>0.46685</v>
      </c>
      <c r="X67">
        <v>24103</v>
      </c>
      <c r="Y67">
        <v>227158</v>
      </c>
      <c r="Z67">
        <v>187.5</v>
      </c>
      <c r="AA67">
        <v>187.6</v>
      </c>
      <c r="AB67">
        <v>523724</v>
      </c>
      <c r="AC67">
        <v>145.9</v>
      </c>
      <c r="AD67">
        <v>0.46685</v>
      </c>
      <c r="AE67">
        <v>24103</v>
      </c>
      <c r="AF67">
        <v>227158</v>
      </c>
      <c r="AG67">
        <v>187.5</v>
      </c>
      <c r="AH67">
        <v>187.6</v>
      </c>
      <c r="AK67" t="s">
        <v>206</v>
      </c>
      <c r="AV67">
        <v>251</v>
      </c>
    </row>
    <row r="68" spans="5:48" ht="12.75">
      <c r="E68" t="s">
        <v>245</v>
      </c>
      <c r="F68">
        <v>5745</v>
      </c>
      <c r="G68">
        <v>396</v>
      </c>
      <c r="H68">
        <v>5249</v>
      </c>
      <c r="I68">
        <v>554</v>
      </c>
      <c r="J68">
        <v>56</v>
      </c>
      <c r="K68">
        <v>2</v>
      </c>
      <c r="L68">
        <v>391</v>
      </c>
      <c r="M68">
        <v>71</v>
      </c>
      <c r="N68">
        <v>509</v>
      </c>
      <c r="O68">
        <v>385</v>
      </c>
      <c r="P68">
        <v>62.4</v>
      </c>
      <c r="Q68">
        <v>3293</v>
      </c>
      <c r="T68" t="s">
        <v>254</v>
      </c>
      <c r="U68">
        <v>11179</v>
      </c>
      <c r="V68">
        <v>87.2</v>
      </c>
      <c r="W68">
        <v>0.25709</v>
      </c>
      <c r="X68">
        <v>475</v>
      </c>
      <c r="Y68">
        <v>4768</v>
      </c>
      <c r="Z68">
        <v>150.8</v>
      </c>
      <c r="AA68">
        <v>148.3</v>
      </c>
      <c r="AB68">
        <v>11179</v>
      </c>
      <c r="AC68">
        <v>87.2</v>
      </c>
      <c r="AD68">
        <v>0.25709</v>
      </c>
      <c r="AE68">
        <v>475</v>
      </c>
      <c r="AF68">
        <v>4768</v>
      </c>
      <c r="AG68">
        <v>150.8</v>
      </c>
      <c r="AH68">
        <v>148.3</v>
      </c>
      <c r="AK68" t="s">
        <v>423</v>
      </c>
      <c r="AV68">
        <v>246</v>
      </c>
    </row>
    <row r="69" spans="5:48" ht="12.75">
      <c r="E69" t="s">
        <v>281</v>
      </c>
      <c r="F69">
        <v>264</v>
      </c>
      <c r="G69">
        <v>123</v>
      </c>
      <c r="H69">
        <v>2062</v>
      </c>
      <c r="I69">
        <v>1802</v>
      </c>
      <c r="J69">
        <v>318</v>
      </c>
      <c r="K69">
        <v>302</v>
      </c>
      <c r="L69">
        <v>214</v>
      </c>
      <c r="M69">
        <v>182</v>
      </c>
      <c r="N69">
        <v>103</v>
      </c>
      <c r="O69">
        <v>0</v>
      </c>
      <c r="Q69">
        <v>0</v>
      </c>
      <c r="T69" t="s">
        <v>255</v>
      </c>
      <c r="U69">
        <v>19157</v>
      </c>
      <c r="V69">
        <v>60.5</v>
      </c>
      <c r="W69">
        <v>0.10137</v>
      </c>
      <c r="X69">
        <v>2804</v>
      </c>
      <c r="Y69">
        <v>26490</v>
      </c>
      <c r="Z69">
        <v>64.8</v>
      </c>
      <c r="AA69">
        <v>62.7</v>
      </c>
      <c r="AB69">
        <v>19157</v>
      </c>
      <c r="AC69">
        <v>60.5</v>
      </c>
      <c r="AD69">
        <v>0.10137</v>
      </c>
      <c r="AE69">
        <v>2804</v>
      </c>
      <c r="AF69">
        <v>26490</v>
      </c>
      <c r="AG69">
        <v>64.8</v>
      </c>
      <c r="AH69">
        <v>62.7</v>
      </c>
      <c r="AK69" t="s">
        <v>210</v>
      </c>
      <c r="AV69">
        <v>894</v>
      </c>
    </row>
    <row r="70" spans="5:48" ht="12.75">
      <c r="E70" t="s">
        <v>247</v>
      </c>
      <c r="F70">
        <v>8188</v>
      </c>
      <c r="G70">
        <v>988</v>
      </c>
      <c r="H70">
        <v>17045</v>
      </c>
      <c r="I70">
        <v>3264</v>
      </c>
      <c r="J70">
        <v>9173</v>
      </c>
      <c r="K70">
        <v>9141</v>
      </c>
      <c r="L70">
        <v>2265</v>
      </c>
      <c r="M70">
        <v>119</v>
      </c>
      <c r="N70">
        <v>1045</v>
      </c>
      <c r="O70">
        <v>1444</v>
      </c>
      <c r="P70">
        <v>87.1</v>
      </c>
      <c r="Q70">
        <v>10841</v>
      </c>
      <c r="T70" t="s">
        <v>256</v>
      </c>
      <c r="U70">
        <v>10587</v>
      </c>
      <c r="V70">
        <v>83.9</v>
      </c>
      <c r="W70">
        <v>0.23765</v>
      </c>
      <c r="X70">
        <v>574</v>
      </c>
      <c r="Y70">
        <v>4483</v>
      </c>
      <c r="Z70">
        <v>127.2</v>
      </c>
      <c r="AA70">
        <v>121.3</v>
      </c>
      <c r="AB70">
        <v>10587</v>
      </c>
      <c r="AC70">
        <v>83.9</v>
      </c>
      <c r="AD70">
        <v>0.23765</v>
      </c>
      <c r="AE70">
        <v>574</v>
      </c>
      <c r="AF70">
        <v>4483</v>
      </c>
      <c r="AG70">
        <v>127.2</v>
      </c>
      <c r="AH70">
        <v>121.3</v>
      </c>
      <c r="AK70" t="s">
        <v>417</v>
      </c>
      <c r="AV70">
        <v>44157</v>
      </c>
    </row>
    <row r="71" spans="5:48" ht="12.75">
      <c r="E71" t="s">
        <v>253</v>
      </c>
      <c r="F71">
        <v>7380</v>
      </c>
      <c r="G71">
        <v>244</v>
      </c>
      <c r="H71">
        <v>10087</v>
      </c>
      <c r="I71">
        <v>899</v>
      </c>
      <c r="J71">
        <v>306</v>
      </c>
      <c r="K71">
        <v>302</v>
      </c>
      <c r="L71">
        <v>127</v>
      </c>
      <c r="M71">
        <v>61</v>
      </c>
      <c r="N71">
        <v>4441</v>
      </c>
      <c r="O71">
        <v>1928</v>
      </c>
      <c r="P71">
        <v>66.2</v>
      </c>
      <c r="Q71">
        <v>6630</v>
      </c>
      <c r="T71" t="s">
        <v>257</v>
      </c>
      <c r="U71">
        <v>482801</v>
      </c>
      <c r="V71">
        <v>152</v>
      </c>
      <c r="W71">
        <v>0.49123</v>
      </c>
      <c r="X71">
        <v>20250</v>
      </c>
      <c r="Y71">
        <v>191417</v>
      </c>
      <c r="Z71">
        <v>207.1</v>
      </c>
      <c r="AA71">
        <v>207.4</v>
      </c>
      <c r="AB71">
        <v>482801</v>
      </c>
      <c r="AC71">
        <v>152</v>
      </c>
      <c r="AD71">
        <v>0.49123</v>
      </c>
      <c r="AE71">
        <v>20250</v>
      </c>
      <c r="AF71">
        <v>191417</v>
      </c>
      <c r="AG71">
        <v>207.1</v>
      </c>
      <c r="AH71">
        <v>207.4</v>
      </c>
      <c r="AK71" t="s">
        <v>7</v>
      </c>
      <c r="AL71">
        <v>191709</v>
      </c>
      <c r="AM71">
        <v>401.8</v>
      </c>
      <c r="AN71">
        <v>18701</v>
      </c>
      <c r="AO71">
        <v>59866</v>
      </c>
      <c r="AP71">
        <v>627.6</v>
      </c>
      <c r="AQ71">
        <v>20657</v>
      </c>
      <c r="AR71">
        <v>544.5</v>
      </c>
      <c r="AS71">
        <v>12325</v>
      </c>
      <c r="AT71">
        <v>161.8</v>
      </c>
      <c r="AU71">
        <v>371</v>
      </c>
      <c r="AV71">
        <v>284928</v>
      </c>
    </row>
    <row r="72" spans="5:34" ht="12.75">
      <c r="E72" t="s">
        <v>255</v>
      </c>
      <c r="F72">
        <v>21577</v>
      </c>
      <c r="G72">
        <v>1751</v>
      </c>
      <c r="H72">
        <v>34443</v>
      </c>
      <c r="I72">
        <v>6519</v>
      </c>
      <c r="J72">
        <v>9853</v>
      </c>
      <c r="K72">
        <v>9747</v>
      </c>
      <c r="L72">
        <v>2997</v>
      </c>
      <c r="M72">
        <v>433</v>
      </c>
      <c r="N72">
        <v>6098</v>
      </c>
      <c r="O72">
        <v>3757</v>
      </c>
      <c r="P72">
        <v>76.5</v>
      </c>
      <c r="Q72">
        <v>20764</v>
      </c>
      <c r="T72" t="s">
        <v>93</v>
      </c>
      <c r="U72">
        <v>25230</v>
      </c>
      <c r="V72">
        <v>148.2</v>
      </c>
      <c r="W72">
        <v>0.47761</v>
      </c>
      <c r="X72">
        <v>1078</v>
      </c>
      <c r="Y72">
        <v>9240</v>
      </c>
      <c r="Z72">
        <v>203.2</v>
      </c>
      <c r="AA72">
        <v>204.3</v>
      </c>
      <c r="AB72">
        <v>25147</v>
      </c>
      <c r="AC72">
        <v>149.1</v>
      </c>
      <c r="AD72">
        <v>0.47863</v>
      </c>
      <c r="AE72">
        <v>1103</v>
      </c>
      <c r="AF72">
        <v>9621</v>
      </c>
      <c r="AG72">
        <v>205.8</v>
      </c>
      <c r="AH72">
        <v>209.1</v>
      </c>
    </row>
    <row r="73" spans="20:34" ht="12.75">
      <c r="T73" t="s">
        <v>432</v>
      </c>
      <c r="U73">
        <v>650</v>
      </c>
      <c r="V73">
        <v>138.6</v>
      </c>
      <c r="W73">
        <v>0.31385</v>
      </c>
      <c r="X73">
        <v>8</v>
      </c>
      <c r="Y73">
        <v>96</v>
      </c>
      <c r="Z73">
        <v>291.6</v>
      </c>
      <c r="AA73">
        <v>250.6</v>
      </c>
      <c r="AB73">
        <v>2368</v>
      </c>
      <c r="AC73">
        <v>237.6</v>
      </c>
      <c r="AD73">
        <v>0.80743</v>
      </c>
      <c r="AE73">
        <v>3</v>
      </c>
      <c r="AF73">
        <v>62</v>
      </c>
      <c r="AG73">
        <v>323.3</v>
      </c>
      <c r="AH73">
        <v>247.7</v>
      </c>
    </row>
    <row r="74" spans="20:34" ht="12.75">
      <c r="T74" t="s">
        <v>152</v>
      </c>
      <c r="U74">
        <v>108217</v>
      </c>
      <c r="V74">
        <v>155.6</v>
      </c>
      <c r="W74">
        <v>0.50528</v>
      </c>
      <c r="X74">
        <v>5368</v>
      </c>
      <c r="Y74">
        <v>48253</v>
      </c>
      <c r="Z74">
        <v>194.5</v>
      </c>
      <c r="AA74">
        <v>194.8</v>
      </c>
      <c r="AB74">
        <v>105258</v>
      </c>
      <c r="AC74">
        <v>154</v>
      </c>
      <c r="AD74">
        <v>0.49512</v>
      </c>
      <c r="AE74">
        <v>5152</v>
      </c>
      <c r="AF74">
        <v>46694</v>
      </c>
      <c r="AG74">
        <v>194.3</v>
      </c>
      <c r="AH74">
        <v>195.4</v>
      </c>
    </row>
    <row r="75" spans="20:34" ht="12.75">
      <c r="T75" t="s">
        <v>258</v>
      </c>
      <c r="U75">
        <v>675</v>
      </c>
      <c r="V75">
        <v>134.4</v>
      </c>
      <c r="W75">
        <v>0.46667</v>
      </c>
      <c r="X75">
        <v>28</v>
      </c>
      <c r="Y75">
        <v>204</v>
      </c>
      <c r="Z75">
        <v>106.3</v>
      </c>
      <c r="AA75">
        <v>154.5</v>
      </c>
      <c r="AB75">
        <v>1037</v>
      </c>
      <c r="AC75">
        <v>162.5</v>
      </c>
      <c r="AD75">
        <v>0.63259</v>
      </c>
      <c r="AE75">
        <v>41</v>
      </c>
      <c r="AF75">
        <v>311</v>
      </c>
      <c r="AG75">
        <v>168.9</v>
      </c>
      <c r="AH75">
        <v>198.2</v>
      </c>
    </row>
    <row r="76" spans="20:34" ht="12.75">
      <c r="T76" t="s">
        <v>95</v>
      </c>
      <c r="U76">
        <v>3499</v>
      </c>
      <c r="V76">
        <v>133</v>
      </c>
      <c r="W76">
        <v>0.43612</v>
      </c>
      <c r="X76">
        <v>113</v>
      </c>
      <c r="Y76">
        <v>1189</v>
      </c>
      <c r="Z76">
        <v>185.8</v>
      </c>
      <c r="AA76">
        <v>189.5</v>
      </c>
      <c r="AB76">
        <v>3544</v>
      </c>
      <c r="AC76">
        <v>134.1</v>
      </c>
      <c r="AD76">
        <v>0.43962</v>
      </c>
      <c r="AE76">
        <v>116</v>
      </c>
      <c r="AF76">
        <v>1226</v>
      </c>
      <c r="AG76">
        <v>196.6</v>
      </c>
      <c r="AH76">
        <v>191.4</v>
      </c>
    </row>
    <row r="77" spans="16:34" ht="12.75">
      <c r="P77" s="17"/>
      <c r="Q77" s="17"/>
      <c r="R77" s="17"/>
      <c r="S77" s="17"/>
      <c r="T77" t="s">
        <v>96</v>
      </c>
      <c r="U77">
        <v>1288</v>
      </c>
      <c r="V77">
        <v>156.5</v>
      </c>
      <c r="W77">
        <v>0.51009</v>
      </c>
      <c r="X77">
        <v>47</v>
      </c>
      <c r="Y77">
        <v>458</v>
      </c>
      <c r="Z77">
        <v>246.4</v>
      </c>
      <c r="AA77">
        <v>246.6</v>
      </c>
      <c r="AB77">
        <v>1204</v>
      </c>
      <c r="AC77">
        <v>148.3</v>
      </c>
      <c r="AD77">
        <v>0.47674</v>
      </c>
      <c r="AE77">
        <v>40</v>
      </c>
      <c r="AF77">
        <v>409</v>
      </c>
      <c r="AG77">
        <v>222.3</v>
      </c>
      <c r="AH77">
        <v>228.9</v>
      </c>
    </row>
    <row r="78" spans="20:34" ht="12.75">
      <c r="T78" t="s">
        <v>259</v>
      </c>
      <c r="U78">
        <v>26713</v>
      </c>
      <c r="V78">
        <v>155.9</v>
      </c>
      <c r="W78">
        <v>0.51907</v>
      </c>
      <c r="X78">
        <v>1023</v>
      </c>
      <c r="Y78">
        <v>9091</v>
      </c>
      <c r="Z78">
        <v>220.8</v>
      </c>
      <c r="AA78">
        <v>224</v>
      </c>
      <c r="AB78">
        <v>22174</v>
      </c>
      <c r="AC78">
        <v>159.9</v>
      </c>
      <c r="AD78">
        <v>0.54681</v>
      </c>
      <c r="AE78">
        <v>823</v>
      </c>
      <c r="AF78">
        <v>7583</v>
      </c>
      <c r="AG78">
        <v>223.4</v>
      </c>
      <c r="AH78">
        <v>223.9</v>
      </c>
    </row>
    <row r="79" spans="20:34" ht="12.75">
      <c r="T79" t="s">
        <v>260</v>
      </c>
      <c r="U79">
        <v>3764</v>
      </c>
      <c r="V79">
        <v>67</v>
      </c>
      <c r="W79">
        <v>0.10972</v>
      </c>
      <c r="X79">
        <v>155</v>
      </c>
      <c r="Y79">
        <v>1892</v>
      </c>
      <c r="Z79">
        <v>108.9</v>
      </c>
      <c r="AA79">
        <v>90.1</v>
      </c>
      <c r="AB79">
        <v>3979</v>
      </c>
      <c r="AC79">
        <v>63.9</v>
      </c>
      <c r="AD79">
        <v>0.10405</v>
      </c>
      <c r="AE79">
        <v>155</v>
      </c>
      <c r="AF79">
        <v>1888</v>
      </c>
      <c r="AG79">
        <v>108.9</v>
      </c>
      <c r="AH79">
        <v>90.2</v>
      </c>
    </row>
    <row r="80" spans="3:36" ht="12.75">
      <c r="C80" s="17"/>
      <c r="T80" t="s">
        <v>261</v>
      </c>
      <c r="U80">
        <v>4776</v>
      </c>
      <c r="V80">
        <v>88.5</v>
      </c>
      <c r="W80">
        <v>0.24916</v>
      </c>
      <c r="X80">
        <v>252</v>
      </c>
      <c r="Y80">
        <v>1984</v>
      </c>
      <c r="Z80">
        <v>142.9</v>
      </c>
      <c r="AA80">
        <v>135.6</v>
      </c>
      <c r="AB80">
        <v>5030</v>
      </c>
      <c r="AC80">
        <v>85.3</v>
      </c>
      <c r="AD80">
        <v>0.23738</v>
      </c>
      <c r="AE80">
        <v>253</v>
      </c>
      <c r="AF80">
        <v>1987</v>
      </c>
      <c r="AG80">
        <v>142.4</v>
      </c>
      <c r="AH80">
        <v>135.4</v>
      </c>
      <c r="AI80" s="17"/>
      <c r="AJ80" s="17"/>
    </row>
    <row r="81" spans="20:34" ht="12.75">
      <c r="T81" s="17"/>
      <c r="U81" s="17"/>
      <c r="V81" s="17"/>
      <c r="W81" s="17"/>
      <c r="X81" s="17"/>
      <c r="Y81" s="17"/>
      <c r="Z81" s="17"/>
      <c r="AA81" s="17"/>
      <c r="AB81" s="17"/>
      <c r="AC81" s="17"/>
      <c r="AD81" s="17"/>
      <c r="AE81" s="17"/>
      <c r="AF81" s="17"/>
      <c r="AG81" s="17"/>
      <c r="AH81" s="17"/>
    </row>
    <row r="83" spans="4:15" ht="12.75">
      <c r="D83" s="17"/>
      <c r="E83" s="17"/>
      <c r="F83" s="17"/>
      <c r="G83" s="17"/>
      <c r="H83" s="17"/>
      <c r="I83" s="17"/>
      <c r="J83" s="17"/>
      <c r="K83" s="17"/>
      <c r="L83" s="17"/>
      <c r="M83" s="17"/>
      <c r="N83" s="17"/>
      <c r="O83" s="17"/>
    </row>
    <row r="111" spans="1:3" ht="12.75">
      <c r="A111" s="315"/>
      <c r="B111" s="315"/>
      <c r="C111" s="315"/>
    </row>
    <row r="113" spans="4:5" ht="12.75">
      <c r="D113" s="315"/>
      <c r="E113" s="315"/>
    </row>
    <row r="114" spans="1:6" ht="12.75">
      <c r="A114" s="314" t="s">
        <v>457</v>
      </c>
      <c r="B114" s="315"/>
      <c r="C114" s="315"/>
      <c r="D114" s="315"/>
      <c r="E114" s="315"/>
      <c r="F114" s="315"/>
    </row>
    <row r="115" spans="1:5" ht="13.5" thickBot="1">
      <c r="A115" s="313" t="s">
        <v>452</v>
      </c>
      <c r="B115" s="313" t="s">
        <v>453</v>
      </c>
      <c r="C115" s="313" t="s">
        <v>454</v>
      </c>
      <c r="D115" s="313" t="s">
        <v>455</v>
      </c>
      <c r="E115" s="313" t="s">
        <v>456</v>
      </c>
    </row>
    <row r="116" spans="1:19" ht="13.5" thickBot="1">
      <c r="A116" s="311" t="s">
        <v>266</v>
      </c>
      <c r="B116" s="312"/>
      <c r="C116" s="312"/>
      <c r="D116" s="87"/>
      <c r="E116" s="87"/>
      <c r="F116" s="87"/>
      <c r="G116" s="87"/>
      <c r="H116" s="87"/>
      <c r="I116" s="87"/>
      <c r="J116" s="87"/>
      <c r="K116" s="87"/>
      <c r="L116" s="87"/>
      <c r="M116" s="87"/>
      <c r="N116" s="87"/>
      <c r="O116" s="87"/>
      <c r="P116" s="87"/>
      <c r="Q116" s="87"/>
      <c r="R116" s="87"/>
      <c r="S116" s="87"/>
    </row>
    <row r="117" spans="1:37" ht="12.75">
      <c r="A117" s="39" t="s">
        <v>149</v>
      </c>
      <c r="B117" s="36" t="s">
        <v>46</v>
      </c>
      <c r="C117" s="36" t="s">
        <v>48</v>
      </c>
      <c r="D117" s="36" t="s">
        <v>33</v>
      </c>
      <c r="E117" s="36" t="s">
        <v>51</v>
      </c>
      <c r="F117" s="36" t="s">
        <v>55</v>
      </c>
      <c r="G117" s="36" t="s">
        <v>58</v>
      </c>
      <c r="H117" s="36" t="s">
        <v>62</v>
      </c>
      <c r="I117" s="36" t="s">
        <v>68</v>
      </c>
      <c r="J117" s="36" t="s">
        <v>74</v>
      </c>
      <c r="K117" s="36" t="s">
        <v>75</v>
      </c>
      <c r="L117" s="86" t="s">
        <v>263</v>
      </c>
      <c r="M117" s="36" t="s">
        <v>79</v>
      </c>
      <c r="N117" s="36" t="s">
        <v>81</v>
      </c>
      <c r="O117" s="36" t="s">
        <v>92</v>
      </c>
      <c r="P117" s="36" t="s">
        <v>258</v>
      </c>
      <c r="Q117" s="40" t="s">
        <v>96</v>
      </c>
      <c r="R117" s="36"/>
      <c r="T117" s="66"/>
      <c r="U117" s="66"/>
      <c r="V117" s="66"/>
      <c r="W117" s="66"/>
      <c r="X117" s="66"/>
      <c r="Y117" s="66"/>
      <c r="Z117" s="66"/>
      <c r="AA117" s="66"/>
      <c r="AB117" s="66"/>
      <c r="AC117" s="66"/>
      <c r="AD117" s="66"/>
      <c r="AE117" s="66"/>
      <c r="AF117" s="66"/>
      <c r="AG117" s="66"/>
      <c r="AH117" s="66"/>
      <c r="AI117" s="36"/>
      <c r="AJ117" s="36"/>
      <c r="AK117" s="36"/>
    </row>
    <row r="118" spans="1:37" ht="12.75">
      <c r="A118" s="39" t="s">
        <v>150</v>
      </c>
      <c r="B118" s="36" t="s">
        <v>34</v>
      </c>
      <c r="C118" s="36" t="s">
        <v>52</v>
      </c>
      <c r="D118" s="36" t="s">
        <v>61</v>
      </c>
      <c r="E118" s="5" t="s">
        <v>63</v>
      </c>
      <c r="F118" s="36" t="s">
        <v>67</v>
      </c>
      <c r="G118" s="36" t="s">
        <v>71</v>
      </c>
      <c r="H118" s="36" t="s">
        <v>72</v>
      </c>
      <c r="I118" s="36" t="s">
        <v>83</v>
      </c>
      <c r="J118" s="36" t="s">
        <v>86</v>
      </c>
      <c r="K118" s="36" t="s">
        <v>91</v>
      </c>
      <c r="L118" s="83" t="s">
        <v>262</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ht="12.75">
      <c r="A119" s="39" t="s">
        <v>151</v>
      </c>
      <c r="B119" s="36" t="s">
        <v>50</v>
      </c>
      <c r="C119" s="36" t="s">
        <v>54</v>
      </c>
      <c r="D119" s="36" t="s">
        <v>56</v>
      </c>
      <c r="E119" s="36" t="s">
        <v>60</v>
      </c>
      <c r="F119" s="36" t="s">
        <v>64</v>
      </c>
      <c r="G119" s="36" t="s">
        <v>65</v>
      </c>
      <c r="H119" s="5" t="s">
        <v>267</v>
      </c>
      <c r="I119" s="36" t="s">
        <v>36</v>
      </c>
      <c r="J119" s="36" t="s">
        <v>73</v>
      </c>
      <c r="K119" s="36" t="s">
        <v>88</v>
      </c>
      <c r="L119" s="36" t="s">
        <v>89</v>
      </c>
      <c r="M119" s="82" t="s">
        <v>268</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ht="12.75">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265</v>
      </c>
      <c r="P120" s="5" t="s">
        <v>264</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c r="A121" s="79" t="s">
        <v>9</v>
      </c>
      <c r="B121" s="80"/>
      <c r="C121" s="85"/>
      <c r="D121" s="85"/>
      <c r="E121" s="85"/>
      <c r="F121" s="85"/>
      <c r="G121" s="85"/>
      <c r="H121" s="85"/>
      <c r="I121" s="85"/>
      <c r="J121" s="85"/>
      <c r="K121" s="85"/>
      <c r="L121" s="85"/>
      <c r="M121" s="85"/>
      <c r="N121" s="85"/>
      <c r="O121" s="85"/>
      <c r="P121" s="85"/>
      <c r="Q121" s="85"/>
      <c r="R121" s="85"/>
      <c r="S121" s="85"/>
      <c r="T121" s="36"/>
      <c r="U121" s="36"/>
      <c r="V121" s="36"/>
      <c r="W121" s="36"/>
      <c r="X121" s="36"/>
      <c r="Y121" s="36"/>
      <c r="Z121" s="36"/>
      <c r="AA121" s="36"/>
      <c r="AB121" s="36"/>
      <c r="AC121" s="36"/>
      <c r="AD121" s="36"/>
      <c r="AE121" s="36"/>
      <c r="AF121" s="36"/>
      <c r="AG121" s="36"/>
      <c r="AH121" s="36"/>
      <c r="AI121" s="36"/>
      <c r="AJ121" s="36"/>
      <c r="AK121" s="36"/>
    </row>
    <row r="122" spans="1:34" ht="12.75">
      <c r="A122" s="37"/>
      <c r="B122" s="37"/>
      <c r="C122" s="37"/>
      <c r="T122" s="36"/>
      <c r="U122" s="36"/>
      <c r="V122" s="36"/>
      <c r="W122" s="36"/>
      <c r="X122" s="36"/>
      <c r="Y122" s="36"/>
      <c r="Z122" s="36"/>
      <c r="AA122" s="36"/>
      <c r="AB122" s="36"/>
      <c r="AC122" s="36"/>
      <c r="AD122" s="36"/>
      <c r="AE122" s="36"/>
      <c r="AF122" s="36"/>
      <c r="AG122" s="36"/>
      <c r="AH122" s="36"/>
    </row>
    <row r="123" spans="8:19" ht="12.75">
      <c r="H123" s="37"/>
      <c r="I123" s="37"/>
      <c r="J123" s="37"/>
      <c r="K123" s="37"/>
      <c r="L123" s="37"/>
      <c r="M123" s="37"/>
      <c r="N123" s="37"/>
      <c r="O123" s="37"/>
      <c r="P123" s="37"/>
      <c r="Q123" s="37"/>
      <c r="R123" s="37"/>
      <c r="S123" s="37"/>
    </row>
    <row r="124" spans="8:19" ht="12.75">
      <c r="H124" s="37"/>
      <c r="I124" s="37"/>
      <c r="J124" s="37"/>
      <c r="K124" s="37"/>
      <c r="L124" s="37"/>
      <c r="M124" s="37"/>
      <c r="N124" s="37"/>
      <c r="O124" s="37"/>
      <c r="P124" s="37"/>
      <c r="Q124" s="37"/>
      <c r="R124" s="37"/>
      <c r="S124" s="37"/>
    </row>
    <row r="125" spans="8:19" ht="21" customHeight="1">
      <c r="H125" s="37"/>
      <c r="I125" s="37"/>
      <c r="J125" s="37"/>
      <c r="K125" s="37"/>
      <c r="L125" s="37"/>
      <c r="M125" s="37"/>
      <c r="N125" s="37"/>
      <c r="O125" s="37"/>
      <c r="P125" s="37"/>
      <c r="Q125" s="37"/>
      <c r="R125" s="37"/>
      <c r="S125" s="37"/>
    </row>
    <row r="126" spans="8:19" ht="12.75">
      <c r="H126" s="37"/>
      <c r="I126" s="37"/>
      <c r="J126" s="37"/>
      <c r="K126" s="37"/>
      <c r="L126" s="37"/>
      <c r="M126" s="37"/>
      <c r="N126" s="37"/>
      <c r="O126" s="37"/>
      <c r="P126" s="37"/>
      <c r="Q126" s="37"/>
      <c r="R126" s="37"/>
      <c r="S126" s="37"/>
    </row>
    <row r="127" spans="8:19" ht="12.75">
      <c r="H127" s="13"/>
      <c r="I127" s="13"/>
      <c r="J127" s="13"/>
      <c r="K127" s="13"/>
      <c r="L127" s="13"/>
      <c r="M127" s="13"/>
      <c r="N127" s="13"/>
      <c r="O127" s="13"/>
      <c r="P127" s="37"/>
      <c r="Q127" s="37"/>
      <c r="R127" s="37"/>
      <c r="S127" s="37"/>
    </row>
    <row r="128" spans="8:19" ht="12.75">
      <c r="H128" s="37"/>
      <c r="I128" s="37"/>
      <c r="J128" s="37"/>
      <c r="K128" s="37"/>
      <c r="L128" s="37"/>
      <c r="M128" s="37"/>
      <c r="N128" s="37"/>
      <c r="O128" s="37"/>
      <c r="P128" s="37"/>
      <c r="Q128" s="37"/>
      <c r="R128" s="37"/>
      <c r="S128" s="37"/>
    </row>
    <row r="129" spans="8:19" ht="12.75">
      <c r="H129" s="37"/>
      <c r="I129" s="37"/>
      <c r="J129" s="37"/>
      <c r="K129" s="37"/>
      <c r="L129" s="37"/>
      <c r="M129" s="37"/>
      <c r="N129" s="37"/>
      <c r="O129" s="37"/>
      <c r="P129" s="37"/>
      <c r="Q129" s="37"/>
      <c r="R129" s="37"/>
      <c r="S129" s="37"/>
    </row>
  </sheetData>
  <sheetProtection/>
  <mergeCells count="4">
    <mergeCell ref="A1:C1"/>
    <mergeCell ref="AK1:AV1"/>
    <mergeCell ref="T1:AH1"/>
    <mergeCell ref="E1:Q1"/>
  </mergeCells>
  <printOptions/>
  <pageMargins left="0.7" right="0.7" top="0.75" bottom="0.75" header="0.3" footer="0.3"/>
  <pageSetup horizontalDpi="600" verticalDpi="600" orientation="portrait" r:id="rId5"/>
  <tableParts>
    <tablePart r:id="rId4"/>
    <tablePart r:id="rId3"/>
    <tablePart r:id="rId1"/>
    <tablePart r:id="rId2"/>
  </tableParts>
</worksheet>
</file>

<file path=xl/worksheets/sheet7.xml><?xml version="1.0" encoding="utf-8"?>
<worksheet xmlns="http://schemas.openxmlformats.org/spreadsheetml/2006/main" xmlns:r="http://schemas.openxmlformats.org/officeDocument/2006/relationships">
  <sheetPr>
    <tabColor rgb="FFFF0000"/>
  </sheetPr>
  <dimension ref="A1:AL82"/>
  <sheetViews>
    <sheetView zoomScale="55" zoomScaleNormal="55" zoomScalePageLayoutView="0" workbookViewId="0" topLeftCell="A1">
      <selection activeCell="A1" sqref="A1:W2"/>
    </sheetView>
  </sheetViews>
  <sheetFormatPr defaultColWidth="9.140625" defaultRowHeight="12.75"/>
  <cols>
    <col min="1" max="1" width="14.421875" style="0" bestFit="1" customWidth="1"/>
    <col min="2" max="2" width="4.421875" style="0" bestFit="1" customWidth="1"/>
    <col min="3" max="3" width="11.421875" style="0" bestFit="1" customWidth="1"/>
    <col min="4" max="4" width="7.8515625" style="0" bestFit="1" customWidth="1"/>
    <col min="5" max="5" width="12.140625" style="0" bestFit="1" customWidth="1"/>
    <col min="6" max="6" width="2.421875" style="0" customWidth="1"/>
    <col min="7" max="7" width="14.421875" style="0" bestFit="1" customWidth="1"/>
    <col min="8" max="8" width="4.421875" style="0" bestFit="1" customWidth="1"/>
    <col min="9" max="9" width="11.421875" style="0" bestFit="1" customWidth="1"/>
    <col min="10" max="10" width="7.8515625" style="0" bestFit="1" customWidth="1"/>
    <col min="11" max="11" width="12.8515625" style="0" customWidth="1"/>
    <col min="12" max="12" width="1.421875" style="0" customWidth="1"/>
    <col min="13" max="13" width="14.421875" style="0" bestFit="1" customWidth="1"/>
    <col min="14" max="14" width="4.421875" style="0" bestFit="1" customWidth="1"/>
    <col min="15" max="15" width="11.421875" style="0" bestFit="1" customWidth="1"/>
    <col min="16" max="16" width="7.8515625" style="0" bestFit="1" customWidth="1"/>
    <col min="17" max="17" width="12.140625" style="0" bestFit="1" customWidth="1"/>
    <col min="18" max="18" width="1.421875" style="0" customWidth="1"/>
    <col min="19" max="19" width="14.421875" style="0" bestFit="1" customWidth="1"/>
    <col min="20" max="20" width="4.421875" style="0" bestFit="1" customWidth="1"/>
    <col min="21" max="21" width="11.421875" style="0" bestFit="1" customWidth="1"/>
    <col min="22" max="22" width="7.8515625" style="0" bestFit="1" customWidth="1"/>
    <col min="23" max="23" width="12.140625" style="0" bestFit="1" customWidth="1"/>
    <col min="24" max="24" width="9.140625" style="0" customWidth="1"/>
    <col min="25" max="25" width="36.421875" style="0" bestFit="1" customWidth="1"/>
    <col min="26" max="26" width="10.28125" style="0" customWidth="1"/>
    <col min="27" max="27" width="11.421875" style="0" bestFit="1" customWidth="1"/>
    <col min="28" max="29" width="9.8515625" style="0" customWidth="1"/>
    <col min="30" max="30" width="11.421875" style="0" bestFit="1" customWidth="1"/>
    <col min="31" max="32" width="9.8515625" style="0" customWidth="1"/>
    <col min="33" max="33" width="11.421875" style="0" bestFit="1" customWidth="1"/>
    <col min="34" max="35" width="9.8515625" style="0" customWidth="1"/>
    <col min="36" max="36" width="11.421875" style="0" bestFit="1" customWidth="1"/>
    <col min="37" max="38" width="9.8515625" style="0" customWidth="1"/>
  </cols>
  <sheetData>
    <row r="1" spans="1:38" ht="12.75" customHeight="1">
      <c r="A1" s="532" t="s">
        <v>242</v>
      </c>
      <c r="B1" s="532"/>
      <c r="C1" s="532"/>
      <c r="D1" s="532"/>
      <c r="E1" s="532"/>
      <c r="F1" s="532"/>
      <c r="G1" s="532"/>
      <c r="H1" s="532"/>
      <c r="I1" s="532"/>
      <c r="J1" s="532"/>
      <c r="K1" s="532"/>
      <c r="L1" s="532"/>
      <c r="M1" s="532"/>
      <c r="N1" s="532"/>
      <c r="O1" s="532"/>
      <c r="P1" s="532"/>
      <c r="Q1" s="532"/>
      <c r="R1" s="532"/>
      <c r="S1" s="532"/>
      <c r="T1" s="532"/>
      <c r="U1" s="532"/>
      <c r="V1" s="532"/>
      <c r="W1" s="532"/>
      <c r="Y1" s="533" t="s">
        <v>215</v>
      </c>
      <c r="Z1" s="533"/>
      <c r="AA1" s="533"/>
      <c r="AB1" s="533"/>
      <c r="AC1" s="533"/>
      <c r="AD1" s="533"/>
      <c r="AE1" s="533"/>
      <c r="AF1" s="533"/>
      <c r="AG1" s="533"/>
      <c r="AH1" s="533"/>
      <c r="AI1" s="533"/>
      <c r="AJ1" s="533"/>
      <c r="AK1" s="533"/>
      <c r="AL1" s="533"/>
    </row>
    <row r="2" spans="1:38" ht="13.5" customHeight="1" thickBot="1">
      <c r="A2" s="532"/>
      <c r="B2" s="532"/>
      <c r="C2" s="532"/>
      <c r="D2" s="532"/>
      <c r="E2" s="532"/>
      <c r="F2" s="532"/>
      <c r="G2" s="532"/>
      <c r="H2" s="532"/>
      <c r="I2" s="532"/>
      <c r="J2" s="532"/>
      <c r="K2" s="532"/>
      <c r="L2" s="532"/>
      <c r="M2" s="532"/>
      <c r="N2" s="532"/>
      <c r="O2" s="532"/>
      <c r="P2" s="532"/>
      <c r="Q2" s="532"/>
      <c r="R2" s="532"/>
      <c r="S2" s="532"/>
      <c r="T2" s="532"/>
      <c r="U2" s="532"/>
      <c r="V2" s="532"/>
      <c r="W2" s="532"/>
      <c r="Y2" s="533"/>
      <c r="Z2" s="533"/>
      <c r="AA2" s="533"/>
      <c r="AB2" s="533"/>
      <c r="AC2" s="533"/>
      <c r="AD2" s="533"/>
      <c r="AE2" s="533"/>
      <c r="AF2" s="533"/>
      <c r="AG2" s="533"/>
      <c r="AH2" s="533"/>
      <c r="AI2" s="533"/>
      <c r="AJ2" s="533"/>
      <c r="AK2" s="533"/>
      <c r="AL2" s="533"/>
    </row>
    <row r="3" spans="1:38" ht="12.75" customHeight="1" thickTop="1">
      <c r="A3" s="36"/>
      <c r="B3" s="367"/>
      <c r="C3" s="524" t="s">
        <v>222</v>
      </c>
      <c r="D3" s="525"/>
      <c r="E3" s="526"/>
      <c r="F3" s="36"/>
      <c r="G3" s="36"/>
      <c r="H3" s="367"/>
      <c r="I3" s="524" t="s">
        <v>221</v>
      </c>
      <c r="J3" s="525"/>
      <c r="K3" s="526"/>
      <c r="M3" s="36"/>
      <c r="N3" s="367"/>
      <c r="O3" s="524" t="s">
        <v>220</v>
      </c>
      <c r="P3" s="525"/>
      <c r="Q3" s="526"/>
      <c r="S3" s="36"/>
      <c r="T3" s="367"/>
      <c r="U3" s="524" t="s">
        <v>219</v>
      </c>
      <c r="V3" s="525"/>
      <c r="W3" s="526"/>
      <c r="AA3" s="534" t="s">
        <v>221</v>
      </c>
      <c r="AB3" s="535"/>
      <c r="AC3" s="536"/>
      <c r="AD3" s="534" t="s">
        <v>222</v>
      </c>
      <c r="AE3" s="535"/>
      <c r="AF3" s="536"/>
      <c r="AG3" s="534" t="s">
        <v>220</v>
      </c>
      <c r="AH3" s="535"/>
      <c r="AI3" s="536"/>
      <c r="AJ3" s="534" t="s">
        <v>219</v>
      </c>
      <c r="AK3" s="535"/>
      <c r="AL3" s="536"/>
    </row>
    <row r="4" spans="1:38" ht="13.5" thickBot="1">
      <c r="A4" s="36"/>
      <c r="B4" s="367"/>
      <c r="C4" s="527"/>
      <c r="D4" s="528"/>
      <c r="E4" s="529"/>
      <c r="F4" s="36"/>
      <c r="G4" s="36"/>
      <c r="H4" s="367"/>
      <c r="I4" s="527"/>
      <c r="J4" s="528"/>
      <c r="K4" s="529"/>
      <c r="L4" s="286"/>
      <c r="M4" s="36"/>
      <c r="N4" s="367"/>
      <c r="O4" s="527"/>
      <c r="P4" s="528"/>
      <c r="Q4" s="529"/>
      <c r="R4" s="51"/>
      <c r="S4" s="36"/>
      <c r="T4" s="367"/>
      <c r="U4" s="527"/>
      <c r="V4" s="528"/>
      <c r="W4" s="529"/>
      <c r="Y4" s="543"/>
      <c r="Z4" s="543"/>
      <c r="AA4" s="537"/>
      <c r="AB4" s="538"/>
      <c r="AC4" s="539"/>
      <c r="AD4" s="537"/>
      <c r="AE4" s="538"/>
      <c r="AF4" s="539"/>
      <c r="AG4" s="537"/>
      <c r="AH4" s="538"/>
      <c r="AI4" s="539"/>
      <c r="AJ4" s="537"/>
      <c r="AK4" s="538"/>
      <c r="AL4" s="539"/>
    </row>
    <row r="5" spans="1:38" ht="12.75">
      <c r="A5" s="53"/>
      <c r="B5" s="368"/>
      <c r="C5" s="357" t="s">
        <v>156</v>
      </c>
      <c r="D5" s="53" t="s">
        <v>157</v>
      </c>
      <c r="E5" s="358" t="s">
        <v>158</v>
      </c>
      <c r="F5" s="36"/>
      <c r="G5" s="53"/>
      <c r="H5" s="368"/>
      <c r="I5" s="357" t="s">
        <v>156</v>
      </c>
      <c r="J5" s="53" t="s">
        <v>157</v>
      </c>
      <c r="K5" s="358" t="s">
        <v>158</v>
      </c>
      <c r="L5" s="287"/>
      <c r="M5" s="53"/>
      <c r="N5" s="368"/>
      <c r="O5" s="357" t="s">
        <v>156</v>
      </c>
      <c r="P5" s="53" t="s">
        <v>157</v>
      </c>
      <c r="Q5" s="358" t="s">
        <v>158</v>
      </c>
      <c r="R5" s="288"/>
      <c r="S5" s="53"/>
      <c r="T5" s="368"/>
      <c r="U5" s="357" t="s">
        <v>156</v>
      </c>
      <c r="V5" s="53" t="s">
        <v>157</v>
      </c>
      <c r="W5" s="358" t="s">
        <v>158</v>
      </c>
      <c r="Y5" s="343"/>
      <c r="Z5" s="344"/>
      <c r="AA5" s="349" t="s">
        <v>158</v>
      </c>
      <c r="AB5" s="347" t="s">
        <v>156</v>
      </c>
      <c r="AC5" s="348" t="s">
        <v>157</v>
      </c>
      <c r="AD5" s="349" t="s">
        <v>158</v>
      </c>
      <c r="AE5" s="347" t="s">
        <v>156</v>
      </c>
      <c r="AF5" s="348" t="s">
        <v>157</v>
      </c>
      <c r="AG5" s="349" t="s">
        <v>158</v>
      </c>
      <c r="AH5" s="347" t="s">
        <v>156</v>
      </c>
      <c r="AI5" s="348" t="s">
        <v>157</v>
      </c>
      <c r="AJ5" s="349" t="s">
        <v>158</v>
      </c>
      <c r="AK5" s="347" t="s">
        <v>156</v>
      </c>
      <c r="AL5" s="348" t="s">
        <v>157</v>
      </c>
    </row>
    <row r="6" spans="1:38" ht="13.5" thickBot="1">
      <c r="A6" s="52" t="s">
        <v>48</v>
      </c>
      <c r="B6" s="369" t="s">
        <v>159</v>
      </c>
      <c r="C6" s="359">
        <v>6</v>
      </c>
      <c r="D6" s="41">
        <v>62</v>
      </c>
      <c r="E6" s="360">
        <v>0.9032</v>
      </c>
      <c r="F6" s="36"/>
      <c r="G6" s="52" t="s">
        <v>48</v>
      </c>
      <c r="H6" s="369" t="s">
        <v>159</v>
      </c>
      <c r="I6" s="359">
        <v>8</v>
      </c>
      <c r="J6" s="41">
        <v>216</v>
      </c>
      <c r="K6" s="360">
        <v>0.963</v>
      </c>
      <c r="L6" s="289"/>
      <c r="M6" s="52" t="s">
        <v>48</v>
      </c>
      <c r="N6" s="369" t="s">
        <v>159</v>
      </c>
      <c r="O6" s="359">
        <v>18</v>
      </c>
      <c r="P6" s="41">
        <v>251</v>
      </c>
      <c r="Q6" s="360">
        <v>0.9283</v>
      </c>
      <c r="R6" s="55"/>
      <c r="S6" s="52" t="s">
        <v>48</v>
      </c>
      <c r="T6" s="369" t="s">
        <v>159</v>
      </c>
      <c r="U6" s="359">
        <v>25</v>
      </c>
      <c r="V6" s="41">
        <v>245</v>
      </c>
      <c r="W6" s="360">
        <v>0.898</v>
      </c>
      <c r="Y6" s="345" t="s">
        <v>7</v>
      </c>
      <c r="Z6" s="346" t="s">
        <v>214</v>
      </c>
      <c r="AA6" s="327">
        <v>0.958</v>
      </c>
      <c r="AB6" s="292">
        <v>635</v>
      </c>
      <c r="AC6" s="328">
        <v>15128</v>
      </c>
      <c r="AD6" s="327">
        <v>0.9071</v>
      </c>
      <c r="AE6" s="292">
        <v>336</v>
      </c>
      <c r="AF6" s="328">
        <v>3618</v>
      </c>
      <c r="AG6" s="327">
        <v>0.9081</v>
      </c>
      <c r="AH6" s="292">
        <v>1330</v>
      </c>
      <c r="AI6" s="328">
        <v>14475</v>
      </c>
      <c r="AJ6" s="327">
        <v>0.9235</v>
      </c>
      <c r="AK6" s="292">
        <v>1064</v>
      </c>
      <c r="AL6" s="328">
        <v>13904</v>
      </c>
    </row>
    <row r="7" spans="1:38" ht="12.75">
      <c r="A7" s="52" t="s">
        <v>81</v>
      </c>
      <c r="B7" s="369" t="s">
        <v>160</v>
      </c>
      <c r="C7" s="361">
        <v>7</v>
      </c>
      <c r="D7" s="319">
        <v>73</v>
      </c>
      <c r="E7" s="360">
        <v>0.9041</v>
      </c>
      <c r="F7" s="36"/>
      <c r="G7" s="52" t="s">
        <v>81</v>
      </c>
      <c r="H7" s="369" t="s">
        <v>160</v>
      </c>
      <c r="I7" s="361">
        <v>10</v>
      </c>
      <c r="J7" s="319">
        <v>320</v>
      </c>
      <c r="K7" s="360">
        <v>0.9688</v>
      </c>
      <c r="L7" s="289"/>
      <c r="M7" s="52" t="s">
        <v>81</v>
      </c>
      <c r="N7" s="369" t="s">
        <v>160</v>
      </c>
      <c r="O7" s="361">
        <v>16</v>
      </c>
      <c r="P7" s="319">
        <v>259</v>
      </c>
      <c r="Q7" s="360">
        <v>0.9382</v>
      </c>
      <c r="R7" s="55"/>
      <c r="S7" s="52" t="s">
        <v>81</v>
      </c>
      <c r="T7" s="369" t="s">
        <v>160</v>
      </c>
      <c r="U7" s="361">
        <v>23</v>
      </c>
      <c r="V7" s="319">
        <v>259</v>
      </c>
      <c r="W7" s="360">
        <v>0.9112</v>
      </c>
      <c r="Y7" s="294" t="s">
        <v>19</v>
      </c>
      <c r="Z7" s="295"/>
      <c r="AA7" s="329">
        <v>0.9494102228047182</v>
      </c>
      <c r="AB7" s="296">
        <v>193</v>
      </c>
      <c r="AC7" s="330">
        <v>3815</v>
      </c>
      <c r="AD7" s="329">
        <v>0.8927165354330708</v>
      </c>
      <c r="AE7" s="296">
        <v>109</v>
      </c>
      <c r="AF7" s="330">
        <v>1016</v>
      </c>
      <c r="AG7" s="329">
        <v>0.8962871287128713</v>
      </c>
      <c r="AH7" s="296">
        <v>419</v>
      </c>
      <c r="AI7" s="330">
        <v>4040</v>
      </c>
      <c r="AJ7" s="329">
        <v>0.9037863070539419</v>
      </c>
      <c r="AK7" s="296">
        <v>371</v>
      </c>
      <c r="AL7" s="330">
        <v>3856</v>
      </c>
    </row>
    <row r="8" spans="1:38" ht="12.75">
      <c r="A8" s="52" t="s">
        <v>74</v>
      </c>
      <c r="B8" s="369" t="s">
        <v>161</v>
      </c>
      <c r="C8" s="361">
        <v>8</v>
      </c>
      <c r="D8" s="319">
        <v>60</v>
      </c>
      <c r="E8" s="360">
        <v>0.8667</v>
      </c>
      <c r="F8" s="36"/>
      <c r="G8" s="52" t="s">
        <v>74</v>
      </c>
      <c r="H8" s="369" t="s">
        <v>161</v>
      </c>
      <c r="I8" s="361">
        <v>18</v>
      </c>
      <c r="J8" s="319">
        <v>197</v>
      </c>
      <c r="K8" s="360">
        <v>0.9086</v>
      </c>
      <c r="L8" s="289"/>
      <c r="M8" s="52" t="s">
        <v>74</v>
      </c>
      <c r="N8" s="369" t="s">
        <v>161</v>
      </c>
      <c r="O8" s="361">
        <v>19</v>
      </c>
      <c r="P8" s="319">
        <v>248</v>
      </c>
      <c r="Q8" s="360">
        <v>0.9234</v>
      </c>
      <c r="R8" s="55"/>
      <c r="S8" s="52" t="s">
        <v>74</v>
      </c>
      <c r="T8" s="369" t="s">
        <v>161</v>
      </c>
      <c r="U8" s="361">
        <v>19</v>
      </c>
      <c r="V8" s="319">
        <v>233</v>
      </c>
      <c r="W8" s="360">
        <v>0.9185</v>
      </c>
      <c r="Y8" s="42" t="s">
        <v>46</v>
      </c>
      <c r="Z8" s="297" t="s">
        <v>166</v>
      </c>
      <c r="AA8" s="331">
        <v>0.907</v>
      </c>
      <c r="AB8" s="298">
        <v>24</v>
      </c>
      <c r="AC8" s="332">
        <v>258</v>
      </c>
      <c r="AD8" s="331">
        <v>0.8095</v>
      </c>
      <c r="AE8" s="298">
        <v>12</v>
      </c>
      <c r="AF8" s="332">
        <v>63</v>
      </c>
      <c r="AG8" s="331">
        <v>0.8097</v>
      </c>
      <c r="AH8" s="298">
        <v>47</v>
      </c>
      <c r="AI8" s="332">
        <v>247</v>
      </c>
      <c r="AJ8" s="331">
        <v>0.8416</v>
      </c>
      <c r="AK8" s="298">
        <v>35</v>
      </c>
      <c r="AL8" s="332">
        <v>221</v>
      </c>
    </row>
    <row r="9" spans="1:38" ht="12.75">
      <c r="A9" s="52" t="s">
        <v>33</v>
      </c>
      <c r="B9" s="369" t="s">
        <v>162</v>
      </c>
      <c r="C9" s="361">
        <v>6</v>
      </c>
      <c r="D9" s="319">
        <v>68</v>
      </c>
      <c r="E9" s="360">
        <v>0.9118</v>
      </c>
      <c r="F9" s="36"/>
      <c r="G9" s="52" t="s">
        <v>33</v>
      </c>
      <c r="H9" s="369" t="s">
        <v>162</v>
      </c>
      <c r="I9" s="361">
        <v>11</v>
      </c>
      <c r="J9" s="319">
        <v>177</v>
      </c>
      <c r="K9" s="360">
        <v>0.9379</v>
      </c>
      <c r="L9" s="289"/>
      <c r="M9" s="52" t="s">
        <v>33</v>
      </c>
      <c r="N9" s="369" t="s">
        <v>162</v>
      </c>
      <c r="O9" s="361">
        <v>26</v>
      </c>
      <c r="P9" s="319">
        <v>254</v>
      </c>
      <c r="Q9" s="360">
        <v>0.8976</v>
      </c>
      <c r="R9" s="55"/>
      <c r="S9" s="52" t="s">
        <v>33</v>
      </c>
      <c r="T9" s="369" t="s">
        <v>162</v>
      </c>
      <c r="U9" s="361">
        <v>28</v>
      </c>
      <c r="V9" s="319">
        <v>245</v>
      </c>
      <c r="W9" s="360">
        <v>0.8857</v>
      </c>
      <c r="Y9" s="42" t="s">
        <v>48</v>
      </c>
      <c r="Z9" s="297" t="s">
        <v>159</v>
      </c>
      <c r="AA9" s="331">
        <v>0.963</v>
      </c>
      <c r="AB9" s="298">
        <v>8</v>
      </c>
      <c r="AC9" s="332">
        <v>216</v>
      </c>
      <c r="AD9" s="331">
        <v>0.9032</v>
      </c>
      <c r="AE9" s="298">
        <v>6</v>
      </c>
      <c r="AF9" s="332">
        <v>62</v>
      </c>
      <c r="AG9" s="331">
        <v>0.9283</v>
      </c>
      <c r="AH9" s="298">
        <v>18</v>
      </c>
      <c r="AI9" s="332">
        <v>251</v>
      </c>
      <c r="AJ9" s="331">
        <v>0.898</v>
      </c>
      <c r="AK9" s="298">
        <v>25</v>
      </c>
      <c r="AL9" s="332">
        <v>245</v>
      </c>
    </row>
    <row r="10" spans="1:38" ht="12.75">
      <c r="A10" s="52" t="s">
        <v>58</v>
      </c>
      <c r="B10" s="369" t="s">
        <v>163</v>
      </c>
      <c r="C10" s="361">
        <v>2</v>
      </c>
      <c r="D10" s="319">
        <v>61</v>
      </c>
      <c r="E10" s="360">
        <v>0.9672</v>
      </c>
      <c r="F10" s="36"/>
      <c r="G10" s="52" t="s">
        <v>58</v>
      </c>
      <c r="H10" s="369" t="s">
        <v>163</v>
      </c>
      <c r="I10" s="361">
        <v>4</v>
      </c>
      <c r="J10" s="319">
        <v>241</v>
      </c>
      <c r="K10" s="360">
        <v>0.9834</v>
      </c>
      <c r="L10" s="289"/>
      <c r="M10" s="52" t="s">
        <v>58</v>
      </c>
      <c r="N10" s="369" t="s">
        <v>163</v>
      </c>
      <c r="O10" s="361">
        <v>11</v>
      </c>
      <c r="P10" s="319">
        <v>253</v>
      </c>
      <c r="Q10" s="360">
        <v>0.9565</v>
      </c>
      <c r="R10" s="55"/>
      <c r="S10" s="52" t="s">
        <v>58</v>
      </c>
      <c r="T10" s="369" t="s">
        <v>163</v>
      </c>
      <c r="U10" s="361">
        <v>13</v>
      </c>
      <c r="V10" s="319">
        <v>242</v>
      </c>
      <c r="W10" s="360">
        <v>0.9463</v>
      </c>
      <c r="Y10" s="42" t="s">
        <v>33</v>
      </c>
      <c r="Z10" s="297" t="s">
        <v>162</v>
      </c>
      <c r="AA10" s="331">
        <v>0.9379</v>
      </c>
      <c r="AB10" s="298">
        <v>11</v>
      </c>
      <c r="AC10" s="332">
        <v>177</v>
      </c>
      <c r="AD10" s="331">
        <v>0.9118</v>
      </c>
      <c r="AE10" s="298">
        <v>6</v>
      </c>
      <c r="AF10" s="332">
        <v>68</v>
      </c>
      <c r="AG10" s="331">
        <v>0.8976</v>
      </c>
      <c r="AH10" s="298">
        <v>26</v>
      </c>
      <c r="AI10" s="332">
        <v>254</v>
      </c>
      <c r="AJ10" s="331">
        <v>0.8857</v>
      </c>
      <c r="AK10" s="298">
        <v>28</v>
      </c>
      <c r="AL10" s="332">
        <v>245</v>
      </c>
    </row>
    <row r="11" spans="1:38" ht="12.75">
      <c r="A11" s="52" t="s">
        <v>75</v>
      </c>
      <c r="B11" s="369" t="s">
        <v>164</v>
      </c>
      <c r="C11" s="361">
        <v>8</v>
      </c>
      <c r="D11" s="319">
        <v>63</v>
      </c>
      <c r="E11" s="360">
        <v>0.873</v>
      </c>
      <c r="F11" s="36"/>
      <c r="G11" s="52" t="s">
        <v>75</v>
      </c>
      <c r="H11" s="369" t="s">
        <v>164</v>
      </c>
      <c r="I11" s="361">
        <v>15</v>
      </c>
      <c r="J11" s="319">
        <v>235</v>
      </c>
      <c r="K11" s="360">
        <v>0.9362</v>
      </c>
      <c r="L11" s="289"/>
      <c r="M11" s="52" t="s">
        <v>75</v>
      </c>
      <c r="N11" s="369" t="s">
        <v>164</v>
      </c>
      <c r="O11" s="361">
        <v>42</v>
      </c>
      <c r="P11" s="319">
        <v>252</v>
      </c>
      <c r="Q11" s="360">
        <v>0.8333</v>
      </c>
      <c r="R11" s="55"/>
      <c r="S11" s="52" t="s">
        <v>75</v>
      </c>
      <c r="T11" s="369" t="s">
        <v>164</v>
      </c>
      <c r="U11" s="361">
        <v>42</v>
      </c>
      <c r="V11" s="319">
        <v>244</v>
      </c>
      <c r="W11" s="360">
        <v>0.8279</v>
      </c>
      <c r="Y11" s="42" t="s">
        <v>51</v>
      </c>
      <c r="Z11" s="297" t="s">
        <v>175</v>
      </c>
      <c r="AA11" s="331">
        <v>0.9612</v>
      </c>
      <c r="AB11" s="298">
        <v>9</v>
      </c>
      <c r="AC11" s="332">
        <v>232</v>
      </c>
      <c r="AD11" s="331">
        <v>0.9219</v>
      </c>
      <c r="AE11" s="298">
        <v>5</v>
      </c>
      <c r="AF11" s="332">
        <v>64</v>
      </c>
      <c r="AG11" s="331">
        <v>0.9055</v>
      </c>
      <c r="AH11" s="298">
        <v>24</v>
      </c>
      <c r="AI11" s="332">
        <v>254</v>
      </c>
      <c r="AJ11" s="331">
        <v>0.939</v>
      </c>
      <c r="AK11" s="298">
        <v>15</v>
      </c>
      <c r="AL11" s="332">
        <v>246</v>
      </c>
    </row>
    <row r="12" spans="1:38" ht="12.75">
      <c r="A12" s="52" t="s">
        <v>77</v>
      </c>
      <c r="B12" s="369" t="s">
        <v>115</v>
      </c>
      <c r="C12" s="361">
        <v>6</v>
      </c>
      <c r="D12" s="319">
        <v>68</v>
      </c>
      <c r="E12" s="360">
        <v>0.9118</v>
      </c>
      <c r="F12" s="36"/>
      <c r="G12" s="52" t="s">
        <v>77</v>
      </c>
      <c r="H12" s="369" t="s">
        <v>115</v>
      </c>
      <c r="I12" s="361">
        <v>11</v>
      </c>
      <c r="J12" s="319">
        <v>277</v>
      </c>
      <c r="K12" s="360">
        <v>0.9603</v>
      </c>
      <c r="L12" s="289"/>
      <c r="M12" s="52" t="s">
        <v>77</v>
      </c>
      <c r="N12" s="369" t="s">
        <v>115</v>
      </c>
      <c r="O12" s="361">
        <v>31</v>
      </c>
      <c r="P12" s="319">
        <v>254</v>
      </c>
      <c r="Q12" s="360">
        <v>0.878</v>
      </c>
      <c r="R12" s="55"/>
      <c r="S12" s="52" t="s">
        <v>77</v>
      </c>
      <c r="T12" s="369" t="s">
        <v>115</v>
      </c>
      <c r="U12" s="361">
        <v>20</v>
      </c>
      <c r="V12" s="319">
        <v>242</v>
      </c>
      <c r="W12" s="360">
        <v>0.9174</v>
      </c>
      <c r="Y12" s="42" t="s">
        <v>55</v>
      </c>
      <c r="Z12" s="297" t="s">
        <v>179</v>
      </c>
      <c r="AA12" s="331">
        <v>0.9126</v>
      </c>
      <c r="AB12" s="298">
        <v>18</v>
      </c>
      <c r="AC12" s="332">
        <v>206</v>
      </c>
      <c r="AD12" s="331">
        <v>0.8824</v>
      </c>
      <c r="AE12" s="298">
        <v>8</v>
      </c>
      <c r="AF12" s="332">
        <v>68</v>
      </c>
      <c r="AG12" s="331">
        <v>0.8906</v>
      </c>
      <c r="AH12" s="298">
        <v>28</v>
      </c>
      <c r="AI12" s="332">
        <v>256</v>
      </c>
      <c r="AJ12" s="331">
        <v>0.9048</v>
      </c>
      <c r="AK12" s="298">
        <v>24</v>
      </c>
      <c r="AL12" s="332">
        <v>252</v>
      </c>
    </row>
    <row r="13" spans="1:38" ht="12.75">
      <c r="A13" s="52" t="s">
        <v>79</v>
      </c>
      <c r="B13" s="369" t="s">
        <v>165</v>
      </c>
      <c r="C13" s="361">
        <v>5</v>
      </c>
      <c r="D13" s="319">
        <v>62</v>
      </c>
      <c r="E13" s="360">
        <v>0.9194</v>
      </c>
      <c r="F13" s="36"/>
      <c r="G13" s="52" t="s">
        <v>79</v>
      </c>
      <c r="H13" s="369" t="s">
        <v>165</v>
      </c>
      <c r="I13" s="361">
        <v>8</v>
      </c>
      <c r="J13" s="319">
        <v>274</v>
      </c>
      <c r="K13" s="360">
        <v>0.9708</v>
      </c>
      <c r="L13" s="289"/>
      <c r="M13" s="52" t="s">
        <v>79</v>
      </c>
      <c r="N13" s="369" t="s">
        <v>165</v>
      </c>
      <c r="O13" s="361">
        <v>31</v>
      </c>
      <c r="P13" s="319">
        <v>251</v>
      </c>
      <c r="Q13" s="360">
        <v>0.8765</v>
      </c>
      <c r="R13" s="55"/>
      <c r="S13" s="52" t="s">
        <v>79</v>
      </c>
      <c r="T13" s="369" t="s">
        <v>165</v>
      </c>
      <c r="U13" s="361">
        <v>19</v>
      </c>
      <c r="V13" s="319">
        <v>242</v>
      </c>
      <c r="W13" s="360">
        <v>0.9215</v>
      </c>
      <c r="Y13" s="42" t="s">
        <v>58</v>
      </c>
      <c r="Z13" s="297" t="s">
        <v>163</v>
      </c>
      <c r="AA13" s="331">
        <v>0.9834</v>
      </c>
      <c r="AB13" s="298">
        <v>4</v>
      </c>
      <c r="AC13" s="332">
        <v>241</v>
      </c>
      <c r="AD13" s="331">
        <v>0.9672</v>
      </c>
      <c r="AE13" s="298">
        <v>2</v>
      </c>
      <c r="AF13" s="332">
        <v>61</v>
      </c>
      <c r="AG13" s="331">
        <v>0.9565</v>
      </c>
      <c r="AH13" s="298">
        <v>11</v>
      </c>
      <c r="AI13" s="332">
        <v>253</v>
      </c>
      <c r="AJ13" s="331">
        <v>0.9463</v>
      </c>
      <c r="AK13" s="298">
        <v>13</v>
      </c>
      <c r="AL13" s="332">
        <v>242</v>
      </c>
    </row>
    <row r="14" spans="1:38" ht="12.75">
      <c r="A14" s="52" t="s">
        <v>46</v>
      </c>
      <c r="B14" s="369" t="s">
        <v>166</v>
      </c>
      <c r="C14" s="361">
        <v>12</v>
      </c>
      <c r="D14" s="319">
        <v>63</v>
      </c>
      <c r="E14" s="360">
        <v>0.8095</v>
      </c>
      <c r="F14" s="36"/>
      <c r="G14" s="52" t="s">
        <v>46</v>
      </c>
      <c r="H14" s="369" t="s">
        <v>166</v>
      </c>
      <c r="I14" s="361">
        <v>24</v>
      </c>
      <c r="J14" s="319">
        <v>258</v>
      </c>
      <c r="K14" s="360">
        <v>0.907</v>
      </c>
      <c r="L14" s="289"/>
      <c r="M14" s="52" t="s">
        <v>46</v>
      </c>
      <c r="N14" s="369" t="s">
        <v>166</v>
      </c>
      <c r="O14" s="361">
        <v>47</v>
      </c>
      <c r="P14" s="319">
        <v>247</v>
      </c>
      <c r="Q14" s="360">
        <v>0.8097</v>
      </c>
      <c r="R14" s="55"/>
      <c r="S14" s="52" t="s">
        <v>46</v>
      </c>
      <c r="T14" s="369" t="s">
        <v>166</v>
      </c>
      <c r="U14" s="361">
        <v>35</v>
      </c>
      <c r="V14" s="319">
        <v>221</v>
      </c>
      <c r="W14" s="360">
        <v>0.8416</v>
      </c>
      <c r="Y14" s="42" t="s">
        <v>62</v>
      </c>
      <c r="Z14" s="297" t="s">
        <v>176</v>
      </c>
      <c r="AA14" s="331">
        <v>0.962</v>
      </c>
      <c r="AB14" s="298">
        <v>9</v>
      </c>
      <c r="AC14" s="332">
        <v>237</v>
      </c>
      <c r="AD14" s="331">
        <v>0.9063</v>
      </c>
      <c r="AE14" s="298">
        <v>6</v>
      </c>
      <c r="AF14" s="332">
        <v>64</v>
      </c>
      <c r="AG14" s="331">
        <v>0.9197</v>
      </c>
      <c r="AH14" s="298">
        <v>20</v>
      </c>
      <c r="AI14" s="332">
        <v>249</v>
      </c>
      <c r="AJ14" s="331">
        <v>0.9127</v>
      </c>
      <c r="AK14" s="298">
        <v>20</v>
      </c>
      <c r="AL14" s="332">
        <v>229</v>
      </c>
    </row>
    <row r="15" spans="1:38" ht="12.75">
      <c r="A15" s="52" t="s">
        <v>83</v>
      </c>
      <c r="B15" s="369" t="s">
        <v>121</v>
      </c>
      <c r="C15" s="361">
        <v>7</v>
      </c>
      <c r="D15" s="319">
        <v>63</v>
      </c>
      <c r="E15" s="360">
        <v>0.8889</v>
      </c>
      <c r="F15" s="36"/>
      <c r="G15" s="52" t="s">
        <v>83</v>
      </c>
      <c r="H15" s="369" t="s">
        <v>121</v>
      </c>
      <c r="I15" s="361">
        <v>9</v>
      </c>
      <c r="J15" s="319">
        <v>247</v>
      </c>
      <c r="K15" s="360">
        <v>0.9636</v>
      </c>
      <c r="L15" s="289"/>
      <c r="M15" s="52" t="s">
        <v>83</v>
      </c>
      <c r="N15" s="369" t="s">
        <v>121</v>
      </c>
      <c r="O15" s="361">
        <v>22</v>
      </c>
      <c r="P15" s="319">
        <v>253</v>
      </c>
      <c r="Q15" s="360">
        <v>0.913</v>
      </c>
      <c r="R15" s="55"/>
      <c r="S15" s="52" t="s">
        <v>83</v>
      </c>
      <c r="T15" s="369" t="s">
        <v>121</v>
      </c>
      <c r="U15" s="361">
        <v>7</v>
      </c>
      <c r="V15" s="319">
        <v>249</v>
      </c>
      <c r="W15" s="360">
        <v>0.9719</v>
      </c>
      <c r="Y15" s="42" t="s">
        <v>68</v>
      </c>
      <c r="Z15" s="297" t="s">
        <v>201</v>
      </c>
      <c r="AA15" s="331">
        <v>0.9605</v>
      </c>
      <c r="AB15" s="298">
        <v>7</v>
      </c>
      <c r="AC15" s="332">
        <v>177</v>
      </c>
      <c r="AD15" s="331">
        <v>0.9138</v>
      </c>
      <c r="AE15" s="298">
        <v>5</v>
      </c>
      <c r="AF15" s="332">
        <v>58</v>
      </c>
      <c r="AG15" s="331">
        <v>0.9106</v>
      </c>
      <c r="AH15" s="298">
        <v>22</v>
      </c>
      <c r="AI15" s="332">
        <v>246</v>
      </c>
      <c r="AJ15" s="331">
        <v>0.9118</v>
      </c>
      <c r="AK15" s="298">
        <v>21</v>
      </c>
      <c r="AL15" s="332">
        <v>238</v>
      </c>
    </row>
    <row r="16" spans="1:38" ht="12.75">
      <c r="A16" s="52" t="s">
        <v>61</v>
      </c>
      <c r="B16" s="369" t="s">
        <v>167</v>
      </c>
      <c r="C16" s="361">
        <v>3</v>
      </c>
      <c r="D16" s="319">
        <v>63</v>
      </c>
      <c r="E16" s="360">
        <v>0.9524</v>
      </c>
      <c r="F16" s="36"/>
      <c r="G16" s="52" t="s">
        <v>61</v>
      </c>
      <c r="H16" s="369" t="s">
        <v>167</v>
      </c>
      <c r="I16" s="361">
        <v>7</v>
      </c>
      <c r="J16" s="319">
        <v>240</v>
      </c>
      <c r="K16" s="360">
        <v>0.9708</v>
      </c>
      <c r="L16" s="289"/>
      <c r="M16" s="52" t="s">
        <v>61</v>
      </c>
      <c r="N16" s="369" t="s">
        <v>167</v>
      </c>
      <c r="O16" s="361">
        <v>22</v>
      </c>
      <c r="P16" s="319">
        <v>261</v>
      </c>
      <c r="Q16" s="360">
        <v>0.9157</v>
      </c>
      <c r="R16" s="55"/>
      <c r="S16" s="52" t="s">
        <v>61</v>
      </c>
      <c r="T16" s="369" t="s">
        <v>167</v>
      </c>
      <c r="U16" s="361">
        <v>17</v>
      </c>
      <c r="V16" s="319">
        <v>252</v>
      </c>
      <c r="W16" s="360">
        <v>0.9325</v>
      </c>
      <c r="Y16" s="42" t="s">
        <v>74</v>
      </c>
      <c r="Z16" s="297" t="s">
        <v>161</v>
      </c>
      <c r="AA16" s="331">
        <v>0.9086</v>
      </c>
      <c r="AB16" s="298">
        <v>18</v>
      </c>
      <c r="AC16" s="332">
        <v>197</v>
      </c>
      <c r="AD16" s="331">
        <v>0.8667</v>
      </c>
      <c r="AE16" s="298">
        <v>8</v>
      </c>
      <c r="AF16" s="332">
        <v>60</v>
      </c>
      <c r="AG16" s="331">
        <v>0.9234</v>
      </c>
      <c r="AH16" s="298">
        <v>19</v>
      </c>
      <c r="AI16" s="332">
        <v>248</v>
      </c>
      <c r="AJ16" s="331">
        <v>0.9185</v>
      </c>
      <c r="AK16" s="298">
        <v>19</v>
      </c>
      <c r="AL16" s="332">
        <v>233</v>
      </c>
    </row>
    <row r="17" spans="1:38" ht="12.75">
      <c r="A17" s="52" t="s">
        <v>34</v>
      </c>
      <c r="B17" s="369" t="s">
        <v>168</v>
      </c>
      <c r="C17" s="362">
        <v>5</v>
      </c>
      <c r="D17" s="320">
        <v>63</v>
      </c>
      <c r="E17" s="363">
        <v>0.9206</v>
      </c>
      <c r="F17" s="36"/>
      <c r="G17" s="52" t="s">
        <v>34</v>
      </c>
      <c r="H17" s="369" t="s">
        <v>168</v>
      </c>
      <c r="I17" s="362">
        <v>20</v>
      </c>
      <c r="J17" s="320">
        <v>236</v>
      </c>
      <c r="K17" s="363">
        <v>0.9153</v>
      </c>
      <c r="L17" s="289"/>
      <c r="M17" s="52" t="s">
        <v>34</v>
      </c>
      <c r="N17" s="369" t="s">
        <v>168</v>
      </c>
      <c r="O17" s="362">
        <v>22</v>
      </c>
      <c r="P17" s="320">
        <v>250</v>
      </c>
      <c r="Q17" s="363">
        <v>0.912</v>
      </c>
      <c r="R17" s="55"/>
      <c r="S17" s="52" t="s">
        <v>34</v>
      </c>
      <c r="T17" s="369" t="s">
        <v>168</v>
      </c>
      <c r="U17" s="362">
        <v>29</v>
      </c>
      <c r="V17" s="320">
        <v>258</v>
      </c>
      <c r="W17" s="363">
        <v>0.8876</v>
      </c>
      <c r="Y17" s="42" t="s">
        <v>75</v>
      </c>
      <c r="Z17" s="297" t="s">
        <v>164</v>
      </c>
      <c r="AA17" s="331">
        <v>0.9362</v>
      </c>
      <c r="AB17" s="298">
        <v>15</v>
      </c>
      <c r="AC17" s="332">
        <v>235</v>
      </c>
      <c r="AD17" s="331">
        <v>0.873</v>
      </c>
      <c r="AE17" s="298">
        <v>8</v>
      </c>
      <c r="AF17" s="332">
        <v>63</v>
      </c>
      <c r="AG17" s="331">
        <v>0.8333</v>
      </c>
      <c r="AH17" s="298">
        <v>42</v>
      </c>
      <c r="AI17" s="332">
        <v>252</v>
      </c>
      <c r="AJ17" s="331">
        <v>0.8279</v>
      </c>
      <c r="AK17" s="298">
        <v>42</v>
      </c>
      <c r="AL17" s="332">
        <v>244</v>
      </c>
    </row>
    <row r="18" spans="1:38" ht="12.75">
      <c r="A18" s="52" t="s">
        <v>91</v>
      </c>
      <c r="B18" s="369" t="s">
        <v>169</v>
      </c>
      <c r="C18" s="361">
        <v>6</v>
      </c>
      <c r="D18" s="319">
        <v>61</v>
      </c>
      <c r="E18" s="360">
        <v>0.9016</v>
      </c>
      <c r="F18" s="36"/>
      <c r="G18" s="52" t="s">
        <v>91</v>
      </c>
      <c r="H18" s="369" t="s">
        <v>169</v>
      </c>
      <c r="I18" s="361">
        <v>9</v>
      </c>
      <c r="J18" s="319">
        <v>226</v>
      </c>
      <c r="K18" s="360">
        <v>0.9602</v>
      </c>
      <c r="L18" s="289"/>
      <c r="M18" s="52" t="s">
        <v>91</v>
      </c>
      <c r="N18" s="369" t="s">
        <v>169</v>
      </c>
      <c r="O18" s="361">
        <v>25</v>
      </c>
      <c r="P18" s="319">
        <v>250</v>
      </c>
      <c r="Q18" s="360">
        <v>0.9</v>
      </c>
      <c r="R18" s="55"/>
      <c r="S18" s="52" t="s">
        <v>91</v>
      </c>
      <c r="T18" s="369" t="s">
        <v>169</v>
      </c>
      <c r="U18" s="361">
        <v>20</v>
      </c>
      <c r="V18" s="319">
        <v>246</v>
      </c>
      <c r="W18" s="360">
        <v>0.9187</v>
      </c>
      <c r="Y18" s="42" t="s">
        <v>246</v>
      </c>
      <c r="Z18" s="297" t="s">
        <v>115</v>
      </c>
      <c r="AA18" s="331">
        <v>0.9603</v>
      </c>
      <c r="AB18" s="298">
        <v>11</v>
      </c>
      <c r="AC18" s="332">
        <v>277</v>
      </c>
      <c r="AD18" s="331">
        <v>0.9118</v>
      </c>
      <c r="AE18" s="298">
        <v>6</v>
      </c>
      <c r="AF18" s="332">
        <v>68</v>
      </c>
      <c r="AG18" s="331">
        <v>0.878</v>
      </c>
      <c r="AH18" s="298">
        <v>31</v>
      </c>
      <c r="AI18" s="332">
        <v>254</v>
      </c>
      <c r="AJ18" s="331">
        <v>0.9174</v>
      </c>
      <c r="AK18" s="298">
        <v>20</v>
      </c>
      <c r="AL18" s="332">
        <v>242</v>
      </c>
    </row>
    <row r="19" spans="1:38" ht="12.75">
      <c r="A19" s="52" t="s">
        <v>97</v>
      </c>
      <c r="B19" s="369" t="s">
        <v>170</v>
      </c>
      <c r="C19" s="361">
        <v>10</v>
      </c>
      <c r="D19" s="319">
        <v>67</v>
      </c>
      <c r="E19" s="360">
        <v>0.8507</v>
      </c>
      <c r="F19" s="36"/>
      <c r="G19" s="52" t="s">
        <v>97</v>
      </c>
      <c r="H19" s="369" t="s">
        <v>170</v>
      </c>
      <c r="I19" s="361">
        <v>21</v>
      </c>
      <c r="J19" s="319">
        <v>541</v>
      </c>
      <c r="K19" s="360">
        <v>0.9612</v>
      </c>
      <c r="L19" s="289"/>
      <c r="M19" s="52" t="s">
        <v>97</v>
      </c>
      <c r="N19" s="369" t="s">
        <v>170</v>
      </c>
      <c r="O19" s="361">
        <v>27</v>
      </c>
      <c r="P19" s="319">
        <v>254</v>
      </c>
      <c r="Q19" s="360">
        <v>0.8937</v>
      </c>
      <c r="R19" s="55"/>
      <c r="S19" s="52" t="s">
        <v>97</v>
      </c>
      <c r="T19" s="369" t="s">
        <v>170</v>
      </c>
      <c r="U19" s="361">
        <v>20</v>
      </c>
      <c r="V19" s="319">
        <v>240</v>
      </c>
      <c r="W19" s="360">
        <v>0.9167</v>
      </c>
      <c r="Y19" s="42" t="s">
        <v>79</v>
      </c>
      <c r="Z19" s="297" t="s">
        <v>165</v>
      </c>
      <c r="AA19" s="331">
        <v>0.9708</v>
      </c>
      <c r="AB19" s="298">
        <v>8</v>
      </c>
      <c r="AC19" s="332">
        <v>274</v>
      </c>
      <c r="AD19" s="331">
        <v>0.9194</v>
      </c>
      <c r="AE19" s="298">
        <v>5</v>
      </c>
      <c r="AF19" s="332">
        <v>62</v>
      </c>
      <c r="AG19" s="331">
        <v>0.8765</v>
      </c>
      <c r="AH19" s="298">
        <v>31</v>
      </c>
      <c r="AI19" s="332">
        <v>251</v>
      </c>
      <c r="AJ19" s="331">
        <v>0.9215</v>
      </c>
      <c r="AK19" s="298">
        <v>19</v>
      </c>
      <c r="AL19" s="332">
        <v>242</v>
      </c>
    </row>
    <row r="20" spans="1:38" ht="12.75">
      <c r="A20" s="52" t="s">
        <v>52</v>
      </c>
      <c r="B20" s="369" t="s">
        <v>171</v>
      </c>
      <c r="C20" s="361">
        <v>1</v>
      </c>
      <c r="D20" s="319">
        <v>67</v>
      </c>
      <c r="E20" s="360">
        <v>0.9851</v>
      </c>
      <c r="F20" s="36"/>
      <c r="G20" s="52" t="s">
        <v>52</v>
      </c>
      <c r="H20" s="369" t="s">
        <v>171</v>
      </c>
      <c r="I20" s="361">
        <v>7</v>
      </c>
      <c r="J20" s="319">
        <v>279</v>
      </c>
      <c r="K20" s="360">
        <v>0.9749</v>
      </c>
      <c r="L20" s="289"/>
      <c r="M20" s="52" t="s">
        <v>52</v>
      </c>
      <c r="N20" s="369" t="s">
        <v>171</v>
      </c>
      <c r="O20" s="361">
        <v>15</v>
      </c>
      <c r="P20" s="319">
        <v>261</v>
      </c>
      <c r="Q20" s="360">
        <v>0.9425</v>
      </c>
      <c r="R20" s="55"/>
      <c r="S20" s="52" t="s">
        <v>52</v>
      </c>
      <c r="T20" s="369" t="s">
        <v>171</v>
      </c>
      <c r="U20" s="361">
        <v>10</v>
      </c>
      <c r="V20" s="319">
        <v>246</v>
      </c>
      <c r="W20" s="360">
        <v>0.9593</v>
      </c>
      <c r="Y20" s="42" t="s">
        <v>81</v>
      </c>
      <c r="Z20" s="297" t="s">
        <v>160</v>
      </c>
      <c r="AA20" s="331">
        <v>0.9688</v>
      </c>
      <c r="AB20" s="298">
        <v>10</v>
      </c>
      <c r="AC20" s="332">
        <v>320</v>
      </c>
      <c r="AD20" s="331">
        <v>0.9041</v>
      </c>
      <c r="AE20" s="298">
        <v>7</v>
      </c>
      <c r="AF20" s="332">
        <v>73</v>
      </c>
      <c r="AG20" s="331">
        <v>0.9382</v>
      </c>
      <c r="AH20" s="298">
        <v>16</v>
      </c>
      <c r="AI20" s="332">
        <v>259</v>
      </c>
      <c r="AJ20" s="331">
        <v>0.9112</v>
      </c>
      <c r="AK20" s="298">
        <v>23</v>
      </c>
      <c r="AL20" s="332">
        <v>259</v>
      </c>
    </row>
    <row r="21" spans="1:38" ht="12.75">
      <c r="A21" s="52" t="s">
        <v>72</v>
      </c>
      <c r="B21" s="369" t="s">
        <v>107</v>
      </c>
      <c r="C21" s="361">
        <v>8</v>
      </c>
      <c r="D21" s="319">
        <v>64</v>
      </c>
      <c r="E21" s="360">
        <v>0.875</v>
      </c>
      <c r="F21" s="36"/>
      <c r="G21" s="52" t="s">
        <v>72</v>
      </c>
      <c r="H21" s="369" t="s">
        <v>107</v>
      </c>
      <c r="I21" s="361">
        <v>15</v>
      </c>
      <c r="J21" s="319">
        <v>323</v>
      </c>
      <c r="K21" s="360">
        <v>0.9536</v>
      </c>
      <c r="L21" s="289"/>
      <c r="M21" s="52" t="s">
        <v>72</v>
      </c>
      <c r="N21" s="369" t="s">
        <v>107</v>
      </c>
      <c r="O21" s="361">
        <v>22</v>
      </c>
      <c r="P21" s="319">
        <v>255</v>
      </c>
      <c r="Q21" s="360">
        <v>0.9137</v>
      </c>
      <c r="R21" s="55"/>
      <c r="S21" s="52" t="s">
        <v>72</v>
      </c>
      <c r="T21" s="369" t="s">
        <v>107</v>
      </c>
      <c r="U21" s="361">
        <v>13</v>
      </c>
      <c r="V21" s="319">
        <v>240</v>
      </c>
      <c r="W21" s="360">
        <v>0.9458</v>
      </c>
      <c r="Y21" s="43" t="s">
        <v>92</v>
      </c>
      <c r="Z21" s="297" t="s">
        <v>203</v>
      </c>
      <c r="AA21" s="331">
        <v>0.9719</v>
      </c>
      <c r="AB21" s="298">
        <v>8</v>
      </c>
      <c r="AC21" s="332">
        <v>285</v>
      </c>
      <c r="AD21" s="331">
        <v>0.8871</v>
      </c>
      <c r="AE21" s="298">
        <v>7</v>
      </c>
      <c r="AF21" s="332">
        <v>62</v>
      </c>
      <c r="AG21" s="331">
        <v>0.9318</v>
      </c>
      <c r="AH21" s="298">
        <v>18</v>
      </c>
      <c r="AI21" s="332">
        <v>264</v>
      </c>
      <c r="AJ21" s="331">
        <v>0.9758</v>
      </c>
      <c r="AK21" s="298">
        <v>6</v>
      </c>
      <c r="AL21" s="332">
        <v>248</v>
      </c>
    </row>
    <row r="22" spans="1:38" ht="12.75">
      <c r="A22" s="52" t="s">
        <v>73</v>
      </c>
      <c r="B22" s="369" t="s">
        <v>172</v>
      </c>
      <c r="C22" s="361">
        <v>8</v>
      </c>
      <c r="D22" s="319">
        <v>62</v>
      </c>
      <c r="E22" s="360">
        <v>0.871</v>
      </c>
      <c r="F22" s="36"/>
      <c r="G22" s="52" t="s">
        <v>73</v>
      </c>
      <c r="H22" s="369" t="s">
        <v>172</v>
      </c>
      <c r="I22" s="361">
        <v>11</v>
      </c>
      <c r="J22" s="319">
        <v>217</v>
      </c>
      <c r="K22" s="360">
        <v>0.9493</v>
      </c>
      <c r="L22" s="289"/>
      <c r="M22" s="52" t="s">
        <v>73</v>
      </c>
      <c r="N22" s="369" t="s">
        <v>172</v>
      </c>
      <c r="O22" s="361">
        <v>26</v>
      </c>
      <c r="P22" s="319">
        <v>252</v>
      </c>
      <c r="Q22" s="360">
        <v>0.8968</v>
      </c>
      <c r="R22" s="55"/>
      <c r="S22" s="52" t="s">
        <v>73</v>
      </c>
      <c r="T22" s="369" t="s">
        <v>172</v>
      </c>
      <c r="U22" s="361">
        <v>18</v>
      </c>
      <c r="V22" s="319">
        <v>246</v>
      </c>
      <c r="W22" s="360">
        <v>0.9268</v>
      </c>
      <c r="Y22" s="42" t="s">
        <v>258</v>
      </c>
      <c r="Z22" s="297" t="s">
        <v>105</v>
      </c>
      <c r="AA22" s="331">
        <v>0.9267</v>
      </c>
      <c r="AB22" s="298">
        <v>17</v>
      </c>
      <c r="AC22" s="332">
        <v>232</v>
      </c>
      <c r="AD22" s="331">
        <v>0.8333</v>
      </c>
      <c r="AE22" s="298">
        <v>10</v>
      </c>
      <c r="AF22" s="332">
        <v>60</v>
      </c>
      <c r="AG22" s="331">
        <v>0.86</v>
      </c>
      <c r="AH22" s="298">
        <v>35</v>
      </c>
      <c r="AI22" s="332">
        <v>250</v>
      </c>
      <c r="AJ22" s="331">
        <v>0.849</v>
      </c>
      <c r="AK22" s="298">
        <v>37</v>
      </c>
      <c r="AL22" s="332">
        <v>245</v>
      </c>
    </row>
    <row r="23" spans="1:38" ht="13.5" thickBot="1">
      <c r="A23" s="52" t="s">
        <v>71</v>
      </c>
      <c r="B23" s="369" t="s">
        <v>173</v>
      </c>
      <c r="C23" s="361">
        <v>6</v>
      </c>
      <c r="D23" s="319">
        <v>62</v>
      </c>
      <c r="E23" s="360">
        <v>0.9032</v>
      </c>
      <c r="F23" s="36"/>
      <c r="G23" s="52" t="s">
        <v>71</v>
      </c>
      <c r="H23" s="369" t="s">
        <v>173</v>
      </c>
      <c r="I23" s="361">
        <v>16</v>
      </c>
      <c r="J23" s="319">
        <v>293</v>
      </c>
      <c r="K23" s="360">
        <v>0.9454</v>
      </c>
      <c r="L23" s="289"/>
      <c r="M23" s="52" t="s">
        <v>71</v>
      </c>
      <c r="N23" s="369" t="s">
        <v>173</v>
      </c>
      <c r="O23" s="361">
        <v>25</v>
      </c>
      <c r="P23" s="319">
        <v>250</v>
      </c>
      <c r="Q23" s="360">
        <v>0.9</v>
      </c>
      <c r="R23" s="55"/>
      <c r="S23" s="52" t="s">
        <v>71</v>
      </c>
      <c r="T23" s="369" t="s">
        <v>173</v>
      </c>
      <c r="U23" s="361">
        <v>12</v>
      </c>
      <c r="V23" s="319">
        <v>238</v>
      </c>
      <c r="W23" s="360">
        <v>0.9496</v>
      </c>
      <c r="Y23" s="44" t="s">
        <v>96</v>
      </c>
      <c r="Z23" s="299" t="s">
        <v>212</v>
      </c>
      <c r="AA23" s="333">
        <v>0.9363</v>
      </c>
      <c r="AB23" s="300">
        <v>16</v>
      </c>
      <c r="AC23" s="334">
        <v>251</v>
      </c>
      <c r="AD23" s="333">
        <v>0.8667</v>
      </c>
      <c r="AE23" s="300">
        <v>8</v>
      </c>
      <c r="AF23" s="334">
        <v>60</v>
      </c>
      <c r="AG23" s="333">
        <v>0.877</v>
      </c>
      <c r="AH23" s="300">
        <v>31</v>
      </c>
      <c r="AI23" s="334">
        <v>252</v>
      </c>
      <c r="AJ23" s="333">
        <v>0.8933</v>
      </c>
      <c r="AK23" s="300">
        <v>24</v>
      </c>
      <c r="AL23" s="334">
        <v>225</v>
      </c>
    </row>
    <row r="24" spans="1:38" ht="12.75">
      <c r="A24" s="52" t="s">
        <v>63</v>
      </c>
      <c r="B24" s="369" t="s">
        <v>174</v>
      </c>
      <c r="C24" s="361">
        <v>7</v>
      </c>
      <c r="D24" s="319">
        <v>65</v>
      </c>
      <c r="E24" s="360">
        <v>0.8923</v>
      </c>
      <c r="F24" s="36"/>
      <c r="G24" s="52" t="s">
        <v>63</v>
      </c>
      <c r="H24" s="369" t="s">
        <v>174</v>
      </c>
      <c r="I24" s="361">
        <v>19</v>
      </c>
      <c r="J24" s="319">
        <v>277</v>
      </c>
      <c r="K24" s="360">
        <v>0.9314</v>
      </c>
      <c r="L24" s="289"/>
      <c r="M24" s="52" t="s">
        <v>63</v>
      </c>
      <c r="N24" s="369" t="s">
        <v>174</v>
      </c>
      <c r="O24" s="361">
        <v>22</v>
      </c>
      <c r="P24" s="319">
        <v>260</v>
      </c>
      <c r="Q24" s="360">
        <v>0.9154</v>
      </c>
      <c r="R24" s="55"/>
      <c r="S24" s="52" t="s">
        <v>63</v>
      </c>
      <c r="T24" s="369" t="s">
        <v>174</v>
      </c>
      <c r="U24" s="361">
        <v>32</v>
      </c>
      <c r="V24" s="319">
        <v>250</v>
      </c>
      <c r="W24" s="360">
        <v>0.872</v>
      </c>
      <c r="Y24" s="294" t="s">
        <v>20</v>
      </c>
      <c r="Z24" s="295"/>
      <c r="AA24" s="329">
        <v>0.9564263322884012</v>
      </c>
      <c r="AB24" s="296">
        <v>139</v>
      </c>
      <c r="AC24" s="330">
        <v>3190</v>
      </c>
      <c r="AD24" s="329">
        <v>0.9101283880171184</v>
      </c>
      <c r="AE24" s="296">
        <v>63</v>
      </c>
      <c r="AF24" s="330">
        <v>701</v>
      </c>
      <c r="AG24" s="329">
        <v>0.9063951411218292</v>
      </c>
      <c r="AH24" s="296">
        <v>262</v>
      </c>
      <c r="AI24" s="330">
        <v>2799</v>
      </c>
      <c r="AJ24" s="329">
        <v>0.9210233592880979</v>
      </c>
      <c r="AK24" s="296">
        <v>213</v>
      </c>
      <c r="AL24" s="330">
        <v>2697</v>
      </c>
    </row>
    <row r="25" spans="1:38" ht="12.75">
      <c r="A25" s="52" t="s">
        <v>51</v>
      </c>
      <c r="B25" s="369" t="s">
        <v>175</v>
      </c>
      <c r="C25" s="361">
        <v>5</v>
      </c>
      <c r="D25" s="319">
        <v>64</v>
      </c>
      <c r="E25" s="360">
        <v>0.9219</v>
      </c>
      <c r="F25" s="36"/>
      <c r="G25" s="52" t="s">
        <v>51</v>
      </c>
      <c r="H25" s="369" t="s">
        <v>175</v>
      </c>
      <c r="I25" s="361">
        <v>9</v>
      </c>
      <c r="J25" s="319">
        <v>232</v>
      </c>
      <c r="K25" s="360">
        <v>0.9612</v>
      </c>
      <c r="L25" s="289"/>
      <c r="M25" s="52" t="s">
        <v>51</v>
      </c>
      <c r="N25" s="369" t="s">
        <v>175</v>
      </c>
      <c r="O25" s="361">
        <v>24</v>
      </c>
      <c r="P25" s="319">
        <v>254</v>
      </c>
      <c r="Q25" s="360">
        <v>0.9055</v>
      </c>
      <c r="R25" s="55"/>
      <c r="S25" s="52" t="s">
        <v>51</v>
      </c>
      <c r="T25" s="369" t="s">
        <v>175</v>
      </c>
      <c r="U25" s="361">
        <v>15</v>
      </c>
      <c r="V25" s="319">
        <v>246</v>
      </c>
      <c r="W25" s="360">
        <v>0.939</v>
      </c>
      <c r="Y25" s="42" t="s">
        <v>34</v>
      </c>
      <c r="Z25" s="297" t="s">
        <v>168</v>
      </c>
      <c r="AA25" s="331">
        <v>0.9153</v>
      </c>
      <c r="AB25" s="298">
        <v>20</v>
      </c>
      <c r="AC25" s="332">
        <v>236</v>
      </c>
      <c r="AD25" s="331">
        <v>0.9206</v>
      </c>
      <c r="AE25" s="298">
        <v>5</v>
      </c>
      <c r="AF25" s="332">
        <v>63</v>
      </c>
      <c r="AG25" s="331">
        <v>0.912</v>
      </c>
      <c r="AH25" s="298">
        <v>22</v>
      </c>
      <c r="AI25" s="332">
        <v>250</v>
      </c>
      <c r="AJ25" s="331">
        <v>0.8876</v>
      </c>
      <c r="AK25" s="298">
        <v>29</v>
      </c>
      <c r="AL25" s="332">
        <v>258</v>
      </c>
    </row>
    <row r="26" spans="1:38" ht="12.75">
      <c r="A26" s="52" t="s">
        <v>62</v>
      </c>
      <c r="B26" s="369" t="s">
        <v>176</v>
      </c>
      <c r="C26" s="361">
        <v>6</v>
      </c>
      <c r="D26" s="319">
        <v>64</v>
      </c>
      <c r="E26" s="360">
        <v>0.9063</v>
      </c>
      <c r="F26" s="36"/>
      <c r="G26" s="52" t="s">
        <v>62</v>
      </c>
      <c r="H26" s="369" t="s">
        <v>176</v>
      </c>
      <c r="I26" s="361">
        <v>9</v>
      </c>
      <c r="J26" s="319">
        <v>237</v>
      </c>
      <c r="K26" s="360">
        <v>0.962</v>
      </c>
      <c r="L26" s="289"/>
      <c r="M26" s="52" t="s">
        <v>62</v>
      </c>
      <c r="N26" s="369" t="s">
        <v>176</v>
      </c>
      <c r="O26" s="361">
        <v>20</v>
      </c>
      <c r="P26" s="319">
        <v>249</v>
      </c>
      <c r="Q26" s="360">
        <v>0.9197</v>
      </c>
      <c r="R26" s="55"/>
      <c r="S26" s="52" t="s">
        <v>62</v>
      </c>
      <c r="T26" s="369" t="s">
        <v>176</v>
      </c>
      <c r="U26" s="361">
        <v>20</v>
      </c>
      <c r="V26" s="319">
        <v>229</v>
      </c>
      <c r="W26" s="360">
        <v>0.9127</v>
      </c>
      <c r="Y26" s="42" t="s">
        <v>52</v>
      </c>
      <c r="Z26" s="297" t="s">
        <v>171</v>
      </c>
      <c r="AA26" s="331">
        <v>0.9749</v>
      </c>
      <c r="AB26" s="298">
        <v>7</v>
      </c>
      <c r="AC26" s="332">
        <v>279</v>
      </c>
      <c r="AD26" s="331">
        <v>0.9851</v>
      </c>
      <c r="AE26" s="298">
        <v>1</v>
      </c>
      <c r="AF26" s="332">
        <v>67</v>
      </c>
      <c r="AG26" s="331">
        <v>0.9425</v>
      </c>
      <c r="AH26" s="298">
        <v>15</v>
      </c>
      <c r="AI26" s="332">
        <v>261</v>
      </c>
      <c r="AJ26" s="331">
        <v>0.9593</v>
      </c>
      <c r="AK26" s="298">
        <v>10</v>
      </c>
      <c r="AL26" s="332">
        <v>246</v>
      </c>
    </row>
    <row r="27" spans="1:38" ht="12.75">
      <c r="A27" s="52" t="s">
        <v>67</v>
      </c>
      <c r="B27" s="369" t="s">
        <v>177</v>
      </c>
      <c r="C27" s="361">
        <v>4</v>
      </c>
      <c r="D27" s="319">
        <v>63</v>
      </c>
      <c r="E27" s="360">
        <v>0.9365</v>
      </c>
      <c r="F27" s="36"/>
      <c r="G27" s="52" t="s">
        <v>67</v>
      </c>
      <c r="H27" s="369" t="s">
        <v>177</v>
      </c>
      <c r="I27" s="361">
        <v>8</v>
      </c>
      <c r="J27" s="319">
        <v>224</v>
      </c>
      <c r="K27" s="360">
        <v>0.9643</v>
      </c>
      <c r="L27" s="289"/>
      <c r="M27" s="52" t="s">
        <v>67</v>
      </c>
      <c r="N27" s="369" t="s">
        <v>177</v>
      </c>
      <c r="O27" s="361">
        <v>28</v>
      </c>
      <c r="P27" s="319">
        <v>250</v>
      </c>
      <c r="Q27" s="360">
        <v>0.888</v>
      </c>
      <c r="R27" s="55"/>
      <c r="S27" s="52" t="s">
        <v>67</v>
      </c>
      <c r="T27" s="369" t="s">
        <v>177</v>
      </c>
      <c r="U27" s="361">
        <v>27</v>
      </c>
      <c r="V27" s="319">
        <v>227</v>
      </c>
      <c r="W27" s="360">
        <v>0.8811</v>
      </c>
      <c r="Y27" s="42" t="s">
        <v>61</v>
      </c>
      <c r="Z27" s="297" t="s">
        <v>167</v>
      </c>
      <c r="AA27" s="331">
        <v>0.9708</v>
      </c>
      <c r="AB27" s="298">
        <v>7</v>
      </c>
      <c r="AC27" s="332">
        <v>240</v>
      </c>
      <c r="AD27" s="331">
        <v>0.9524</v>
      </c>
      <c r="AE27" s="298">
        <v>3</v>
      </c>
      <c r="AF27" s="332">
        <v>63</v>
      </c>
      <c r="AG27" s="331">
        <v>0.9157</v>
      </c>
      <c r="AH27" s="298">
        <v>22</v>
      </c>
      <c r="AI27" s="332">
        <v>261</v>
      </c>
      <c r="AJ27" s="331">
        <v>0.9325</v>
      </c>
      <c r="AK27" s="298">
        <v>17</v>
      </c>
      <c r="AL27" s="332">
        <v>252</v>
      </c>
    </row>
    <row r="28" spans="1:38" ht="12.75">
      <c r="A28" s="52" t="s">
        <v>50</v>
      </c>
      <c r="B28" s="369" t="s">
        <v>178</v>
      </c>
      <c r="C28" s="361">
        <v>7</v>
      </c>
      <c r="D28" s="319">
        <v>61</v>
      </c>
      <c r="E28" s="360">
        <v>0.8852</v>
      </c>
      <c r="F28" s="36"/>
      <c r="G28" s="52" t="s">
        <v>50</v>
      </c>
      <c r="H28" s="369" t="s">
        <v>178</v>
      </c>
      <c r="I28" s="361">
        <v>17</v>
      </c>
      <c r="J28" s="319">
        <v>206</v>
      </c>
      <c r="K28" s="360">
        <v>0.9175</v>
      </c>
      <c r="L28" s="289"/>
      <c r="M28" s="52" t="s">
        <v>50</v>
      </c>
      <c r="N28" s="369" t="s">
        <v>178</v>
      </c>
      <c r="O28" s="361">
        <v>24</v>
      </c>
      <c r="P28" s="319">
        <v>250</v>
      </c>
      <c r="Q28" s="360">
        <v>0.904</v>
      </c>
      <c r="R28" s="55"/>
      <c r="S28" s="52" t="s">
        <v>50</v>
      </c>
      <c r="T28" s="369" t="s">
        <v>178</v>
      </c>
      <c r="U28" s="361">
        <v>26</v>
      </c>
      <c r="V28" s="319">
        <v>236</v>
      </c>
      <c r="W28" s="360">
        <v>0.8898</v>
      </c>
      <c r="Y28" s="42" t="s">
        <v>63</v>
      </c>
      <c r="Z28" s="297" t="s">
        <v>174</v>
      </c>
      <c r="AA28" s="331">
        <v>0.9314</v>
      </c>
      <c r="AB28" s="298">
        <v>19</v>
      </c>
      <c r="AC28" s="332">
        <v>277</v>
      </c>
      <c r="AD28" s="331">
        <v>0.8923</v>
      </c>
      <c r="AE28" s="298">
        <v>7</v>
      </c>
      <c r="AF28" s="332">
        <v>65</v>
      </c>
      <c r="AG28" s="331">
        <v>0.9154</v>
      </c>
      <c r="AH28" s="298">
        <v>22</v>
      </c>
      <c r="AI28" s="332">
        <v>260</v>
      </c>
      <c r="AJ28" s="331">
        <v>0.872</v>
      </c>
      <c r="AK28" s="298">
        <v>32</v>
      </c>
      <c r="AL28" s="332">
        <v>250</v>
      </c>
    </row>
    <row r="29" spans="1:38" ht="12.75">
      <c r="A29" s="52" t="s">
        <v>55</v>
      </c>
      <c r="B29" s="369" t="s">
        <v>179</v>
      </c>
      <c r="C29" s="361">
        <v>8</v>
      </c>
      <c r="D29" s="319">
        <v>68</v>
      </c>
      <c r="E29" s="360">
        <v>0.8824</v>
      </c>
      <c r="F29" s="36"/>
      <c r="G29" s="52" t="s">
        <v>55</v>
      </c>
      <c r="H29" s="369" t="s">
        <v>179</v>
      </c>
      <c r="I29" s="361">
        <v>18</v>
      </c>
      <c r="J29" s="319">
        <v>206</v>
      </c>
      <c r="K29" s="360">
        <v>0.9126</v>
      </c>
      <c r="L29" s="289"/>
      <c r="M29" s="52" t="s">
        <v>55</v>
      </c>
      <c r="N29" s="369" t="s">
        <v>179</v>
      </c>
      <c r="O29" s="361">
        <v>28</v>
      </c>
      <c r="P29" s="319">
        <v>256</v>
      </c>
      <c r="Q29" s="360">
        <v>0.8906</v>
      </c>
      <c r="R29" s="55"/>
      <c r="S29" s="52" t="s">
        <v>55</v>
      </c>
      <c r="T29" s="369" t="s">
        <v>179</v>
      </c>
      <c r="U29" s="361">
        <v>24</v>
      </c>
      <c r="V29" s="319">
        <v>252</v>
      </c>
      <c r="W29" s="360">
        <v>0.9048</v>
      </c>
      <c r="Y29" s="42" t="s">
        <v>67</v>
      </c>
      <c r="Z29" s="297" t="s">
        <v>177</v>
      </c>
      <c r="AA29" s="331">
        <v>0.9643</v>
      </c>
      <c r="AB29" s="298">
        <v>8</v>
      </c>
      <c r="AC29" s="332">
        <v>224</v>
      </c>
      <c r="AD29" s="331">
        <v>0.9365</v>
      </c>
      <c r="AE29" s="298">
        <v>4</v>
      </c>
      <c r="AF29" s="332">
        <v>63</v>
      </c>
      <c r="AG29" s="331">
        <v>0.888</v>
      </c>
      <c r="AH29" s="298">
        <v>28</v>
      </c>
      <c r="AI29" s="332">
        <v>250</v>
      </c>
      <c r="AJ29" s="331">
        <v>0.8811</v>
      </c>
      <c r="AK29" s="298">
        <v>27</v>
      </c>
      <c r="AL29" s="332">
        <v>227</v>
      </c>
    </row>
    <row r="30" spans="1:38" ht="12.75">
      <c r="A30" s="52" t="s">
        <v>70</v>
      </c>
      <c r="B30" s="369" t="s">
        <v>180</v>
      </c>
      <c r="C30" s="361">
        <v>4</v>
      </c>
      <c r="D30" s="319">
        <v>64</v>
      </c>
      <c r="E30" s="360">
        <v>0.9375</v>
      </c>
      <c r="F30" s="36"/>
      <c r="G30" s="52" t="s">
        <v>70</v>
      </c>
      <c r="H30" s="369" t="s">
        <v>180</v>
      </c>
      <c r="I30" s="361">
        <v>9</v>
      </c>
      <c r="J30" s="319">
        <v>284</v>
      </c>
      <c r="K30" s="360">
        <v>0.9683</v>
      </c>
      <c r="L30" s="289"/>
      <c r="M30" s="52" t="s">
        <v>70</v>
      </c>
      <c r="N30" s="369" t="s">
        <v>180</v>
      </c>
      <c r="O30" s="361">
        <v>12</v>
      </c>
      <c r="P30" s="319">
        <v>262</v>
      </c>
      <c r="Q30" s="360">
        <v>0.9542</v>
      </c>
      <c r="R30" s="55"/>
      <c r="S30" s="52" t="s">
        <v>70</v>
      </c>
      <c r="T30" s="369" t="s">
        <v>180</v>
      </c>
      <c r="U30" s="361">
        <v>10</v>
      </c>
      <c r="V30" s="319">
        <v>252</v>
      </c>
      <c r="W30" s="360">
        <v>0.9603</v>
      </c>
      <c r="Y30" s="42" t="s">
        <v>71</v>
      </c>
      <c r="Z30" s="297" t="s">
        <v>173</v>
      </c>
      <c r="AA30" s="331">
        <v>0.9454</v>
      </c>
      <c r="AB30" s="298">
        <v>16</v>
      </c>
      <c r="AC30" s="332">
        <v>293</v>
      </c>
      <c r="AD30" s="331">
        <v>0.9032</v>
      </c>
      <c r="AE30" s="298">
        <v>6</v>
      </c>
      <c r="AF30" s="332">
        <v>62</v>
      </c>
      <c r="AG30" s="331">
        <v>0.9</v>
      </c>
      <c r="AH30" s="298">
        <v>25</v>
      </c>
      <c r="AI30" s="332">
        <v>250</v>
      </c>
      <c r="AJ30" s="331">
        <v>0.9496</v>
      </c>
      <c r="AK30" s="298">
        <v>12</v>
      </c>
      <c r="AL30" s="332">
        <v>238</v>
      </c>
    </row>
    <row r="31" spans="1:38" ht="12.75">
      <c r="A31" s="52" t="s">
        <v>89</v>
      </c>
      <c r="B31" s="369" t="s">
        <v>181</v>
      </c>
      <c r="C31" s="361">
        <v>4</v>
      </c>
      <c r="D31" s="319">
        <v>66</v>
      </c>
      <c r="E31" s="360">
        <v>0.9394</v>
      </c>
      <c r="F31" s="36"/>
      <c r="G31" s="52" t="s">
        <v>89</v>
      </c>
      <c r="H31" s="369" t="s">
        <v>181</v>
      </c>
      <c r="I31" s="361">
        <v>5</v>
      </c>
      <c r="J31" s="319">
        <v>236</v>
      </c>
      <c r="K31" s="360">
        <v>0.9788</v>
      </c>
      <c r="L31" s="289"/>
      <c r="M31" s="52" t="s">
        <v>89</v>
      </c>
      <c r="N31" s="369" t="s">
        <v>181</v>
      </c>
      <c r="O31" s="361">
        <v>24</v>
      </c>
      <c r="P31" s="319">
        <v>252</v>
      </c>
      <c r="Q31" s="360">
        <v>0.9048</v>
      </c>
      <c r="R31" s="55"/>
      <c r="S31" s="52" t="s">
        <v>89</v>
      </c>
      <c r="T31" s="369" t="s">
        <v>181</v>
      </c>
      <c r="U31" s="361">
        <v>17</v>
      </c>
      <c r="V31" s="319">
        <v>230</v>
      </c>
      <c r="W31" s="360">
        <v>0.9261</v>
      </c>
      <c r="Y31" s="42" t="s">
        <v>72</v>
      </c>
      <c r="Z31" s="297" t="s">
        <v>107</v>
      </c>
      <c r="AA31" s="331">
        <v>0.9536</v>
      </c>
      <c r="AB31" s="298">
        <v>15</v>
      </c>
      <c r="AC31" s="332">
        <v>323</v>
      </c>
      <c r="AD31" s="331">
        <v>0.875</v>
      </c>
      <c r="AE31" s="298">
        <v>8</v>
      </c>
      <c r="AF31" s="332">
        <v>64</v>
      </c>
      <c r="AG31" s="331">
        <v>0.9137</v>
      </c>
      <c r="AH31" s="298">
        <v>22</v>
      </c>
      <c r="AI31" s="332">
        <v>255</v>
      </c>
      <c r="AJ31" s="331">
        <v>0.9458</v>
      </c>
      <c r="AK31" s="298">
        <v>13</v>
      </c>
      <c r="AL31" s="332">
        <v>240</v>
      </c>
    </row>
    <row r="32" spans="1:38" ht="12.75">
      <c r="A32" s="52" t="s">
        <v>54</v>
      </c>
      <c r="B32" s="369" t="s">
        <v>182</v>
      </c>
      <c r="C32" s="361">
        <v>2</v>
      </c>
      <c r="D32" s="319">
        <v>59</v>
      </c>
      <c r="E32" s="360">
        <v>0.9661</v>
      </c>
      <c r="F32" s="36"/>
      <c r="G32" s="52" t="s">
        <v>54</v>
      </c>
      <c r="H32" s="369" t="s">
        <v>182</v>
      </c>
      <c r="I32" s="361">
        <v>3</v>
      </c>
      <c r="J32" s="319">
        <v>202</v>
      </c>
      <c r="K32" s="360">
        <v>0.9851</v>
      </c>
      <c r="L32" s="289"/>
      <c r="M32" s="52" t="s">
        <v>54</v>
      </c>
      <c r="N32" s="369" t="s">
        <v>182</v>
      </c>
      <c r="O32" s="361">
        <v>9</v>
      </c>
      <c r="P32" s="319">
        <v>251</v>
      </c>
      <c r="Q32" s="360">
        <v>0.9641</v>
      </c>
      <c r="R32" s="55"/>
      <c r="S32" s="52" t="s">
        <v>54</v>
      </c>
      <c r="T32" s="369" t="s">
        <v>182</v>
      </c>
      <c r="U32" s="361">
        <v>18</v>
      </c>
      <c r="V32" s="319">
        <v>247</v>
      </c>
      <c r="W32" s="360">
        <v>0.9271</v>
      </c>
      <c r="Y32" s="42" t="s">
        <v>83</v>
      </c>
      <c r="Z32" s="297" t="s">
        <v>121</v>
      </c>
      <c r="AA32" s="331">
        <v>0.9636</v>
      </c>
      <c r="AB32" s="298">
        <v>9</v>
      </c>
      <c r="AC32" s="332">
        <v>247</v>
      </c>
      <c r="AD32" s="331">
        <v>0.8889</v>
      </c>
      <c r="AE32" s="298">
        <v>7</v>
      </c>
      <c r="AF32" s="332">
        <v>63</v>
      </c>
      <c r="AG32" s="331">
        <v>0.913</v>
      </c>
      <c r="AH32" s="298">
        <v>22</v>
      </c>
      <c r="AI32" s="332">
        <v>253</v>
      </c>
      <c r="AJ32" s="331">
        <v>0.9719</v>
      </c>
      <c r="AK32" s="298">
        <v>7</v>
      </c>
      <c r="AL32" s="332">
        <v>249</v>
      </c>
    </row>
    <row r="33" spans="1:38" ht="12.75">
      <c r="A33" s="52" t="s">
        <v>64</v>
      </c>
      <c r="B33" s="369" t="s">
        <v>183</v>
      </c>
      <c r="C33" s="361">
        <v>2</v>
      </c>
      <c r="D33" s="319">
        <v>62</v>
      </c>
      <c r="E33" s="360">
        <v>0.9677</v>
      </c>
      <c r="F33" s="36"/>
      <c r="G33" s="52" t="s">
        <v>64</v>
      </c>
      <c r="H33" s="369" t="s">
        <v>183</v>
      </c>
      <c r="I33" s="361">
        <v>4</v>
      </c>
      <c r="J33" s="319">
        <v>244</v>
      </c>
      <c r="K33" s="360">
        <v>0.9836</v>
      </c>
      <c r="L33" s="289"/>
      <c r="M33" s="52" t="s">
        <v>64</v>
      </c>
      <c r="N33" s="369" t="s">
        <v>183</v>
      </c>
      <c r="O33" s="361">
        <v>11</v>
      </c>
      <c r="P33" s="319">
        <v>254</v>
      </c>
      <c r="Q33" s="360">
        <v>0.9567</v>
      </c>
      <c r="R33" s="55"/>
      <c r="S33" s="52" t="s">
        <v>64</v>
      </c>
      <c r="T33" s="369" t="s">
        <v>183</v>
      </c>
      <c r="U33" s="361">
        <v>1</v>
      </c>
      <c r="V33" s="319">
        <v>248</v>
      </c>
      <c r="W33" s="360">
        <v>0.996</v>
      </c>
      <c r="Y33" s="42" t="s">
        <v>86</v>
      </c>
      <c r="Z33" s="297" t="s">
        <v>198</v>
      </c>
      <c r="AA33" s="331">
        <v>0.9737</v>
      </c>
      <c r="AB33" s="298">
        <v>8</v>
      </c>
      <c r="AC33" s="332">
        <v>304</v>
      </c>
      <c r="AD33" s="331">
        <v>0.9048</v>
      </c>
      <c r="AE33" s="298">
        <v>6</v>
      </c>
      <c r="AF33" s="332">
        <v>63</v>
      </c>
      <c r="AG33" s="331">
        <v>0.8745</v>
      </c>
      <c r="AH33" s="298">
        <v>32</v>
      </c>
      <c r="AI33" s="332">
        <v>255</v>
      </c>
      <c r="AJ33" s="331">
        <v>0.8964</v>
      </c>
      <c r="AK33" s="298">
        <v>26</v>
      </c>
      <c r="AL33" s="332">
        <v>251</v>
      </c>
    </row>
    <row r="34" spans="1:38" ht="12.75">
      <c r="A34" s="52" t="s">
        <v>90</v>
      </c>
      <c r="B34" s="369" t="s">
        <v>184</v>
      </c>
      <c r="C34" s="361">
        <v>8</v>
      </c>
      <c r="D34" s="319">
        <v>63</v>
      </c>
      <c r="E34" s="360">
        <v>0.873</v>
      </c>
      <c r="F34" s="36"/>
      <c r="G34" s="52" t="s">
        <v>90</v>
      </c>
      <c r="H34" s="369" t="s">
        <v>184</v>
      </c>
      <c r="I34" s="361">
        <v>9</v>
      </c>
      <c r="J34" s="319">
        <v>240</v>
      </c>
      <c r="K34" s="360">
        <v>0.9625</v>
      </c>
      <c r="L34" s="289"/>
      <c r="M34" s="52" t="s">
        <v>90</v>
      </c>
      <c r="N34" s="369" t="s">
        <v>184</v>
      </c>
      <c r="O34" s="361">
        <v>15</v>
      </c>
      <c r="P34" s="319">
        <v>262</v>
      </c>
      <c r="Q34" s="360">
        <v>0.9427</v>
      </c>
      <c r="R34" s="55"/>
      <c r="S34" s="52" t="s">
        <v>90</v>
      </c>
      <c r="T34" s="369" t="s">
        <v>184</v>
      </c>
      <c r="U34" s="361">
        <v>14</v>
      </c>
      <c r="V34" s="319">
        <v>244</v>
      </c>
      <c r="W34" s="360">
        <v>0.9426</v>
      </c>
      <c r="Y34" s="42" t="s">
        <v>91</v>
      </c>
      <c r="Z34" s="297" t="s">
        <v>169</v>
      </c>
      <c r="AA34" s="331">
        <v>0.9602</v>
      </c>
      <c r="AB34" s="298">
        <v>9</v>
      </c>
      <c r="AC34" s="335">
        <v>226</v>
      </c>
      <c r="AD34" s="331">
        <v>0.9016</v>
      </c>
      <c r="AE34" s="298">
        <v>6</v>
      </c>
      <c r="AF34" s="335">
        <v>61</v>
      </c>
      <c r="AG34" s="331">
        <v>0.9</v>
      </c>
      <c r="AH34" s="298">
        <v>25</v>
      </c>
      <c r="AI34" s="335">
        <v>250</v>
      </c>
      <c r="AJ34" s="331">
        <v>0.9187</v>
      </c>
      <c r="AK34" s="298">
        <v>20</v>
      </c>
      <c r="AL34" s="335">
        <v>246</v>
      </c>
    </row>
    <row r="35" spans="1:38" ht="12.75">
      <c r="A35" s="52" t="s">
        <v>53</v>
      </c>
      <c r="B35" s="369" t="s">
        <v>185</v>
      </c>
      <c r="C35" s="361">
        <v>5</v>
      </c>
      <c r="D35" s="319">
        <v>64</v>
      </c>
      <c r="E35" s="360">
        <v>0.9219</v>
      </c>
      <c r="F35" s="36"/>
      <c r="G35" s="52" t="s">
        <v>53</v>
      </c>
      <c r="H35" s="369" t="s">
        <v>185</v>
      </c>
      <c r="I35" s="361">
        <v>14</v>
      </c>
      <c r="J35" s="319">
        <v>280</v>
      </c>
      <c r="K35" s="360">
        <v>0.95</v>
      </c>
      <c r="L35" s="289"/>
      <c r="M35" s="52" t="s">
        <v>53</v>
      </c>
      <c r="N35" s="369" t="s">
        <v>185</v>
      </c>
      <c r="O35" s="361">
        <v>30</v>
      </c>
      <c r="P35" s="319">
        <v>252</v>
      </c>
      <c r="Q35" s="360">
        <v>0.881</v>
      </c>
      <c r="R35" s="55"/>
      <c r="S35" s="52" t="s">
        <v>53</v>
      </c>
      <c r="T35" s="369" t="s">
        <v>185</v>
      </c>
      <c r="U35" s="361">
        <v>24</v>
      </c>
      <c r="V35" s="319">
        <v>248</v>
      </c>
      <c r="W35" s="360">
        <v>0.9032</v>
      </c>
      <c r="Y35" s="42" t="s">
        <v>94</v>
      </c>
      <c r="Z35" s="297">
        <v>372</v>
      </c>
      <c r="AA35" s="331" t="s">
        <v>31</v>
      </c>
      <c r="AB35" s="298"/>
      <c r="AC35" s="332"/>
      <c r="AD35" s="331" t="s">
        <v>31</v>
      </c>
      <c r="AE35" s="298"/>
      <c r="AF35" s="332"/>
      <c r="AG35" s="331" t="s">
        <v>31</v>
      </c>
      <c r="AH35" s="298"/>
      <c r="AI35" s="332"/>
      <c r="AJ35" s="331" t="s">
        <v>31</v>
      </c>
      <c r="AK35" s="298"/>
      <c r="AL35" s="332"/>
    </row>
    <row r="36" spans="1:38" ht="13.5" thickBot="1">
      <c r="A36" s="52" t="s">
        <v>44</v>
      </c>
      <c r="B36" s="369" t="s">
        <v>186</v>
      </c>
      <c r="C36" s="361">
        <v>4</v>
      </c>
      <c r="D36" s="319">
        <v>64</v>
      </c>
      <c r="E36" s="360">
        <v>0.9375</v>
      </c>
      <c r="F36" s="36"/>
      <c r="G36" s="52" t="s">
        <v>44</v>
      </c>
      <c r="H36" s="369" t="s">
        <v>186</v>
      </c>
      <c r="I36" s="361">
        <v>6</v>
      </c>
      <c r="J36" s="319">
        <v>279</v>
      </c>
      <c r="K36" s="360">
        <v>0.9785</v>
      </c>
      <c r="L36" s="289"/>
      <c r="M36" s="52" t="s">
        <v>44</v>
      </c>
      <c r="N36" s="369" t="s">
        <v>186</v>
      </c>
      <c r="O36" s="361">
        <v>24</v>
      </c>
      <c r="P36" s="319">
        <v>253</v>
      </c>
      <c r="Q36" s="360">
        <v>0.9051</v>
      </c>
      <c r="R36" s="55"/>
      <c r="S36" s="52" t="s">
        <v>44</v>
      </c>
      <c r="T36" s="369" t="s">
        <v>186</v>
      </c>
      <c r="U36" s="361">
        <v>20</v>
      </c>
      <c r="V36" s="319">
        <v>242</v>
      </c>
      <c r="W36" s="360">
        <v>0.9174</v>
      </c>
      <c r="Y36" s="44" t="s">
        <v>259</v>
      </c>
      <c r="Z36" s="299" t="s">
        <v>170</v>
      </c>
      <c r="AA36" s="333">
        <v>0.9612</v>
      </c>
      <c r="AB36" s="300">
        <v>21</v>
      </c>
      <c r="AC36" s="334">
        <v>541</v>
      </c>
      <c r="AD36" s="333">
        <v>0.8507</v>
      </c>
      <c r="AE36" s="300">
        <v>10</v>
      </c>
      <c r="AF36" s="334">
        <v>67</v>
      </c>
      <c r="AG36" s="333">
        <v>0.8937</v>
      </c>
      <c r="AH36" s="300">
        <v>27</v>
      </c>
      <c r="AI36" s="334">
        <v>254</v>
      </c>
      <c r="AJ36" s="333">
        <v>0.9167</v>
      </c>
      <c r="AK36" s="300">
        <v>20</v>
      </c>
      <c r="AL36" s="334">
        <v>240</v>
      </c>
    </row>
    <row r="37" spans="1:38" ht="12.75">
      <c r="A37" s="52" t="s">
        <v>84</v>
      </c>
      <c r="B37" s="369" t="s">
        <v>187</v>
      </c>
      <c r="C37" s="361">
        <v>11</v>
      </c>
      <c r="D37" s="319">
        <v>62</v>
      </c>
      <c r="E37" s="360">
        <v>0.8226</v>
      </c>
      <c r="F37" s="36"/>
      <c r="G37" s="52" t="s">
        <v>84</v>
      </c>
      <c r="H37" s="369" t="s">
        <v>187</v>
      </c>
      <c r="I37" s="361">
        <v>25</v>
      </c>
      <c r="J37" s="319">
        <v>689</v>
      </c>
      <c r="K37" s="360">
        <v>0.9637</v>
      </c>
      <c r="L37" s="289"/>
      <c r="M37" s="52" t="s">
        <v>84</v>
      </c>
      <c r="N37" s="369" t="s">
        <v>187</v>
      </c>
      <c r="O37" s="361">
        <v>25</v>
      </c>
      <c r="P37" s="319">
        <v>254</v>
      </c>
      <c r="Q37" s="360">
        <v>0.9016</v>
      </c>
      <c r="R37" s="55"/>
      <c r="S37" s="52" t="s">
        <v>84</v>
      </c>
      <c r="T37" s="369" t="s">
        <v>187</v>
      </c>
      <c r="U37" s="361">
        <v>16</v>
      </c>
      <c r="V37" s="319">
        <v>254</v>
      </c>
      <c r="W37" s="360">
        <v>0.937</v>
      </c>
      <c r="Y37" s="294" t="s">
        <v>21</v>
      </c>
      <c r="Z37" s="295"/>
      <c r="AA37" s="329">
        <v>0.9634925463948889</v>
      </c>
      <c r="AB37" s="296">
        <v>120</v>
      </c>
      <c r="AC37" s="330">
        <v>3287</v>
      </c>
      <c r="AD37" s="329">
        <v>0.9239631336405529</v>
      </c>
      <c r="AE37" s="296">
        <v>66</v>
      </c>
      <c r="AF37" s="330">
        <v>868</v>
      </c>
      <c r="AG37" s="329">
        <v>0.9219718309859155</v>
      </c>
      <c r="AH37" s="296">
        <v>277</v>
      </c>
      <c r="AI37" s="330">
        <v>3550</v>
      </c>
      <c r="AJ37" s="329">
        <v>0.9429403202328966</v>
      </c>
      <c r="AK37" s="296">
        <v>196</v>
      </c>
      <c r="AL37" s="330">
        <v>3435</v>
      </c>
    </row>
    <row r="38" spans="1:38" ht="12.75">
      <c r="A38" s="52" t="s">
        <v>76</v>
      </c>
      <c r="B38" s="369" t="s">
        <v>188</v>
      </c>
      <c r="C38" s="361">
        <v>9</v>
      </c>
      <c r="D38" s="319">
        <v>65</v>
      </c>
      <c r="E38" s="360">
        <v>0.8615</v>
      </c>
      <c r="F38" s="36"/>
      <c r="G38" s="52" t="s">
        <v>76</v>
      </c>
      <c r="H38" s="369" t="s">
        <v>188</v>
      </c>
      <c r="I38" s="361">
        <v>22</v>
      </c>
      <c r="J38" s="319">
        <v>215</v>
      </c>
      <c r="K38" s="360">
        <v>0.8977</v>
      </c>
      <c r="L38" s="289"/>
      <c r="M38" s="52" t="s">
        <v>76</v>
      </c>
      <c r="N38" s="369" t="s">
        <v>188</v>
      </c>
      <c r="O38" s="361">
        <v>31</v>
      </c>
      <c r="P38" s="319">
        <v>256</v>
      </c>
      <c r="Q38" s="360">
        <v>0.8789</v>
      </c>
      <c r="R38" s="55"/>
      <c r="S38" s="52" t="s">
        <v>76</v>
      </c>
      <c r="T38" s="369" t="s">
        <v>188</v>
      </c>
      <c r="U38" s="361">
        <v>27</v>
      </c>
      <c r="V38" s="319">
        <v>252</v>
      </c>
      <c r="W38" s="360">
        <v>0.8929</v>
      </c>
      <c r="Y38" s="42" t="s">
        <v>50</v>
      </c>
      <c r="Z38" s="297" t="s">
        <v>178</v>
      </c>
      <c r="AA38" s="331">
        <v>0.9175</v>
      </c>
      <c r="AB38" s="298">
        <v>17</v>
      </c>
      <c r="AC38" s="332">
        <v>206</v>
      </c>
      <c r="AD38" s="331">
        <v>0.8852</v>
      </c>
      <c r="AE38" s="298">
        <v>7</v>
      </c>
      <c r="AF38" s="332">
        <v>61</v>
      </c>
      <c r="AG38" s="331">
        <v>0.904</v>
      </c>
      <c r="AH38" s="298">
        <v>24</v>
      </c>
      <c r="AI38" s="332">
        <v>250</v>
      </c>
      <c r="AJ38" s="331">
        <v>0.8898</v>
      </c>
      <c r="AK38" s="298">
        <v>26</v>
      </c>
      <c r="AL38" s="332">
        <v>236</v>
      </c>
    </row>
    <row r="39" spans="1:38" ht="12.75">
      <c r="A39" s="52" t="s">
        <v>66</v>
      </c>
      <c r="B39" s="369" t="s">
        <v>189</v>
      </c>
      <c r="C39" s="361">
        <v>8</v>
      </c>
      <c r="D39" s="319">
        <v>57</v>
      </c>
      <c r="E39" s="360">
        <v>0.8596</v>
      </c>
      <c r="F39" s="36"/>
      <c r="G39" s="52" t="s">
        <v>66</v>
      </c>
      <c r="H39" s="369" t="s">
        <v>189</v>
      </c>
      <c r="I39" s="361">
        <v>12</v>
      </c>
      <c r="J39" s="319">
        <v>233</v>
      </c>
      <c r="K39" s="360">
        <v>0.9485</v>
      </c>
      <c r="L39" s="289"/>
      <c r="M39" s="52" t="s">
        <v>66</v>
      </c>
      <c r="N39" s="369" t="s">
        <v>189</v>
      </c>
      <c r="O39" s="361">
        <v>30</v>
      </c>
      <c r="P39" s="319">
        <v>243</v>
      </c>
      <c r="Q39" s="360">
        <v>0.8765</v>
      </c>
      <c r="R39" s="55"/>
      <c r="S39" s="52" t="s">
        <v>66</v>
      </c>
      <c r="T39" s="369" t="s">
        <v>189</v>
      </c>
      <c r="U39" s="361">
        <v>23</v>
      </c>
      <c r="V39" s="319">
        <v>232</v>
      </c>
      <c r="W39" s="360">
        <v>0.9009</v>
      </c>
      <c r="Y39" s="42" t="s">
        <v>54</v>
      </c>
      <c r="Z39" s="297" t="s">
        <v>182</v>
      </c>
      <c r="AA39" s="331">
        <v>0.9851</v>
      </c>
      <c r="AB39" s="298">
        <v>3</v>
      </c>
      <c r="AC39" s="332">
        <v>202</v>
      </c>
      <c r="AD39" s="331">
        <v>0.9661</v>
      </c>
      <c r="AE39" s="298">
        <v>2</v>
      </c>
      <c r="AF39" s="332">
        <v>59</v>
      </c>
      <c r="AG39" s="331">
        <v>0.9641</v>
      </c>
      <c r="AH39" s="298">
        <v>9</v>
      </c>
      <c r="AI39" s="332">
        <v>251</v>
      </c>
      <c r="AJ39" s="331">
        <v>0.9271</v>
      </c>
      <c r="AK39" s="298">
        <v>18</v>
      </c>
      <c r="AL39" s="332">
        <v>247</v>
      </c>
    </row>
    <row r="40" spans="1:38" ht="12.75">
      <c r="A40" s="52" t="s">
        <v>78</v>
      </c>
      <c r="B40" s="369" t="s">
        <v>190</v>
      </c>
      <c r="C40" s="361">
        <v>4</v>
      </c>
      <c r="D40" s="319">
        <v>64</v>
      </c>
      <c r="E40" s="360">
        <v>0.9375</v>
      </c>
      <c r="F40" s="36"/>
      <c r="G40" s="52" t="s">
        <v>78</v>
      </c>
      <c r="H40" s="369" t="s">
        <v>190</v>
      </c>
      <c r="I40" s="361">
        <v>9</v>
      </c>
      <c r="J40" s="319">
        <v>284</v>
      </c>
      <c r="K40" s="360">
        <v>0.9683</v>
      </c>
      <c r="L40" s="289"/>
      <c r="M40" s="52" t="s">
        <v>78</v>
      </c>
      <c r="N40" s="369" t="s">
        <v>190</v>
      </c>
      <c r="O40" s="361">
        <v>19</v>
      </c>
      <c r="P40" s="319">
        <v>259</v>
      </c>
      <c r="Q40" s="360">
        <v>0.9266</v>
      </c>
      <c r="R40" s="55"/>
      <c r="S40" s="52" t="s">
        <v>78</v>
      </c>
      <c r="T40" s="369" t="s">
        <v>190</v>
      </c>
      <c r="U40" s="361">
        <v>16</v>
      </c>
      <c r="V40" s="319">
        <v>251</v>
      </c>
      <c r="W40" s="360">
        <v>0.9363</v>
      </c>
      <c r="Y40" s="42" t="s">
        <v>56</v>
      </c>
      <c r="Z40" s="297" t="s">
        <v>207</v>
      </c>
      <c r="AA40" s="331">
        <v>0.9902</v>
      </c>
      <c r="AB40" s="298">
        <v>2</v>
      </c>
      <c r="AC40" s="332">
        <v>205</v>
      </c>
      <c r="AD40" s="331">
        <v>0.9839</v>
      </c>
      <c r="AE40" s="298">
        <v>1</v>
      </c>
      <c r="AF40" s="332">
        <v>62</v>
      </c>
      <c r="AG40" s="331">
        <v>0.931</v>
      </c>
      <c r="AH40" s="298">
        <v>18</v>
      </c>
      <c r="AI40" s="332">
        <v>261</v>
      </c>
      <c r="AJ40" s="331">
        <v>0.9592</v>
      </c>
      <c r="AK40" s="298">
        <v>10</v>
      </c>
      <c r="AL40" s="332">
        <v>245</v>
      </c>
    </row>
    <row r="41" spans="1:38" ht="12.75">
      <c r="A41" s="52" t="s">
        <v>87</v>
      </c>
      <c r="B41" s="369" t="s">
        <v>191</v>
      </c>
      <c r="C41" s="361">
        <v>10</v>
      </c>
      <c r="D41" s="319">
        <v>76</v>
      </c>
      <c r="E41" s="360">
        <v>0.8684</v>
      </c>
      <c r="F41" s="36"/>
      <c r="G41" s="52" t="s">
        <v>87</v>
      </c>
      <c r="H41" s="369" t="s">
        <v>191</v>
      </c>
      <c r="I41" s="361">
        <v>14</v>
      </c>
      <c r="J41" s="319">
        <v>372</v>
      </c>
      <c r="K41" s="360">
        <v>0.9624</v>
      </c>
      <c r="L41" s="289"/>
      <c r="M41" s="52" t="s">
        <v>87</v>
      </c>
      <c r="N41" s="369" t="s">
        <v>191</v>
      </c>
      <c r="O41" s="361">
        <v>32</v>
      </c>
      <c r="P41" s="319">
        <v>273</v>
      </c>
      <c r="Q41" s="360">
        <v>0.8828</v>
      </c>
      <c r="R41" s="55"/>
      <c r="S41" s="52" t="s">
        <v>87</v>
      </c>
      <c r="T41" s="369" t="s">
        <v>191</v>
      </c>
      <c r="U41" s="361">
        <v>15</v>
      </c>
      <c r="V41" s="319">
        <v>247</v>
      </c>
      <c r="W41" s="360">
        <v>0.9393</v>
      </c>
      <c r="Y41" s="42" t="s">
        <v>60</v>
      </c>
      <c r="Z41" s="297" t="s">
        <v>200</v>
      </c>
      <c r="AA41" s="331">
        <v>0.9317</v>
      </c>
      <c r="AB41" s="298">
        <v>17</v>
      </c>
      <c r="AC41" s="332">
        <v>249</v>
      </c>
      <c r="AD41" s="331">
        <v>0.8667</v>
      </c>
      <c r="AE41" s="298">
        <v>8</v>
      </c>
      <c r="AF41" s="332">
        <v>60</v>
      </c>
      <c r="AG41" s="331">
        <v>0.8543</v>
      </c>
      <c r="AH41" s="298">
        <v>36</v>
      </c>
      <c r="AI41" s="332">
        <v>247</v>
      </c>
      <c r="AJ41" s="331">
        <v>0.9187</v>
      </c>
      <c r="AK41" s="298">
        <v>20</v>
      </c>
      <c r="AL41" s="332">
        <v>246</v>
      </c>
    </row>
    <row r="42" spans="1:38" ht="12.75">
      <c r="A42" s="52" t="s">
        <v>47</v>
      </c>
      <c r="B42" s="369" t="s">
        <v>192</v>
      </c>
      <c r="C42" s="361">
        <v>2</v>
      </c>
      <c r="D42" s="319">
        <v>64</v>
      </c>
      <c r="E42" s="360">
        <v>0.9688</v>
      </c>
      <c r="F42" s="36"/>
      <c r="G42" s="52" t="s">
        <v>47</v>
      </c>
      <c r="H42" s="369" t="s">
        <v>192</v>
      </c>
      <c r="I42" s="361">
        <v>2</v>
      </c>
      <c r="J42" s="319">
        <v>209</v>
      </c>
      <c r="K42" s="360">
        <v>0.9904</v>
      </c>
      <c r="L42" s="289"/>
      <c r="M42" s="52" t="s">
        <v>47</v>
      </c>
      <c r="N42" s="369" t="s">
        <v>192</v>
      </c>
      <c r="O42" s="361">
        <v>9</v>
      </c>
      <c r="P42" s="319">
        <v>254</v>
      </c>
      <c r="Q42" s="360">
        <v>0.9646</v>
      </c>
      <c r="R42" s="55"/>
      <c r="S42" s="52" t="s">
        <v>47</v>
      </c>
      <c r="T42" s="369" t="s">
        <v>192</v>
      </c>
      <c r="U42" s="361">
        <v>18</v>
      </c>
      <c r="V42" s="319">
        <v>252</v>
      </c>
      <c r="W42" s="360">
        <v>0.9286</v>
      </c>
      <c r="Y42" s="42" t="s">
        <v>64</v>
      </c>
      <c r="Z42" s="297" t="s">
        <v>183</v>
      </c>
      <c r="AA42" s="331">
        <v>0.9836</v>
      </c>
      <c r="AB42" s="298">
        <v>4</v>
      </c>
      <c r="AC42" s="332">
        <v>244</v>
      </c>
      <c r="AD42" s="331">
        <v>0.9677</v>
      </c>
      <c r="AE42" s="298">
        <v>2</v>
      </c>
      <c r="AF42" s="332">
        <v>62</v>
      </c>
      <c r="AG42" s="331">
        <v>0.9567</v>
      </c>
      <c r="AH42" s="298">
        <v>11</v>
      </c>
      <c r="AI42" s="332">
        <v>254</v>
      </c>
      <c r="AJ42" s="331">
        <v>0.996</v>
      </c>
      <c r="AK42" s="298">
        <v>1</v>
      </c>
      <c r="AL42" s="332">
        <v>248</v>
      </c>
    </row>
    <row r="43" spans="1:38" ht="12.75">
      <c r="A43" s="52" t="s">
        <v>80</v>
      </c>
      <c r="B43" s="369" t="s">
        <v>193</v>
      </c>
      <c r="C43" s="361">
        <v>2</v>
      </c>
      <c r="D43" s="319">
        <v>65</v>
      </c>
      <c r="E43" s="360">
        <v>0.9692</v>
      </c>
      <c r="F43" s="36"/>
      <c r="G43" s="52" t="s">
        <v>80</v>
      </c>
      <c r="H43" s="369" t="s">
        <v>193</v>
      </c>
      <c r="I43" s="361">
        <v>8</v>
      </c>
      <c r="J43" s="319">
        <v>244</v>
      </c>
      <c r="K43" s="360">
        <v>0.9672</v>
      </c>
      <c r="L43" s="289"/>
      <c r="M43" s="52" t="s">
        <v>80</v>
      </c>
      <c r="N43" s="369" t="s">
        <v>193</v>
      </c>
      <c r="O43" s="361">
        <v>13</v>
      </c>
      <c r="P43" s="319">
        <v>256</v>
      </c>
      <c r="Q43" s="360">
        <v>0.9492</v>
      </c>
      <c r="R43" s="55"/>
      <c r="S43" s="52" t="s">
        <v>80</v>
      </c>
      <c r="T43" s="369" t="s">
        <v>193</v>
      </c>
      <c r="U43" s="361">
        <v>7</v>
      </c>
      <c r="V43" s="319">
        <v>254</v>
      </c>
      <c r="W43" s="360">
        <v>0.9724</v>
      </c>
      <c r="Y43" s="42" t="s">
        <v>65</v>
      </c>
      <c r="Z43" s="297" t="s">
        <v>195</v>
      </c>
      <c r="AA43" s="331">
        <v>0.9192</v>
      </c>
      <c r="AB43" s="298">
        <v>21</v>
      </c>
      <c r="AC43" s="332">
        <v>260</v>
      </c>
      <c r="AD43" s="331">
        <v>0.8852</v>
      </c>
      <c r="AE43" s="298">
        <v>7</v>
      </c>
      <c r="AF43" s="332">
        <v>61</v>
      </c>
      <c r="AG43" s="331">
        <v>0.9237</v>
      </c>
      <c r="AH43" s="298">
        <v>19</v>
      </c>
      <c r="AI43" s="332">
        <v>249</v>
      </c>
      <c r="AJ43" s="331">
        <v>0.9405</v>
      </c>
      <c r="AK43" s="298">
        <v>15</v>
      </c>
      <c r="AL43" s="332">
        <v>252</v>
      </c>
    </row>
    <row r="44" spans="1:38" ht="12.75">
      <c r="A44" s="52" t="s">
        <v>93</v>
      </c>
      <c r="B44" s="369" t="s">
        <v>194</v>
      </c>
      <c r="C44" s="361">
        <v>4</v>
      </c>
      <c r="D44" s="319">
        <v>61</v>
      </c>
      <c r="E44" s="360">
        <v>0.9344</v>
      </c>
      <c r="F44" s="36"/>
      <c r="G44" s="52" t="s">
        <v>93</v>
      </c>
      <c r="H44" s="369" t="s">
        <v>194</v>
      </c>
      <c r="I44" s="361">
        <v>6</v>
      </c>
      <c r="J44" s="319">
        <v>194</v>
      </c>
      <c r="K44" s="360">
        <v>0.9691</v>
      </c>
      <c r="L44" s="289"/>
      <c r="M44" s="52" t="s">
        <v>93</v>
      </c>
      <c r="N44" s="369" t="s">
        <v>194</v>
      </c>
      <c r="O44" s="361">
        <v>29</v>
      </c>
      <c r="P44" s="319">
        <v>248</v>
      </c>
      <c r="Q44" s="360">
        <v>0.8831</v>
      </c>
      <c r="R44" s="55"/>
      <c r="S44" s="52" t="s">
        <v>93</v>
      </c>
      <c r="T44" s="369" t="s">
        <v>194</v>
      </c>
      <c r="U44" s="361">
        <v>22</v>
      </c>
      <c r="V44" s="319">
        <v>247</v>
      </c>
      <c r="W44" s="360">
        <v>0.9109</v>
      </c>
      <c r="Y44" s="42" t="s">
        <v>244</v>
      </c>
      <c r="Z44" s="297" t="s">
        <v>180</v>
      </c>
      <c r="AA44" s="331">
        <v>0.9683</v>
      </c>
      <c r="AB44" s="298">
        <v>9</v>
      </c>
      <c r="AC44" s="332">
        <v>284</v>
      </c>
      <c r="AD44" s="331">
        <v>0.9375</v>
      </c>
      <c r="AE44" s="298">
        <v>4</v>
      </c>
      <c r="AF44" s="332">
        <v>64</v>
      </c>
      <c r="AG44" s="331">
        <v>0.9542</v>
      </c>
      <c r="AH44" s="298">
        <v>12</v>
      </c>
      <c r="AI44" s="332">
        <v>262</v>
      </c>
      <c r="AJ44" s="331">
        <v>0.9603</v>
      </c>
      <c r="AK44" s="298">
        <v>10</v>
      </c>
      <c r="AL44" s="332">
        <v>252</v>
      </c>
    </row>
    <row r="45" spans="1:38" ht="12.75">
      <c r="A45" s="52" t="s">
        <v>65</v>
      </c>
      <c r="B45" s="369" t="s">
        <v>195</v>
      </c>
      <c r="C45" s="361">
        <v>7</v>
      </c>
      <c r="D45" s="319">
        <v>61</v>
      </c>
      <c r="E45" s="360">
        <v>0.8852</v>
      </c>
      <c r="F45" s="36"/>
      <c r="G45" s="52" t="s">
        <v>65</v>
      </c>
      <c r="H45" s="369" t="s">
        <v>195</v>
      </c>
      <c r="I45" s="361">
        <v>21</v>
      </c>
      <c r="J45" s="319">
        <v>260</v>
      </c>
      <c r="K45" s="360">
        <v>0.9192</v>
      </c>
      <c r="L45" s="289"/>
      <c r="M45" s="52" t="s">
        <v>65</v>
      </c>
      <c r="N45" s="369" t="s">
        <v>195</v>
      </c>
      <c r="O45" s="361">
        <v>19</v>
      </c>
      <c r="P45" s="319">
        <v>249</v>
      </c>
      <c r="Q45" s="360">
        <v>0.9237</v>
      </c>
      <c r="R45" s="55"/>
      <c r="S45" s="52" t="s">
        <v>65</v>
      </c>
      <c r="T45" s="369" t="s">
        <v>195</v>
      </c>
      <c r="U45" s="361">
        <v>15</v>
      </c>
      <c r="V45" s="319">
        <v>252</v>
      </c>
      <c r="W45" s="360">
        <v>0.9405</v>
      </c>
      <c r="Y45" s="42" t="s">
        <v>36</v>
      </c>
      <c r="Z45" s="297" t="s">
        <v>196</v>
      </c>
      <c r="AA45" s="331">
        <v>0.98</v>
      </c>
      <c r="AB45" s="298">
        <v>6</v>
      </c>
      <c r="AC45" s="332">
        <v>300</v>
      </c>
      <c r="AD45" s="331">
        <v>0.9194</v>
      </c>
      <c r="AE45" s="298">
        <v>5</v>
      </c>
      <c r="AF45" s="332">
        <v>62</v>
      </c>
      <c r="AG45" s="331">
        <v>0.9016</v>
      </c>
      <c r="AH45" s="298">
        <v>25</v>
      </c>
      <c r="AI45" s="332">
        <v>254</v>
      </c>
      <c r="AJ45" s="331">
        <v>0.9677</v>
      </c>
      <c r="AK45" s="298">
        <v>8</v>
      </c>
      <c r="AL45" s="332">
        <v>248</v>
      </c>
    </row>
    <row r="46" spans="1:38" ht="12.75">
      <c r="A46" s="52" t="s">
        <v>36</v>
      </c>
      <c r="B46" s="369" t="s">
        <v>196</v>
      </c>
      <c r="C46" s="361">
        <v>5</v>
      </c>
      <c r="D46" s="319">
        <v>62</v>
      </c>
      <c r="E46" s="360">
        <v>0.9194</v>
      </c>
      <c r="F46" s="36"/>
      <c r="G46" s="52" t="s">
        <v>36</v>
      </c>
      <c r="H46" s="369" t="s">
        <v>196</v>
      </c>
      <c r="I46" s="361">
        <v>6</v>
      </c>
      <c r="J46" s="319">
        <v>300</v>
      </c>
      <c r="K46" s="360">
        <v>0.98</v>
      </c>
      <c r="L46" s="289"/>
      <c r="M46" s="52" t="s">
        <v>36</v>
      </c>
      <c r="N46" s="369" t="s">
        <v>196</v>
      </c>
      <c r="O46" s="361">
        <v>25</v>
      </c>
      <c r="P46" s="319">
        <v>254</v>
      </c>
      <c r="Q46" s="360">
        <v>0.9016</v>
      </c>
      <c r="R46" s="55"/>
      <c r="S46" s="52" t="s">
        <v>36</v>
      </c>
      <c r="T46" s="369" t="s">
        <v>196</v>
      </c>
      <c r="U46" s="361">
        <v>8</v>
      </c>
      <c r="V46" s="319">
        <v>248</v>
      </c>
      <c r="W46" s="360">
        <v>0.9677</v>
      </c>
      <c r="Y46" s="42" t="s">
        <v>73</v>
      </c>
      <c r="Z46" s="297" t="s">
        <v>172</v>
      </c>
      <c r="AA46" s="331">
        <v>0.9493</v>
      </c>
      <c r="AB46" s="298">
        <v>11</v>
      </c>
      <c r="AC46" s="332">
        <v>217</v>
      </c>
      <c r="AD46" s="331">
        <v>0.871</v>
      </c>
      <c r="AE46" s="298">
        <v>8</v>
      </c>
      <c r="AF46" s="332">
        <v>62</v>
      </c>
      <c r="AG46" s="331">
        <v>0.8968</v>
      </c>
      <c r="AH46" s="298">
        <v>26</v>
      </c>
      <c r="AI46" s="332">
        <v>252</v>
      </c>
      <c r="AJ46" s="331">
        <v>0.9268</v>
      </c>
      <c r="AK46" s="298">
        <v>18</v>
      </c>
      <c r="AL46" s="332">
        <v>246</v>
      </c>
    </row>
    <row r="47" spans="1:38" ht="12.75">
      <c r="A47" s="52" t="s">
        <v>82</v>
      </c>
      <c r="B47" s="369" t="s">
        <v>197</v>
      </c>
      <c r="C47" s="361">
        <v>5</v>
      </c>
      <c r="D47" s="319">
        <v>68</v>
      </c>
      <c r="E47" s="360">
        <v>0.9265</v>
      </c>
      <c r="F47" s="36"/>
      <c r="G47" s="52" t="s">
        <v>82</v>
      </c>
      <c r="H47" s="369" t="s">
        <v>197</v>
      </c>
      <c r="I47" s="361">
        <v>7</v>
      </c>
      <c r="J47" s="319">
        <v>261</v>
      </c>
      <c r="K47" s="360">
        <v>0.9732</v>
      </c>
      <c r="L47" s="289"/>
      <c r="M47" s="52" t="s">
        <v>82</v>
      </c>
      <c r="N47" s="369" t="s">
        <v>197</v>
      </c>
      <c r="O47" s="361">
        <v>20</v>
      </c>
      <c r="P47" s="319">
        <v>254</v>
      </c>
      <c r="Q47" s="360">
        <v>0.9213</v>
      </c>
      <c r="R47" s="55"/>
      <c r="S47" s="52" t="s">
        <v>82</v>
      </c>
      <c r="T47" s="369" t="s">
        <v>197</v>
      </c>
      <c r="U47" s="361">
        <v>21</v>
      </c>
      <c r="V47" s="319">
        <v>218</v>
      </c>
      <c r="W47" s="360">
        <v>0.9037</v>
      </c>
      <c r="Y47" s="42" t="s">
        <v>88</v>
      </c>
      <c r="Z47" s="297" t="s">
        <v>208</v>
      </c>
      <c r="AA47" s="331">
        <v>0.9791</v>
      </c>
      <c r="AB47" s="298">
        <v>5</v>
      </c>
      <c r="AC47" s="332">
        <v>239</v>
      </c>
      <c r="AD47" s="331">
        <v>0.95</v>
      </c>
      <c r="AE47" s="298">
        <v>3</v>
      </c>
      <c r="AF47" s="332">
        <v>60</v>
      </c>
      <c r="AG47" s="331">
        <v>0.9602</v>
      </c>
      <c r="AH47" s="298">
        <v>10</v>
      </c>
      <c r="AI47" s="332">
        <v>251</v>
      </c>
      <c r="AJ47" s="331">
        <v>0.964</v>
      </c>
      <c r="AK47" s="298">
        <v>9</v>
      </c>
      <c r="AL47" s="332">
        <v>250</v>
      </c>
    </row>
    <row r="48" spans="1:38" ht="12.75">
      <c r="A48" s="52" t="s">
        <v>86</v>
      </c>
      <c r="B48" s="369" t="s">
        <v>198</v>
      </c>
      <c r="C48" s="361">
        <v>6</v>
      </c>
      <c r="D48" s="319">
        <v>63</v>
      </c>
      <c r="E48" s="360">
        <v>0.9048</v>
      </c>
      <c r="F48" s="36"/>
      <c r="G48" s="52" t="s">
        <v>86</v>
      </c>
      <c r="H48" s="369" t="s">
        <v>198</v>
      </c>
      <c r="I48" s="361">
        <v>8</v>
      </c>
      <c r="J48" s="319">
        <v>304</v>
      </c>
      <c r="K48" s="360">
        <v>0.9737</v>
      </c>
      <c r="L48" s="289"/>
      <c r="M48" s="52" t="s">
        <v>86</v>
      </c>
      <c r="N48" s="369" t="s">
        <v>198</v>
      </c>
      <c r="O48" s="361">
        <v>32</v>
      </c>
      <c r="P48" s="319">
        <v>255</v>
      </c>
      <c r="Q48" s="360">
        <v>0.8745</v>
      </c>
      <c r="R48" s="55"/>
      <c r="S48" s="52" t="s">
        <v>86</v>
      </c>
      <c r="T48" s="369" t="s">
        <v>198</v>
      </c>
      <c r="U48" s="361">
        <v>26</v>
      </c>
      <c r="V48" s="319">
        <v>251</v>
      </c>
      <c r="W48" s="360">
        <v>0.8964</v>
      </c>
      <c r="Y48" s="42" t="s">
        <v>89</v>
      </c>
      <c r="Z48" s="297" t="s">
        <v>181</v>
      </c>
      <c r="AA48" s="331">
        <v>0.9788</v>
      </c>
      <c r="AB48" s="298">
        <v>5</v>
      </c>
      <c r="AC48" s="332">
        <v>236</v>
      </c>
      <c r="AD48" s="331">
        <v>0.9394</v>
      </c>
      <c r="AE48" s="298">
        <v>4</v>
      </c>
      <c r="AF48" s="332">
        <v>66</v>
      </c>
      <c r="AG48" s="331">
        <v>0.9048</v>
      </c>
      <c r="AH48" s="298">
        <v>24</v>
      </c>
      <c r="AI48" s="332">
        <v>252</v>
      </c>
      <c r="AJ48" s="331">
        <v>0.9261</v>
      </c>
      <c r="AK48" s="298">
        <v>17</v>
      </c>
      <c r="AL48" s="332">
        <v>230</v>
      </c>
    </row>
    <row r="49" spans="1:38" ht="12.75">
      <c r="A49" s="52" t="s">
        <v>69</v>
      </c>
      <c r="B49" s="369" t="s">
        <v>199</v>
      </c>
      <c r="C49" s="361">
        <v>3</v>
      </c>
      <c r="D49" s="319">
        <v>66</v>
      </c>
      <c r="E49" s="360">
        <v>0.9545</v>
      </c>
      <c r="F49" s="36"/>
      <c r="G49" s="52" t="s">
        <v>69</v>
      </c>
      <c r="H49" s="369" t="s">
        <v>199</v>
      </c>
      <c r="I49" s="361">
        <v>6</v>
      </c>
      <c r="J49" s="319">
        <v>264</v>
      </c>
      <c r="K49" s="360">
        <v>0.9773</v>
      </c>
      <c r="L49" s="289"/>
      <c r="M49" s="52" t="s">
        <v>69</v>
      </c>
      <c r="N49" s="369" t="s">
        <v>199</v>
      </c>
      <c r="O49" s="361">
        <v>11</v>
      </c>
      <c r="P49" s="319">
        <v>253</v>
      </c>
      <c r="Q49" s="360">
        <v>0.9565</v>
      </c>
      <c r="R49" s="55"/>
      <c r="S49" s="52" t="s">
        <v>69</v>
      </c>
      <c r="T49" s="369" t="s">
        <v>199</v>
      </c>
      <c r="U49" s="361">
        <v>15</v>
      </c>
      <c r="V49" s="319">
        <v>242</v>
      </c>
      <c r="W49" s="360">
        <v>0.938</v>
      </c>
      <c r="Y49" s="42" t="s">
        <v>252</v>
      </c>
      <c r="Z49" s="297" t="s">
        <v>184</v>
      </c>
      <c r="AA49" s="331">
        <v>0.9625</v>
      </c>
      <c r="AB49" s="298">
        <v>9</v>
      </c>
      <c r="AC49" s="332">
        <v>240</v>
      </c>
      <c r="AD49" s="331">
        <v>0.873</v>
      </c>
      <c r="AE49" s="298">
        <v>8</v>
      </c>
      <c r="AF49" s="332">
        <v>63</v>
      </c>
      <c r="AG49" s="331">
        <v>0.9427</v>
      </c>
      <c r="AH49" s="298">
        <v>15</v>
      </c>
      <c r="AI49" s="332">
        <v>262</v>
      </c>
      <c r="AJ49" s="331">
        <v>0.9426</v>
      </c>
      <c r="AK49" s="298">
        <v>14</v>
      </c>
      <c r="AL49" s="332">
        <v>244</v>
      </c>
    </row>
    <row r="50" spans="1:38" ht="12.75">
      <c r="A50" s="52" t="s">
        <v>60</v>
      </c>
      <c r="B50" s="369" t="s">
        <v>200</v>
      </c>
      <c r="C50" s="361">
        <v>8</v>
      </c>
      <c r="D50" s="319">
        <v>60</v>
      </c>
      <c r="E50" s="360">
        <v>0.8667</v>
      </c>
      <c r="F50" s="36"/>
      <c r="G50" s="52" t="s">
        <v>60</v>
      </c>
      <c r="H50" s="369" t="s">
        <v>200</v>
      </c>
      <c r="I50" s="361">
        <v>17</v>
      </c>
      <c r="J50" s="319">
        <v>249</v>
      </c>
      <c r="K50" s="360">
        <v>0.9317</v>
      </c>
      <c r="L50" s="289"/>
      <c r="M50" s="52" t="s">
        <v>60</v>
      </c>
      <c r="N50" s="369" t="s">
        <v>200</v>
      </c>
      <c r="O50" s="361">
        <v>36</v>
      </c>
      <c r="P50" s="319">
        <v>247</v>
      </c>
      <c r="Q50" s="360">
        <v>0.8543</v>
      </c>
      <c r="R50" s="55"/>
      <c r="S50" s="52" t="s">
        <v>60</v>
      </c>
      <c r="T50" s="369" t="s">
        <v>200</v>
      </c>
      <c r="U50" s="361">
        <v>20</v>
      </c>
      <c r="V50" s="319">
        <v>246</v>
      </c>
      <c r="W50" s="360">
        <v>0.9187</v>
      </c>
      <c r="Y50" s="42" t="s">
        <v>93</v>
      </c>
      <c r="Z50" s="297" t="s">
        <v>194</v>
      </c>
      <c r="AA50" s="331">
        <v>0.9691</v>
      </c>
      <c r="AB50" s="298">
        <v>6</v>
      </c>
      <c r="AC50" s="332">
        <v>194</v>
      </c>
      <c r="AD50" s="331">
        <v>0.9344</v>
      </c>
      <c r="AE50" s="298">
        <v>4</v>
      </c>
      <c r="AF50" s="332">
        <v>61</v>
      </c>
      <c r="AG50" s="331">
        <v>0.8831</v>
      </c>
      <c r="AH50" s="298">
        <v>29</v>
      </c>
      <c r="AI50" s="332">
        <v>248</v>
      </c>
      <c r="AJ50" s="331">
        <v>0.9109</v>
      </c>
      <c r="AK50" s="298">
        <v>22</v>
      </c>
      <c r="AL50" s="332">
        <v>247</v>
      </c>
    </row>
    <row r="51" spans="1:38" ht="13.5" thickBot="1">
      <c r="A51" s="52" t="s">
        <v>68</v>
      </c>
      <c r="B51" s="369" t="s">
        <v>201</v>
      </c>
      <c r="C51" s="361">
        <v>5</v>
      </c>
      <c r="D51" s="319">
        <v>58</v>
      </c>
      <c r="E51" s="360">
        <v>0.9138</v>
      </c>
      <c r="F51" s="36"/>
      <c r="G51" s="52" t="s">
        <v>68</v>
      </c>
      <c r="H51" s="369" t="s">
        <v>201</v>
      </c>
      <c r="I51" s="361">
        <v>7</v>
      </c>
      <c r="J51" s="319">
        <v>177</v>
      </c>
      <c r="K51" s="360">
        <v>0.9605</v>
      </c>
      <c r="L51" s="289"/>
      <c r="M51" s="52" t="s">
        <v>68</v>
      </c>
      <c r="N51" s="369" t="s">
        <v>201</v>
      </c>
      <c r="O51" s="361">
        <v>22</v>
      </c>
      <c r="P51" s="319">
        <v>246</v>
      </c>
      <c r="Q51" s="360">
        <v>0.9106</v>
      </c>
      <c r="R51" s="55"/>
      <c r="S51" s="52" t="s">
        <v>68</v>
      </c>
      <c r="T51" s="369" t="s">
        <v>201</v>
      </c>
      <c r="U51" s="361">
        <v>21</v>
      </c>
      <c r="V51" s="319">
        <v>238</v>
      </c>
      <c r="W51" s="360">
        <v>0.9118</v>
      </c>
      <c r="Y51" s="44" t="s">
        <v>95</v>
      </c>
      <c r="Z51" s="299" t="s">
        <v>209</v>
      </c>
      <c r="AA51" s="333">
        <v>0.9763</v>
      </c>
      <c r="AB51" s="300">
        <v>5</v>
      </c>
      <c r="AC51" s="334">
        <v>211</v>
      </c>
      <c r="AD51" s="333">
        <v>0.9538</v>
      </c>
      <c r="AE51" s="300">
        <v>3</v>
      </c>
      <c r="AF51" s="334">
        <v>65</v>
      </c>
      <c r="AG51" s="333">
        <v>0.9261</v>
      </c>
      <c r="AH51" s="300">
        <v>19</v>
      </c>
      <c r="AI51" s="334">
        <v>257</v>
      </c>
      <c r="AJ51" s="333">
        <v>0.9672</v>
      </c>
      <c r="AK51" s="300">
        <v>8</v>
      </c>
      <c r="AL51" s="334">
        <v>244</v>
      </c>
    </row>
    <row r="52" spans="1:38" ht="12.75">
      <c r="A52" s="52" t="s">
        <v>85</v>
      </c>
      <c r="B52" s="369" t="s">
        <v>202</v>
      </c>
      <c r="C52" s="361">
        <v>11</v>
      </c>
      <c r="D52" s="319">
        <v>63</v>
      </c>
      <c r="E52" s="360">
        <v>0.8254</v>
      </c>
      <c r="F52" s="36"/>
      <c r="G52" s="52" t="s">
        <v>85</v>
      </c>
      <c r="H52" s="369" t="s">
        <v>202</v>
      </c>
      <c r="I52" s="361">
        <v>16</v>
      </c>
      <c r="J52" s="319">
        <v>420</v>
      </c>
      <c r="K52" s="360">
        <v>0.9619</v>
      </c>
      <c r="L52" s="289"/>
      <c r="M52" s="52" t="s">
        <v>85</v>
      </c>
      <c r="N52" s="369" t="s">
        <v>202</v>
      </c>
      <c r="O52" s="361">
        <v>44</v>
      </c>
      <c r="P52" s="319">
        <v>256</v>
      </c>
      <c r="Q52" s="360">
        <v>0.8281</v>
      </c>
      <c r="R52" s="55"/>
      <c r="S52" s="52" t="s">
        <v>85</v>
      </c>
      <c r="T52" s="369" t="s">
        <v>202</v>
      </c>
      <c r="U52" s="361">
        <v>23</v>
      </c>
      <c r="V52" s="319">
        <v>245</v>
      </c>
      <c r="W52" s="360">
        <v>0.9061</v>
      </c>
      <c r="Y52" s="294" t="s">
        <v>22</v>
      </c>
      <c r="Z52" s="295"/>
      <c r="AA52" s="329">
        <v>0.9621588089330024</v>
      </c>
      <c r="AB52" s="296">
        <v>183</v>
      </c>
      <c r="AC52" s="330">
        <v>4836</v>
      </c>
      <c r="AD52" s="329">
        <v>0.9051306873184899</v>
      </c>
      <c r="AE52" s="296">
        <v>98</v>
      </c>
      <c r="AF52" s="330">
        <v>1033</v>
      </c>
      <c r="AG52" s="329">
        <v>0.908957415565345</v>
      </c>
      <c r="AH52" s="296">
        <v>372</v>
      </c>
      <c r="AI52" s="330">
        <v>4086</v>
      </c>
      <c r="AJ52" s="329">
        <v>0.9274770173646578</v>
      </c>
      <c r="AK52" s="296">
        <v>284</v>
      </c>
      <c r="AL52" s="330">
        <v>3916</v>
      </c>
    </row>
    <row r="53" spans="1:38" ht="12.75">
      <c r="A53" s="52" t="s">
        <v>92</v>
      </c>
      <c r="B53" s="369" t="s">
        <v>203</v>
      </c>
      <c r="C53" s="361">
        <v>7</v>
      </c>
      <c r="D53" s="319">
        <v>62</v>
      </c>
      <c r="E53" s="360">
        <v>0.8871</v>
      </c>
      <c r="F53" s="36"/>
      <c r="G53" s="52" t="s">
        <v>92</v>
      </c>
      <c r="H53" s="369" t="s">
        <v>203</v>
      </c>
      <c r="I53" s="361">
        <v>8</v>
      </c>
      <c r="J53" s="319">
        <v>285</v>
      </c>
      <c r="K53" s="360">
        <v>0.9719</v>
      </c>
      <c r="L53" s="289"/>
      <c r="M53" s="52" t="s">
        <v>92</v>
      </c>
      <c r="N53" s="369" t="s">
        <v>203</v>
      </c>
      <c r="O53" s="361">
        <v>18</v>
      </c>
      <c r="P53" s="319">
        <v>264</v>
      </c>
      <c r="Q53" s="360">
        <v>0.9318</v>
      </c>
      <c r="R53" s="55"/>
      <c r="S53" s="52" t="s">
        <v>92</v>
      </c>
      <c r="T53" s="369" t="s">
        <v>203</v>
      </c>
      <c r="U53" s="361">
        <v>6</v>
      </c>
      <c r="V53" s="319">
        <v>248</v>
      </c>
      <c r="W53" s="360">
        <v>0.9758</v>
      </c>
      <c r="Y53" s="42" t="s">
        <v>44</v>
      </c>
      <c r="Z53" s="297" t="s">
        <v>186</v>
      </c>
      <c r="AA53" s="331">
        <v>0.9785</v>
      </c>
      <c r="AB53" s="298">
        <v>6</v>
      </c>
      <c r="AC53" s="332">
        <v>279</v>
      </c>
      <c r="AD53" s="331">
        <v>0.9375</v>
      </c>
      <c r="AE53" s="298">
        <v>4</v>
      </c>
      <c r="AF53" s="332">
        <v>64</v>
      </c>
      <c r="AG53" s="331">
        <v>0.9051</v>
      </c>
      <c r="AH53" s="298">
        <v>24</v>
      </c>
      <c r="AI53" s="332">
        <v>253</v>
      </c>
      <c r="AJ53" s="331">
        <v>0.9174</v>
      </c>
      <c r="AK53" s="298">
        <v>20</v>
      </c>
      <c r="AL53" s="332">
        <v>242</v>
      </c>
    </row>
    <row r="54" spans="1:38" ht="12.75">
      <c r="A54" s="52" t="s">
        <v>204</v>
      </c>
      <c r="B54" s="369" t="s">
        <v>105</v>
      </c>
      <c r="C54" s="361">
        <v>10</v>
      </c>
      <c r="D54" s="319">
        <v>60</v>
      </c>
      <c r="E54" s="360">
        <v>0.8333</v>
      </c>
      <c r="F54" s="36"/>
      <c r="G54" s="52" t="s">
        <v>204</v>
      </c>
      <c r="H54" s="369" t="s">
        <v>105</v>
      </c>
      <c r="I54" s="361">
        <v>17</v>
      </c>
      <c r="J54" s="319">
        <v>232</v>
      </c>
      <c r="K54" s="360">
        <v>0.9267</v>
      </c>
      <c r="L54" s="289"/>
      <c r="M54" s="52" t="s">
        <v>204</v>
      </c>
      <c r="N54" s="369" t="s">
        <v>105</v>
      </c>
      <c r="O54" s="361">
        <v>35</v>
      </c>
      <c r="P54" s="319">
        <v>250</v>
      </c>
      <c r="Q54" s="360">
        <v>0.86</v>
      </c>
      <c r="R54" s="55"/>
      <c r="S54" s="52" t="s">
        <v>204</v>
      </c>
      <c r="T54" s="369" t="s">
        <v>105</v>
      </c>
      <c r="U54" s="361">
        <v>37</v>
      </c>
      <c r="V54" s="319">
        <v>245</v>
      </c>
      <c r="W54" s="360">
        <v>0.849</v>
      </c>
      <c r="Y54" s="42" t="s">
        <v>45</v>
      </c>
      <c r="Z54" s="297" t="s">
        <v>213</v>
      </c>
      <c r="AA54" s="331">
        <v>0.9408</v>
      </c>
      <c r="AB54" s="298">
        <v>20</v>
      </c>
      <c r="AC54" s="332">
        <v>338</v>
      </c>
      <c r="AD54" s="331">
        <v>0.8361</v>
      </c>
      <c r="AE54" s="298">
        <v>10</v>
      </c>
      <c r="AF54" s="332">
        <v>61</v>
      </c>
      <c r="AG54" s="331">
        <v>0.8915</v>
      </c>
      <c r="AH54" s="298">
        <v>28</v>
      </c>
      <c r="AI54" s="332">
        <v>258</v>
      </c>
      <c r="AJ54" s="331">
        <v>0.9237</v>
      </c>
      <c r="AK54" s="298">
        <v>20</v>
      </c>
      <c r="AL54" s="332">
        <v>262</v>
      </c>
    </row>
    <row r="55" spans="1:38" ht="12.75">
      <c r="A55" s="52" t="s">
        <v>205</v>
      </c>
      <c r="B55" s="369" t="s">
        <v>206</v>
      </c>
      <c r="C55" s="361">
        <v>2</v>
      </c>
      <c r="D55" s="319">
        <v>68</v>
      </c>
      <c r="E55" s="360">
        <v>0.9706</v>
      </c>
      <c r="F55" s="36"/>
      <c r="G55" s="52" t="s">
        <v>205</v>
      </c>
      <c r="H55" s="369" t="s">
        <v>206</v>
      </c>
      <c r="I55" s="361">
        <v>3</v>
      </c>
      <c r="J55" s="319">
        <v>232</v>
      </c>
      <c r="K55" s="360">
        <v>0.9871</v>
      </c>
      <c r="L55" s="289"/>
      <c r="M55" s="52" t="s">
        <v>205</v>
      </c>
      <c r="N55" s="369" t="s">
        <v>206</v>
      </c>
      <c r="O55" s="361">
        <v>7</v>
      </c>
      <c r="P55" s="319">
        <v>255</v>
      </c>
      <c r="Q55" s="360">
        <v>0.9725</v>
      </c>
      <c r="R55" s="55"/>
      <c r="S55" s="52" t="s">
        <v>205</v>
      </c>
      <c r="T55" s="369" t="s">
        <v>206</v>
      </c>
      <c r="U55" s="361">
        <v>10</v>
      </c>
      <c r="V55" s="319">
        <v>247</v>
      </c>
      <c r="W55" s="360">
        <v>0.9595</v>
      </c>
      <c r="Y55" s="42" t="s">
        <v>47</v>
      </c>
      <c r="Z55" s="297" t="s">
        <v>192</v>
      </c>
      <c r="AA55" s="331">
        <v>0.9904</v>
      </c>
      <c r="AB55" s="298">
        <v>2</v>
      </c>
      <c r="AC55" s="332">
        <v>209</v>
      </c>
      <c r="AD55" s="331">
        <v>0.9688</v>
      </c>
      <c r="AE55" s="298">
        <v>2</v>
      </c>
      <c r="AF55" s="332">
        <v>64</v>
      </c>
      <c r="AG55" s="331">
        <v>0.9646</v>
      </c>
      <c r="AH55" s="298">
        <v>9</v>
      </c>
      <c r="AI55" s="332">
        <v>254</v>
      </c>
      <c r="AJ55" s="331">
        <v>0.9286</v>
      </c>
      <c r="AK55" s="298">
        <v>18</v>
      </c>
      <c r="AL55" s="332">
        <v>252</v>
      </c>
    </row>
    <row r="56" spans="1:38" ht="12.75">
      <c r="A56" s="52" t="s">
        <v>56</v>
      </c>
      <c r="B56" s="369" t="s">
        <v>207</v>
      </c>
      <c r="C56" s="361">
        <v>1</v>
      </c>
      <c r="D56" s="319">
        <v>62</v>
      </c>
      <c r="E56" s="360">
        <v>0.9839</v>
      </c>
      <c r="F56" s="36"/>
      <c r="G56" s="52" t="s">
        <v>56</v>
      </c>
      <c r="H56" s="369" t="s">
        <v>207</v>
      </c>
      <c r="I56" s="361">
        <v>2</v>
      </c>
      <c r="J56" s="319">
        <v>205</v>
      </c>
      <c r="K56" s="360">
        <v>0.9902</v>
      </c>
      <c r="L56" s="289"/>
      <c r="M56" s="52" t="s">
        <v>56</v>
      </c>
      <c r="N56" s="369" t="s">
        <v>207</v>
      </c>
      <c r="O56" s="361">
        <v>18</v>
      </c>
      <c r="P56" s="319">
        <v>261</v>
      </c>
      <c r="Q56" s="360">
        <v>0.931</v>
      </c>
      <c r="R56" s="55"/>
      <c r="S56" s="52" t="s">
        <v>56</v>
      </c>
      <c r="T56" s="369" t="s">
        <v>207</v>
      </c>
      <c r="U56" s="361">
        <v>10</v>
      </c>
      <c r="V56" s="319">
        <v>245</v>
      </c>
      <c r="W56" s="360">
        <v>0.9592</v>
      </c>
      <c r="Y56" s="42" t="s">
        <v>53</v>
      </c>
      <c r="Z56" s="297" t="s">
        <v>185</v>
      </c>
      <c r="AA56" s="331">
        <v>0.95</v>
      </c>
      <c r="AB56" s="298">
        <v>14</v>
      </c>
      <c r="AC56" s="332">
        <v>280</v>
      </c>
      <c r="AD56" s="331">
        <v>0.9219</v>
      </c>
      <c r="AE56" s="298">
        <v>5</v>
      </c>
      <c r="AF56" s="332">
        <v>64</v>
      </c>
      <c r="AG56" s="331">
        <v>0.881</v>
      </c>
      <c r="AH56" s="298">
        <v>30</v>
      </c>
      <c r="AI56" s="332">
        <v>252</v>
      </c>
      <c r="AJ56" s="331">
        <v>0.9032</v>
      </c>
      <c r="AK56" s="298">
        <v>24</v>
      </c>
      <c r="AL56" s="332">
        <v>248</v>
      </c>
    </row>
    <row r="57" spans="1:38" ht="12.75">
      <c r="A57" s="52" t="s">
        <v>88</v>
      </c>
      <c r="B57" s="369" t="s">
        <v>208</v>
      </c>
      <c r="C57" s="361">
        <v>3</v>
      </c>
      <c r="D57" s="319">
        <v>60</v>
      </c>
      <c r="E57" s="360">
        <v>0.95</v>
      </c>
      <c r="F57" s="36"/>
      <c r="G57" s="52" t="s">
        <v>88</v>
      </c>
      <c r="H57" s="369" t="s">
        <v>208</v>
      </c>
      <c r="I57" s="361">
        <v>5</v>
      </c>
      <c r="J57" s="319">
        <v>239</v>
      </c>
      <c r="K57" s="360">
        <v>0.9791</v>
      </c>
      <c r="L57" s="289"/>
      <c r="M57" s="52" t="s">
        <v>88</v>
      </c>
      <c r="N57" s="369" t="s">
        <v>208</v>
      </c>
      <c r="O57" s="361">
        <v>10</v>
      </c>
      <c r="P57" s="319">
        <v>251</v>
      </c>
      <c r="Q57" s="360">
        <v>0.9602</v>
      </c>
      <c r="R57" s="55"/>
      <c r="S57" s="52" t="s">
        <v>88</v>
      </c>
      <c r="T57" s="369" t="s">
        <v>208</v>
      </c>
      <c r="U57" s="361">
        <v>9</v>
      </c>
      <c r="V57" s="319">
        <v>250</v>
      </c>
      <c r="W57" s="360">
        <v>0.964</v>
      </c>
      <c r="Y57" s="42" t="s">
        <v>49</v>
      </c>
      <c r="Z57" s="297">
        <v>442</v>
      </c>
      <c r="AA57" s="331">
        <v>0.9689</v>
      </c>
      <c r="AB57" s="298">
        <v>7</v>
      </c>
      <c r="AC57" s="332">
        <v>225</v>
      </c>
      <c r="AD57" s="331">
        <v>0.918</v>
      </c>
      <c r="AE57" s="298">
        <v>5</v>
      </c>
      <c r="AF57" s="332">
        <v>61</v>
      </c>
      <c r="AG57" s="331">
        <v>0.9091</v>
      </c>
      <c r="AH57" s="298">
        <v>23</v>
      </c>
      <c r="AI57" s="332">
        <v>253</v>
      </c>
      <c r="AJ57" s="331">
        <v>0.9031</v>
      </c>
      <c r="AK57" s="298">
        <v>22</v>
      </c>
      <c r="AL57" s="332">
        <v>227</v>
      </c>
    </row>
    <row r="58" spans="1:38" ht="12.75">
      <c r="A58" s="52" t="s">
        <v>49</v>
      </c>
      <c r="B58" s="369">
        <v>442</v>
      </c>
      <c r="C58" s="361">
        <v>5</v>
      </c>
      <c r="D58" s="319">
        <v>61</v>
      </c>
      <c r="E58" s="360">
        <v>0.918</v>
      </c>
      <c r="F58" s="36"/>
      <c r="G58" s="52" t="s">
        <v>49</v>
      </c>
      <c r="H58" s="369">
        <v>442</v>
      </c>
      <c r="I58" s="361">
        <v>7</v>
      </c>
      <c r="J58" s="319">
        <v>225</v>
      </c>
      <c r="K58" s="360">
        <v>0.9689</v>
      </c>
      <c r="L58" s="289"/>
      <c r="M58" s="52" t="s">
        <v>49</v>
      </c>
      <c r="N58" s="369">
        <v>442</v>
      </c>
      <c r="O58" s="361">
        <v>23</v>
      </c>
      <c r="P58" s="319">
        <v>253</v>
      </c>
      <c r="Q58" s="360">
        <v>0.9091</v>
      </c>
      <c r="R58" s="55"/>
      <c r="S58" s="52" t="s">
        <v>49</v>
      </c>
      <c r="T58" s="369">
        <v>442</v>
      </c>
      <c r="U58" s="361">
        <v>22</v>
      </c>
      <c r="V58" s="319">
        <v>227</v>
      </c>
      <c r="W58" s="360">
        <v>0.9031</v>
      </c>
      <c r="Y58" s="42" t="s">
        <v>205</v>
      </c>
      <c r="Z58" s="297" t="s">
        <v>206</v>
      </c>
      <c r="AA58" s="331">
        <v>0.9871</v>
      </c>
      <c r="AB58" s="298">
        <v>3</v>
      </c>
      <c r="AC58" s="332">
        <v>232</v>
      </c>
      <c r="AD58" s="331">
        <v>0.9706</v>
      </c>
      <c r="AE58" s="298">
        <v>2</v>
      </c>
      <c r="AF58" s="332">
        <v>68</v>
      </c>
      <c r="AG58" s="331">
        <v>0.9725</v>
      </c>
      <c r="AH58" s="298">
        <v>7</v>
      </c>
      <c r="AI58" s="332">
        <v>255</v>
      </c>
      <c r="AJ58" s="331">
        <v>0.9595</v>
      </c>
      <c r="AK58" s="298">
        <v>10</v>
      </c>
      <c r="AL58" s="332">
        <v>247</v>
      </c>
    </row>
    <row r="59" spans="1:38" ht="12.75">
      <c r="A59" s="52" t="s">
        <v>95</v>
      </c>
      <c r="B59" s="369" t="s">
        <v>209</v>
      </c>
      <c r="C59" s="361">
        <v>3</v>
      </c>
      <c r="D59" s="319">
        <v>65</v>
      </c>
      <c r="E59" s="360">
        <v>0.9538</v>
      </c>
      <c r="F59" s="36"/>
      <c r="G59" s="52" t="s">
        <v>95</v>
      </c>
      <c r="H59" s="369" t="s">
        <v>209</v>
      </c>
      <c r="I59" s="361">
        <v>5</v>
      </c>
      <c r="J59" s="319">
        <v>211</v>
      </c>
      <c r="K59" s="360">
        <v>0.9763</v>
      </c>
      <c r="L59" s="289"/>
      <c r="M59" s="52" t="s">
        <v>95</v>
      </c>
      <c r="N59" s="369" t="s">
        <v>209</v>
      </c>
      <c r="O59" s="361">
        <v>19</v>
      </c>
      <c r="P59" s="319">
        <v>257</v>
      </c>
      <c r="Q59" s="360">
        <v>0.9261</v>
      </c>
      <c r="R59" s="55"/>
      <c r="S59" s="52" t="s">
        <v>95</v>
      </c>
      <c r="T59" s="369" t="s">
        <v>209</v>
      </c>
      <c r="U59" s="361">
        <v>8</v>
      </c>
      <c r="V59" s="319">
        <v>244</v>
      </c>
      <c r="W59" s="360">
        <v>0.9672</v>
      </c>
      <c r="Y59" s="42" t="s">
        <v>59</v>
      </c>
      <c r="Z59" s="297" t="s">
        <v>210</v>
      </c>
      <c r="AA59" s="331">
        <v>0.9588</v>
      </c>
      <c r="AB59" s="298">
        <v>12</v>
      </c>
      <c r="AC59" s="332">
        <v>291</v>
      </c>
      <c r="AD59" s="331">
        <v>0.8923</v>
      </c>
      <c r="AE59" s="298">
        <v>7</v>
      </c>
      <c r="AF59" s="332">
        <v>65</v>
      </c>
      <c r="AG59" s="331">
        <v>0.8988</v>
      </c>
      <c r="AH59" s="298">
        <v>26</v>
      </c>
      <c r="AI59" s="332">
        <v>257</v>
      </c>
      <c r="AJ59" s="331">
        <v>0.9712</v>
      </c>
      <c r="AK59" s="298">
        <v>7</v>
      </c>
      <c r="AL59" s="332">
        <v>243</v>
      </c>
    </row>
    <row r="60" spans="1:38" ht="12.75">
      <c r="A60" s="52" t="s">
        <v>59</v>
      </c>
      <c r="B60" s="369" t="s">
        <v>210</v>
      </c>
      <c r="C60" s="361">
        <v>7</v>
      </c>
      <c r="D60" s="319">
        <v>65</v>
      </c>
      <c r="E60" s="360">
        <v>0.8923</v>
      </c>
      <c r="F60" s="36"/>
      <c r="G60" s="52" t="s">
        <v>59</v>
      </c>
      <c r="H60" s="369" t="s">
        <v>210</v>
      </c>
      <c r="I60" s="361">
        <v>12</v>
      </c>
      <c r="J60" s="319">
        <v>291</v>
      </c>
      <c r="K60" s="360">
        <v>0.9588</v>
      </c>
      <c r="L60" s="289"/>
      <c r="M60" s="52" t="s">
        <v>59</v>
      </c>
      <c r="N60" s="369" t="s">
        <v>210</v>
      </c>
      <c r="O60" s="361">
        <v>26</v>
      </c>
      <c r="P60" s="319">
        <v>257</v>
      </c>
      <c r="Q60" s="360">
        <v>0.8988</v>
      </c>
      <c r="R60" s="55"/>
      <c r="S60" s="52" t="s">
        <v>59</v>
      </c>
      <c r="T60" s="369" t="s">
        <v>210</v>
      </c>
      <c r="U60" s="361">
        <v>7</v>
      </c>
      <c r="V60" s="319">
        <v>243</v>
      </c>
      <c r="W60" s="360">
        <v>0.9712</v>
      </c>
      <c r="Y60" s="43" t="s">
        <v>66</v>
      </c>
      <c r="Z60" s="297" t="s">
        <v>189</v>
      </c>
      <c r="AA60" s="331">
        <v>0.9485</v>
      </c>
      <c r="AB60" s="298">
        <v>12</v>
      </c>
      <c r="AC60" s="332">
        <v>233</v>
      </c>
      <c r="AD60" s="331">
        <v>0.8596</v>
      </c>
      <c r="AE60" s="298">
        <v>8</v>
      </c>
      <c r="AF60" s="332">
        <v>57</v>
      </c>
      <c r="AG60" s="331">
        <v>0.8765</v>
      </c>
      <c r="AH60" s="298">
        <v>30</v>
      </c>
      <c r="AI60" s="332">
        <v>243</v>
      </c>
      <c r="AJ60" s="331">
        <v>0.9009</v>
      </c>
      <c r="AK60" s="298">
        <v>23</v>
      </c>
      <c r="AL60" s="332">
        <v>232</v>
      </c>
    </row>
    <row r="61" spans="1:38" ht="12.75">
      <c r="A61" s="52" t="s">
        <v>211</v>
      </c>
      <c r="B61" s="369" t="s">
        <v>212</v>
      </c>
      <c r="C61" s="361">
        <v>8</v>
      </c>
      <c r="D61" s="319">
        <v>60</v>
      </c>
      <c r="E61" s="360">
        <v>0.8667</v>
      </c>
      <c r="F61" s="36"/>
      <c r="G61" s="52" t="s">
        <v>211</v>
      </c>
      <c r="H61" s="369" t="s">
        <v>212</v>
      </c>
      <c r="I61" s="361">
        <v>16</v>
      </c>
      <c r="J61" s="319">
        <v>251</v>
      </c>
      <c r="K61" s="360">
        <v>0.9363</v>
      </c>
      <c r="L61" s="289"/>
      <c r="M61" s="52" t="s">
        <v>211</v>
      </c>
      <c r="N61" s="369" t="s">
        <v>212</v>
      </c>
      <c r="O61" s="361">
        <v>31</v>
      </c>
      <c r="P61" s="319">
        <v>252</v>
      </c>
      <c r="Q61" s="360">
        <v>0.877</v>
      </c>
      <c r="R61" s="55"/>
      <c r="S61" s="52" t="s">
        <v>211</v>
      </c>
      <c r="T61" s="369" t="s">
        <v>212</v>
      </c>
      <c r="U61" s="361">
        <v>24</v>
      </c>
      <c r="V61" s="319">
        <v>225</v>
      </c>
      <c r="W61" s="360">
        <v>0.8933</v>
      </c>
      <c r="Y61" s="42" t="s">
        <v>69</v>
      </c>
      <c r="Z61" s="297" t="s">
        <v>199</v>
      </c>
      <c r="AA61" s="331">
        <v>0.9773</v>
      </c>
      <c r="AB61" s="298">
        <v>6</v>
      </c>
      <c r="AC61" s="332">
        <v>264</v>
      </c>
      <c r="AD61" s="331">
        <v>0.9545</v>
      </c>
      <c r="AE61" s="298">
        <v>3</v>
      </c>
      <c r="AF61" s="332">
        <v>66</v>
      </c>
      <c r="AG61" s="331">
        <v>0.9565</v>
      </c>
      <c r="AH61" s="298">
        <v>11</v>
      </c>
      <c r="AI61" s="332">
        <v>253</v>
      </c>
      <c r="AJ61" s="331">
        <v>0.938</v>
      </c>
      <c r="AK61" s="298">
        <v>15</v>
      </c>
      <c r="AL61" s="332">
        <v>242</v>
      </c>
    </row>
    <row r="62" spans="1:38" ht="12.75">
      <c r="A62" s="52" t="s">
        <v>45</v>
      </c>
      <c r="B62" s="369" t="s">
        <v>213</v>
      </c>
      <c r="C62" s="361">
        <v>10</v>
      </c>
      <c r="D62" s="319">
        <v>61</v>
      </c>
      <c r="E62" s="360">
        <v>0.8361</v>
      </c>
      <c r="F62" s="36"/>
      <c r="G62" s="52" t="s">
        <v>45</v>
      </c>
      <c r="H62" s="369" t="s">
        <v>213</v>
      </c>
      <c r="I62" s="361">
        <v>20</v>
      </c>
      <c r="J62" s="319">
        <v>338</v>
      </c>
      <c r="K62" s="360">
        <v>0.9408</v>
      </c>
      <c r="L62" s="289"/>
      <c r="M62" s="52" t="s">
        <v>45</v>
      </c>
      <c r="N62" s="369" t="s">
        <v>213</v>
      </c>
      <c r="O62" s="361">
        <v>28</v>
      </c>
      <c r="P62" s="319">
        <v>258</v>
      </c>
      <c r="Q62" s="360">
        <v>0.8915</v>
      </c>
      <c r="R62" s="55"/>
      <c r="S62" s="52" t="s">
        <v>45</v>
      </c>
      <c r="T62" s="369" t="s">
        <v>213</v>
      </c>
      <c r="U62" s="361">
        <v>20</v>
      </c>
      <c r="V62" s="319">
        <v>262</v>
      </c>
      <c r="W62" s="360">
        <v>0.9237</v>
      </c>
      <c r="Y62" s="42" t="s">
        <v>76</v>
      </c>
      <c r="Z62" s="297" t="s">
        <v>188</v>
      </c>
      <c r="AA62" s="331">
        <v>0.8977</v>
      </c>
      <c r="AB62" s="298">
        <v>22</v>
      </c>
      <c r="AC62" s="332">
        <v>215</v>
      </c>
      <c r="AD62" s="331">
        <v>0.8615</v>
      </c>
      <c r="AE62" s="298">
        <v>9</v>
      </c>
      <c r="AF62" s="332">
        <v>65</v>
      </c>
      <c r="AG62" s="331">
        <v>0.8789</v>
      </c>
      <c r="AH62" s="298">
        <v>31</v>
      </c>
      <c r="AI62" s="332">
        <v>256</v>
      </c>
      <c r="AJ62" s="331">
        <v>0.8929</v>
      </c>
      <c r="AK62" s="298">
        <v>27</v>
      </c>
      <c r="AL62" s="332">
        <v>252</v>
      </c>
    </row>
    <row r="63" spans="1:38" ht="13.5" thickBot="1">
      <c r="A63" s="370" t="s">
        <v>214</v>
      </c>
      <c r="B63" s="371"/>
      <c r="C63" s="364">
        <v>336</v>
      </c>
      <c r="D63" s="365">
        <v>3618</v>
      </c>
      <c r="E63" s="366">
        <v>0.9071</v>
      </c>
      <c r="F63" s="387"/>
      <c r="G63" s="370" t="s">
        <v>214</v>
      </c>
      <c r="H63" s="371"/>
      <c r="I63" s="364">
        <v>635</v>
      </c>
      <c r="J63" s="365">
        <v>15128</v>
      </c>
      <c r="K63" s="366">
        <v>0.958</v>
      </c>
      <c r="L63" s="388"/>
      <c r="M63" s="370" t="s">
        <v>214</v>
      </c>
      <c r="N63" s="371"/>
      <c r="O63" s="364">
        <v>1330</v>
      </c>
      <c r="P63" s="365">
        <v>14475</v>
      </c>
      <c r="Q63" s="366">
        <v>0.9081</v>
      </c>
      <c r="R63" s="290"/>
      <c r="S63" s="370" t="s">
        <v>214</v>
      </c>
      <c r="T63" s="371"/>
      <c r="U63" s="364">
        <v>1064</v>
      </c>
      <c r="V63" s="365">
        <v>13904</v>
      </c>
      <c r="W63" s="366">
        <v>0.9235</v>
      </c>
      <c r="Y63" s="42" t="s">
        <v>78</v>
      </c>
      <c r="Z63" s="297" t="s">
        <v>190</v>
      </c>
      <c r="AA63" s="331">
        <v>0.9683</v>
      </c>
      <c r="AB63" s="298">
        <v>9</v>
      </c>
      <c r="AC63" s="332">
        <v>284</v>
      </c>
      <c r="AD63" s="331">
        <v>0.9375</v>
      </c>
      <c r="AE63" s="298">
        <v>4</v>
      </c>
      <c r="AF63" s="332">
        <v>64</v>
      </c>
      <c r="AG63" s="331">
        <v>0.9266</v>
      </c>
      <c r="AH63" s="298">
        <v>19</v>
      </c>
      <c r="AI63" s="332">
        <v>259</v>
      </c>
      <c r="AJ63" s="331">
        <v>0.9363</v>
      </c>
      <c r="AK63" s="298">
        <v>16</v>
      </c>
      <c r="AL63" s="332">
        <v>251</v>
      </c>
    </row>
    <row r="64" spans="1:38" ht="13.5" thickTop="1">
      <c r="A64" s="389"/>
      <c r="B64" s="389"/>
      <c r="C64" s="530" t="s">
        <v>441</v>
      </c>
      <c r="D64" s="530"/>
      <c r="E64" s="530"/>
      <c r="F64" s="386"/>
      <c r="G64" s="389"/>
      <c r="H64" s="389"/>
      <c r="I64" s="530" t="s">
        <v>440</v>
      </c>
      <c r="J64" s="530"/>
      <c r="K64" s="530"/>
      <c r="L64" s="291"/>
      <c r="M64" s="291"/>
      <c r="N64" s="324"/>
      <c r="O64" s="530" t="s">
        <v>441</v>
      </c>
      <c r="P64" s="530"/>
      <c r="Q64" s="530"/>
      <c r="R64" s="321"/>
      <c r="S64" s="324"/>
      <c r="T64" s="324"/>
      <c r="U64" s="530" t="s">
        <v>218</v>
      </c>
      <c r="V64" s="530"/>
      <c r="W64" s="530"/>
      <c r="Y64" s="42" t="s">
        <v>80</v>
      </c>
      <c r="Z64" s="297" t="s">
        <v>193</v>
      </c>
      <c r="AA64" s="331">
        <v>0.9672</v>
      </c>
      <c r="AB64" s="298">
        <v>8</v>
      </c>
      <c r="AC64" s="332">
        <v>244</v>
      </c>
      <c r="AD64" s="331">
        <v>0.9692</v>
      </c>
      <c r="AE64" s="298">
        <v>2</v>
      </c>
      <c r="AF64" s="332">
        <v>65</v>
      </c>
      <c r="AG64" s="331">
        <v>0.9492</v>
      </c>
      <c r="AH64" s="298">
        <v>13</v>
      </c>
      <c r="AI64" s="332">
        <v>256</v>
      </c>
      <c r="AJ64" s="331">
        <v>0.9724</v>
      </c>
      <c r="AK64" s="298">
        <v>7</v>
      </c>
      <c r="AL64" s="332">
        <v>254</v>
      </c>
    </row>
    <row r="65" spans="1:38" ht="12.75">
      <c r="A65" s="531" t="s">
        <v>438</v>
      </c>
      <c r="B65" s="531"/>
      <c r="C65" s="531"/>
      <c r="D65" s="531"/>
      <c r="E65" s="531"/>
      <c r="F65" s="531"/>
      <c r="G65" s="531"/>
      <c r="H65" s="531"/>
      <c r="I65" s="531"/>
      <c r="J65" s="531"/>
      <c r="K65" s="531"/>
      <c r="L65" s="291"/>
      <c r="M65" s="531" t="s">
        <v>439</v>
      </c>
      <c r="N65" s="531"/>
      <c r="O65" s="531"/>
      <c r="P65" s="531"/>
      <c r="Q65" s="531"/>
      <c r="R65" s="531"/>
      <c r="S65" s="531"/>
      <c r="T65" s="531"/>
      <c r="U65" s="531"/>
      <c r="V65" s="531"/>
      <c r="W65" s="531"/>
      <c r="Y65" s="42" t="s">
        <v>82</v>
      </c>
      <c r="Z65" s="297" t="s">
        <v>197</v>
      </c>
      <c r="AA65" s="331">
        <v>0.9732</v>
      </c>
      <c r="AB65" s="298">
        <v>7</v>
      </c>
      <c r="AC65" s="332">
        <v>261</v>
      </c>
      <c r="AD65" s="331">
        <v>0.9265</v>
      </c>
      <c r="AE65" s="298">
        <v>5</v>
      </c>
      <c r="AF65" s="332">
        <v>68</v>
      </c>
      <c r="AG65" s="331">
        <v>0.9213</v>
      </c>
      <c r="AH65" s="298">
        <v>20</v>
      </c>
      <c r="AI65" s="332">
        <v>254</v>
      </c>
      <c r="AJ65" s="331">
        <v>0.9037</v>
      </c>
      <c r="AK65" s="298">
        <v>21</v>
      </c>
      <c r="AL65" s="332">
        <v>218</v>
      </c>
    </row>
    <row r="66" spans="1:38" ht="12.75">
      <c r="A66" s="392"/>
      <c r="B66" s="392"/>
      <c r="C66" s="392"/>
      <c r="D66" s="392"/>
      <c r="E66" s="392"/>
      <c r="F66" s="392"/>
      <c r="G66" s="392"/>
      <c r="H66" s="392"/>
      <c r="I66" s="392"/>
      <c r="J66" s="392"/>
      <c r="K66" s="392"/>
      <c r="L66" s="391"/>
      <c r="M66" s="392"/>
      <c r="N66" s="392"/>
      <c r="O66" s="392"/>
      <c r="P66" s="392"/>
      <c r="Q66" s="392"/>
      <c r="R66" s="392"/>
      <c r="S66" s="392"/>
      <c r="T66" s="392"/>
      <c r="U66" s="392"/>
      <c r="V66" s="392"/>
      <c r="W66" s="392"/>
      <c r="X66" s="17"/>
      <c r="Y66" s="42" t="s">
        <v>248</v>
      </c>
      <c r="Z66" s="297" t="s">
        <v>187</v>
      </c>
      <c r="AA66" s="331">
        <v>0.9637</v>
      </c>
      <c r="AB66" s="298">
        <v>25</v>
      </c>
      <c r="AC66" s="332">
        <v>689</v>
      </c>
      <c r="AD66" s="331">
        <v>0.8226</v>
      </c>
      <c r="AE66" s="298">
        <v>11</v>
      </c>
      <c r="AF66" s="332">
        <v>62</v>
      </c>
      <c r="AG66" s="331">
        <v>0.9016</v>
      </c>
      <c r="AH66" s="298">
        <v>25</v>
      </c>
      <c r="AI66" s="332">
        <v>254</v>
      </c>
      <c r="AJ66" s="331">
        <v>0.937</v>
      </c>
      <c r="AK66" s="298">
        <v>16</v>
      </c>
      <c r="AL66" s="332">
        <v>254</v>
      </c>
    </row>
    <row r="67" spans="1:38" ht="13.5" customHeight="1">
      <c r="A67" s="532" t="s">
        <v>458</v>
      </c>
      <c r="B67" s="532"/>
      <c r="C67" s="532"/>
      <c r="D67" s="532"/>
      <c r="E67" s="532"/>
      <c r="F67" s="532"/>
      <c r="G67" s="532"/>
      <c r="H67" s="532"/>
      <c r="I67" s="532"/>
      <c r="J67" s="532"/>
      <c r="K67" s="532"/>
      <c r="L67" s="532"/>
      <c r="M67" s="532"/>
      <c r="N67" s="532"/>
      <c r="O67" s="532"/>
      <c r="P67" s="532"/>
      <c r="Q67" s="532"/>
      <c r="R67" s="532"/>
      <c r="S67" s="532"/>
      <c r="T67" s="532"/>
      <c r="U67" s="532"/>
      <c r="V67" s="532"/>
      <c r="W67" s="532"/>
      <c r="X67" s="17"/>
      <c r="Y67" s="301" t="s">
        <v>250</v>
      </c>
      <c r="Z67" s="297" t="s">
        <v>202</v>
      </c>
      <c r="AA67" s="331">
        <v>0.9619</v>
      </c>
      <c r="AB67" s="302">
        <v>16</v>
      </c>
      <c r="AC67" s="336">
        <v>420</v>
      </c>
      <c r="AD67" s="331">
        <v>0.8254</v>
      </c>
      <c r="AE67" s="302">
        <v>11</v>
      </c>
      <c r="AF67" s="336">
        <v>63</v>
      </c>
      <c r="AG67" s="331">
        <v>0.8281</v>
      </c>
      <c r="AH67" s="302">
        <v>44</v>
      </c>
      <c r="AI67" s="336">
        <v>256</v>
      </c>
      <c r="AJ67" s="331">
        <v>0.9061</v>
      </c>
      <c r="AK67" s="302">
        <v>23</v>
      </c>
      <c r="AL67" s="336">
        <v>245</v>
      </c>
    </row>
    <row r="68" spans="1:38" s="17" customFormat="1" ht="13.5" customHeight="1" thickBot="1">
      <c r="A68" s="532"/>
      <c r="B68" s="532"/>
      <c r="C68" s="532"/>
      <c r="D68" s="532"/>
      <c r="E68" s="532"/>
      <c r="F68" s="532"/>
      <c r="G68" s="532"/>
      <c r="H68" s="532"/>
      <c r="I68" s="532"/>
      <c r="J68" s="532"/>
      <c r="K68" s="532"/>
      <c r="L68" s="532"/>
      <c r="M68" s="532"/>
      <c r="N68" s="532"/>
      <c r="O68" s="532"/>
      <c r="P68" s="532"/>
      <c r="Q68" s="532"/>
      <c r="R68" s="532"/>
      <c r="S68" s="532"/>
      <c r="T68" s="532"/>
      <c r="U68" s="532"/>
      <c r="V68" s="532"/>
      <c r="W68" s="532"/>
      <c r="Y68" s="44" t="s">
        <v>87</v>
      </c>
      <c r="Z68" s="293" t="s">
        <v>191</v>
      </c>
      <c r="AA68" s="331">
        <v>0.9624</v>
      </c>
      <c r="AB68" s="303">
        <v>14</v>
      </c>
      <c r="AC68" s="337">
        <v>372</v>
      </c>
      <c r="AD68" s="331">
        <v>0.8684</v>
      </c>
      <c r="AE68" s="303">
        <v>10</v>
      </c>
      <c r="AF68" s="337">
        <v>76</v>
      </c>
      <c r="AG68" s="331">
        <v>0.8828</v>
      </c>
      <c r="AH68" s="303">
        <v>32</v>
      </c>
      <c r="AI68" s="337">
        <v>273</v>
      </c>
      <c r="AJ68" s="331">
        <v>0.9393</v>
      </c>
      <c r="AK68" s="303">
        <v>15</v>
      </c>
      <c r="AL68" s="337">
        <v>247</v>
      </c>
    </row>
    <row r="69" spans="1:38" ht="13.5" customHeight="1" thickTop="1">
      <c r="A69" s="5"/>
      <c r="B69" s="5"/>
      <c r="C69" s="524" t="s">
        <v>222</v>
      </c>
      <c r="D69" s="525"/>
      <c r="E69" s="526"/>
      <c r="F69" s="323"/>
      <c r="G69" s="393"/>
      <c r="H69" s="393"/>
      <c r="I69" s="393"/>
      <c r="J69" s="393"/>
      <c r="K69" s="393"/>
      <c r="L69" s="5"/>
      <c r="M69" s="5"/>
      <c r="N69" s="5"/>
      <c r="O69" s="524" t="s">
        <v>220</v>
      </c>
      <c r="P69" s="525"/>
      <c r="Q69" s="526"/>
      <c r="R69" s="5"/>
      <c r="S69" s="390"/>
      <c r="T69" s="390"/>
      <c r="U69" s="524" t="s">
        <v>219</v>
      </c>
      <c r="V69" s="525"/>
      <c r="W69" s="526"/>
      <c r="X69" s="17"/>
      <c r="Y69" s="325" t="s">
        <v>269</v>
      </c>
      <c r="Z69" s="295">
        <v>1</v>
      </c>
      <c r="AA69" s="329"/>
      <c r="AB69" s="296"/>
      <c r="AC69" s="330"/>
      <c r="AD69" s="356">
        <v>0.9947</v>
      </c>
      <c r="AE69" s="296">
        <v>1</v>
      </c>
      <c r="AF69" s="330">
        <v>187</v>
      </c>
      <c r="AG69" s="356">
        <v>0.9947</v>
      </c>
      <c r="AH69" s="296">
        <v>4</v>
      </c>
      <c r="AI69" s="330">
        <v>748</v>
      </c>
      <c r="AJ69" s="356">
        <v>0.9906</v>
      </c>
      <c r="AK69" s="296">
        <v>7</v>
      </c>
      <c r="AL69" s="330">
        <v>745</v>
      </c>
    </row>
    <row r="70" spans="1:38" ht="12.75">
      <c r="A70" s="5"/>
      <c r="B70" s="5"/>
      <c r="C70" s="527"/>
      <c r="D70" s="528"/>
      <c r="E70" s="529"/>
      <c r="F70" s="323"/>
      <c r="G70" s="393"/>
      <c r="H70" s="393"/>
      <c r="I70" s="393"/>
      <c r="J70" s="393"/>
      <c r="K70" s="393"/>
      <c r="L70" s="5"/>
      <c r="M70" s="5"/>
      <c r="N70" s="5"/>
      <c r="O70" s="527"/>
      <c r="P70" s="528"/>
      <c r="Q70" s="529"/>
      <c r="R70" s="5"/>
      <c r="S70" s="372"/>
      <c r="T70" s="373"/>
      <c r="U70" s="527"/>
      <c r="V70" s="528"/>
      <c r="W70" s="529"/>
      <c r="X70" s="17"/>
      <c r="Y70" s="39" t="s">
        <v>253</v>
      </c>
      <c r="Z70" s="54">
        <v>110</v>
      </c>
      <c r="AA70" s="338"/>
      <c r="AB70" s="304"/>
      <c r="AC70" s="339"/>
      <c r="AD70" s="354">
        <v>1</v>
      </c>
      <c r="AE70" s="350">
        <v>0</v>
      </c>
      <c r="AF70" s="351">
        <v>63</v>
      </c>
      <c r="AG70" s="354">
        <v>0.9961</v>
      </c>
      <c r="AH70" s="350">
        <v>1</v>
      </c>
      <c r="AI70" s="351">
        <v>254</v>
      </c>
      <c r="AJ70" s="354">
        <v>0.996</v>
      </c>
      <c r="AK70" s="350">
        <v>1</v>
      </c>
      <c r="AL70" s="351">
        <v>251</v>
      </c>
    </row>
    <row r="71" spans="1:38" ht="12.75">
      <c r="A71" s="372"/>
      <c r="B71" s="373"/>
      <c r="C71" s="385" t="s">
        <v>156</v>
      </c>
      <c r="D71" s="375" t="s">
        <v>157</v>
      </c>
      <c r="E71" s="384" t="s">
        <v>158</v>
      </c>
      <c r="F71" s="323"/>
      <c r="G71" s="393"/>
      <c r="H71" s="393"/>
      <c r="I71" s="393"/>
      <c r="J71" s="393"/>
      <c r="K71" s="393"/>
      <c r="L71" s="5"/>
      <c r="M71" s="374" t="s">
        <v>243</v>
      </c>
      <c r="N71" s="373"/>
      <c r="O71" s="385" t="s">
        <v>156</v>
      </c>
      <c r="P71" s="375" t="s">
        <v>157</v>
      </c>
      <c r="Q71" s="384" t="s">
        <v>158</v>
      </c>
      <c r="R71" s="5"/>
      <c r="S71" s="374" t="s">
        <v>243</v>
      </c>
      <c r="T71" s="373"/>
      <c r="U71" s="385" t="s">
        <v>156</v>
      </c>
      <c r="V71" s="375" t="s">
        <v>157</v>
      </c>
      <c r="W71" s="384" t="s">
        <v>158</v>
      </c>
      <c r="X71" s="17"/>
      <c r="Y71" s="39" t="s">
        <v>245</v>
      </c>
      <c r="Z71" s="297">
        <v>111</v>
      </c>
      <c r="AA71" s="338"/>
      <c r="AB71" s="304"/>
      <c r="AC71" s="339"/>
      <c r="AD71" s="354">
        <v>1</v>
      </c>
      <c r="AE71" s="350">
        <v>0</v>
      </c>
      <c r="AF71" s="351">
        <v>62</v>
      </c>
      <c r="AG71" s="354">
        <v>0.9959</v>
      </c>
      <c r="AH71" s="350">
        <v>1</v>
      </c>
      <c r="AI71" s="351">
        <v>246</v>
      </c>
      <c r="AJ71" s="354">
        <v>0.992</v>
      </c>
      <c r="AK71" s="350">
        <v>2</v>
      </c>
      <c r="AL71" s="351">
        <v>249</v>
      </c>
    </row>
    <row r="72" spans="1:38" ht="13.5" thickBot="1">
      <c r="A72" s="374" t="s">
        <v>90</v>
      </c>
      <c r="B72" s="375">
        <v>110</v>
      </c>
      <c r="C72" s="377">
        <v>0</v>
      </c>
      <c r="D72" s="52">
        <v>63</v>
      </c>
      <c r="E72" s="378">
        <v>1</v>
      </c>
      <c r="F72" s="323"/>
      <c r="G72" s="393"/>
      <c r="H72" s="393"/>
      <c r="I72" s="393"/>
      <c r="J72" s="393"/>
      <c r="K72" s="393"/>
      <c r="L72" s="382"/>
      <c r="M72" s="374" t="s">
        <v>90</v>
      </c>
      <c r="N72" s="375">
        <v>110</v>
      </c>
      <c r="O72" s="377">
        <v>1</v>
      </c>
      <c r="P72" s="52">
        <v>254</v>
      </c>
      <c r="Q72" s="378">
        <v>0.9961</v>
      </c>
      <c r="R72" s="382"/>
      <c r="S72" s="374" t="s">
        <v>90</v>
      </c>
      <c r="T72" s="375">
        <v>110</v>
      </c>
      <c r="U72" s="377">
        <v>1</v>
      </c>
      <c r="V72" s="52">
        <v>251</v>
      </c>
      <c r="W72" s="378">
        <v>0.996</v>
      </c>
      <c r="X72" s="17"/>
      <c r="Y72" s="79" t="s">
        <v>247</v>
      </c>
      <c r="Z72" s="326">
        <v>112</v>
      </c>
      <c r="AA72" s="340"/>
      <c r="AB72" s="341"/>
      <c r="AC72" s="342"/>
      <c r="AD72" s="355">
        <v>0.9839</v>
      </c>
      <c r="AE72" s="352">
        <v>1</v>
      </c>
      <c r="AF72" s="353">
        <v>62</v>
      </c>
      <c r="AG72" s="355">
        <v>0.9919</v>
      </c>
      <c r="AH72" s="352">
        <v>2</v>
      </c>
      <c r="AI72" s="353">
        <v>248</v>
      </c>
      <c r="AJ72" s="355">
        <v>0.9837</v>
      </c>
      <c r="AK72" s="352">
        <v>4</v>
      </c>
      <c r="AL72" s="353">
        <v>245</v>
      </c>
    </row>
    <row r="73" spans="1:24" ht="12.75">
      <c r="A73" s="374" t="s">
        <v>70</v>
      </c>
      <c r="B73" s="375">
        <v>111</v>
      </c>
      <c r="C73" s="377">
        <v>0</v>
      </c>
      <c r="D73" s="52">
        <v>62</v>
      </c>
      <c r="E73" s="378">
        <v>1</v>
      </c>
      <c r="F73" s="323"/>
      <c r="G73" s="393"/>
      <c r="H73" s="393"/>
      <c r="I73" s="393"/>
      <c r="J73" s="393"/>
      <c r="K73" s="393"/>
      <c r="L73" s="5"/>
      <c r="M73" s="374" t="s">
        <v>70</v>
      </c>
      <c r="N73" s="375">
        <v>111</v>
      </c>
      <c r="O73" s="377">
        <v>1</v>
      </c>
      <c r="P73" s="52">
        <v>246</v>
      </c>
      <c r="Q73" s="378">
        <v>0.9959</v>
      </c>
      <c r="R73" s="5"/>
      <c r="S73" s="374" t="s">
        <v>70</v>
      </c>
      <c r="T73" s="375">
        <v>111</v>
      </c>
      <c r="U73" s="377">
        <v>2</v>
      </c>
      <c r="V73" s="52">
        <v>249</v>
      </c>
      <c r="W73" s="378">
        <v>0.992</v>
      </c>
      <c r="X73" s="17"/>
    </row>
    <row r="74" spans="1:24" ht="12.75" customHeight="1">
      <c r="A74" s="374" t="s">
        <v>77</v>
      </c>
      <c r="B74" s="375">
        <v>112</v>
      </c>
      <c r="C74" s="377">
        <v>1</v>
      </c>
      <c r="D74" s="52">
        <v>62</v>
      </c>
      <c r="E74" s="378">
        <v>0.9839</v>
      </c>
      <c r="F74" s="323"/>
      <c r="G74" s="393"/>
      <c r="H74" s="393"/>
      <c r="I74" s="393"/>
      <c r="J74" s="393"/>
      <c r="K74" s="393"/>
      <c r="L74" s="5"/>
      <c r="M74" s="374" t="s">
        <v>77</v>
      </c>
      <c r="N74" s="375">
        <v>112</v>
      </c>
      <c r="O74" s="377">
        <v>2</v>
      </c>
      <c r="P74" s="52">
        <v>248</v>
      </c>
      <c r="Q74" s="378">
        <v>0.9919</v>
      </c>
      <c r="R74" s="5"/>
      <c r="S74" s="374" t="s">
        <v>77</v>
      </c>
      <c r="T74" s="375">
        <v>112</v>
      </c>
      <c r="U74" s="377">
        <v>4</v>
      </c>
      <c r="V74" s="52">
        <v>245</v>
      </c>
      <c r="W74" s="378">
        <v>0.9837</v>
      </c>
      <c r="X74" s="17"/>
    </row>
    <row r="75" spans="1:26" ht="13.5" thickBot="1">
      <c r="A75" s="372" t="s">
        <v>214</v>
      </c>
      <c r="B75" s="376">
        <v>1</v>
      </c>
      <c r="C75" s="379">
        <v>1</v>
      </c>
      <c r="D75" s="380">
        <v>187</v>
      </c>
      <c r="E75" s="381">
        <v>0.9947</v>
      </c>
      <c r="F75" s="5"/>
      <c r="G75" s="393"/>
      <c r="H75" s="393"/>
      <c r="I75" s="393"/>
      <c r="J75" s="393"/>
      <c r="K75" s="393"/>
      <c r="L75" s="5"/>
      <c r="M75" s="372" t="s">
        <v>214</v>
      </c>
      <c r="N75" s="376">
        <v>1</v>
      </c>
      <c r="O75" s="379">
        <v>4</v>
      </c>
      <c r="P75" s="380">
        <v>748</v>
      </c>
      <c r="Q75" s="381">
        <v>0.9947</v>
      </c>
      <c r="R75" s="5"/>
      <c r="S75" s="372" t="s">
        <v>214</v>
      </c>
      <c r="T75" s="376">
        <v>1</v>
      </c>
      <c r="U75" s="379">
        <v>7</v>
      </c>
      <c r="V75" s="380">
        <v>745</v>
      </c>
      <c r="W75" s="381">
        <v>0.9906</v>
      </c>
      <c r="X75" s="17"/>
      <c r="Y75" s="84"/>
      <c r="Z75" s="84"/>
    </row>
    <row r="76" spans="1:24" ht="13.5" thickTop="1">
      <c r="A76" s="291"/>
      <c r="B76" s="322"/>
      <c r="C76" s="530" t="s">
        <v>444</v>
      </c>
      <c r="D76" s="530"/>
      <c r="E76" s="530"/>
      <c r="F76" s="5"/>
      <c r="G76" s="393"/>
      <c r="H76" s="393"/>
      <c r="I76" s="393"/>
      <c r="J76" s="393"/>
      <c r="K76" s="393"/>
      <c r="L76" s="5"/>
      <c r="M76" s="291"/>
      <c r="N76" s="322"/>
      <c r="O76" s="541" t="s">
        <v>445</v>
      </c>
      <c r="P76" s="541"/>
      <c r="Q76" s="541"/>
      <c r="R76" s="383"/>
      <c r="S76" s="322"/>
      <c r="T76" s="322"/>
      <c r="U76" s="541" t="s">
        <v>446</v>
      </c>
      <c r="V76" s="541"/>
      <c r="W76" s="541"/>
      <c r="X76" s="17"/>
    </row>
    <row r="77" spans="1:24" ht="12.75">
      <c r="A77" s="540" t="s">
        <v>442</v>
      </c>
      <c r="B77" s="540"/>
      <c r="C77" s="540"/>
      <c r="D77" s="540"/>
      <c r="E77" s="540"/>
      <c r="F77" s="5"/>
      <c r="G77" s="393"/>
      <c r="H77" s="393"/>
      <c r="I77" s="393"/>
      <c r="J77" s="393"/>
      <c r="K77" s="393"/>
      <c r="L77" s="5"/>
      <c r="M77" s="291"/>
      <c r="N77" s="322"/>
      <c r="O77" s="542"/>
      <c r="P77" s="542"/>
      <c r="Q77" s="542"/>
      <c r="R77" s="383"/>
      <c r="S77" s="322"/>
      <c r="T77" s="322"/>
      <c r="U77" s="542"/>
      <c r="V77" s="542"/>
      <c r="W77" s="542"/>
      <c r="X77" s="68"/>
    </row>
    <row r="78" spans="1:24" ht="12.75">
      <c r="A78" s="17"/>
      <c r="B78" s="17"/>
      <c r="C78" s="17"/>
      <c r="D78" s="17"/>
      <c r="E78" s="5"/>
      <c r="F78" s="5"/>
      <c r="L78" s="5"/>
      <c r="M78" s="383"/>
      <c r="N78" s="383"/>
      <c r="O78" s="544" t="s">
        <v>447</v>
      </c>
      <c r="P78" s="544"/>
      <c r="Q78" s="544"/>
      <c r="R78" s="383"/>
      <c r="S78" s="383"/>
      <c r="T78" s="383"/>
      <c r="U78" s="544" t="s">
        <v>447</v>
      </c>
      <c r="V78" s="544"/>
      <c r="W78" s="544"/>
      <c r="X78" s="17"/>
    </row>
    <row r="79" spans="1:24" ht="12.75">
      <c r="A79" s="17"/>
      <c r="B79" s="17"/>
      <c r="C79" s="17"/>
      <c r="D79" s="17"/>
      <c r="E79" s="5"/>
      <c r="F79" s="5"/>
      <c r="L79" s="5"/>
      <c r="M79" s="540" t="s">
        <v>443</v>
      </c>
      <c r="N79" s="540"/>
      <c r="O79" s="540"/>
      <c r="P79" s="540"/>
      <c r="Q79" s="540"/>
      <c r="R79" s="540"/>
      <c r="S79" s="540"/>
      <c r="T79" s="540"/>
      <c r="U79" s="540"/>
      <c r="V79" s="540"/>
      <c r="W79" s="540"/>
      <c r="X79" s="17"/>
    </row>
    <row r="80" spans="1:23" ht="12.75">
      <c r="A80" s="17"/>
      <c r="B80" s="17"/>
      <c r="C80" s="17"/>
      <c r="D80" s="17"/>
      <c r="E80" s="5"/>
      <c r="F80" s="5"/>
      <c r="G80" s="5"/>
      <c r="H80" s="5"/>
      <c r="I80" s="5"/>
      <c r="J80" s="5"/>
      <c r="K80" s="5"/>
      <c r="L80" s="5"/>
      <c r="M80" s="5"/>
      <c r="N80" s="5"/>
      <c r="O80" s="5"/>
      <c r="P80" s="5"/>
      <c r="Q80" s="5"/>
      <c r="R80" s="5"/>
      <c r="S80" s="5"/>
      <c r="T80" s="5"/>
      <c r="U80" s="5"/>
      <c r="V80" s="5"/>
      <c r="W80" s="5"/>
    </row>
    <row r="81" spans="1:23" ht="12.75">
      <c r="A81" s="17"/>
      <c r="B81" s="17"/>
      <c r="C81" s="17"/>
      <c r="D81" s="17"/>
      <c r="E81" s="17"/>
      <c r="F81" s="17"/>
      <c r="G81" s="17"/>
      <c r="H81" s="17"/>
      <c r="I81" s="17"/>
      <c r="J81" s="17"/>
      <c r="K81" s="17"/>
      <c r="L81" s="17"/>
      <c r="M81" s="17"/>
      <c r="N81" s="17"/>
      <c r="O81" s="17"/>
      <c r="P81" s="17"/>
      <c r="Q81" s="17"/>
      <c r="R81" s="17"/>
      <c r="S81" s="17"/>
      <c r="T81" s="17"/>
      <c r="U81" s="17"/>
      <c r="V81" s="17"/>
      <c r="W81" s="17"/>
    </row>
    <row r="82" ht="12.75">
      <c r="F82" s="17"/>
    </row>
  </sheetData>
  <sheetProtection/>
  <mergeCells count="28">
    <mergeCell ref="M79:W79"/>
    <mergeCell ref="U76:W77"/>
    <mergeCell ref="Y4:Z4"/>
    <mergeCell ref="C76:E76"/>
    <mergeCell ref="A77:E77"/>
    <mergeCell ref="O76:Q77"/>
    <mergeCell ref="O78:Q78"/>
    <mergeCell ref="U78:W78"/>
    <mergeCell ref="U64:W64"/>
    <mergeCell ref="C3:E4"/>
    <mergeCell ref="Y1:AL2"/>
    <mergeCell ref="A1:W2"/>
    <mergeCell ref="A65:K65"/>
    <mergeCell ref="O3:Q4"/>
    <mergeCell ref="U3:W4"/>
    <mergeCell ref="AA3:AC4"/>
    <mergeCell ref="AD3:AF4"/>
    <mergeCell ref="AG3:AI4"/>
    <mergeCell ref="AJ3:AL4"/>
    <mergeCell ref="I3:K4"/>
    <mergeCell ref="C69:E70"/>
    <mergeCell ref="O69:Q70"/>
    <mergeCell ref="C64:E64"/>
    <mergeCell ref="I64:K64"/>
    <mergeCell ref="M65:W65"/>
    <mergeCell ref="A67:W68"/>
    <mergeCell ref="U69:W70"/>
    <mergeCell ref="O64:Q64"/>
  </mergeCells>
  <conditionalFormatting sqref="Y53:Y66">
    <cfRule type="expression" priority="90" dxfId="0" stopIfTrue="1">
      <formula>ISERROR(Y53)</formula>
    </cfRule>
  </conditionalFormatting>
  <conditionalFormatting sqref="AA6">
    <cfRule type="expression" priority="87" dxfId="0" stopIfTrue="1">
      <formula>ISERROR(AA6)</formula>
    </cfRule>
  </conditionalFormatting>
  <conditionalFormatting sqref="AB36:AC36">
    <cfRule type="expression" priority="82" dxfId="0" stopIfTrue="1">
      <formula>ISERROR(AB36)</formula>
    </cfRule>
  </conditionalFormatting>
  <conditionalFormatting sqref="AB51:AC51">
    <cfRule type="expression" priority="80" dxfId="0" stopIfTrue="1">
      <formula>ISERROR(AB51)</formula>
    </cfRule>
  </conditionalFormatting>
  <conditionalFormatting sqref="AB6:AC6">
    <cfRule type="expression" priority="86" dxfId="0" stopIfTrue="1">
      <formula>ISERROR(AB6)</formula>
    </cfRule>
  </conditionalFormatting>
  <conditionalFormatting sqref="AA23">
    <cfRule type="expression" priority="85" dxfId="0" stopIfTrue="1">
      <formula>ISERROR(AA23)</formula>
    </cfRule>
  </conditionalFormatting>
  <conditionalFormatting sqref="AB23:AC23">
    <cfRule type="expression" priority="84" dxfId="0" stopIfTrue="1">
      <formula>ISERROR(AB23)</formula>
    </cfRule>
  </conditionalFormatting>
  <conditionalFormatting sqref="AA36">
    <cfRule type="expression" priority="83" dxfId="0" stopIfTrue="1">
      <formula>ISERROR(AA36)</formula>
    </cfRule>
  </conditionalFormatting>
  <conditionalFormatting sqref="AA51">
    <cfRule type="expression" priority="81" dxfId="0" stopIfTrue="1">
      <formula>ISERROR(AA51)</formula>
    </cfRule>
  </conditionalFormatting>
  <conditionalFormatting sqref="AH6:AI6">
    <cfRule type="expression" priority="18" dxfId="0" stopIfTrue="1">
      <formula>ISERROR(AH6)</formula>
    </cfRule>
  </conditionalFormatting>
  <conditionalFormatting sqref="AG51">
    <cfRule type="expression" priority="13" dxfId="0" stopIfTrue="1">
      <formula>ISERROR(AG51)</formula>
    </cfRule>
  </conditionalFormatting>
  <conditionalFormatting sqref="AJ6">
    <cfRule type="expression" priority="11" dxfId="0" stopIfTrue="1">
      <formula>ISERROR(AJ6)</formula>
    </cfRule>
  </conditionalFormatting>
  <conditionalFormatting sqref="AG23">
    <cfRule type="expression" priority="17" dxfId="0" stopIfTrue="1">
      <formula>ISERROR(AG23)</formula>
    </cfRule>
  </conditionalFormatting>
  <conditionalFormatting sqref="AH23:AI23">
    <cfRule type="expression" priority="16" dxfId="0" stopIfTrue="1">
      <formula>ISERROR(AH23)</formula>
    </cfRule>
  </conditionalFormatting>
  <conditionalFormatting sqref="AG36">
    <cfRule type="expression" priority="15" dxfId="0" stopIfTrue="1">
      <formula>ISERROR(AG36)</formula>
    </cfRule>
  </conditionalFormatting>
  <conditionalFormatting sqref="AH36:AI36">
    <cfRule type="expression" priority="14" dxfId="0" stopIfTrue="1">
      <formula>ISERROR(AH36)</formula>
    </cfRule>
  </conditionalFormatting>
  <conditionalFormatting sqref="AH51:AI51">
    <cfRule type="expression" priority="12" dxfId="0" stopIfTrue="1">
      <formula>ISERROR(AH51)</formula>
    </cfRule>
  </conditionalFormatting>
  <conditionalFormatting sqref="Y37">
    <cfRule type="expression" priority="57" dxfId="0" stopIfTrue="1">
      <formula>ISERROR(Y37)</formula>
    </cfRule>
  </conditionalFormatting>
  <conditionalFormatting sqref="N75">
    <cfRule type="expression" priority="59" dxfId="0" stopIfTrue="1">
      <formula>ISERROR(N75)</formula>
    </cfRule>
  </conditionalFormatting>
  <conditionalFormatting sqref="Y5:Y23 Y25:Y36 Y38:Y51">
    <cfRule type="expression" priority="97" dxfId="0" stopIfTrue="1">
      <formula>ISERROR(Y5)</formula>
    </cfRule>
  </conditionalFormatting>
  <conditionalFormatting sqref="Y68">
    <cfRule type="expression" priority="95" dxfId="0" stopIfTrue="1">
      <formula>ISERROR(Y68)</formula>
    </cfRule>
  </conditionalFormatting>
  <conditionalFormatting sqref="Z68">
    <cfRule type="expression" priority="63" dxfId="0" stopIfTrue="1">
      <formula>ISERROR(Z68)</formula>
    </cfRule>
  </conditionalFormatting>
  <conditionalFormatting sqref="Y24">
    <cfRule type="expression" priority="58" dxfId="0" stopIfTrue="1">
      <formula>ISERROR(Y24)</formula>
    </cfRule>
  </conditionalFormatting>
  <conditionalFormatting sqref="Y52">
    <cfRule type="expression" priority="56" dxfId="0" stopIfTrue="1">
      <formula>ISERROR(Y52)</formula>
    </cfRule>
  </conditionalFormatting>
  <conditionalFormatting sqref="T75">
    <cfRule type="expression" priority="1" dxfId="0" stopIfTrue="1">
      <formula>ISERROR(T75)</formula>
    </cfRule>
  </conditionalFormatting>
  <conditionalFormatting sqref="AE23:AF23">
    <cfRule type="expression" priority="24" dxfId="0" stopIfTrue="1">
      <formula>ISERROR(AE23)</formula>
    </cfRule>
  </conditionalFormatting>
  <conditionalFormatting sqref="AG6">
    <cfRule type="expression" priority="19" dxfId="0" stopIfTrue="1">
      <formula>ISERROR(AG6)</formula>
    </cfRule>
  </conditionalFormatting>
  <conditionalFormatting sqref="AD36">
    <cfRule type="expression" priority="23" dxfId="0" stopIfTrue="1">
      <formula>ISERROR(AD36)</formula>
    </cfRule>
  </conditionalFormatting>
  <conditionalFormatting sqref="AE36:AF36">
    <cfRule type="expression" priority="22" dxfId="0" stopIfTrue="1">
      <formula>ISERROR(AE36)</formula>
    </cfRule>
  </conditionalFormatting>
  <conditionalFormatting sqref="AD51">
    <cfRule type="expression" priority="21" dxfId="0" stopIfTrue="1">
      <formula>ISERROR(AD51)</formula>
    </cfRule>
  </conditionalFormatting>
  <conditionalFormatting sqref="AE51:AF51">
    <cfRule type="expression" priority="20" dxfId="0" stopIfTrue="1">
      <formula>ISERROR(AE51)</formula>
    </cfRule>
  </conditionalFormatting>
  <conditionalFormatting sqref="AD6">
    <cfRule type="expression" priority="27" dxfId="0" stopIfTrue="1">
      <formula>ISERROR(AD6)</formula>
    </cfRule>
  </conditionalFormatting>
  <conditionalFormatting sqref="AE6:AF6">
    <cfRule type="expression" priority="26" dxfId="0" stopIfTrue="1">
      <formula>ISERROR(AE6)</formula>
    </cfRule>
  </conditionalFormatting>
  <conditionalFormatting sqref="AD23">
    <cfRule type="expression" priority="25" dxfId="0" stopIfTrue="1">
      <formula>ISERROR(AD23)</formula>
    </cfRule>
  </conditionalFormatting>
  <conditionalFormatting sqref="AK36:AL36">
    <cfRule type="expression" priority="6" dxfId="0" stopIfTrue="1">
      <formula>ISERROR(AK36)</formula>
    </cfRule>
  </conditionalFormatting>
  <conditionalFormatting sqref="AK51:AL51">
    <cfRule type="expression" priority="4" dxfId="0" stopIfTrue="1">
      <formula>ISERROR(AK51)</formula>
    </cfRule>
  </conditionalFormatting>
  <conditionalFormatting sqref="AK6:AL6">
    <cfRule type="expression" priority="10" dxfId="0" stopIfTrue="1">
      <formula>ISERROR(AK6)</formula>
    </cfRule>
  </conditionalFormatting>
  <conditionalFormatting sqref="AJ23">
    <cfRule type="expression" priority="9" dxfId="0" stopIfTrue="1">
      <formula>ISERROR(AJ23)</formula>
    </cfRule>
  </conditionalFormatting>
  <conditionalFormatting sqref="AK23:AL23">
    <cfRule type="expression" priority="8" dxfId="0" stopIfTrue="1">
      <formula>ISERROR(AK23)</formula>
    </cfRule>
  </conditionalFormatting>
  <conditionalFormatting sqref="AJ36">
    <cfRule type="expression" priority="7" dxfId="0" stopIfTrue="1">
      <formula>ISERROR(AJ36)</formula>
    </cfRule>
  </conditionalFormatting>
  <conditionalFormatting sqref="AJ51">
    <cfRule type="expression" priority="5" dxfId="0" stopIfTrue="1">
      <formula>ISERROR(AJ51)</formula>
    </cfRule>
  </conditionalFormatting>
  <conditionalFormatting sqref="B75">
    <cfRule type="expression" priority="3" dxfId="0" stopIfTrue="1">
      <formula>ISERROR(B75)</formula>
    </cfRule>
  </conditionalFormatting>
  <hyperlinks>
    <hyperlink ref="A65" r:id="rId1" display="http://vbaw.vba.va.gov/bl/21/star/reports/fy14/3%20Month%20Rating%20Accuracy.xls"/>
    <hyperlink ref="M65" r:id="rId2" display="http://vbaw.vba.va.gov/bl/21/star/reports/fy14/BENEFIT%20ENTITLEMENT%20ACCURACY.xls"/>
    <hyperlink ref="A77" r:id="rId3" display="http://vbaw.vba.va.gov/bl/21/star/reports/fy14/3%20Month%20PMC%20Accuracy.xls"/>
    <hyperlink ref="M79" r:id="rId4" display="http://vbaw.vba.va.gov/bl/21/star/reports/fy14/PMC%20ACCURACY.xls"/>
  </hyperlinks>
  <printOptions/>
  <pageMargins left="0.7" right="0.7" top="0.75" bottom="0.75" header="0.3" footer="0.3"/>
  <pageSetup horizontalDpi="600" verticalDpi="600" orientation="portrait"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8, 2014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Mikuliak, Alex, VBAVACO</cp:lastModifiedBy>
  <cp:lastPrinted>2014-03-10T18:13:07Z</cp:lastPrinted>
  <dcterms:created xsi:type="dcterms:W3CDTF">2009-08-25T18:46:26Z</dcterms:created>
  <dcterms:modified xsi:type="dcterms:W3CDTF">2014-12-08T17:40:28Z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20141208</vt:lpwstr>
  </property>
  <property fmtid="{D5CDD505-2E9C-101B-9397-08002B2CF9AE}" pid="6" name="Type">
    <vt:lpwstr>Report</vt:lpwstr>
  </property>
</Properties>
</file>