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3" i="36"/>
  <c r="M32" i="36"/>
  <c r="L35"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H28" i="36" s="1"/>
  <c r="B27" i="36"/>
  <c r="J27" i="36" s="1"/>
  <c r="B26" i="36"/>
  <c r="M26" i="36" s="1"/>
  <c r="B25" i="36"/>
  <c r="J25" i="36" s="1"/>
  <c r="B24" i="36"/>
  <c r="M24" i="36" s="1"/>
  <c r="B23" i="36"/>
  <c r="M23" i="36" s="1"/>
  <c r="B22" i="36"/>
  <c r="J22" i="36" s="1"/>
  <c r="B21" i="36"/>
  <c r="G21" i="36" s="1"/>
  <c r="B20" i="36"/>
  <c r="J20" i="36" s="1"/>
  <c r="B19" i="36"/>
  <c r="B18" i="36"/>
  <c r="J18" i="36" s="1"/>
  <c r="B16" i="36"/>
  <c r="J16" i="36" s="1"/>
  <c r="B15" i="36"/>
  <c r="F15" i="36" s="1"/>
  <c r="M34" i="36"/>
  <c r="K35" i="36"/>
  <c r="L11" i="36"/>
  <c r="L30" i="36"/>
  <c r="L27" i="36"/>
  <c r="L25" i="36"/>
  <c r="L22" i="36"/>
  <c r="K20" i="36"/>
  <c r="K25" i="36"/>
  <c r="C30" i="36"/>
  <c r="I28" i="46"/>
  <c r="H20" i="46"/>
  <c r="D23" i="46"/>
  <c r="C24" i="46"/>
  <c r="H26" i="46"/>
  <c r="G26" i="46"/>
  <c r="D22" i="46"/>
  <c r="C30" i="46"/>
  <c r="F20" i="46"/>
  <c r="C20" i="46"/>
  <c r="I30" i="46"/>
  <c r="I16" i="46"/>
  <c r="I18" i="46"/>
  <c r="G24" i="46"/>
  <c r="F24" i="46"/>
  <c r="E28" i="46"/>
  <c r="H28" i="46"/>
  <c r="G28" i="46"/>
  <c r="C28" i="46"/>
  <c r="E30" i="46"/>
  <c r="D28" i="46"/>
  <c r="F28" i="46"/>
  <c r="E17" i="36"/>
  <c r="E26" i="46"/>
  <c r="E22" i="46"/>
  <c r="E18" i="46"/>
  <c r="F30" i="46"/>
  <c r="G18" i="46"/>
  <c r="H18" i="46"/>
  <c r="F18" i="46"/>
  <c r="C26" i="46"/>
  <c r="I22" i="46"/>
  <c r="H30" i="46"/>
  <c r="C18" i="46"/>
  <c r="D30" i="46"/>
  <c r="C22" i="46"/>
  <c r="G22" i="46"/>
  <c r="H22" i="46"/>
  <c r="I17" i="36"/>
  <c r="H17" i="36"/>
  <c r="I26" i="46"/>
  <c r="F26" i="46"/>
  <c r="I27" i="46"/>
  <c r="C15" i="46"/>
  <c r="C28" i="36"/>
  <c r="D24" i="46"/>
  <c r="E24" i="46"/>
  <c r="E16" i="46"/>
  <c r="F29" i="46"/>
  <c r="C16" i="46"/>
  <c r="F16" i="46"/>
  <c r="I22" i="36"/>
  <c r="I24" i="46"/>
  <c r="G16" i="36"/>
  <c r="E22" i="36"/>
  <c r="G28" i="36"/>
  <c r="H29" i="36"/>
  <c r="G29" i="36"/>
  <c r="D23" i="36"/>
  <c r="D20" i="46"/>
  <c r="G20" i="46"/>
  <c r="I20" i="46"/>
  <c r="G16" i="46"/>
  <c r="G26" i="36"/>
  <c r="E26" i="36"/>
  <c r="C26" i="36"/>
  <c r="I19" i="46"/>
  <c r="I23" i="46"/>
  <c r="D19" i="46"/>
  <c r="C19" i="46"/>
  <c r="F26" i="36"/>
  <c r="C18" i="36"/>
  <c r="I18" i="36"/>
  <c r="I26" i="36"/>
  <c r="G19" i="46"/>
  <c r="D21" i="46"/>
  <c r="D15" i="46"/>
  <c r="M20" i="36"/>
  <c r="E16" i="36"/>
  <c r="G22" i="36"/>
  <c r="F28" i="36"/>
  <c r="H22" i="36"/>
  <c r="H24" i="36"/>
  <c r="F23" i="46"/>
  <c r="H23" i="46"/>
  <c r="H26" i="36"/>
  <c r="F27" i="46"/>
  <c r="H27" i="46"/>
  <c r="D27" i="46"/>
  <c r="G15" i="46"/>
  <c r="C21" i="46"/>
  <c r="H25" i="46"/>
  <c r="F15" i="46"/>
  <c r="G18" i="36"/>
  <c r="F30" i="36"/>
  <c r="D18" i="36"/>
  <c r="F18" i="36"/>
  <c r="I30" i="36"/>
  <c r="D29" i="36"/>
  <c r="D25" i="36"/>
  <c r="F16" i="36"/>
  <c r="I16" i="36"/>
  <c r="C16" i="36"/>
  <c r="H16" i="36"/>
  <c r="D16" i="36"/>
  <c r="H18" i="36"/>
  <c r="E18" i="36"/>
  <c r="C19" i="36"/>
  <c r="L17" i="36"/>
  <c r="D17" i="36"/>
  <c r="G17" i="36"/>
  <c r="C27" i="36"/>
  <c r="F17" i="36"/>
  <c r="F25" i="36"/>
  <c r="D15" i="36"/>
  <c r="G15" i="36"/>
  <c r="E27" i="36"/>
  <c r="J23" i="36"/>
  <c r="F19" i="36"/>
  <c r="H27" i="36"/>
  <c r="J14" i="36"/>
  <c r="E15" i="36" l="1"/>
  <c r="L15" i="36"/>
  <c r="D24" i="36"/>
  <c r="D25" i="46"/>
  <c r="G25" i="46"/>
  <c r="C24" i="36"/>
  <c r="H20" i="36"/>
  <c r="I20" i="36"/>
  <c r="F17" i="46"/>
  <c r="M28" i="36"/>
  <c r="D17" i="46"/>
  <c r="G17" i="46"/>
  <c r="E20" i="36"/>
  <c r="H21" i="46"/>
  <c r="F20" i="36"/>
  <c r="E28" i="36"/>
  <c r="I24" i="36"/>
  <c r="I17" i="46"/>
  <c r="J28" i="36"/>
  <c r="M25" i="36"/>
  <c r="I25" i="46"/>
  <c r="F21" i="46"/>
  <c r="E24" i="36"/>
  <c r="G20" i="36"/>
  <c r="D20" i="36"/>
  <c r="C20" i="36"/>
  <c r="D28" i="36"/>
  <c r="F24" i="36"/>
  <c r="I28" i="36"/>
  <c r="H29" i="46"/>
  <c r="C25" i="4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<sst xmlns="http://schemas.openxmlformats.org/spreadsheetml/2006/main" count="1612" uniqueCount="471">
  <si>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</si>
  <si>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</si>
  <si>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</si>
  <si>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</si>
  <si>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</si>
  <si>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</si>
  <si>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</si>
  <si>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</si>
  <si>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</si>
  <si>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</si>
  <si>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</si>
  <si>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</si>
  <si>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</si>
  <si>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</si>
  <si>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</si>
  <si>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</si>
  <si>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</si>
  <si>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</si>
  <si>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</si>
  <si>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</si>
  <si>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</si>
  <si>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</si>
  <si>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</si>
  <si>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</si>
  <si>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</si>
  <si>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</si>
  <si>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</si>
  <si>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</si>
  <si>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</si>
  <si>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</si>
  <si>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</si>
  <si>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</si>
  <si>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</si>
  <si>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</si>
  <si>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</si>
  <si>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</si>
  <si>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</si>
  <si>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</si>
  <si>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</si>
  <si>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</si>
  <si>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</si>
  <si>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</si>
  <si>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</si>
  <si>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</si>
  <si>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</si>
  <si>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</si>
  <si>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</si>
  <si>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</si>
  <si>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</si>
  <si>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</si>
  <si>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</si>
  <si>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</si>
  <si>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</si>
  <si>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</si>
  <si>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</si>
  <si>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</si>
  <si>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</si>
  <si>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</si>
  <si>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</si>
  <si>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</si>
  <si>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</si>
  <si>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</si>
  <si>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</si>
  <si>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</si>
  <si>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</si>
  <si>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</si>
  <si>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</si>
  <si>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</si>
  <si>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</si>
  <si>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</si>
  <si>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</si>
  <si>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</si>
  <si>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</si>
  <si>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</si>
  <si>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</si>
  <si>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</si>
  <si>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</si>
  <si>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</si>
  <si>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</si>
  <si>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</si>
  <si>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</si>
  <si>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</si>
  <si>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</si>
  <si>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</si>
  <si>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</si>
  <si>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</si>
  <si>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</si>
  <si>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</si>
  <si>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</si>
  <si>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</si>
  <si>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</si>
  <si>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</si>
  <si>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</si>
  <si>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</si>
  <si>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</si>
  <si>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</si>
  <si>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</si>
  <si>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</si>
  <si>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</si>
  <si>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</si>
  <si>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</si>
  <si>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</si>
  <si>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</si>
  <si>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</si>
  <si>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</si>
  <si>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</si>
  <si>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</si>
  <si>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</si>
  <si>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</si>
  <si>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</si>
  <si>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</si>
  <si>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</si>
  <si>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</si>
  <si>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</si>
  <si>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</si>
  <si>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</si>
  <si>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</si>
  <si>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</si>
  <si>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</si>
  <si>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</si>
  <si>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</si>
  <si>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</si>
  <si>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</si>
  <si>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</si>
  <si>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</si>
  <si>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</si>
  <si>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</si>
  <si>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</si>
  <si>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</si>
  <si>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</si>
  <si>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</si>
  <si>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</si>
  <si>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</si>
  <si>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</si>
  <si>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</si>
  <si>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</si>
  <si>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</si>
  <si>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</si>
  <si>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</si>
  <si>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</si>
  <si>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</si>
  <si>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</si>
  <si>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</si>
  <si>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</si>
  <si>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</si>
  <si>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</si>
  <si>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</si>
  <si>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</si>
  <si>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</si>
  <si>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</si>
  <si>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</si>
  <si>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</si>
  <si>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</si>
  <si>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</si>
  <si>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</si>
  <si>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</si>
  <si>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</si>
  <si>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</si>
  <si>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</si>
  <si>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</si>
  <si>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</si>
  <si>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</si>
  <si>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</si>
  <si>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</si>
  <si>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</si>
  <si>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</si>
  <si>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</si>
  <si>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</si>
  <si>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</si>
  <si>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</si>
  <si>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</si>
  <si>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</si>
  <si>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</si>
  <si>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</si>
  <si>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</si>
  <si>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</si>
  <si>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</si>
  <si>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</si>
  <si>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</si>
  <si>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</si>
  <si>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</si>
  <si>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</si>
  <si>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</si>
  <si>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</si>
  <si>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</si>
  <si>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</si>
  <si>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</si>
  <si>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</si>
  <si>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</si>
  <si>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</si>
  <si>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</si>
  <si>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</si>
  <si>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</si>
  <si>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</si>
  <si>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</si>
  <si>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</si>
  <si>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</si>
  <si>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</si>
  <si>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</si>
  <si>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</si>
  <si>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</si>
  <si>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</si>
  <si>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</si>
  <si>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</si>
  <si>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</si>
  <si>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</si>
  <si>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</si>
  <si>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</si>
  <si>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</si>
  <si>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</si>
  <si>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</si>
  <si>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</si>
  <si>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</si>
  <si>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</si>
  <si>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</si>
  <si>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</si>
  <si>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</si>
  <si>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</si>
  <si>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</si>
  <si>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</si>
  <si>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</si>
  <si>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</si>
  <si>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</si>
  <si>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</si>
  <si>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</si>
  <si>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</si>
  <si>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</si>
  <si>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</si>
  <si>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</si>
  <si>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</si>
  <si>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</si>
  <si>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</si>
  <si>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</si>
  <si>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</si>
  <si>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</si>
  <si>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</si>
  <si>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</si>
  <si>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</si>
  <si>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</si>
  <si>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</si>
  <si>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</si>
  <si>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</si>
  <si>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</si>
  <si>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</si>
  <si>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</si>
  <si>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</si>
  <si>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</si>
  <si>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</si>
  <si>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</si>
  <si>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</si>
  <si>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</si>
  <si>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</si>
  <si>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</si>
  <si>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</si>
  <si>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</si>
  <si>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</si>
  <si>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</si>
  <si>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</si>
  <si>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</si>
  <si>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</si>
  <si>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</si>
  <si>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</si>
  <si>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</si>
  <si>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</si>
  <si>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</si>
  <si>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</si>
  <si>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</si>
  <si>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</si>
  <si>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</si>
  <si>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</si>
  <si>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</si>
  <si>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</si>
  <si>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</si>
  <si>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</si>
  <si>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</si>
  <si>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</si>
  <si>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</si>
  <si>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</si>
  <si>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</si>
  <si>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</si>
  <si>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</si>
  <si>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</si>
  <si>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</si>
  <si>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</si>
  <si>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</si>
  <si>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</si>
  <si>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</si>
  <si>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</si>
  <si>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</si>
  <si>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</si>
  <si>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</si>
  <si>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</si>
  <si>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</si>
  <si>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</si>
  <si>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</si>
  <si>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</si>
  <si>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</si>
  <si>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</si>
  <si>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</si>
  <si>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</si>
  <si>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</si>
  <si>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</si>
  <si>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</si>
  <si>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</si>
  <si>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</si>
  <si>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</si>
  <si>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</si>
  <si>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</si>
  <si>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</si>
  <si>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</si>
  <si>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</si>
  <si>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</si>
  <si>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</si>
  <si>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</si>
  <si>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</si>
  <si>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</si>
  <si>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</si>
  <si>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</si>
  <si>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</si>
  <si>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</si>
  <si>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</si>
  <si>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</si>
  <si>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</si>
  <si>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</si>
  <si>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</si>
  <si>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</si>
  <si>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</si>
  <si>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</si>
  <si>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</si>
  <si>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</si>
  <si>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</si>
  <si>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</si>
  <si>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</si>
  <si>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</si>
  <si>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</si>
  <si>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</si>
  <si>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</si>
  <si>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</si>
  <si>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</si>
  <si>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</si>
  <si>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</si>
  <si>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</si>
  <si>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</si>
  <si>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</si>
  <si>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</si>
  <si>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</si>
  <si>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</si>
  <si>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</si>
  <si>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</si>
  <si>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</si>
  <si>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</si>
  <si>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</si>
  <si>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</si>
  <si>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</si>
  <si>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</si>
  <si>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</si>
  <si>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</si>
  <si>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</si>
  <si>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</si>
  <si>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</si>
  <si>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</si>
  <si>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</si>
  <si>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</si>
  <si>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</si>
  <si>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</si>
  <si>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</si>
  <si>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</si>
  <si>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</si>
  <si>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</si>
  <si>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</si>
  <si>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</si>
  <si>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</si>
  <si>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</si>
  <si>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</si>
  <si>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</si>
  <si>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</si>
  <si>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</si>
  <si>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</si>
  <si>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</si>
  <si>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</si>
  <si>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</si>
  <si>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</si>
  <si>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</si>
  <si>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</si>
  <si>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</si>
  <si>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</si>
  <si>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</si>
  <si>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</si>
  <si>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</si>
  <si>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</si>
  <si>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</si>
  <si>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</si>
  <si>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</si>
  <si>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</si>
  <si>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</si>
  <si>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</si>
  <si>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</si>
  <si>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</si>
  <si>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</si>
  <si>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</si>
  <si>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</si>
  <si>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</si>
  <si>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</si>
  <si>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</si>
  <si>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</si>
  <si>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</si>
  <si>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</si>
  <si>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</si>
  <si>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</si>
  <si>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</si>
  <si>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</si>
  <si>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</si>
  <si>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</si>
  <si>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</si>
  <si>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</si>
  <si>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</si>
  <si>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</si>
  <si>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</si>
  <si>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</si>
  <si>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</si>
  <si>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</si>
  <si>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</si>
  <si>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</si>
  <si>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</si>
  <si>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</si>
  <si>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</si>
  <si>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</si>
  <si>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</si>
  <si>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</si>
  <si>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</si>
  <si>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</si>
  <si>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</si>
  <si>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</si>
  <si>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</si>
  <si>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</si>
  <si>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</si>
  <si>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</si>
  <si>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</si>
  <si>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</si>
  <si>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</si>
  <si>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</si>
  <si>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</si>
  <si>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</si>
  <si>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</si>
  <si>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</si>
  <si>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</si>
  <si>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</si>
  <si>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</si>
  <si>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</si>
  <si>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</si>
  <si>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</si>
  <si>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</si>
  <si>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</si>
  <si>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</si>
  <si>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</si>
  <si>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</si>
  <si>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</si>
  <si>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</si>
  <si>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</si>
  <si>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</si>
  <si>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</si>
  <si>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</si>
  <si>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</si>
  <si>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</si>
  <si>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</si>
  <si>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</si>
  <si>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</si>
  <si>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</si>
  <si>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</si>
  <si>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January 10,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</si>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</sst>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520258</v>
      </c>
      <c r="E4" s="478">
        <v>250883</v>
      </c>
      <c r="F4" s="480">
        <v>0.48222999999999999</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184524</v>
      </c>
      <c r="E6" s="236">
        <v>87899</v>
      </c>
      <c r="F6" s="235">
        <v>0.47635537924606014</v>
      </c>
    </row>
    <row r="7" spans="2:10" ht="16.5" customHeight="1" x14ac:dyDescent="0.2">
      <c r="B7" s="123" t="s">
        <v>23</v>
      </c>
      <c r="C7" s="124" t="s">
        <v>222</v>
      </c>
      <c r="D7" s="125">
        <v>52736</v>
      </c>
      <c r="E7" s="125">
        <v>25371</v>
      </c>
      <c r="F7" s="126">
        <v>0.48109450849514562</v>
      </c>
    </row>
    <row r="8" spans="2:10" ht="16.5" customHeight="1" x14ac:dyDescent="0.2">
      <c r="B8" s="123" t="s">
        <v>0</v>
      </c>
      <c r="C8" s="132" t="s">
        <v>223</v>
      </c>
      <c r="D8" s="125">
        <v>120665</v>
      </c>
      <c r="E8" s="125">
        <v>61141</v>
      </c>
      <c r="F8" s="126">
        <v>0.50670036878962421</v>
      </c>
    </row>
    <row r="9" spans="2:10" ht="16.5" customHeight="1" x14ac:dyDescent="0.2">
      <c r="B9" s="127" t="s">
        <v>296</v>
      </c>
      <c r="C9" s="128" t="s">
        <v>225</v>
      </c>
      <c r="D9" s="125">
        <v>4994</v>
      </c>
      <c r="E9" s="125">
        <v>407</v>
      </c>
      <c r="F9" s="126">
        <v>8.1497797356828189E-2</v>
      </c>
    </row>
    <row r="10" spans="2:10" ht="16.5" customHeight="1" thickBot="1" x14ac:dyDescent="0.25">
      <c r="B10" s="127" t="s">
        <v>24</v>
      </c>
      <c r="C10" s="132" t="s">
        <v>227</v>
      </c>
      <c r="D10" s="125">
        <v>6129</v>
      </c>
      <c r="E10" s="125">
        <v>980</v>
      </c>
      <c r="F10" s="126">
        <v>0.15989557839778104</v>
      </c>
    </row>
    <row r="11" spans="2:10" ht="17.25" thickBot="1" x14ac:dyDescent="0.25">
      <c r="B11" s="246" t="s">
        <v>1</v>
      </c>
      <c r="C11" s="247" t="s">
        <v>315</v>
      </c>
      <c r="D11" s="236">
        <v>335734</v>
      </c>
      <c r="E11" s="236">
        <v>162984</v>
      </c>
      <c r="F11" s="235">
        <v>0.48545574770502836</v>
      </c>
    </row>
    <row r="12" spans="2:10" ht="16.5" customHeight="1" x14ac:dyDescent="0.2">
      <c r="B12" s="123" t="s">
        <v>231</v>
      </c>
      <c r="C12" s="128" t="s">
        <v>226</v>
      </c>
      <c r="D12" s="125">
        <v>6575</v>
      </c>
      <c r="E12" s="125">
        <v>469</v>
      </c>
      <c r="F12" s="126">
        <v>7.1330798479087451E-2</v>
      </c>
    </row>
    <row r="13" spans="2:10" ht="16.5" customHeight="1" x14ac:dyDescent="0.2">
      <c r="B13" s="123" t="s">
        <v>25</v>
      </c>
      <c r="C13" s="124" t="s">
        <v>224</v>
      </c>
      <c r="D13" s="125">
        <v>311127</v>
      </c>
      <c r="E13" s="125">
        <v>155983</v>
      </c>
      <c r="F13" s="126">
        <v>0.50134832399631024</v>
      </c>
    </row>
    <row r="14" spans="2:10" ht="16.5" customHeight="1" x14ac:dyDescent="0.2">
      <c r="B14" s="123" t="s">
        <v>17</v>
      </c>
      <c r="C14" s="124" t="s">
        <v>228</v>
      </c>
      <c r="D14" s="125">
        <v>16308</v>
      </c>
      <c r="E14" s="125">
        <v>5983</v>
      </c>
      <c r="F14" s="126">
        <v>0.36687515329899434</v>
      </c>
    </row>
    <row r="15" spans="2:10" ht="16.5" customHeight="1" x14ac:dyDescent="0.2">
      <c r="B15" s="127" t="s">
        <v>26</v>
      </c>
      <c r="C15" s="128" t="s">
        <v>229</v>
      </c>
      <c r="D15" s="129">
        <v>1472</v>
      </c>
      <c r="E15" s="125">
        <v>378</v>
      </c>
      <c r="F15" s="126">
        <v>0.25679347826086957</v>
      </c>
    </row>
    <row r="16" spans="2:10" ht="16.5" customHeight="1" x14ac:dyDescent="0.2">
      <c r="B16" s="127" t="s">
        <v>98</v>
      </c>
      <c r="C16" s="130" t="s">
        <v>232</v>
      </c>
      <c r="D16" s="129">
        <v>231</v>
      </c>
      <c r="E16" s="125">
        <v>168</v>
      </c>
      <c r="F16" s="126">
        <v>0.72727272727272729</v>
      </c>
    </row>
    <row r="17" spans="2:6" ht="28.5" customHeight="1" x14ac:dyDescent="0.2">
      <c r="B17" s="127" t="s">
        <v>99</v>
      </c>
      <c r="C17" s="130" t="s">
        <v>233</v>
      </c>
      <c r="D17" s="129">
        <v>2</v>
      </c>
      <c r="E17" s="125">
        <v>2</v>
      </c>
      <c r="F17" s="126">
        <v>1</v>
      </c>
    </row>
    <row r="18" spans="2:6" ht="16.5" customHeight="1" x14ac:dyDescent="0.2">
      <c r="B18" s="127" t="s">
        <v>101</v>
      </c>
      <c r="C18" s="130" t="s">
        <v>234</v>
      </c>
      <c r="D18" s="129">
        <v>17</v>
      </c>
      <c r="E18" s="125">
        <v>1</v>
      </c>
      <c r="F18" s="126">
        <v>5.8823529411764705E-2</v>
      </c>
    </row>
    <row r="19" spans="2:6" ht="16.5" customHeight="1" thickBot="1" x14ac:dyDescent="0.25">
      <c r="B19" s="127" t="s">
        <v>100</v>
      </c>
      <c r="C19" s="130" t="s">
        <v>235</v>
      </c>
      <c r="D19" s="129">
        <v>2</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9566</v>
      </c>
      <c r="D26" s="249">
        <v>8404</v>
      </c>
      <c r="E26" s="249">
        <v>1162</v>
      </c>
      <c r="F26" s="250">
        <v>0.13800000000000001</v>
      </c>
    </row>
    <row r="27" spans="2:6" x14ac:dyDescent="0.2">
      <c r="B27" s="118" t="s">
        <v>33</v>
      </c>
      <c r="C27" s="141">
        <v>1367</v>
      </c>
      <c r="D27" s="141">
        <v>1133</v>
      </c>
      <c r="E27" s="141">
        <v>234</v>
      </c>
      <c r="F27" s="301">
        <v>0.20699999999999999</v>
      </c>
    </row>
    <row r="28" spans="2:6" x14ac:dyDescent="0.2">
      <c r="B28" s="121" t="s">
        <v>34</v>
      </c>
      <c r="C28" s="212">
        <v>527</v>
      </c>
      <c r="D28" s="212">
        <v>547</v>
      </c>
      <c r="E28" s="212">
        <v>-20</v>
      </c>
      <c r="F28" s="302">
        <v>-3.6999999999999998E-2</v>
      </c>
    </row>
    <row r="29" spans="2:6" x14ac:dyDescent="0.2">
      <c r="B29" s="118" t="s">
        <v>35</v>
      </c>
      <c r="C29" s="212">
        <v>1433</v>
      </c>
      <c r="D29" s="212">
        <v>1125</v>
      </c>
      <c r="E29" s="212">
        <v>308</v>
      </c>
      <c r="F29" s="302">
        <v>0.27400000000000002</v>
      </c>
    </row>
    <row r="30" spans="2:6" x14ac:dyDescent="0.2">
      <c r="B30" s="122" t="s">
        <v>36</v>
      </c>
      <c r="C30" s="213">
        <v>6239</v>
      </c>
      <c r="D30" s="213">
        <v>5599</v>
      </c>
      <c r="E30" s="213">
        <v>640</v>
      </c>
      <c r="F30" s="303">
        <v>0.114</v>
      </c>
    </row>
    <row r="31" spans="2:6" ht="16.5" x14ac:dyDescent="0.2">
      <c r="B31" s="248" t="s">
        <v>301</v>
      </c>
      <c r="C31" s="249">
        <v>64646</v>
      </c>
      <c r="D31" s="249">
        <v>57357</v>
      </c>
      <c r="E31" s="249">
        <v>7289</v>
      </c>
      <c r="F31" s="250">
        <v>0.127</v>
      </c>
    </row>
    <row r="32" spans="2:6" x14ac:dyDescent="0.2">
      <c r="B32" s="118" t="s">
        <v>33</v>
      </c>
      <c r="C32" s="141">
        <v>10475</v>
      </c>
      <c r="D32" s="141">
        <v>6929</v>
      </c>
      <c r="E32" s="141">
        <v>3546</v>
      </c>
      <c r="F32" s="301">
        <v>0.51200000000000001</v>
      </c>
    </row>
    <row r="33" spans="2:6" x14ac:dyDescent="0.2">
      <c r="B33" s="121" t="s">
        <v>34</v>
      </c>
      <c r="C33" s="212">
        <v>3985</v>
      </c>
      <c r="D33" s="212">
        <v>3688</v>
      </c>
      <c r="E33" s="212">
        <v>297</v>
      </c>
      <c r="F33" s="302">
        <v>8.1000000000000003E-2</v>
      </c>
    </row>
    <row r="34" spans="2:6" x14ac:dyDescent="0.2">
      <c r="B34" s="118" t="s">
        <v>35</v>
      </c>
      <c r="C34" s="212">
        <v>11865</v>
      </c>
      <c r="D34" s="212">
        <v>8651</v>
      </c>
      <c r="E34" s="212">
        <v>3214</v>
      </c>
      <c r="F34" s="302">
        <v>0.372</v>
      </c>
    </row>
    <row r="35" spans="2:6" ht="15.75" thickBot="1" x14ac:dyDescent="0.25">
      <c r="B35" s="118" t="s">
        <v>36</v>
      </c>
      <c r="C35" s="212">
        <v>38321</v>
      </c>
      <c r="D35" s="212">
        <v>38089</v>
      </c>
      <c r="E35" s="212">
        <v>232</v>
      </c>
      <c r="F35" s="302">
        <v>6.0000000000000001E-3</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10,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520258</v>
      </c>
      <c r="D11" s="259">
        <f>IF(ISNA(VLOOKUP(B11,EDW_FEEDER!$T$2:$AH$86,3,FALSE))=TRUE,"",VLOOKUP(B11,EDW_FEEDER!$T$2:$AH$86,3,FALSE))</f>
        <v>149.6</v>
      </c>
      <c r="E11" s="260">
        <f>IF(ISNA(VLOOKUP(B11,EDW_FEEDER!$T$2:$AH$86,4,FALSE))=TRUE,"",VLOOKUP(B11,EDW_FEEDER!$T$2:$AH$870,4,FALSE))</f>
        <v>0.48222999999999999</v>
      </c>
      <c r="F11" s="258">
        <f>IF(ISNA(VLOOKUP(B11,EDW_FEEDER!$T$2:$AH$86,5,FALSE))=TRUE,"",VLOOKUP(B11,EDW_FEEDER!$T$2:$AH$86,5,FALSE))</f>
        <v>28704</v>
      </c>
      <c r="G11" s="258">
        <f>IF(ISNA(VLOOKUP(B11,EDW_FEEDER!$T$2:$AH$86,6,FALSE))=TRUE,"",VLOOKUP(B11,EDW_FEEDER!$T$2:$AH$86,6,FALSE))</f>
        <v>335507</v>
      </c>
      <c r="H11" s="259">
        <f>IF(ISNA(VLOOKUP(B11,EDW_FEEDER!$T$2:$AH$86,7,FALSE))=TRUE,"",VLOOKUP(B11,EDW_FEEDER!$T$2:$AH$86,7,FALSE))</f>
        <v>185.3</v>
      </c>
      <c r="I11" s="259">
        <f>IF(ISNA(VLOOKUP(B11,EDW_FEEDER!$T$2:$AH$86,8,FALSE))=TRUE,"",VLOOKUP(B11,EDW_FEEDER!$T$2:$AH$86,8,FALSE))</f>
        <v>185.6</v>
      </c>
      <c r="J11" s="290">
        <f>VLOOKUP(B11,Accuracy!$AD$7:$AQ$69,3,FALSE)</f>
        <v>0.96</v>
      </c>
      <c r="K11" s="290">
        <f>VLOOKUP(B11,Accuracy!$AD$7:$AQ$69,6,FALSE)</f>
        <v>0.91500000000000004</v>
      </c>
      <c r="L11" s="290">
        <f>VLOOKUP(B11,Accuracy!$AD$7:$AQ$69,9,FALSE)</f>
        <v>0.90990000000000004</v>
      </c>
      <c r="M11" s="290">
        <f>VLOOKUP(B11,Accuracy!$AD$7:$AQ$69,12,FALSE)</f>
        <v>0.92330000000000001</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479098</v>
      </c>
      <c r="D13" s="259">
        <f>IF(ISNA(VLOOKUP("USAV",EDW_FEEDER!$T$2:$AH$86,3,FALSE))=TRUE,"",VLOOKUP("USAV",EDW_FEEDER!$T$2:$AH$86,3,FALSE))</f>
        <v>155.69999999999999</v>
      </c>
      <c r="E13" s="260">
        <f>IF(ISNA(VLOOKUP("USAV",EDW_FEEDER!$T$2:$AH$86,4,FALSE))=TRUE,"",VLOOKUP("USAV",EDW_FEEDER!$T$2:$AH$870,4,FALSE))</f>
        <v>0.50573999999999997</v>
      </c>
      <c r="F13" s="258">
        <f>IF(ISNA(VLOOKUP("USAV",EDW_FEEDER!$T$2:$AH$86,5,FALSE))=TRUE,"",VLOOKUP("USAV",EDW_FEEDER!$T$2:$AH$86,5,FALSE))</f>
        <v>23940</v>
      </c>
      <c r="G13" s="258">
        <f>IF(ISNA(VLOOKUP("USAV",EDW_FEEDER!$T$2:$AH$86,6,FALSE))=TRUE,"",VLOOKUP("USAV",EDW_FEEDER!$T$2:$AH$86,6,FALSE))</f>
        <v>282619</v>
      </c>
      <c r="H13" s="259">
        <f>IF(ISNA(VLOOKUP("USAV",EDW_FEEDER!$T$2:$AH$86,7,FALSE))=TRUE,"",VLOOKUP("USAV",EDW_FEEDER!$T$2:$AH$86,7,FALSE))</f>
        <v>204.7</v>
      </c>
      <c r="I13" s="259">
        <f>IF(ISNA(VLOOKUP("USAV",EDW_FEEDER!$T$2:$AH$86,8,FALSE))=TRUE,"",VLOOKUP("USAV",EDW_FEEDER!$T$2:$AH$86,8,FALSE))</f>
        <v>205</v>
      </c>
      <c r="J13" s="261"/>
      <c r="K13" s="261"/>
      <c r="L13" s="261"/>
      <c r="M13" s="261"/>
      <c r="P13" s="190" t="s">
        <v>9</v>
      </c>
    </row>
    <row r="14" spans="2:16" x14ac:dyDescent="0.2">
      <c r="B14" s="224" t="s">
        <v>149</v>
      </c>
      <c r="C14" s="258">
        <f>IF(ISNA(VLOOKUP($B14,EDW_FEEDER!$T$2:$AH$86,2,FALSE))=TRUE,"",VLOOKUP($B14,EDW_FEEDER!$T$2:$AH$86,2,FALSE))</f>
        <v>93675</v>
      </c>
      <c r="D14" s="259">
        <f>IF(ISNA(VLOOKUP(B14,EDW_FEEDER!$T$2:$AH$86,3,FALSE))=TRUE,"",VLOOKUP(B14,EDW_FEEDER!$T$2:$AH$86,3,FALSE))</f>
        <v>155</v>
      </c>
      <c r="E14" s="260">
        <f>IF(ISNA(VLOOKUP(B14,EDW_FEEDER!$T$2:$AH$86,4,FALSE))=TRUE,"",VLOOKUP(B14,EDW_FEEDER!$T$2:$AH$870,4,FALSE))</f>
        <v>0.50187999999999999</v>
      </c>
      <c r="F14" s="258">
        <f>IF(ISNA(VLOOKUP(B14,EDW_FEEDER!$T$2:$AH$86,5,FALSE))=TRUE,"",VLOOKUP(B14,EDW_FEEDER!$T$2:$AH$86,5,FALSE))</f>
        <v>5008</v>
      </c>
      <c r="G14" s="258">
        <f>IF(ISNA(VLOOKUP(B14,EDW_FEEDER!$T$2:$AH$86,6,FALSE))=TRUE,"",VLOOKUP(B14,EDW_FEEDER!$T$2:$AH$86,6,FALSE))</f>
        <v>55365</v>
      </c>
      <c r="H14" s="259">
        <f>IF(ISNA(VLOOKUP(B14,EDW_FEEDER!$T$2:$AH$86,7,FALSE))=TRUE,"",VLOOKUP(B14,EDW_FEEDER!$T$2:$AH$86,7,FALSE))</f>
        <v>200.3</v>
      </c>
      <c r="I14" s="259">
        <f>IF(ISNA(VLOOKUP(B14,EDW_FEEDER!$T$2:$AH$86,8,FALSE))=TRUE,"",VLOOKUP(B14,EDW_FEEDER!$T$2:$AH$86,8,FALSE))</f>
        <v>201.2</v>
      </c>
      <c r="J14" s="260">
        <f>IF(ISNA(VLOOKUP(B14,Accuracy!$AD$7:$AQ$69,3,FALSE))=TRUE,"-",VLOOKUP(B14,Accuracy!$AD$7:$AQ$69,3,FALSE))</f>
        <v>0.95125235658497176</v>
      </c>
      <c r="K14" s="260">
        <f>IF(ISNA(VLOOKUP(B14,Accuracy!$AD$7:$AQ$69,6,FALSE))=TRUE,"-",VLOOKUP(B14,Accuracy!$AD$7:$AQ$69,6,FALSE))</f>
        <v>0.90900000000000003</v>
      </c>
      <c r="L14" s="260">
        <f>IF(ISNA(VLOOKUP(B14,Accuracy!$AD$7:$AQ$69,9,FALSE))=TRUE,"-",VLOOKUP(B14,Accuracy!$AD$7:$AQ$69,9,FALSE))</f>
        <v>0.90007401924500374</v>
      </c>
      <c r="M14" s="260">
        <f>IF(ISNA(VLOOKUP(B14,Accuracy!$AD$7:$AQ$69,12,FALSE))=TRUE,"-",VLOOKUP(B14,Accuracy!$AD$7:$AQ$69,12,FALSE))</f>
        <v>0.90227507755946224</v>
      </c>
    </row>
    <row r="15" spans="2:16" x14ac:dyDescent="0.2">
      <c r="B15" s="112" t="str">
        <f>IF(ISBLANK(VLOOKUP($B$14,EDW_FEEDER!$A$117:$AK$121,2,FALSE))=TRUE,"",VLOOKUP($B$14,EDW_FEEDER!$A$117:$AK$121,2,FALSE))</f>
        <v>Baltimore</v>
      </c>
      <c r="C15" s="258">
        <f>IF(ISNA(VLOOKUP($B15,EDW_FEEDER!$T$2:$AH$86,2,FALSE))=TRUE,"",VLOOKUP($B15,EDW_FEEDER!$T$2:$AH$86,2,FALSE))</f>
        <v>9783</v>
      </c>
      <c r="D15" s="259">
        <f>IF(ISNA(VLOOKUP(B15,EDW_FEEDER!$T$2:$AH$86,3,FALSE))=TRUE,"",VLOOKUP(B15,EDW_FEEDER!$T$2:$AH$86,3,FALSE))</f>
        <v>207.2</v>
      </c>
      <c r="E15" s="260">
        <f>IF(ISNA(VLOOKUP(B15,EDW_FEEDER!$T$2:$AH$86,4,FALSE))=TRUE,"",VLOOKUP(B15,EDW_FEEDER!$T$2:$AH$870,4,FALSE))</f>
        <v>0.64561000000000002</v>
      </c>
      <c r="F15" s="258">
        <f>IF(ISNA(VLOOKUP(B15,EDW_FEEDER!$T$2:$AH$86,5,FALSE))=TRUE,"",VLOOKUP(B15,EDW_FEEDER!$T$2:$AH$86,5,FALSE))</f>
        <v>243</v>
      </c>
      <c r="G15" s="258">
        <f>IF(ISNA(VLOOKUP(B15,EDW_FEEDER!$T$2:$AH$86,6,FALSE))=TRUE,"",VLOOKUP(B15,EDW_FEEDER!$T$2:$AH$86,6,FALSE))</f>
        <v>3978</v>
      </c>
      <c r="H15" s="259">
        <f>IF(ISNA(VLOOKUP(B15,EDW_FEEDER!$T$2:$AH$86,7,FALSE))=TRUE,"",VLOOKUP(B15,EDW_FEEDER!$T$2:$AH$86,7,FALSE))</f>
        <v>298.2</v>
      </c>
      <c r="I15" s="259">
        <f>IF(ISNA(VLOOKUP(B15,EDW_FEEDER!$T$2:$AH$86,8,FALSE))=TRUE,"",VLOOKUP(B15,EDW_FEEDER!$T$2:$AH$86,8,FALSE))</f>
        <v>287.5</v>
      </c>
      <c r="J15" s="260">
        <f>IF(ISNA(VLOOKUP(B15,Accuracy!$AD$7:$AQ$69,3,FALSE))=TRUE,"",VLOOKUP(B15,Accuracy!$AD$7:$AQ$69,3,FALSE))</f>
        <v>0.91869999999999996</v>
      </c>
      <c r="K15" s="260">
        <f>IF(ISNA(VLOOKUP(B15,Accuracy!$AD$7:$AQ$69,6,FALSE))=TRUE,"",VLOOKUP(B15,Accuracy!$AD$7:$AQ$69,6,FALSE))</f>
        <v>0.85450000000000004</v>
      </c>
      <c r="L15" s="260">
        <f>IF(ISNA(VLOOKUP(B15,Accuracy!$AD$7:$AQ$69,9,FALSE))=TRUE,"",VLOOKUP(B15,Accuracy!$AD$7:$AQ$69,9,FALSE))</f>
        <v>0.82330000000000003</v>
      </c>
      <c r="M15" s="260">
        <f>IF(ISNA(VLOOKUP(B15,Accuracy!$AD$7:$AQ$69,12,FALSE))=TRUE,"",VLOOKUP(B15,Accuracy!$AD$7:$AQ$69,12,FALSE))</f>
        <v>0.86160000000000003</v>
      </c>
    </row>
    <row r="16" spans="2:16" x14ac:dyDescent="0.2">
      <c r="B16" s="112" t="str">
        <f>IF(ISBLANK(VLOOKUP($B$14,EDW_FEEDER!$A$117:$AK$121,3,FALSE))=TRUE,"",VLOOKUP($B$14,EDW_FEEDER!$A$117:$AK$121,3,FALSE))</f>
        <v>Boston</v>
      </c>
      <c r="C16" s="258">
        <f>IF(ISNA(VLOOKUP($B16,EDW_FEEDER!$T$2:$AH$86,2,FALSE))=TRUE,"",VLOOKUP($B16,EDW_FEEDER!$T$2:$AH$86,2,FALSE))</f>
        <v>6303</v>
      </c>
      <c r="D16" s="259">
        <f>IF(ISNA(VLOOKUP(B16,EDW_FEEDER!$T$2:$AH$86,3,FALSE))=TRUE,"",VLOOKUP(B16,EDW_FEEDER!$T$2:$AH$86,3,FALSE))</f>
        <v>164.6</v>
      </c>
      <c r="E16" s="260">
        <f>IF(ISNA(VLOOKUP(B16,EDW_FEEDER!$T$2:$AH$86,4,FALSE))=TRUE,"",VLOOKUP(B16,EDW_FEEDER!$T$2:$AH$870,4,FALSE))</f>
        <v>0.53513999999999995</v>
      </c>
      <c r="F16" s="258">
        <f>IF(ISNA(VLOOKUP(B16,EDW_FEEDER!$T$2:$AH$86,5,FALSE))=TRUE,"",VLOOKUP(B16,EDW_FEEDER!$T$2:$AH$86,5,FALSE))</f>
        <v>333</v>
      </c>
      <c r="G16" s="258">
        <f>IF(ISNA(VLOOKUP(B16,EDW_FEEDER!$T$2:$AH$86,6,FALSE))=TRUE,"",VLOOKUP(B16,EDW_FEEDER!$T$2:$AH$86,6,FALSE))</f>
        <v>2325</v>
      </c>
      <c r="H16" s="259">
        <f>IF(ISNA(VLOOKUP(B16,EDW_FEEDER!$T$2:$AH$86,7,FALSE))=TRUE,"",VLOOKUP(B16,EDW_FEEDER!$T$2:$AH$86,7,FALSE))</f>
        <v>259</v>
      </c>
      <c r="I16" s="259">
        <f>IF(ISNA(VLOOKUP(B16,EDW_FEEDER!$T$2:$AH$86,8,FALSE))=TRUE,"",VLOOKUP(B16,EDW_FEEDER!$T$2:$AH$86,8,FALSE))</f>
        <v>262.10000000000002</v>
      </c>
      <c r="J16" s="260">
        <f>IF(ISNA(VLOOKUP(B16,Accuracy!$AD$7:$AQ$69,3,FALSE))=TRUE,"",VLOOKUP(B16,Accuracy!$AD$7:$AQ$69,3,FALSE))</f>
        <v>0.95689999999999997</v>
      </c>
      <c r="K16" s="260">
        <f>IF(ISNA(VLOOKUP(B16,Accuracy!$AD$7:$AQ$69,6,FALSE))=TRUE,"",VLOOKUP(B16,Accuracy!$AD$7:$AQ$69,6,FALSE))</f>
        <v>0.88890000000000002</v>
      </c>
      <c r="L16" s="260">
        <f>IF(ISNA(VLOOKUP(B16,Accuracy!$AD$7:$AQ$69,9,FALSE))=TRUE,"",VLOOKUP(B16,Accuracy!$AD$7:$AQ$69,9,FALSE))</f>
        <v>0.9405</v>
      </c>
      <c r="M16" s="260">
        <f>IF(ISNA(VLOOKUP(B16,Accuracy!$AD$7:$AQ$69,12,FALSE))=TRUE,"",VLOOKUP(B16,Accuracy!$AD$7:$AQ$69,12,FALSE))</f>
        <v>0.89959999999999996</v>
      </c>
    </row>
    <row r="17" spans="2:13" x14ac:dyDescent="0.2">
      <c r="B17" s="112" t="str">
        <f>IF(ISBLANK(VLOOKUP($B$14,EDW_FEEDER!$A$117:$AK$121,4,FALSE))=TRUE,"",VLOOKUP($B$14,EDW_FEEDER!$A$117:$AK$121,4,FALSE))</f>
        <v>Buffalo</v>
      </c>
      <c r="C17" s="258">
        <f>IF(ISNA(VLOOKUP($B17,EDW_FEEDER!$T$2:$AH$86,2,FALSE))=TRUE,"",VLOOKUP($B17,EDW_FEEDER!$T$2:$AH$86,2,FALSE))</f>
        <v>6510</v>
      </c>
      <c r="D17" s="259">
        <f>IF(ISNA(VLOOKUP(B17,EDW_FEEDER!$T$2:$AH$86,3,FALSE))=TRUE,"",VLOOKUP(B17,EDW_FEEDER!$T$2:$AH$86,3,FALSE))</f>
        <v>150</v>
      </c>
      <c r="E17" s="260">
        <f>IF(ISNA(VLOOKUP(B17,EDW_FEEDER!$T$2:$AH$86,4,FALSE))=TRUE,"",VLOOKUP(B17,EDW_FEEDER!$T$2:$AH$870,4,FALSE))</f>
        <v>0.53610000000000002</v>
      </c>
      <c r="F17" s="258">
        <f>IF(ISNA(VLOOKUP(B17,EDW_FEEDER!$T$2:$AH$86,5,FALSE))=TRUE,"",VLOOKUP(B17,EDW_FEEDER!$T$2:$AH$86,5,FALSE))</f>
        <v>185</v>
      </c>
      <c r="G17" s="258">
        <f>IF(ISNA(VLOOKUP(B17,EDW_FEEDER!$T$2:$AH$86,6,FALSE))=TRUE,"",VLOOKUP(B17,EDW_FEEDER!$T$2:$AH$86,6,FALSE))</f>
        <v>2819</v>
      </c>
      <c r="H17" s="259">
        <f>IF(ISNA(VLOOKUP(B17,EDW_FEEDER!$T$2:$AH$86,7,FALSE))=TRUE,"",VLOOKUP(B17,EDW_FEEDER!$T$2:$AH$86,7,FALSE))</f>
        <v>256</v>
      </c>
      <c r="I17" s="259">
        <f>IF(ISNA(VLOOKUP(B17,EDW_FEEDER!$T$2:$AH$86,8,FALSE))=TRUE,"",VLOOKUP(B17,EDW_FEEDER!$T$2:$AH$86,8,FALSE))</f>
        <v>248.6</v>
      </c>
      <c r="J17" s="260">
        <f>IF(ISNA(VLOOKUP(B17,Accuracy!$AD$7:$AQ$69,3,FALSE))=TRUE,"",VLOOKUP(B17,Accuracy!$AD$7:$AQ$69,3,FALSE))</f>
        <v>0.95099999999999996</v>
      </c>
      <c r="K17" s="260">
        <f>IF(ISNA(VLOOKUP(B17,Accuracy!$AD$7:$AQ$69,6,FALSE))=TRUE,"",VLOOKUP(B17,Accuracy!$AD$7:$AQ$69,6,FALSE))</f>
        <v>0.91039999999999999</v>
      </c>
      <c r="L17" s="260">
        <f>IF(ISNA(VLOOKUP(B17,Accuracy!$AD$7:$AQ$69,9,FALSE))=TRUE,"",VLOOKUP(B17,Accuracy!$AD$7:$AQ$69,9,FALSE))</f>
        <v>0.90159999999999996</v>
      </c>
      <c r="M17" s="260">
        <f>IF(ISNA(VLOOKUP(B17,Accuracy!$AD$7:$AQ$69,12,FALSE))=TRUE,"",VLOOKUP(B17,Accuracy!$AD$7:$AQ$69,12,FALSE))</f>
        <v>0.876</v>
      </c>
    </row>
    <row r="18" spans="2:13" x14ac:dyDescent="0.2">
      <c r="B18" s="112" t="str">
        <f>IF(ISBLANK(VLOOKUP($B$14,EDW_FEEDER!$A$117:$AK$121,5,FALSE))=TRUE,"",VLOOKUP($B$14,EDW_FEEDER!$A$117:$AK$121,5,FALSE))</f>
        <v>Cleveland</v>
      </c>
      <c r="C18" s="258">
        <f>IF(ISNA(VLOOKUP($B18,EDW_FEEDER!$T$2:$AH$86,2,FALSE))=TRUE,"",VLOOKUP($B18,EDW_FEEDER!$T$2:$AH$86,2,FALSE))</f>
        <v>10558</v>
      </c>
      <c r="D18" s="259">
        <f>IF(ISNA(VLOOKUP(B18,EDW_FEEDER!$T$2:$AH$86,3,FALSE))=TRUE,"",VLOOKUP(B18,EDW_FEEDER!$T$2:$AH$86,3,FALSE))</f>
        <v>133</v>
      </c>
      <c r="E18" s="260">
        <f>IF(ISNA(VLOOKUP(B18,EDW_FEEDER!$T$2:$AH$86,4,FALSE))=TRUE,"",VLOOKUP(B18,EDW_FEEDER!$T$2:$AH$870,4,FALSE))</f>
        <v>0.38388</v>
      </c>
      <c r="F18" s="258">
        <f>IF(ISNA(VLOOKUP(B18,EDW_FEEDER!$T$2:$AH$86,5,FALSE))=TRUE,"",VLOOKUP(B18,EDW_FEEDER!$T$2:$AH$86,5,FALSE))</f>
        <v>635</v>
      </c>
      <c r="G18" s="258">
        <f>IF(ISNA(VLOOKUP(B18,EDW_FEEDER!$T$2:$AH$86,6,FALSE))=TRUE,"",VLOOKUP(B18,EDW_FEEDER!$T$2:$AH$86,6,FALSE))</f>
        <v>8228</v>
      </c>
      <c r="H18" s="259">
        <f>IF(ISNA(VLOOKUP(B18,EDW_FEEDER!$T$2:$AH$86,7,FALSE))=TRUE,"",VLOOKUP(B18,EDW_FEEDER!$T$2:$AH$86,7,FALSE))</f>
        <v>172.1</v>
      </c>
      <c r="I18" s="259">
        <f>IF(ISNA(VLOOKUP(B18,EDW_FEEDER!$T$2:$AH$86,8,FALSE))=TRUE,"",VLOOKUP(B18,EDW_FEEDER!$T$2:$AH$86,8,FALSE))</f>
        <v>179.2</v>
      </c>
      <c r="J18" s="260">
        <f>IF(ISNA(VLOOKUP(B18,Accuracy!$AD$7:$AQ$69,3,FALSE))=TRUE,"",VLOOKUP(B18,Accuracy!$AD$7:$AQ$69,3,FALSE))</f>
        <v>0.96240000000000003</v>
      </c>
      <c r="K18" s="260">
        <f>IF(ISNA(VLOOKUP(B18,Accuracy!$AD$7:$AQ$69,6,FALSE))=TRUE,"",VLOOKUP(B18,Accuracy!$AD$7:$AQ$69,6,FALSE))</f>
        <v>0.9375</v>
      </c>
      <c r="L18" s="260">
        <f>IF(ISNA(VLOOKUP(B18,Accuracy!$AD$7:$AQ$69,9,FALSE))=TRUE,"",VLOOKUP(B18,Accuracy!$AD$7:$AQ$69,9,FALSE))</f>
        <v>0.90869999999999995</v>
      </c>
      <c r="M18" s="260">
        <f>IF(ISNA(VLOOKUP(B18,Accuracy!$AD$7:$AQ$69,12,FALSE))=TRUE,"",VLOOKUP(B18,Accuracy!$AD$7:$AQ$69,12,FALSE))</f>
        <v>0.9234</v>
      </c>
    </row>
    <row r="19" spans="2:13" x14ac:dyDescent="0.2">
      <c r="B19" s="112" t="str">
        <f>IF(ISBLANK(VLOOKUP($B$14,EDW_FEEDER!$A$117:$AK$121,6,FALSE))=TRUE,"",VLOOKUP($B$14,EDW_FEEDER!$A$117:$AK$121,6,FALSE))</f>
        <v>Detroit</v>
      </c>
      <c r="C19" s="258">
        <f>IF(ISNA(VLOOKUP($B19,EDW_FEEDER!$T$2:$AH$86,2,FALSE))=TRUE,"",VLOOKUP($B19,EDW_FEEDER!$T$2:$AH$86,2,FALSE))</f>
        <v>10276</v>
      </c>
      <c r="D19" s="259">
        <f>IF(ISNA(VLOOKUP(B19,EDW_FEEDER!$T$2:$AH$86,3,FALSE))=TRUE,"",VLOOKUP(B19,EDW_FEEDER!$T$2:$AH$86,3,FALSE))</f>
        <v>133.9</v>
      </c>
      <c r="E19" s="260">
        <f>IF(ISNA(VLOOKUP(B19,EDW_FEEDER!$T$2:$AH$86,4,FALSE))=TRUE,"",VLOOKUP(B19,EDW_FEEDER!$T$2:$AH$870,4,FALSE))</f>
        <v>0.43908000000000003</v>
      </c>
      <c r="F19" s="258">
        <f>IF(ISNA(VLOOKUP(B19,EDW_FEEDER!$T$2:$AH$86,5,FALSE))=TRUE,"",VLOOKUP(B19,EDW_FEEDER!$T$2:$AH$86,5,FALSE))</f>
        <v>559</v>
      </c>
      <c r="G19" s="258">
        <f>IF(ISNA(VLOOKUP(B19,EDW_FEEDER!$T$2:$AH$86,6,FALSE))=TRUE,"",VLOOKUP(B19,EDW_FEEDER!$T$2:$AH$86,6,FALSE))</f>
        <v>6221</v>
      </c>
      <c r="H19" s="259">
        <f>IF(ISNA(VLOOKUP(B19,EDW_FEEDER!$T$2:$AH$86,7,FALSE))=TRUE,"",VLOOKUP(B19,EDW_FEEDER!$T$2:$AH$86,7,FALSE))</f>
        <v>194.3</v>
      </c>
      <c r="I19" s="259">
        <f>IF(ISNA(VLOOKUP(B19,EDW_FEEDER!$T$2:$AH$86,8,FALSE))=TRUE,"",VLOOKUP(B19,EDW_FEEDER!$T$2:$AH$86,8,FALSE))</f>
        <v>188.5</v>
      </c>
      <c r="J19" s="260">
        <f>IF(ISNA(VLOOKUP(B19,Accuracy!$AD$7:$AQ$69,3,FALSE))=TRUE,"",VLOOKUP(B19,Accuracy!$AD$7:$AQ$69,3,FALSE))</f>
        <v>0.90710000000000002</v>
      </c>
      <c r="K19" s="260">
        <f>IF(ISNA(VLOOKUP(B19,Accuracy!$AD$7:$AQ$69,6,FALSE))=TRUE,"",VLOOKUP(B19,Accuracy!$AD$7:$AQ$69,6,FALSE))</f>
        <v>0.8841</v>
      </c>
      <c r="L19" s="260">
        <f>IF(ISNA(VLOOKUP(B19,Accuracy!$AD$7:$AQ$69,9,FALSE))=TRUE,"",VLOOKUP(B19,Accuracy!$AD$7:$AQ$69,9,FALSE))</f>
        <v>0.88719999999999999</v>
      </c>
      <c r="M19" s="260">
        <f>IF(ISNA(VLOOKUP(B19,Accuracy!$AD$7:$AQ$69,12,FALSE))=TRUE,"",VLOOKUP(B19,Accuracy!$AD$7:$AQ$69,12,FALSE))</f>
        <v>0.9</v>
      </c>
    </row>
    <row r="20" spans="2:13" x14ac:dyDescent="0.2">
      <c r="B20" s="112" t="str">
        <f>IF(ISBLANK(VLOOKUP($B$14,EDW_FEEDER!$A$117:$AK$121,7,FALSE))=TRUE,"",VLOOKUP($B$14,EDW_FEEDER!$A$117:$AK$121,7,FALSE))</f>
        <v>Hartford</v>
      </c>
      <c r="C20" s="258">
        <f>IF(ISNA(VLOOKUP($B20,EDW_FEEDER!$T$2:$AH$86,2,FALSE))=TRUE,"",VLOOKUP($B20,EDW_FEEDER!$T$2:$AH$86,2,FALSE))</f>
        <v>2128</v>
      </c>
      <c r="D20" s="259">
        <f>IF(ISNA(VLOOKUP(B20,EDW_FEEDER!$T$2:$AH$86,3,FALSE))=TRUE,"",VLOOKUP(B20,EDW_FEEDER!$T$2:$AH$86,3,FALSE))</f>
        <v>111</v>
      </c>
      <c r="E20" s="260">
        <f>IF(ISNA(VLOOKUP(B20,EDW_FEEDER!$T$2:$AH$86,4,FALSE))=TRUE,"",VLOOKUP(B20,EDW_FEEDER!$T$2:$AH$870,4,FALSE))</f>
        <v>0.32424999999999998</v>
      </c>
      <c r="F20" s="258">
        <f>IF(ISNA(VLOOKUP(B20,EDW_FEEDER!$T$2:$AH$86,5,FALSE))=TRUE,"",VLOOKUP(B20,EDW_FEEDER!$T$2:$AH$86,5,FALSE))</f>
        <v>157</v>
      </c>
      <c r="G20" s="258">
        <f>IF(ISNA(VLOOKUP(B20,EDW_FEEDER!$T$2:$AH$86,6,FALSE))=TRUE,"",VLOOKUP(B20,EDW_FEEDER!$T$2:$AH$86,6,FALSE))</f>
        <v>1946</v>
      </c>
      <c r="H20" s="259">
        <f>IF(ISNA(VLOOKUP(B20,EDW_FEEDER!$T$2:$AH$86,7,FALSE))=TRUE,"",VLOOKUP(B20,EDW_FEEDER!$T$2:$AH$86,7,FALSE))</f>
        <v>155.6</v>
      </c>
      <c r="I20" s="259">
        <f>IF(ISNA(VLOOKUP(B20,EDW_FEEDER!$T$2:$AH$86,8,FALSE))=TRUE,"",VLOOKUP(B20,EDW_FEEDER!$T$2:$AH$86,8,FALSE))</f>
        <v>159</v>
      </c>
      <c r="J20" s="260">
        <f>IF(ISNA(VLOOKUP(B20,Accuracy!$AD$7:$AQ$69,3,FALSE))=TRUE,"",VLOOKUP(B20,Accuracy!$AD$7:$AQ$69,3,FALSE))</f>
        <v>0.98399999999999999</v>
      </c>
      <c r="K20" s="260">
        <f>IF(ISNA(VLOOKUP(B20,Accuracy!$AD$7:$AQ$69,6,FALSE))=TRUE,"",VLOOKUP(B20,Accuracy!$AD$7:$AQ$69,6,FALSE))</f>
        <v>0.97099999999999997</v>
      </c>
      <c r="L20" s="260">
        <f>IF(ISNA(VLOOKUP(B20,Accuracy!$AD$7:$AQ$69,9,FALSE))=TRUE,"",VLOOKUP(B20,Accuracy!$AD$7:$AQ$69,9,FALSE))</f>
        <v>0.96089999999999998</v>
      </c>
      <c r="M20" s="260">
        <f>IF(ISNA(VLOOKUP(B20,Accuracy!$AD$7:$AQ$69,12,FALSE))=TRUE,"",VLOOKUP(B20,Accuracy!$AD$7:$AQ$69,12,FALSE))</f>
        <v>0.94940000000000002</v>
      </c>
    </row>
    <row r="21" spans="2:13" x14ac:dyDescent="0.2">
      <c r="B21" s="112" t="str">
        <f>IF(ISBLANK(VLOOKUP($B$14,EDW_FEEDER!$A$117:$AK$121,8,FALSE))=TRUE,"",VLOOKUP($B$14,EDW_FEEDER!$A$117:$AK$121,8,FALSE))</f>
        <v>Indianapolis</v>
      </c>
      <c r="C21" s="258">
        <f>IF(ISNA(VLOOKUP($B21,EDW_FEEDER!$T$2:$AH$86,2,FALSE))=TRUE,"",VLOOKUP($B21,EDW_FEEDER!$T$2:$AH$86,2,FALSE))</f>
        <v>9448</v>
      </c>
      <c r="D21" s="259">
        <f>IF(ISNA(VLOOKUP(B21,EDW_FEEDER!$T$2:$AH$86,3,FALSE))=TRUE,"",VLOOKUP(B21,EDW_FEEDER!$T$2:$AH$86,3,FALSE))</f>
        <v>179.5</v>
      </c>
      <c r="E21" s="260">
        <f>IF(ISNA(VLOOKUP(B21,EDW_FEEDER!$T$2:$AH$86,4,FALSE))=TRUE,"",VLOOKUP(B21,EDW_FEEDER!$T$2:$AH$870,4,FALSE))</f>
        <v>0.59070999999999996</v>
      </c>
      <c r="F21" s="258">
        <f>IF(ISNA(VLOOKUP(B21,EDW_FEEDER!$T$2:$AH$86,5,FALSE))=TRUE,"",VLOOKUP(B21,EDW_FEEDER!$T$2:$AH$86,5,FALSE))</f>
        <v>296</v>
      </c>
      <c r="G21" s="258">
        <f>IF(ISNA(VLOOKUP(B21,EDW_FEEDER!$T$2:$AH$86,6,FALSE))=TRUE,"",VLOOKUP(B21,EDW_FEEDER!$T$2:$AH$86,6,FALSE))</f>
        <v>4048</v>
      </c>
      <c r="H21" s="259">
        <f>IF(ISNA(VLOOKUP(B21,EDW_FEEDER!$T$2:$AH$86,7,FALSE))=TRUE,"",VLOOKUP(B21,EDW_FEEDER!$T$2:$AH$86,7,FALSE))</f>
        <v>244.9</v>
      </c>
      <c r="I21" s="259">
        <f>IF(ISNA(VLOOKUP(B21,EDW_FEEDER!$T$2:$AH$86,8,FALSE))=TRUE,"",VLOOKUP(B21,EDW_FEEDER!$T$2:$AH$86,8,FALSE))</f>
        <v>240.4</v>
      </c>
      <c r="J21" s="260">
        <f>IF(ISNA(VLOOKUP(B21,Accuracy!$AD$7:$AQ$69,3,FALSE))=TRUE,"",VLOOKUP(B21,Accuracy!$AD$7:$AQ$69,3,FALSE))</f>
        <v>0.94669999999999999</v>
      </c>
      <c r="K21" s="260">
        <f>IF(ISNA(VLOOKUP(B21,Accuracy!$AD$7:$AQ$69,6,FALSE))=TRUE,"",VLOOKUP(B21,Accuracy!$AD$7:$AQ$69,6,FALSE))</f>
        <v>0.88890000000000002</v>
      </c>
      <c r="L21" s="260">
        <f>IF(ISNA(VLOOKUP(B21,Accuracy!$AD$7:$AQ$69,9,FALSE))=TRUE,"",VLOOKUP(B21,Accuracy!$AD$7:$AQ$69,9,FALSE))</f>
        <v>0.92</v>
      </c>
      <c r="M21" s="260">
        <f>IF(ISNA(VLOOKUP(B21,Accuracy!$AD$7:$AQ$69,12,FALSE))=TRUE,"",VLOOKUP(B21,Accuracy!$AD$7:$AQ$69,12,FALSE))</f>
        <v>0.90720000000000001</v>
      </c>
    </row>
    <row r="22" spans="2:13" x14ac:dyDescent="0.2">
      <c r="B22" s="112" t="str">
        <f>IF(ISBLANK(VLOOKUP($B$14,EDW_FEEDER!$A$117:$AK$121,9,FALSE))=TRUE,"",VLOOKUP($B$14,EDW_FEEDER!$A$117:$AK$121,9,FALSE))</f>
        <v>Manchester</v>
      </c>
      <c r="C22" s="258">
        <f>IF(ISNA(VLOOKUP($B22,EDW_FEEDER!$T$2:$AH$86,2,FALSE))=TRUE,"",VLOOKUP($B22,EDW_FEEDER!$T$2:$AH$86,2,FALSE))</f>
        <v>1759</v>
      </c>
      <c r="D22" s="259">
        <f>IF(ISNA(VLOOKUP(B22,EDW_FEEDER!$T$2:$AH$86,3,FALSE))=TRUE,"",VLOOKUP(B22,EDW_FEEDER!$T$2:$AH$86,3,FALSE))</f>
        <v>133.9</v>
      </c>
      <c r="E22" s="260">
        <f>IF(ISNA(VLOOKUP(B22,EDW_FEEDER!$T$2:$AH$86,4,FALSE))=TRUE,"",VLOOKUP(B22,EDW_FEEDER!$T$2:$AH$870,4,FALSE))</f>
        <v>0.43603999999999998</v>
      </c>
      <c r="F22" s="258">
        <f>IF(ISNA(VLOOKUP(B22,EDW_FEEDER!$T$2:$AH$86,5,FALSE))=TRUE,"",VLOOKUP(B22,EDW_FEEDER!$T$2:$AH$86,5,FALSE))</f>
        <v>83</v>
      </c>
      <c r="G22" s="258">
        <f>IF(ISNA(VLOOKUP(B22,EDW_FEEDER!$T$2:$AH$86,6,FALSE))=TRUE,"",VLOOKUP(B22,EDW_FEEDER!$T$2:$AH$86,6,FALSE))</f>
        <v>884</v>
      </c>
      <c r="H22" s="259">
        <f>IF(ISNA(VLOOKUP(B22,EDW_FEEDER!$T$2:$AH$86,7,FALSE))=TRUE,"",VLOOKUP(B22,EDW_FEEDER!$T$2:$AH$86,7,FALSE))</f>
        <v>189.8</v>
      </c>
      <c r="I22" s="259">
        <f>IF(ISNA(VLOOKUP(B22,EDW_FEEDER!$T$2:$AH$86,8,FALSE))=TRUE,"",VLOOKUP(B22,EDW_FEEDER!$T$2:$AH$86,8,FALSE))</f>
        <v>200.6</v>
      </c>
      <c r="J22" s="260">
        <f>IF(ISNA(VLOOKUP(B22,Accuracy!$AD$7:$AQ$69,3,FALSE))=TRUE,"",VLOOKUP(B22,Accuracy!$AD$7:$AQ$69,3,FALSE))</f>
        <v>0.95850000000000002</v>
      </c>
      <c r="K22" s="260">
        <f>IF(ISNA(VLOOKUP(B22,Accuracy!$AD$7:$AQ$69,6,FALSE))=TRUE,"",VLOOKUP(B22,Accuracy!$AD$7:$AQ$69,6,FALSE))</f>
        <v>0.92979999999999996</v>
      </c>
      <c r="L22" s="260">
        <f>IF(ISNA(VLOOKUP(B22,Accuracy!$AD$7:$AQ$69,9,FALSE))=TRUE,"",VLOOKUP(B22,Accuracy!$AD$7:$AQ$69,9,FALSE))</f>
        <v>0.9073</v>
      </c>
      <c r="M22" s="260">
        <f>IF(ISNA(VLOOKUP(B22,Accuracy!$AD$7:$AQ$69,12,FALSE))=TRUE,"",VLOOKUP(B22,Accuracy!$AD$7:$AQ$69,12,FALSE))</f>
        <v>0.91320000000000001</v>
      </c>
    </row>
    <row r="23" spans="2:13" x14ac:dyDescent="0.2">
      <c r="B23" s="112" t="str">
        <f>IF(ISBLANK(VLOOKUP($B$14,EDW_FEEDER!$A$117:$AK$121,10,FALSE))=TRUE,"",VLOOKUP($B$14,EDW_FEEDER!$A$117:$AK$121,10,FALSE))</f>
        <v>New York</v>
      </c>
      <c r="C23" s="258">
        <f>IF(ISNA(VLOOKUP($B23,EDW_FEEDER!$T$2:$AH$86,2,FALSE))=TRUE,"",VLOOKUP($B23,EDW_FEEDER!$T$2:$AH$86,2,FALSE))</f>
        <v>8025</v>
      </c>
      <c r="D23" s="259">
        <f>IF(ISNA(VLOOKUP(B23,EDW_FEEDER!$T$2:$AH$86,3,FALSE))=TRUE,"",VLOOKUP(B23,EDW_FEEDER!$T$2:$AH$86,3,FALSE))</f>
        <v>152.4</v>
      </c>
      <c r="E23" s="260">
        <f>IF(ISNA(VLOOKUP(B23,EDW_FEEDER!$T$2:$AH$86,4,FALSE))=TRUE,"",VLOOKUP(B23,EDW_FEEDER!$T$2:$AH$870,4,FALSE))</f>
        <v>0.53320999999999996</v>
      </c>
      <c r="F23" s="258">
        <f>IF(ISNA(VLOOKUP(B23,EDW_FEEDER!$T$2:$AH$86,5,FALSE))=TRUE,"",VLOOKUP(B23,EDW_FEEDER!$T$2:$AH$86,5,FALSE))</f>
        <v>402</v>
      </c>
      <c r="G23" s="258">
        <f>IF(ISNA(VLOOKUP(B23,EDW_FEEDER!$T$2:$AH$86,6,FALSE))=TRUE,"",VLOOKUP(B23,EDW_FEEDER!$T$2:$AH$86,6,FALSE))</f>
        <v>3454</v>
      </c>
      <c r="H23" s="259">
        <f>IF(ISNA(VLOOKUP(B23,EDW_FEEDER!$T$2:$AH$86,7,FALSE))=TRUE,"",VLOOKUP(B23,EDW_FEEDER!$T$2:$AH$86,7,FALSE))</f>
        <v>223.8</v>
      </c>
      <c r="I23" s="259">
        <f>IF(ISNA(VLOOKUP(B23,EDW_FEEDER!$T$2:$AH$86,8,FALSE))=TRUE,"",VLOOKUP(B23,EDW_FEEDER!$T$2:$AH$86,8,FALSE))</f>
        <v>246.4</v>
      </c>
      <c r="J23" s="260">
        <f>IF(ISNA(VLOOKUP(B23,Accuracy!$AD$7:$AQ$69,3,FALSE))=TRUE,"",VLOOKUP(B23,Accuracy!$AD$7:$AQ$69,3,FALSE))</f>
        <v>0.93940000000000001</v>
      </c>
      <c r="K23" s="260">
        <f>IF(ISNA(VLOOKUP(B23,Accuracy!$AD$7:$AQ$69,6,FALSE))=TRUE,"",VLOOKUP(B23,Accuracy!$AD$7:$AQ$69,6,FALSE))</f>
        <v>0.93440000000000001</v>
      </c>
      <c r="L23" s="260">
        <f>IF(ISNA(VLOOKUP(B23,Accuracy!$AD$7:$AQ$69,9,FALSE))=TRUE,"",VLOOKUP(B23,Accuracy!$AD$7:$AQ$69,9,FALSE))</f>
        <v>0.92830000000000001</v>
      </c>
      <c r="M23" s="260">
        <f>IF(ISNA(VLOOKUP(B23,Accuracy!$AD$7:$AQ$69,12,FALSE))=TRUE,"",VLOOKUP(B23,Accuracy!$AD$7:$AQ$69,12,FALSE))</f>
        <v>0.90380000000000005</v>
      </c>
    </row>
    <row r="24" spans="2:13" x14ac:dyDescent="0.2">
      <c r="B24" s="112" t="str">
        <f>IF(ISBLANK(VLOOKUP($B$14,EDW_FEEDER!$A$117:$AK$121,11,FALSE))=TRUE,"",VLOOKUP($B$14,EDW_FEEDER!$A$117:$AK$121,11,FALSE))</f>
        <v>Newark</v>
      </c>
      <c r="C24" s="258">
        <f>IF(ISNA(VLOOKUP($B24,EDW_FEEDER!$T$2:$AH$86,2,FALSE))=TRUE,"",VLOOKUP($B24,EDW_FEEDER!$T$2:$AH$86,2,FALSE))</f>
        <v>3289</v>
      </c>
      <c r="D24" s="259">
        <f>IF(ISNA(VLOOKUP(B24,EDW_FEEDER!$T$2:$AH$86,3,FALSE))=TRUE,"",VLOOKUP(B24,EDW_FEEDER!$T$2:$AH$86,3,FALSE))</f>
        <v>120.4</v>
      </c>
      <c r="E24" s="260">
        <f>IF(ISNA(VLOOKUP(B24,EDW_FEEDER!$T$2:$AH$86,4,FALSE))=TRUE,"",VLOOKUP(B24,EDW_FEEDER!$T$2:$AH$870,4,FALSE))</f>
        <v>0.40011999999999998</v>
      </c>
      <c r="F24" s="258">
        <f>IF(ISNA(VLOOKUP(B24,EDW_FEEDER!$T$2:$AH$86,5,FALSE))=TRUE,"",VLOOKUP(B24,EDW_FEEDER!$T$2:$AH$86,5,FALSE))</f>
        <v>163</v>
      </c>
      <c r="G24" s="258">
        <f>IF(ISNA(VLOOKUP(B24,EDW_FEEDER!$T$2:$AH$86,6,FALSE))=TRUE,"",VLOOKUP(B24,EDW_FEEDER!$T$2:$AH$86,6,FALSE))</f>
        <v>1752</v>
      </c>
      <c r="H24" s="259">
        <f>IF(ISNA(VLOOKUP(B24,EDW_FEEDER!$T$2:$AH$86,7,FALSE))=TRUE,"",VLOOKUP(B24,EDW_FEEDER!$T$2:$AH$86,7,FALSE))</f>
        <v>161.4</v>
      </c>
      <c r="I24" s="259">
        <f>IF(ISNA(VLOOKUP(B24,EDW_FEEDER!$T$2:$AH$86,8,FALSE))=TRUE,"",VLOOKUP(B24,EDW_FEEDER!$T$2:$AH$86,8,FALSE))</f>
        <v>169.8</v>
      </c>
      <c r="J24" s="260">
        <f>IF(ISNA(VLOOKUP(B24,Accuracy!$AD$7:$AQ$69,3,FALSE))=TRUE,"",VLOOKUP(B24,Accuracy!$AD$7:$AQ$69,3,FALSE))</f>
        <v>0.92649999999999999</v>
      </c>
      <c r="K24" s="260">
        <f>IF(ISNA(VLOOKUP(B24,Accuracy!$AD$7:$AQ$69,6,FALSE))=TRUE,"",VLOOKUP(B24,Accuracy!$AD$7:$AQ$69,6,FALSE))</f>
        <v>0.89829999999999999</v>
      </c>
      <c r="L24" s="260">
        <f>IF(ISNA(VLOOKUP(B24,Accuracy!$AD$7:$AQ$69,9,FALSE))=TRUE,"",VLOOKUP(B24,Accuracy!$AD$7:$AQ$69,9,FALSE))</f>
        <v>0.8226</v>
      </c>
      <c r="M24" s="260">
        <f>IF(ISNA(VLOOKUP(B24,Accuracy!$AD$7:$AQ$69,12,FALSE))=TRUE,"",VLOOKUP(B24,Accuracy!$AD$7:$AQ$69,12,FALSE))</f>
        <v>0.83</v>
      </c>
    </row>
    <row r="25" spans="2:13" x14ac:dyDescent="0.2">
      <c r="B25" s="113" t="str">
        <f>IF(ISBLANK(VLOOKUP($B$14,EDW_FEEDER!$A$117:$AK$121,12,FALSE))=TRUE,"",VLOOKUP($B$14,EDW_FEEDER!$A$117:$AK$121,12,FALSE))</f>
        <v>Philadelphia (Non-PMC)</v>
      </c>
      <c r="C25" s="258">
        <f>IF(ISNA(VLOOKUP($B25,EDW_FEEDER!$T$2:$AH$86,2,FALSE))=TRUE,"",VLOOKUP($B25,EDW_FEEDER!$T$2:$AH$86,2,FALSE))</f>
        <v>13259</v>
      </c>
      <c r="D25" s="259">
        <f>IF(ISNA(VLOOKUP(B25,EDW_FEEDER!$T$2:$AH$86,3,FALSE))=TRUE,"",VLOOKUP(B25,EDW_FEEDER!$T$2:$AH$86,3,FALSE))</f>
        <v>164.7</v>
      </c>
      <c r="E25" s="260">
        <f>IF(ISNA(VLOOKUP(B25,EDW_FEEDER!$T$2:$AH$86,4,FALSE))=TRUE,"",VLOOKUP(B25,EDW_FEEDER!$T$2:$AH$870,4,FALSE))</f>
        <v>0.55320999999999998</v>
      </c>
      <c r="F25" s="258">
        <f>IF(ISNA(VLOOKUP(B25,EDW_FEEDER!$T$2:$AH$86,5,FALSE))=TRUE,"",VLOOKUP(B25,EDW_FEEDER!$T$2:$AH$86,5,FALSE))</f>
        <v>824</v>
      </c>
      <c r="G25" s="258">
        <f>IF(ISNA(VLOOKUP(B25,EDW_FEEDER!$T$2:$AH$86,6,FALSE))=TRUE,"",VLOOKUP(B25,EDW_FEEDER!$T$2:$AH$86,6,FALSE))</f>
        <v>7315</v>
      </c>
      <c r="H25" s="259">
        <f>IF(ISNA(VLOOKUP(B25,EDW_FEEDER!$T$2:$AH$86,7,FALSE))=TRUE,"",VLOOKUP(B25,EDW_FEEDER!$T$2:$AH$86,7,FALSE))</f>
        <v>246.5</v>
      </c>
      <c r="I25" s="259">
        <f>IF(ISNA(VLOOKUP(B25,EDW_FEEDER!$T$2:$AH$86,8,FALSE))=TRUE,"",VLOOKUP(B25,EDW_FEEDER!$T$2:$AH$86,8,FALSE))</f>
        <v>261.5</v>
      </c>
      <c r="J25" s="260">
        <f>IF(ISNA(VLOOKUP(B25,Accuracy!$AD$7:$AQ$69,3,FALSE))=TRUE,"",VLOOKUP(B25,Accuracy!$AD$7:$AQ$69,3,FALSE))</f>
        <v>0.97740000000000005</v>
      </c>
      <c r="K25" s="260">
        <f>IF(ISNA(VLOOKUP(B25,Accuracy!$AD$7:$AQ$69,6,FALSE))=TRUE,"",VLOOKUP(B25,Accuracy!$AD$7:$AQ$69,6,FALSE))</f>
        <v>0.94199999999999995</v>
      </c>
      <c r="L25" s="260">
        <f>IF(ISNA(VLOOKUP(B25,Accuracy!$AD$7:$AQ$69,9,FALSE))=TRUE,"",VLOOKUP(B25,Accuracy!$AD$7:$AQ$69,9,FALSE))</f>
        <v>0.88929999999999998</v>
      </c>
      <c r="M25" s="260">
        <f>IF(ISNA(VLOOKUP(B25,Accuracy!$AD$7:$AQ$69,12,FALSE))=TRUE,"",VLOOKUP(B25,Accuracy!$AD$7:$AQ$69,12,FALSE))</f>
        <v>0.91739999999999999</v>
      </c>
    </row>
    <row r="26" spans="2:13" x14ac:dyDescent="0.2">
      <c r="B26" s="112" t="str">
        <f>IF(ISBLANK(VLOOKUP($B$14,EDW_FEEDER!$A$117:$AK$121,13,FALSE))=TRUE,"",VLOOKUP($B$14,EDW_FEEDER!$A$117:$AK$121,13,FALSE))</f>
        <v>Pittsburgh</v>
      </c>
      <c r="C26" s="258">
        <f>IF(ISNA(VLOOKUP($B26,EDW_FEEDER!$T$2:$AH$86,2,FALSE))=TRUE,"",VLOOKUP($B26,EDW_FEEDER!$T$2:$AH$86,2,FALSE))</f>
        <v>6292</v>
      </c>
      <c r="D26" s="259">
        <f>IF(ISNA(VLOOKUP(B26,EDW_FEEDER!$T$2:$AH$86,3,FALSE))=TRUE,"",VLOOKUP(B26,EDW_FEEDER!$T$2:$AH$86,3,FALSE))</f>
        <v>170.5</v>
      </c>
      <c r="E26" s="260">
        <f>IF(ISNA(VLOOKUP(B26,EDW_FEEDER!$T$2:$AH$86,4,FALSE))=TRUE,"",VLOOKUP(B26,EDW_FEEDER!$T$2:$AH$870,4,FALSE))</f>
        <v>0.54085000000000005</v>
      </c>
      <c r="F26" s="258">
        <f>IF(ISNA(VLOOKUP(B26,EDW_FEEDER!$T$2:$AH$86,5,FALSE))=TRUE,"",VLOOKUP(B26,EDW_FEEDER!$T$2:$AH$86,5,FALSE))</f>
        <v>317</v>
      </c>
      <c r="G26" s="258">
        <f>IF(ISNA(VLOOKUP(B26,EDW_FEEDER!$T$2:$AH$86,6,FALSE))=TRUE,"",VLOOKUP(B26,EDW_FEEDER!$T$2:$AH$86,6,FALSE))</f>
        <v>3063</v>
      </c>
      <c r="H26" s="259">
        <f>IF(ISNA(VLOOKUP(B26,EDW_FEEDER!$T$2:$AH$86,7,FALSE))=TRUE,"",VLOOKUP(B26,EDW_FEEDER!$T$2:$AH$86,7,FALSE))</f>
        <v>246.1</v>
      </c>
      <c r="I26" s="259">
        <f>IF(ISNA(VLOOKUP(B26,EDW_FEEDER!$T$2:$AH$86,8,FALSE))=TRUE,"",VLOOKUP(B26,EDW_FEEDER!$T$2:$AH$86,8,FALSE))</f>
        <v>229</v>
      </c>
      <c r="J26" s="260">
        <f>IF(ISNA(VLOOKUP(B26,Accuracy!$AD$7:$AQ$69,3,FALSE))=TRUE,"",VLOOKUP(B26,Accuracy!$AD$7:$AQ$69,3,FALSE))</f>
        <v>0.96199999999999997</v>
      </c>
      <c r="K26" s="260">
        <f>IF(ISNA(VLOOKUP(B26,Accuracy!$AD$7:$AQ$69,6,FALSE))=TRUE,"",VLOOKUP(B26,Accuracy!$AD$7:$AQ$69,6,FALSE))</f>
        <v>0.91669999999999996</v>
      </c>
      <c r="L26" s="260">
        <f>IF(ISNA(VLOOKUP(B26,Accuracy!$AD$7:$AQ$69,9,FALSE))=TRUE,"",VLOOKUP(B26,Accuracy!$AD$7:$AQ$69,9,FALSE))</f>
        <v>0.88349999999999995</v>
      </c>
      <c r="M26" s="260">
        <f>IF(ISNA(VLOOKUP(B26,Accuracy!$AD$7:$AQ$69,12,FALSE))=TRUE,"",VLOOKUP(B26,Accuracy!$AD$7:$AQ$69,12,FALSE))</f>
        <v>0.91290000000000004</v>
      </c>
    </row>
    <row r="27" spans="2:13" x14ac:dyDescent="0.2">
      <c r="B27" s="112" t="str">
        <f>IF(ISBLANK(VLOOKUP($B$14,EDW_FEEDER!$A$117:$AK$121,14,FALSE))=TRUE,"",VLOOKUP($B$14,EDW_FEEDER!$A$117:$AK$121,14,FALSE))</f>
        <v>Providence</v>
      </c>
      <c r="C27" s="258">
        <f>IF(ISNA(VLOOKUP($B27,EDW_FEEDER!$T$2:$AH$86,2,FALSE))=TRUE,"",VLOOKUP($B27,EDW_FEEDER!$T$2:$AH$86,2,FALSE))</f>
        <v>2991</v>
      </c>
      <c r="D27" s="259">
        <f>IF(ISNA(VLOOKUP(B27,EDW_FEEDER!$T$2:$AH$86,3,FALSE))=TRUE,"",VLOOKUP(B27,EDW_FEEDER!$T$2:$AH$86,3,FALSE))</f>
        <v>79.7</v>
      </c>
      <c r="E27" s="260">
        <f>IF(ISNA(VLOOKUP(B27,EDW_FEEDER!$T$2:$AH$86,4,FALSE))=TRUE,"",VLOOKUP(B27,EDW_FEEDER!$T$2:$AH$870,4,FALSE))</f>
        <v>0.19758999999999999</v>
      </c>
      <c r="F27" s="258">
        <f>IF(ISNA(VLOOKUP(B27,EDW_FEEDER!$T$2:$AH$86,5,FALSE))=TRUE,"",VLOOKUP(B27,EDW_FEEDER!$T$2:$AH$86,5,FALSE))</f>
        <v>680</v>
      </c>
      <c r="G27" s="258">
        <f>IF(ISNA(VLOOKUP(B27,EDW_FEEDER!$T$2:$AH$86,6,FALSE))=TRUE,"",VLOOKUP(B27,EDW_FEEDER!$T$2:$AH$86,6,FALSE))</f>
        <v>6997</v>
      </c>
      <c r="H27" s="259">
        <f>IF(ISNA(VLOOKUP(B27,EDW_FEEDER!$T$2:$AH$86,7,FALSE))=TRUE,"",VLOOKUP(B27,EDW_FEEDER!$T$2:$AH$86,7,FALSE))</f>
        <v>66.5</v>
      </c>
      <c r="I27" s="259">
        <f>IF(ISNA(VLOOKUP(B27,EDW_FEEDER!$T$2:$AH$86,8,FALSE))=TRUE,"",VLOOKUP(B27,EDW_FEEDER!$T$2:$AH$86,8,FALSE))</f>
        <v>63.6</v>
      </c>
      <c r="J27" s="260">
        <f>IF(ISNA(VLOOKUP(B27,Accuracy!$AD$7:$AQ$69,3,FALSE))=TRUE,"",VLOOKUP(B27,Accuracy!$AD$7:$AQ$69,3,FALSE))</f>
        <v>0.96430000000000005</v>
      </c>
      <c r="K27" s="260">
        <f>IF(ISNA(VLOOKUP(B27,Accuracy!$AD$7:$AQ$69,6,FALSE))=TRUE,"",VLOOKUP(B27,Accuracy!$AD$7:$AQ$69,6,FALSE))</f>
        <v>0.9385</v>
      </c>
      <c r="L27" s="260">
        <f>IF(ISNA(VLOOKUP(B27,Accuracy!$AD$7:$AQ$69,9,FALSE))=TRUE,"",VLOOKUP(B27,Accuracy!$AD$7:$AQ$69,9,FALSE))</f>
        <v>0.94510000000000005</v>
      </c>
      <c r="M27" s="260">
        <f>IF(ISNA(VLOOKUP(B27,Accuracy!$AD$7:$AQ$69,12,FALSE))=TRUE,"",VLOOKUP(B27,Accuracy!$AD$7:$AQ$69,12,FALSE))</f>
        <v>0.90529999999999999</v>
      </c>
    </row>
    <row r="28" spans="2:13" x14ac:dyDescent="0.2">
      <c r="B28" s="112" t="str">
        <f>IF(ISBLANK(VLOOKUP($B$14,EDW_FEEDER!$A$117:$AK$121,15,FALSE))=TRUE,"",VLOOKUP($B$14,EDW_FEEDER!$A$117:$AK$121,15,FALSE))</f>
        <v>Togus</v>
      </c>
      <c r="C28" s="258">
        <f>IF(ISNA(VLOOKUP($B28,EDW_FEEDER!$T$2:$AH$86,2,FALSE))=TRUE,"",VLOOKUP($B28,EDW_FEEDER!$T$2:$AH$86,2,FALSE))</f>
        <v>1128</v>
      </c>
      <c r="D28" s="259">
        <f>IF(ISNA(VLOOKUP(B28,EDW_FEEDER!$T$2:$AH$86,3,FALSE))=TRUE,"",VLOOKUP(B28,EDW_FEEDER!$T$2:$AH$86,3,FALSE))</f>
        <v>100</v>
      </c>
      <c r="E28" s="260">
        <f>IF(ISNA(VLOOKUP(B28,EDW_FEEDER!$T$2:$AH$86,4,FALSE))=TRUE,"",VLOOKUP(B28,EDW_FEEDER!$T$2:$AH$870,4,FALSE))</f>
        <v>0.24113000000000001</v>
      </c>
      <c r="F28" s="258">
        <f>IF(ISNA(VLOOKUP(B28,EDW_FEEDER!$T$2:$AH$86,5,FALSE))=TRUE,"",VLOOKUP(B28,EDW_FEEDER!$T$2:$AH$86,5,FALSE))</f>
        <v>62</v>
      </c>
      <c r="G28" s="258">
        <f>IF(ISNA(VLOOKUP(B28,EDW_FEEDER!$T$2:$AH$86,6,FALSE))=TRUE,"",VLOOKUP(B28,EDW_FEEDER!$T$2:$AH$86,6,FALSE))</f>
        <v>1360</v>
      </c>
      <c r="H28" s="259">
        <f>IF(ISNA(VLOOKUP(B28,EDW_FEEDER!$T$2:$AH$86,7,FALSE))=TRUE,"",VLOOKUP(B28,EDW_FEEDER!$T$2:$AH$86,7,FALSE))</f>
        <v>147.6</v>
      </c>
      <c r="I28" s="259">
        <f>IF(ISNA(VLOOKUP(B28,EDW_FEEDER!$T$2:$AH$86,8,FALSE))=TRUE,"",VLOOKUP(B28,EDW_FEEDER!$T$2:$AH$86,8,FALSE))</f>
        <v>118.5</v>
      </c>
      <c r="J28" s="260">
        <f>IF(ISNA(VLOOKUP(B28,Accuracy!$AD$7:$AQ$69,3,FALSE))=TRUE,"",VLOOKUP(B28,Accuracy!$AD$7:$AQ$69,3,FALSE))</f>
        <v>0.97089999999999999</v>
      </c>
      <c r="K28" s="260">
        <f>IF(ISNA(VLOOKUP(B28,Accuracy!$AD$7:$AQ$69,6,FALSE))=TRUE,"",VLOOKUP(B28,Accuracy!$AD$7:$AQ$69,6,FALSE))</f>
        <v>0.875</v>
      </c>
      <c r="L28" s="260">
        <f>IF(ISNA(VLOOKUP(B28,Accuracy!$AD$7:$AQ$69,9,FALSE))=TRUE,"",VLOOKUP(B28,Accuracy!$AD$7:$AQ$69,9,FALSE))</f>
        <v>0.93020000000000003</v>
      </c>
      <c r="M28" s="260">
        <f>IF(ISNA(VLOOKUP(B28,Accuracy!$AD$7:$AQ$69,12,FALSE))=TRUE,"",VLOOKUP(B28,Accuracy!$AD$7:$AQ$69,12,FALSE))</f>
        <v>0.98019999999999996</v>
      </c>
    </row>
    <row r="29" spans="2:13" x14ac:dyDescent="0.2">
      <c r="B29" s="112" t="str">
        <f>IF(ISBLANK(VLOOKUP($B$14,EDW_FEEDER!$A$117:$AK$121,16,FALSE))=TRUE,"",VLOOKUP($B$14,EDW_FEEDER!$A$117:$AK$121,16,FALSE))</f>
        <v>White River J.</v>
      </c>
      <c r="C29" s="258">
        <f>IF(ISNA(VLOOKUP($B29,EDW_FEEDER!$T$2:$AH$86,2,FALSE))=TRUE,"",VLOOKUP($B29,EDW_FEEDER!$T$2:$AH$86,2,FALSE))</f>
        <v>667</v>
      </c>
      <c r="D29" s="259">
        <f>IF(ISNA(VLOOKUP(B29,EDW_FEEDER!$T$2:$AH$86,3,FALSE))=TRUE,"",VLOOKUP(B29,EDW_FEEDER!$T$2:$AH$86,3,FALSE))</f>
        <v>146.19999999999999</v>
      </c>
      <c r="E29" s="260">
        <f>IF(ISNA(VLOOKUP(B29,EDW_FEEDER!$T$2:$AH$86,4,FALSE))=TRUE,"",VLOOKUP(B29,EDW_FEEDER!$T$2:$AH$870,4,FALSE))</f>
        <v>0.52473999999999998</v>
      </c>
      <c r="F29" s="258">
        <f>IF(ISNA(VLOOKUP(B29,EDW_FEEDER!$T$2:$AH$86,5,FALSE))=TRUE,"",VLOOKUP(B29,EDW_FEEDER!$T$2:$AH$86,5,FALSE))</f>
        <v>30</v>
      </c>
      <c r="G29" s="258">
        <f>IF(ISNA(VLOOKUP(B29,EDW_FEEDER!$T$2:$AH$86,6,FALSE))=TRUE,"",VLOOKUP(B29,EDW_FEEDER!$T$2:$AH$86,6,FALSE))</f>
        <v>325</v>
      </c>
      <c r="H29" s="259">
        <f>IF(ISNA(VLOOKUP(B29,EDW_FEEDER!$T$2:$AH$86,7,FALSE))=TRUE,"",VLOOKUP(B29,EDW_FEEDER!$T$2:$AH$86,7,FALSE))</f>
        <v>162.6</v>
      </c>
      <c r="I29" s="259">
        <f>IF(ISNA(VLOOKUP(B29,EDW_FEEDER!$T$2:$AH$86,8,FALSE))=TRUE,"",VLOOKUP(B29,EDW_FEEDER!$T$2:$AH$86,8,FALSE))</f>
        <v>154</v>
      </c>
      <c r="J29" s="260">
        <f>IF(ISNA(VLOOKUP(B29,Accuracy!$AD$7:$AQ$69,3,FALSE))=TRUE,"",VLOOKUP(B29,Accuracy!$AD$7:$AQ$69,3,FALSE))</f>
        <v>0.93530000000000002</v>
      </c>
      <c r="K29" s="260">
        <f>IF(ISNA(VLOOKUP(B29,Accuracy!$AD$7:$AQ$69,6,FALSE))=TRUE,"",VLOOKUP(B29,Accuracy!$AD$7:$AQ$69,6,FALSE))</f>
        <v>0.89090000000000003</v>
      </c>
      <c r="L29" s="260">
        <f>IF(ISNA(VLOOKUP(B29,Accuracy!$AD$7:$AQ$69,9,FALSE))=TRUE,"",VLOOKUP(B29,Accuracy!$AD$7:$AQ$69,9,FALSE))</f>
        <v>0.86799999999999999</v>
      </c>
      <c r="M29" s="260">
        <f>IF(ISNA(VLOOKUP(B29,Accuracy!$AD$7:$AQ$69,12,FALSE))=TRUE,"",VLOOKUP(B29,Accuracy!$AD$7:$AQ$69,12,FALSE))</f>
        <v>0.85250000000000004</v>
      </c>
    </row>
    <row r="30" spans="2:13" x14ac:dyDescent="0.2">
      <c r="B30" s="114" t="str">
        <f>IF(ISBLANK(VLOOKUP($B$14,EDW_FEEDER!$A$117:$AK$121,17,FALSE))=TRUE,"",VLOOKUP($B$14,EDW_FEEDER!$A$117:$AK$121,17,FALSE))</f>
        <v>Wilmington</v>
      </c>
      <c r="C30" s="258">
        <f>IF(ISNA(VLOOKUP($B30,EDW_FEEDER!$T$2:$AH$86,2,FALSE))=TRUE,"",VLOOKUP($B30,EDW_FEEDER!$T$2:$AH$86,2,FALSE))</f>
        <v>1259</v>
      </c>
      <c r="D30" s="259">
        <f>IF(ISNA(VLOOKUP(B30,EDW_FEEDER!$T$2:$AH$86,3,FALSE))=TRUE,"",VLOOKUP(B30,EDW_FEEDER!$T$2:$AH$86,3,FALSE))</f>
        <v>162.80000000000001</v>
      </c>
      <c r="E30" s="260">
        <f>IF(ISNA(VLOOKUP(B30,EDW_FEEDER!$T$2:$AH$86,4,FALSE))=TRUE,"",VLOOKUP(B30,EDW_FEEDER!$T$2:$AH$870,4,FALSE))</f>
        <v>0.54488000000000003</v>
      </c>
      <c r="F30" s="258">
        <f>IF(ISNA(VLOOKUP(B30,EDW_FEEDER!$T$2:$AH$86,5,FALSE))=TRUE,"",VLOOKUP(B30,EDW_FEEDER!$T$2:$AH$86,5,FALSE))</f>
        <v>39</v>
      </c>
      <c r="G30" s="258">
        <f>IF(ISNA(VLOOKUP(B30,EDW_FEEDER!$T$2:$AH$86,6,FALSE))=TRUE,"",VLOOKUP(B30,EDW_FEEDER!$T$2:$AH$86,6,FALSE))</f>
        <v>650</v>
      </c>
      <c r="H30" s="259">
        <f>IF(ISNA(VLOOKUP(B30,EDW_FEEDER!$T$2:$AH$86,7,FALSE))=TRUE,"",VLOOKUP(B30,EDW_FEEDER!$T$2:$AH$86,7,FALSE))</f>
        <v>254.8</v>
      </c>
      <c r="I30" s="259">
        <f>IF(ISNA(VLOOKUP(B30,EDW_FEEDER!$T$2:$AH$86,8,FALSE))=TRUE,"",VLOOKUP(B30,EDW_FEEDER!$T$2:$AH$86,8,FALSE))</f>
        <v>246.3</v>
      </c>
      <c r="J30" s="260">
        <f>IF(ISNA(VLOOKUP(B30,Accuracy!$AD$7:$AQ$69,3,FALSE))=TRUE,"",VLOOKUP(B30,Accuracy!$AD$7:$AQ$69,3,FALSE))</f>
        <v>0.93220000000000003</v>
      </c>
      <c r="K30" s="260">
        <f>IF(ISNA(VLOOKUP(B30,Accuracy!$AD$7:$AQ$69,6,FALSE))=TRUE,"",VLOOKUP(B30,Accuracy!$AD$7:$AQ$69,6,FALSE))</f>
        <v>0.86670000000000003</v>
      </c>
      <c r="L30" s="260">
        <f>IF(ISNA(VLOOKUP(B30,Accuracy!$AD$7:$AQ$69,9,FALSE))=TRUE,"",VLOOKUP(B30,Accuracy!$AD$7:$AQ$69,9,FALSE))</f>
        <v>0.87749999999999995</v>
      </c>
      <c r="M30" s="260">
        <f>IF(ISNA(VLOOKUP(B30,Accuracy!$AD$7:$AQ$69,12,FALSE))=TRUE,"",VLOOKUP(B30,Accuracy!$AD$7:$AQ$69,12,FALSE))</f>
        <v>0.90090000000000003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19614</v>
      </c>
      <c r="D32" s="259">
        <f>IF(ISNA(VLOOKUP("USAP",EDW_FEEDER!$T$2:$AH$86,3,FALSE))=TRUE,"",VLOOKUP("USAP",EDW_FEEDER!$T$2:$AH$86,3,FALSE))</f>
        <v>64.2</v>
      </c>
      <c r="E32" s="260">
        <f>IF(ISNA(VLOOKUP("USAP",EDW_FEEDER!$T$2:$AH$86,4,FALSE))=TRUE,"",VLOOKUP("USAP",EDW_FEEDER!$T$2:$AH$870,4,FALSE))</f>
        <v>0.11007</v>
      </c>
      <c r="F32" s="258">
        <f>IF(ISNA(VLOOKUP("USAP",EDW_FEEDER!$T$2:$AH$86,5,FALSE))=TRUE,"",VLOOKUP("USAP",EDW_FEEDER!$T$2:$AH$86,5,FALSE))</f>
        <v>3680</v>
      </c>
      <c r="G32" s="258">
        <f>IF(ISNA(VLOOKUP("USAP",EDW_FEEDER!$T$2:$AH$86,6,FALSE))=TRUE,"",VLOOKUP("USAP",EDW_FEEDER!$T$2:$AH$86,6,FALSE))</f>
        <v>39521</v>
      </c>
      <c r="H32" s="259">
        <f>IF(ISNA(VLOOKUP("USAP",EDW_FEEDER!$T$2:$AH$86,7,FALSE))=TRUE,"",VLOOKUP("USAP",EDW_FEEDER!$T$2:$AH$86,7,FALSE))</f>
        <v>70</v>
      </c>
      <c r="I32" s="259">
        <f>IF(ISNA(VLOOKUP("USAP",EDW_FEEDER!$T$2:$AH$86,8,FALSE))=TRUE,"",VLOOKUP("USAP",EDW_FEEDER!$T$2:$AH$86,8,FALSE))</f>
        <v>63.6</v>
      </c>
      <c r="J32" s="261"/>
      <c r="K32" s="260">
        <f>IF(ISNA(VLOOKUP("USA PMCs",Accuracy!$AD$70:$AQ$73,6,FALSE))=TRUE,"",VLOOKUP("USA PMCs",Accuracy!$AD$70:$AQ$73,6,FALSE))</f>
        <v>1</v>
      </c>
      <c r="L32" s="260">
        <f>IF(ISNA(VLOOKUP("USA PMCs",Accuracy!$AD$70:$AQ$73,9,FALSE))=TRUE,"",VLOOKUP("USA PMCs",Accuracy!$AD$70:$AQ$73,9,FALSE))</f>
        <v>0.996</v>
      </c>
      <c r="M32" s="290">
        <f>IF(ISNA(VLOOKUP("USA PMCs",Accuracy!$AD$70:$AQ$73,12,FALSE))=TRUE,"",VLOOKUP("USA PMCs",Accuracy!$AD$70:$AQ$73,12,FALSE))</f>
        <v>0.99070000000000003</v>
      </c>
    </row>
    <row r="33" spans="1:16" x14ac:dyDescent="0.2">
      <c r="B33" s="116" t="s">
        <v>245</v>
      </c>
      <c r="C33" s="258">
        <f>IF(ISNA(VLOOKUP($B33,EDW_FEEDER!$T$2:$AH$86,2,FALSE))=TRUE,"",VLOOKUP($B33,EDW_FEEDER!$T$2:$AH$86,2,FALSE))</f>
        <v>7549</v>
      </c>
      <c r="D33" s="259">
        <f>IF(ISNA(VLOOKUP(B33,EDW_FEEDER!$T$2:$AH$86,3,FALSE))=TRUE,"",VLOOKUP(B33,EDW_FEEDER!$T$2:$AH$86,3,FALSE))</f>
        <v>67.599999999999994</v>
      </c>
      <c r="E33" s="260">
        <f>IF(ISNA(VLOOKUP(B33,EDW_FEEDER!$T$2:$AH$86,4,FALSE))=TRUE,"",VLOOKUP(B33,EDW_FEEDER!$T$2:$AH$870,4,FALSE))</f>
        <v>0.1273</v>
      </c>
      <c r="F33" s="258">
        <f>IF(ISNA(VLOOKUP(B33,EDW_FEEDER!$T$2:$AH$86,5,FALSE))=TRUE,"",VLOOKUP(B33,EDW_FEEDER!$T$2:$AH$86,5,FALSE))</f>
        <v>1220</v>
      </c>
      <c r="G33" s="258">
        <f>IF(ISNA(VLOOKUP(B33,EDW_FEEDER!$T$2:$AH$86,6,FALSE))=TRUE,"",VLOOKUP(B33,EDW_FEEDER!$T$2:$AH$86,6,FALSE))</f>
        <v>11797</v>
      </c>
      <c r="H33" s="259">
        <f>IF(ISNA(VLOOKUP(B33,EDW_FEEDER!$T$2:$AH$86,7,FALSE))=TRUE,"",VLOOKUP(B33,EDW_FEEDER!$T$2:$AH$86,7,FALSE))</f>
        <v>83.8</v>
      </c>
      <c r="I33" s="259">
        <f>IF(ISNA(VLOOKUP(B33,EDW_FEEDER!$T$2:$AH$86,8,FALSE))=TRUE,"",VLOOKUP(B33,EDW_FEEDER!$T$2:$AH$86,8,FALSE))</f>
        <v>72.400000000000006</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0.9839</v>
      </c>
    </row>
    <row r="34" spans="1:16" x14ac:dyDescent="0.2">
      <c r="A34" s="16"/>
      <c r="B34" s="116" t="s">
        <v>243</v>
      </c>
      <c r="C34" s="258">
        <f>IF(ISNA(VLOOKUP($B34,EDW_FEEDER!$T$2:$AH$86,2,FALSE))=TRUE,"",VLOOKUP($B34,EDW_FEEDER!$T$2:$AH$86,2,FALSE))</f>
        <v>4875</v>
      </c>
      <c r="D34" s="259">
        <f>IF(ISNA(VLOOKUP(B34,EDW_FEEDER!$T$2:$AH$86,3,FALSE))=TRUE,"",VLOOKUP(B34,EDW_FEEDER!$T$2:$AH$86,3,FALSE))</f>
        <v>55.5</v>
      </c>
      <c r="E34" s="260">
        <f>IF(ISNA(VLOOKUP(B34,EDW_FEEDER!$T$2:$AH$86,4,FALSE))=TRUE,"",VLOOKUP(B34,EDW_FEEDER!$T$2:$AH$870,4,FALSE))</f>
        <v>8.4099999999999994E-2</v>
      </c>
      <c r="F34" s="258">
        <f>IF(ISNA(VLOOKUP(B34,EDW_FEEDER!$T$2:$AH$86,5,FALSE))=TRUE,"",VLOOKUP(B34,EDW_FEEDER!$T$2:$AH$86,5,FALSE))</f>
        <v>962</v>
      </c>
      <c r="G34" s="258">
        <f>IF(ISNA(VLOOKUP(B34,EDW_FEEDER!$T$2:$AH$86,6,FALSE))=TRUE,"",VLOOKUP(B34,EDW_FEEDER!$T$2:$AH$86,6,FALSE))</f>
        <v>10833</v>
      </c>
      <c r="H34" s="259">
        <f>IF(ISNA(VLOOKUP(B34,EDW_FEEDER!$T$2:$AH$86,7,FALSE))=TRUE,"",VLOOKUP(B34,EDW_FEEDER!$T$2:$AH$86,7,FALSE))</f>
        <v>60.6</v>
      </c>
      <c r="I34" s="259">
        <f>IF(ISNA(VLOOKUP(B34,EDW_FEEDER!$T$2:$AH$86,8,FALSE))=TRUE,"",VLOOKUP(B34,EDW_FEEDER!$T$2:$AH$86,8,FALSE))</f>
        <v>55.9</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
      <c r="B35" s="116" t="s">
        <v>251</v>
      </c>
      <c r="C35" s="258">
        <f>IF(ISNA(VLOOKUP($B35,EDW_FEEDER!$T$2:$AH$86,2,FALSE))=TRUE,"",VLOOKUP($B35,EDW_FEEDER!$T$2:$AH$86,2,FALSE))</f>
        <v>6516</v>
      </c>
      <c r="D35" s="259">
        <f>IF(ISNA(VLOOKUP(B35,EDW_FEEDER!$T$2:$AH$86,3,FALSE))=TRUE,"",VLOOKUP(B35,EDW_FEEDER!$T$2:$AH$86,3,FALSE))</f>
        <v>54.8</v>
      </c>
      <c r="E35" s="260">
        <f>IF(ISNA(VLOOKUP(B35,EDW_FEEDER!$T$2:$AH$86,4,FALSE))=TRUE,"",VLOOKUP(B35,EDW_FEEDER!$T$2:$AH$870,4,FALSE))</f>
        <v>6.3380000000000006E-2</v>
      </c>
      <c r="F35" s="258">
        <f>IF(ISNA(VLOOKUP(B35,EDW_FEEDER!$T$2:$AH$86,5,FALSE))=TRUE,"",VLOOKUP(B35,EDW_FEEDER!$T$2:$AH$86,5,FALSE))</f>
        <v>1370</v>
      </c>
      <c r="G35" s="258">
        <f>IF(ISNA(VLOOKUP(B35,EDW_FEEDER!$T$2:$AH$86,6,FALSE))=TRUE,"",VLOOKUP(B35,EDW_FEEDER!$T$2:$AH$86,6,FALSE))</f>
        <v>15314</v>
      </c>
      <c r="H35" s="259">
        <f>IF(ISNA(VLOOKUP(B35,EDW_FEEDER!$T$2:$AH$86,7,FALSE))=TRUE,"",VLOOKUP(B35,EDW_FEEDER!$T$2:$AH$86,7,FALSE))</f>
        <v>65.7</v>
      </c>
      <c r="I35" s="259">
        <f>IF(ISNA(VLOOKUP(B35,EDW_FEEDER!$T$2:$AH$86,8,FALSE))=TRUE,"",VLOOKUP(B35,EDW_FEEDER!$T$2:$AH$86,8,FALSE))</f>
        <v>62.9</v>
      </c>
      <c r="J35" s="261"/>
      <c r="K35" s="260">
        <f>IF(ISNA(VLOOKUP(B35,Accuracy!$AD$70:$AQ$73,6,FALSE))=TRUE,"",VLOOKUP(B35,Accuracy!$AD$70:$AQ$73,6,FALSE))</f>
        <v>1</v>
      </c>
      <c r="L35" s="260">
        <f>IF(ISNA(VLOOKUP(B35,Accuracy!$AD$70:$AQ$73,9,FALSE))=TRUE,"",VLOOKUP(B35,Accuracy!$AD$70:$AQ$73,9,FALSE))</f>
        <v>1</v>
      </c>
      <c r="M35" s="290">
        <f>IF(ISNA(VLOOKUP(B35,Accuracy!$AD$70:$AQ$73,12,FALSE))=TRUE,"",VLOOKUP(B35,Accuracy!$AD$70:$AQ$73,12,FALSE))</f>
        <v>0.996</v>
      </c>
    </row>
    <row r="36" spans="1:16" x14ac:dyDescent="0.2">
      <c r="B36" s="117" t="s">
        <v>433</v>
      </c>
      <c r="C36" s="258">
        <f>IF(ISNA(VLOOKUP($B36,EDW_FEEDER!$T$2:$AH$86,2,FALSE))=TRUE,"",VLOOKUP($B36,EDW_FEEDER!$T$2:$AH$86,2,FALSE))</f>
        <v>674</v>
      </c>
      <c r="D36" s="259">
        <f>IF(ISNA(VLOOKUP(B36,EDW_FEEDER!$T$2:$AH$86,3,FALSE))=TRUE,"",VLOOKUP(B36,EDW_FEEDER!$T$2:$AH$86,3,FALSE))</f>
        <v>178</v>
      </c>
      <c r="E36" s="260">
        <f>IF(ISNA(VLOOKUP(B36,EDW_FEEDER!$T$2:$AH$86,4,FALSE))=TRUE,"",VLOOKUP(B36,EDW_FEEDER!$T$2:$AH$870,4,FALSE))</f>
        <v>0.55637999999999999</v>
      </c>
      <c r="F36" s="258">
        <f>IF(ISNA(VLOOKUP(B36,EDW_FEEDER!$T$2:$AH$86,5,FALSE))=TRUE,"",VLOOKUP(B36,EDW_FEEDER!$T$2:$AH$86,5,FALSE))</f>
        <v>128</v>
      </c>
      <c r="G36" s="258">
        <f>IF(ISNA(VLOOKUP(B36,EDW_FEEDER!$T$2:$AH$86,6,FALSE))=TRUE,"",VLOOKUP(B36,EDW_FEEDER!$T$2:$AH$86,6,FALSE))</f>
        <v>1577</v>
      </c>
      <c r="H36" s="259">
        <f>IF(ISNA(VLOOKUP(B36,EDW_FEEDER!$T$2:$AH$86,7,FALSE))=TRUE,"",VLOOKUP(B36,EDW_FEEDER!$T$2:$AH$86,7,FALSE))</f>
        <v>56.2</v>
      </c>
      <c r="I36" s="259">
        <f>IF(ISNA(VLOOKUP(B36,EDW_FEEDER!$T$2:$AH$86,8,FALSE))=TRUE,"",VLOOKUP(B36,EDW_FEEDER!$T$2:$AH$86,8,FALSE))</f>
        <v>57.1</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10298</v>
      </c>
      <c r="D38" s="259">
        <f>IF(ISNA(VLOOKUP("USAQ",EDW_FEEDER!$T$2:$AH$86,3,FALSE))=TRUE,"",VLOOKUP("USAQ",EDW_FEEDER!$T$2:$AH$86,3,FALSE))</f>
        <v>92.1</v>
      </c>
      <c r="E38" s="260">
        <f>IF(ISNA(VLOOKUP("USAQ",EDW_FEEDER!$T$2:$AH$86,4,FALSE))=TRUE,"",VLOOKUP("USAQ",EDW_FEEDER!$T$2:$AH$86,4,FALSE))</f>
        <v>0.28481000000000001</v>
      </c>
      <c r="F38" s="258">
        <f>IF(ISNA(VLOOKUP("USAQ",EDW_FEEDER!$T$2:$AH$86,5,FALSE))=TRUE,"",VLOOKUP("USAQ",EDW_FEEDER!$T$2:$AH$86,5,FALSE))</f>
        <v>563</v>
      </c>
      <c r="G38" s="258">
        <f>IF(ISNA(VLOOKUP("USAQ",EDW_FEEDER!$T$2:$AH$86,6,FALSE))=TRUE,"",VLOOKUP("USAQ",EDW_FEEDER!$T$2:$AH$86,6,FALSE))</f>
        <v>6645</v>
      </c>
      <c r="H38" s="259">
        <f>IF(ISNA(VLOOKUP("USAQ",EDW_FEEDER!$T$2:$AH$86,7,FALSE))=TRUE,"",VLOOKUP("USAQ",EDW_FEEDER!$T$2:$AH$86,7,FALSE))</f>
        <v>143</v>
      </c>
      <c r="I38" s="259">
        <f>IF(ISNA(VLOOKUP("USAQ",EDW_FEEDER!$T$2:$AH$86,8,FALSE))=TRUE,"",VLOOKUP("USAQ",EDW_FEEDER!$T$2:$AH$86,8,FALSE))</f>
        <v>124.8</v>
      </c>
      <c r="J38" s="261"/>
      <c r="K38" s="261"/>
      <c r="L38" s="261"/>
      <c r="M38" s="261"/>
    </row>
    <row r="39" spans="1:16" x14ac:dyDescent="0.2">
      <c r="B39" s="221" t="s">
        <v>85</v>
      </c>
      <c r="C39" s="258">
        <f>IF(ISNA(VLOOKUP("San Diego QS",EDW_FEEDER!$T$2:$AH$86,2,FALSE))=TRUE,"",VLOOKUP("San Diego QS",EDW_FEEDER!$T$2:$AH$86,2,FALSE))</f>
        <v>3008</v>
      </c>
      <c r="D39" s="259">
        <f>IF(ISNA(VLOOKUP("San Diego QS",EDW_FEEDER!$T$2:$AH$86,3,FALSE))=TRUE,"",VLOOKUP("San Diego QS",EDW_FEEDER!$T$2:$AH$86,3,FALSE))</f>
        <v>97.3</v>
      </c>
      <c r="E39" s="260">
        <f>IF(ISNA(VLOOKUP("San Diego QS",EDW_FEEDER!$T$2:$AH$86,4,FALSE))=TRUE,"",VLOOKUP("San Diego QS",EDW_FEEDER!$T$2:$AH$86,4,FALSE))</f>
        <v>0.31881999999999999</v>
      </c>
      <c r="F39" s="258">
        <f>IF(ISNA(VLOOKUP("San Diego QS",EDW_FEEDER!$T$2:$AH$86,5,FALSE))=TRUE,"",VLOOKUP("San Diego QS",EDW_FEEDER!$T$2:$AH$86,5,FALSE))</f>
        <v>271</v>
      </c>
      <c r="G39" s="258">
        <f>IF(ISNA(VLOOKUP("San Diego QS",EDW_FEEDER!$T$2:$AH$86,6,FALSE))=TRUE,"",VLOOKUP("San Diego QS",EDW_FEEDER!$T$2:$AH$86,6,FALSE))</f>
        <v>3101</v>
      </c>
      <c r="H39" s="259">
        <f>IF(ISNA(VLOOKUP("San Diego QS",EDW_FEEDER!$T$2:$AH$86,7,FALSE))=TRUE,"",VLOOKUP("San Diego QS",EDW_FEEDER!$T$2:$AH$86,7,FALSE))</f>
        <v>137.30000000000001</v>
      </c>
      <c r="I39" s="259">
        <f>IF(ISNA(VLOOKUP("San Diego QS",EDW_FEEDER!$T$2:$AH$86,8,FALSE))=TRUE,"",VLOOKUP("San Diego QS",EDW_FEEDER!$T$2:$AH$86,8,FALSE))</f>
        <v>111.7</v>
      </c>
      <c r="J39" s="261"/>
      <c r="K39" s="261"/>
      <c r="L39" s="261"/>
      <c r="M39" s="261"/>
      <c r="N39" s="49"/>
      <c r="O39" s="49"/>
      <c r="P39" s="49"/>
    </row>
    <row r="40" spans="1:16" x14ac:dyDescent="0.2">
      <c r="B40" s="221" t="s">
        <v>97</v>
      </c>
      <c r="C40" s="258">
        <f>IF(ISNA(VLOOKUP("Winston-Salem QS",EDW_FEEDER!$T$2:$AH$86,2,FALSE))=TRUE,"",VLOOKUP("Winston-Salem QS",EDW_FEEDER!$T$2:$AH$86,2,FALSE))</f>
        <v>4558</v>
      </c>
      <c r="D40" s="259">
        <f>IF(ISNA(VLOOKUP("Winston-Salem QS",EDW_FEEDER!$T$2:$AH$86,3,FALSE))=TRUE,"",VLOOKUP("Winston-Salem QS",EDW_FEEDER!$T$2:$AH$86,3,FALSE))</f>
        <v>100.9</v>
      </c>
      <c r="E40" s="260">
        <f>IF(ISNA(VLOOKUP("Winston-Salem QS",EDW_FEEDER!$T$2:$AH$86,4,FALSE))=TRUE,"",VLOOKUP("Winston-Salem QS",EDW_FEEDER!$T$2:$AH$86,4,FALSE))</f>
        <v>0.33238000000000001</v>
      </c>
      <c r="F40" s="258">
        <f>IF(ISNA(VLOOKUP("Winston-Salem QS",EDW_FEEDER!$T$2:$AH$86,5,FALSE))=TRUE,"",VLOOKUP("Winston-Salem QS",EDW_FEEDER!$T$2:$AH$86,5,FALSE))</f>
        <v>209</v>
      </c>
      <c r="G40" s="258">
        <f>IF(ISNA(VLOOKUP("Winston-Salem QS",EDW_FEEDER!$T$2:$AH$86,6,FALSE))=TRUE,"",VLOOKUP("Winston-Salem QS",EDW_FEEDER!$T$2:$AH$86,6,FALSE))</f>
        <v>2956</v>
      </c>
      <c r="H40" s="259">
        <f>IF(ISNA(VLOOKUP("Winston-Salem QS",EDW_FEEDER!$T$2:$AH$86,7,FALSE))=TRUE,"",VLOOKUP("Winston-Salem QS",EDW_FEEDER!$T$2:$AH$870,7,FALSE))</f>
        <v>151.80000000000001</v>
      </c>
      <c r="I40" s="259">
        <f>IF(ISNA(VLOOKUP("Winston-Salem QS",EDW_FEEDER!$T$2:$AH$86,8,FALSE))=TRUE,"",VLOOKUP("Winston-Salem QS",EDW_FEEDER!$T$2:$AH$86,8,FALSE))</f>
        <v>136.6</v>
      </c>
      <c r="J40" s="261"/>
      <c r="K40" s="261"/>
      <c r="L40" s="261"/>
      <c r="M40" s="261"/>
      <c r="N40" s="87"/>
      <c r="O40" s="88"/>
      <c r="P40" s="88"/>
    </row>
    <row r="41" spans="1:16" x14ac:dyDescent="0.2">
      <c r="B41" s="115" t="s">
        <v>432</v>
      </c>
      <c r="C41" s="258">
        <f>IF(ISNA(VLOOKUP(B41,EDW_FEEDER!$T$2:$AH$86,2,FALSE))=TRUE,"",VLOOKUP(B41,EDW_FEEDER!$T$2:$AH$86,2,FALSE))</f>
        <v>2732</v>
      </c>
      <c r="D41" s="259">
        <f>IF(ISNA(VLOOKUP(B41,EDW_FEEDER!$T$2:$AH$86,3,FALSE))=TRUE,"",VLOOKUP(B41,EDW_FEEDER!$T$2:$AH$86,3,FALSE))</f>
        <v>71.599999999999994</v>
      </c>
      <c r="E41" s="260">
        <f>IF(ISNA(VLOOKUP(B41,EDW_FEEDER!$T$2:$AH$86,4,FALSE))=TRUE,"",VLOOKUP(B41,EDW_FEEDER!$T$2:$AH$86,4,FALSE))</f>
        <v>0.16800999999999999</v>
      </c>
      <c r="F41" s="258">
        <f>IF(ISNA(VLOOKUP(B41,EDW_FEEDER!$T$2:$AH$86,5,FALSE))=TRUE,"",VLOOKUP(B41,EDW_FEEDER!$T$2:$AH$86,5,FALSE))</f>
        <v>83</v>
      </c>
      <c r="G41" s="258">
        <f>IF(ISNA(VLOOKUP(B41,EDW_FEEDER!$T$2:$AH$86,6,FALSE))=TRUE,"",VLOOKUP(B41,EDW_FEEDER!$T$2:$AH$86,6,FALSE))</f>
        <v>588</v>
      </c>
      <c r="H41" s="259">
        <f>IF(ISNA(VLOOKUP(B41,EDW_FEEDER!$T$2:$AH$86,7,FALSE))=TRUE,"",VLOOKUP(B41,EDW_FEEDER!$T$2:$AH$870,7,FALSE))</f>
        <v>139.19999999999999</v>
      </c>
      <c r="I41" s="259">
        <f>IF(ISNA(VLOOKUP(B41,EDW_FEEDER!$T$2:$AH$86,8,FALSE))=TRUE,"",VLOOKUP(B41,EDW_FEEDER!$T$2:$AH$86,8,FALSE))</f>
        <v>134.5</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11248</v>
      </c>
      <c r="D43" s="259">
        <f>IF(ISNA(VLOOKUP("USAB",EDW_FEEDER!$T$2:$AH$86,3,FALSE))=TRUE,"",VLOOKUP("USAB",EDW_FEEDER!$T$2:$AH$86,3,FALSE))</f>
        <v>95</v>
      </c>
      <c r="E43" s="260">
        <f>IF(ISNA(VLOOKUP("USAB",EDW_FEEDER!$T$2:$AH$86,4,FALSE))=TRUE,"",VLOOKUP("USAB",EDW_FEEDER!$T$2:$AH$86,4,FALSE))</f>
        <v>0.31028</v>
      </c>
      <c r="F43" s="258">
        <f>IF(ISNA(VLOOKUP("USAB",EDW_FEEDER!$T$2:$AH$86,5,FALSE))=TRUE,"",VLOOKUP("USAB",EDW_FEEDER!$T$2:$AH$86,5,FALSE))</f>
        <v>521</v>
      </c>
      <c r="G43" s="258">
        <f>IF(ISNA(VLOOKUP("USAB",EDW_FEEDER!$T$2:$AH$86,6,FALSE))=TRUE,"",VLOOKUP("USAB",EDW_FEEDER!$T$2:$AH$870,6,FALSE))</f>
        <v>6722</v>
      </c>
      <c r="H43" s="259">
        <f>IF(ISNA(VLOOKUP("USAB",EDW_FEEDER!$T$2:$AH$86,7,FALSE))=TRUE,"",VLOOKUP("USAB",EDW_FEEDER!$T$2:$AH$86,7,FALSE))</f>
        <v>157.4</v>
      </c>
      <c r="I43" s="259">
        <f>IF(ISNA(VLOOKUP("USAB",EDW_FEEDER!$T$2:$AH$86,8,FALSE))=TRUE,"",VLOOKUP("USAB",EDW_FEEDER!$T$2:$AH$86,8,FALSE))</f>
        <v>148</v>
      </c>
      <c r="J43" s="261"/>
      <c r="K43" s="261"/>
      <c r="L43" s="261"/>
      <c r="M43" s="261"/>
      <c r="N43" s="87"/>
      <c r="O43" s="88"/>
      <c r="P43" s="88"/>
    </row>
    <row r="44" spans="1:16" x14ac:dyDescent="0.2">
      <c r="B44" s="221" t="s">
        <v>97</v>
      </c>
      <c r="C44" s="258">
        <f>IF(ISNA(VLOOKUP("Winston-Salem BDD",EDW_FEEDER!$T$2:$AH$86,2,FALSE))=TRUE,"",VLOOKUP("Winston-Salem BDD",EDW_FEEDER!$T$2:$AH$86,2,FALSE))</f>
        <v>3902</v>
      </c>
      <c r="D44" s="259">
        <f>IF(ISNA(VLOOKUP("Winston-Salem BDD",EDW_FEEDER!$T$2:$AH$86,3,FALSE))=TRUE,"",VLOOKUP("Winston-Salem BDD",EDW_FEEDER!$T$2:$AH$86,3,FALSE))</f>
        <v>79.900000000000006</v>
      </c>
      <c r="E44" s="260">
        <f>IF(ISNA(VLOOKUP("Winston-Salem BDD",EDW_FEEDER!$T$2:$AH$86,4,FALSE))=TRUE,"",VLOOKUP("Winston-Salem BDD",EDW_FEEDER!$T$2:$AH$86,4,FALSE))</f>
        <v>0.20169000000000001</v>
      </c>
      <c r="F44" s="258">
        <f>IF(ISNA(VLOOKUP("Winston-Salem BDD",EDW_FEEDER!$T$2:$AH$86,5,FALSE))=TRUE,"",VLOOKUP("Winston-Salem BDD",EDW_FEEDER!$T$2:$AH$86,5,FALSE))</f>
        <v>165</v>
      </c>
      <c r="G44" s="258">
        <f>IF(ISNA(VLOOKUP("Winston-Salem BDD",EDW_FEEDER!$T$2:$AH$86,6,FALSE))=TRUE,"",VLOOKUP("Winston-Salem BDD",EDW_FEEDER!$T$2:$AH$870,6,FALSE))</f>
        <v>2591</v>
      </c>
      <c r="H44" s="259">
        <f>IF(ISNA(VLOOKUP("Winston-Salem BDD",EDW_FEEDER!$T$2:$AH$86,7,FALSE))=TRUE,"",VLOOKUP("Winston-Salem BDD",EDW_FEEDER!$T$2:$AH$86,7,FALSE))</f>
        <v>113.7</v>
      </c>
      <c r="I44" s="259">
        <f>IF(ISNA(VLOOKUP("Winston-Salem BDD",EDW_FEEDER!$T$2:$AH$86,8,FALSE))=TRUE,"",VLOOKUP("Winston-Salem BDD",EDW_FEEDER!$T$2:$AH$86,8,FALSE))</f>
        <v>94</v>
      </c>
      <c r="J44" s="261"/>
      <c r="K44" s="261"/>
      <c r="L44" s="261"/>
      <c r="M44" s="261"/>
    </row>
    <row r="45" spans="1:16" x14ac:dyDescent="0.2">
      <c r="B45" s="221" t="s">
        <v>84</v>
      </c>
      <c r="C45" s="258">
        <f>IF(ISNA(VLOOKUP("Salt Lake City BDD",EDW_FEEDER!$T$2:$AH$86,2,FALSE))=TRUE,"",VLOOKUP("Salt Lake City BDD",EDW_FEEDER!$T$2:$AH$86,2,FALSE))</f>
        <v>5447</v>
      </c>
      <c r="D45" s="259">
        <f>IF(ISNA(VLOOKUP("Salt Lake City BDD",EDW_FEEDER!$T$2:$AH$86,3,FALSE))=TRUE,"",VLOOKUP("Salt Lake City BDD",EDW_FEEDER!$T$2:$AH$86,3,FALSE))</f>
        <v>110.4</v>
      </c>
      <c r="E45" s="260">
        <f>IF(ISNA(VLOOKUP("Salt Lake City BDD",EDW_FEEDER!$T$2:$AH$86,4,FALSE))=TRUE,"",VLOOKUP("Salt Lake City BDD",EDW_FEEDER!$T$2:$AH$86,4,FALSE))</f>
        <v>0.41674</v>
      </c>
      <c r="F45" s="258">
        <f>IF(ISNA(VLOOKUP("Salt Lake City BDD",EDW_FEEDER!$T$2:$AH$86,5,FALSE))=TRUE,"",VLOOKUP("Salt Lake City BDD",EDW_FEEDER!$T$2:$AH$86,5,FALSE))</f>
        <v>293</v>
      </c>
      <c r="G45" s="258">
        <f>IF(ISNA(VLOOKUP("Salt Lake City BDD",EDW_FEEDER!$T$2:$AH$86,6,FALSE))=TRUE,"",VLOOKUP("Salt Lake City BDD",EDW_FEEDER!$T$2:$AH$86,6,FALSE))</f>
        <v>3601</v>
      </c>
      <c r="H45" s="259">
        <f>IF(ISNA(VLOOKUP("Salt Lake City BDD",EDW_FEEDER!$T$2:$AH$86,7,FALSE))=TRUE,"",VLOOKUP("Salt Lake City BDD",EDW_FEEDER!$T$2:$AH$870,7,FALSE))</f>
        <v>174.3</v>
      </c>
      <c r="I45" s="259">
        <f>IF(ISNA(VLOOKUP("Salt Lake City BDD",EDW_FEEDER!$T$2:$AH$86,8,FALSE))=TRUE,"",VLOOKUP("Salt Lake City BDD",EDW_FEEDER!$T$2:$AH$86,8,FALSE))</f>
        <v>184.3</v>
      </c>
      <c r="J45" s="261"/>
      <c r="K45" s="261"/>
      <c r="L45" s="261"/>
      <c r="M45" s="261"/>
    </row>
    <row r="46" spans="1:16" x14ac:dyDescent="0.2">
      <c r="B46" s="115" t="s">
        <v>434</v>
      </c>
      <c r="C46" s="258">
        <f>IF(ISNA(VLOOKUP(B46,EDW_FEEDER!$T$2:$AH$86,2,FALSE))=TRUE,"",VLOOKUP(B46,EDW_FEEDER!$T$2:$AH$86,2,FALSE))</f>
        <v>1899</v>
      </c>
      <c r="D46" s="259">
        <f>IF(ISNA(VLOOKUP(B46,EDW_FEEDER!$T$2:$AH$86,3,FALSE))=TRUE,"",VLOOKUP(B46,EDW_FEEDER!$T$2:$AH$86,3,FALSE))</f>
        <v>81.900000000000006</v>
      </c>
      <c r="E46" s="260">
        <f>IF(ISNA(VLOOKUP(B46,EDW_FEEDER!$T$2:$AH$86,4,FALSE))=TRUE,"",VLOOKUP(B46,EDW_FEEDER!$T$2:$AH$86,4,FALSE))</f>
        <v>0.22800999999999999</v>
      </c>
      <c r="F46" s="258">
        <f>IF(ISNA(VLOOKUP(B46,EDW_FEEDER!$T$2:$AH$86,5,FALSE))=TRUE,"",VLOOKUP(B46,EDW_FEEDER!$T$2:$AH$86,5,FALSE))</f>
        <v>63</v>
      </c>
      <c r="G46" s="258">
        <f>IF(ISNA(VLOOKUP(B46,EDW_FEEDER!$T$2:$AH$86,6,FALSE))=TRUE,"",VLOOKUP(B46,EDW_FEEDER!$T$2:$AH$86,6,FALSE))</f>
        <v>530</v>
      </c>
      <c r="H46" s="259">
        <f>IF(ISNA(VLOOKUP(B46,EDW_FEEDER!$T$2:$AH$86,7,FALSE))=TRUE,"",VLOOKUP(B46,EDW_FEEDER!$T$2:$AH$870,7,FALSE))</f>
        <v>193.5</v>
      </c>
      <c r="I46" s="259">
        <f>IF(ISNA(VLOOKUP(B46,EDW_FEEDER!$T$2:$AH$86,8,FALSE))=TRUE,"",VLOOKUP(B46,EDW_FEEDER!$T$2:$AH$86,8,FALSE))</f>
        <v>165.1</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10,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520258</v>
      </c>
      <c r="D11" s="259">
        <f>IF(ISNA(VLOOKUP(B11,EDW_FEEDER!$T$2:$AH$86,10,FALSE))=TRUE,"",VLOOKUP(B11,EDW_FEEDER!$T$2:$AH$86,10,FALSE))</f>
        <v>149.6</v>
      </c>
      <c r="E11" s="260">
        <f>IF(ISNA(VLOOKUP(B11,EDW_FEEDER!$T$2:$AH$86,11,FALSE))=TRUE,"",VLOOKUP(B11,EDW_FEEDER!$T$2:$AH$870,11,FALSE))</f>
        <v>0.48222999999999999</v>
      </c>
      <c r="F11" s="258">
        <f>IF(ISNA(VLOOKUP(B11,EDW_FEEDER!$T$2:$AH$86,12,FALSE))=TRUE,"",VLOOKUP(B11,EDW_FEEDER!$T$2:$AH$86,12,FALSE))</f>
        <v>28704</v>
      </c>
      <c r="G11" s="258">
        <f>IF(ISNA(VLOOKUP(B11,EDW_FEEDER!$T$2:$AH$86,13,FALSE))=TRUE,"",VLOOKUP(B11,EDW_FEEDER!$T$2:$AH$86,13,FALSE))</f>
        <v>335507</v>
      </c>
      <c r="H11" s="259">
        <f>IF(ISNA(VLOOKUP(B11,EDW_FEEDER!$T$2:$AH$86,14,FALSE))=TRUE,"",VLOOKUP(B11,EDW_FEEDER!$T$2:$AH$86,14,FALSE))</f>
        <v>185.3</v>
      </c>
      <c r="I11" s="259">
        <f>IF(ISNA(VLOOKUP(B11,EDW_FEEDER!$T$2:$AH$86,15,FALSE))=TRUE,"",VLOOKUP(B11,EDW_FEEDER!$T$2:$AH$86,15,FALSE))</f>
        <v>185.6</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479098</v>
      </c>
      <c r="D13" s="259">
        <f>IF(ISNA(VLOOKUP("USAV",EDW_FEEDER!$T$2:$AH$86,10,FALSE))=TRUE,"",VLOOKUP("USAV",EDW_FEEDER!$T$2:$AH$86,10,FALSE))</f>
        <v>155.69999999999999</v>
      </c>
      <c r="E13" s="260">
        <f>IF(ISNA(VLOOKUP("USAV",EDW_FEEDER!$T$2:$AH$86,11,FALSE))=TRUE,"",VLOOKUP("USAV",EDW_FEEDER!$T$2:$AH$870,11,FALSE))</f>
        <v>0.50573999999999997</v>
      </c>
      <c r="F13" s="258">
        <f>IF(ISNA(VLOOKUP("USAV",EDW_FEEDER!$T$2:$AH$86,12,FALSE))=TRUE,"",VLOOKUP("USAV",EDW_FEEDER!$T$2:$AH$86,12,FALSE))</f>
        <v>23940</v>
      </c>
      <c r="G13" s="258">
        <f>IF(ISNA(VLOOKUP("USAV",EDW_FEEDER!$T$2:$AH$86,13,FALSE))=TRUE,"",VLOOKUP("USAV",EDW_FEEDER!$T$2:$AH$86,13,FALSE))</f>
        <v>282619</v>
      </c>
      <c r="H13" s="259">
        <f>IF(ISNA(VLOOKUP("USAV",EDW_FEEDER!$T$2:$AH$86,14,FALSE))=TRUE,"",VLOOKUP("USAV",EDW_FEEDER!$T$2:$AH$86,14,FALSE))</f>
        <v>204.7</v>
      </c>
      <c r="I13" s="259">
        <f>IF(ISNA(VLOOKUP("USAV",EDW_FEEDER!$T$2:$AH$86,15,FALSE))=TRUE,"",VLOOKUP("USAV",EDW_FEEDER!$T$2:$AH$86,15,FALSE))</f>
        <v>205</v>
      </c>
      <c r="J13" s="105"/>
      <c r="K13" s="105"/>
      <c r="L13" s="105"/>
      <c r="M13" s="105"/>
      <c r="P13" s="190" t="s">
        <v>9</v>
      </c>
    </row>
    <row r="14" spans="2:16" x14ac:dyDescent="0.2">
      <c r="B14" s="223" t="s">
        <v>149</v>
      </c>
      <c r="C14" s="258">
        <f>IF(ISNA(VLOOKUP($B14,EDW_FEEDER!$T$2:$AH$86,9,FALSE))=TRUE,"",VLOOKUP($B14,EDW_FEEDER!$T$2:$AH$86,9,FALSE))</f>
        <v>98841</v>
      </c>
      <c r="D14" s="259">
        <f>IF(ISNA(VLOOKUP(B14,EDW_FEEDER!$T$2:$AH$86,10,FALSE))=TRUE,"",VLOOKUP(B14,EDW_FEEDER!$T$2:$AH$86,10,FALSE))</f>
        <v>152.4</v>
      </c>
      <c r="E14" s="260">
        <f>IF(ISNA(VLOOKUP(B14,EDW_FEEDER!$T$2:$AH$86,11,FALSE))=TRUE,"",VLOOKUP(B14,EDW_FEEDER!$T$2:$AH$870,11,FALSE))</f>
        <v>0.48781999999999998</v>
      </c>
      <c r="F14" s="258">
        <f>IF(ISNA(VLOOKUP(B14,EDW_FEEDER!$T$2:$AH$86,12,FALSE))=TRUE,"",VLOOKUP(B14,EDW_FEEDER!$T$2:$AH$86,12,FALSE))</f>
        <v>5220</v>
      </c>
      <c r="G14" s="258">
        <f>IF(ISNA(VLOOKUP(B14,EDW_FEEDER!$T$2:$AH$86,13,FALSE))=TRUE,"",VLOOKUP(B14,EDW_FEEDER!$T$2:$AH$86,13,FALSE))</f>
        <v>57160</v>
      </c>
      <c r="H14" s="259">
        <f>IF(ISNA(VLOOKUP(B14,EDW_FEEDER!$T$2:$AH$86,14,FALSE))=TRUE,"",VLOOKUP(B14,EDW_FEEDER!$T$2:$AH$86,14,FALSE))</f>
        <v>198.3</v>
      </c>
      <c r="I14" s="259">
        <f>IF(ISNA(VLOOKUP(B14,EDW_FEEDER!$T$2:$AH$86,15,FALSE))=TRUE,"",VLOOKUP(B14,EDW_FEEDER!$T$2:$AH$86,15,FALSE))</f>
        <v>200</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6747</v>
      </c>
      <c r="D15" s="259">
        <f>IF(ISNA(VLOOKUP(B15,EDW_FEEDER!$T$2:$AH$86,10,FALSE))=TRUE,"",VLOOKUP(B15,EDW_FEEDER!$T$2:$AH$86,10,FALSE))</f>
        <v>186</v>
      </c>
      <c r="E15" s="260">
        <f>IF(ISNA(VLOOKUP(B15,EDW_FEEDER!$T$2:$AH$86,11,FALSE))=TRUE,"",VLOOKUP(B15,EDW_FEEDER!$T$2:$AH$870,11,FALSE))</f>
        <v>0.55728</v>
      </c>
      <c r="F15" s="258">
        <f>IF(ISNA(VLOOKUP(B15,EDW_FEEDER!$T$2:$AH$86,12,FALSE))=TRUE,"",VLOOKUP(B15,EDW_FEEDER!$T$2:$AH$86,12,FALSE))</f>
        <v>54</v>
      </c>
      <c r="G15" s="258">
        <f>IF(ISNA(VLOOKUP(B15,EDW_FEEDER!$T$2:$AH$86,13,FALSE))=TRUE,"",VLOOKUP(B15,EDW_FEEDER!$T$2:$AH$86,13,FALSE))</f>
        <v>1169</v>
      </c>
      <c r="H15" s="259">
        <f>IF(ISNA(VLOOKUP(B15,EDW_FEEDER!$T$2:$AH$86,14,FALSE))=TRUE,"",VLOOKUP(B15,EDW_FEEDER!$T$2:$AH$86,14,FALSE))</f>
        <v>434</v>
      </c>
      <c r="I15" s="259">
        <f>IF(ISNA(VLOOKUP(B15,EDW_FEEDER!$T$2:$AH$86,15,FALSE))=TRUE,"",VLOOKUP(B15,EDW_FEEDER!$T$2:$AH$86,15,FALSE))</f>
        <v>377.9</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5793</v>
      </c>
      <c r="D16" s="259">
        <f>IF(ISNA(VLOOKUP(B16,EDW_FEEDER!$T$2:$AH$86,10,FALSE))=TRUE,"",VLOOKUP(B16,EDW_FEEDER!$T$2:$AH$86,10,FALSE))</f>
        <v>157.19999999999999</v>
      </c>
      <c r="E16" s="260">
        <f>IF(ISNA(VLOOKUP(B16,EDW_FEEDER!$T$2:$AH$86,11,FALSE))=TRUE,"",VLOOKUP(B16,EDW_FEEDER!$T$2:$AH$870,11,FALSE))</f>
        <v>0.49940000000000001</v>
      </c>
      <c r="F16" s="258">
        <f>IF(ISNA(VLOOKUP(B16,EDW_FEEDER!$T$2:$AH$86,12,FALSE))=TRUE,"",VLOOKUP(B16,EDW_FEEDER!$T$2:$AH$86,12,FALSE))</f>
        <v>297</v>
      </c>
      <c r="G16" s="258">
        <f>IF(ISNA(VLOOKUP(B16,EDW_FEEDER!$T$2:$AH$86,13,FALSE))=TRUE,"",VLOOKUP(B16,EDW_FEEDER!$T$2:$AH$86,13,FALSE))</f>
        <v>1979</v>
      </c>
      <c r="H16" s="259">
        <f>IF(ISNA(VLOOKUP(B16,EDW_FEEDER!$T$2:$AH$86,14,FALSE))=TRUE,"",VLOOKUP(B16,EDW_FEEDER!$T$2:$AH$86,14,FALSE))</f>
        <v>260.5</v>
      </c>
      <c r="I16" s="259">
        <f>IF(ISNA(VLOOKUP(B16,EDW_FEEDER!$T$2:$AH$86,15,FALSE))=TRUE,"",VLOOKUP(B16,EDW_FEEDER!$T$2:$AH$86,15,FALSE))</f>
        <v>261.5</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6533</v>
      </c>
      <c r="D17" s="259">
        <f>IF(ISNA(VLOOKUP(B17,EDW_FEEDER!$T$2:$AH$86,10,FALSE))=TRUE,"",VLOOKUP(B17,EDW_FEEDER!$T$2:$AH$86,10,FALSE))</f>
        <v>149.1</v>
      </c>
      <c r="E17" s="260">
        <f>IF(ISNA(VLOOKUP(B17,EDW_FEEDER!$T$2:$AH$86,11,FALSE))=TRUE,"",VLOOKUP(B17,EDW_FEEDER!$T$2:$AH$870,11,FALSE))</f>
        <v>0.53405999999999998</v>
      </c>
      <c r="F17" s="258">
        <f>IF(ISNA(VLOOKUP(B17,EDW_FEEDER!$T$2:$AH$86,12,FALSE))=TRUE,"",VLOOKUP(B17,EDW_FEEDER!$T$2:$AH$86,12,FALSE))</f>
        <v>180</v>
      </c>
      <c r="G17" s="258">
        <f>IF(ISNA(VLOOKUP(B17,EDW_FEEDER!$T$2:$AH$86,13,FALSE))=TRUE,"",VLOOKUP(B17,EDW_FEEDER!$T$2:$AH$86,13,FALSE))</f>
        <v>2756</v>
      </c>
      <c r="H17" s="259">
        <f>IF(ISNA(VLOOKUP(B17,EDW_FEEDER!$T$2:$AH$86,14,FALSE))=TRUE,"",VLOOKUP(B17,EDW_FEEDER!$T$2:$AH$86,14,FALSE))</f>
        <v>252.7</v>
      </c>
      <c r="I17" s="259">
        <f>IF(ISNA(VLOOKUP(B17,EDW_FEEDER!$T$2:$AH$86,15,FALSE))=TRUE,"",VLOOKUP(B17,EDW_FEEDER!$T$2:$AH$86,15,FALSE))</f>
        <v>246.9</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11766</v>
      </c>
      <c r="D18" s="259">
        <f>IF(ISNA(VLOOKUP(B18,EDW_FEEDER!$T$2:$AH$86,10,FALSE))=TRUE,"",VLOOKUP(B18,EDW_FEEDER!$T$2:$AH$86,10,FALSE))</f>
        <v>134</v>
      </c>
      <c r="E18" s="260">
        <f>IF(ISNA(VLOOKUP(B18,EDW_FEEDER!$T$2:$AH$86,11,FALSE))=TRUE,"",VLOOKUP(B18,EDW_FEEDER!$T$2:$AH$870,11,FALSE))</f>
        <v>0.37786999999999998</v>
      </c>
      <c r="F18" s="258">
        <f>IF(ISNA(VLOOKUP(B18,EDW_FEEDER!$T$2:$AH$86,12,FALSE))=TRUE,"",VLOOKUP(B18,EDW_FEEDER!$T$2:$AH$86,12,FALSE))</f>
        <v>694</v>
      </c>
      <c r="G18" s="258">
        <f>IF(ISNA(VLOOKUP(B18,EDW_FEEDER!$T$2:$AH$86,13,FALSE))=TRUE,"",VLOOKUP(B18,EDW_FEEDER!$T$2:$AH$86,13,FALSE))</f>
        <v>8823</v>
      </c>
      <c r="H18" s="259">
        <f>IF(ISNA(VLOOKUP(B18,EDW_FEEDER!$T$2:$AH$86,14,FALSE))=TRUE,"",VLOOKUP(B18,EDW_FEEDER!$T$2:$AH$86,14,FALSE))</f>
        <v>174.9</v>
      </c>
      <c r="I18" s="259">
        <f>IF(ISNA(VLOOKUP(B18,EDW_FEEDER!$T$2:$AH$86,15,FALSE))=TRUE,"",VLOOKUP(B18,EDW_FEEDER!$T$2:$AH$86,15,FALSE))</f>
        <v>183.6</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10634</v>
      </c>
      <c r="D19" s="259">
        <f>IF(ISNA(VLOOKUP(B19,EDW_FEEDER!$T$2:$AH$86,10,FALSE))=TRUE,"",VLOOKUP(B19,EDW_FEEDER!$T$2:$AH$86,10,FALSE))</f>
        <v>133.9</v>
      </c>
      <c r="E19" s="260">
        <f>IF(ISNA(VLOOKUP(B19,EDW_FEEDER!$T$2:$AH$86,11,FALSE))=TRUE,"",VLOOKUP(B19,EDW_FEEDER!$T$2:$AH$870,11,FALSE))</f>
        <v>0.44235000000000002</v>
      </c>
      <c r="F19" s="258">
        <f>IF(ISNA(VLOOKUP(B19,EDW_FEEDER!$T$2:$AH$86,12,FALSE))=TRUE,"",VLOOKUP(B19,EDW_FEEDER!$T$2:$AH$86,12,FALSE))</f>
        <v>593</v>
      </c>
      <c r="G19" s="258">
        <f>IF(ISNA(VLOOKUP(B19,EDW_FEEDER!$T$2:$AH$86,13,FALSE))=TRUE,"",VLOOKUP(B19,EDW_FEEDER!$T$2:$AH$86,13,FALSE))</f>
        <v>6652</v>
      </c>
      <c r="H19" s="259">
        <f>IF(ISNA(VLOOKUP(B19,EDW_FEEDER!$T$2:$AH$86,14,FALSE))=TRUE,"",VLOOKUP(B19,EDW_FEEDER!$T$2:$AH$86,14,FALSE))</f>
        <v>195.4</v>
      </c>
      <c r="I19" s="259">
        <f>IF(ISNA(VLOOKUP(B19,EDW_FEEDER!$T$2:$AH$86,15,FALSE))=TRUE,"",VLOOKUP(B19,EDW_FEEDER!$T$2:$AH$86,15,FALSE))</f>
        <v>187.4</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3782</v>
      </c>
      <c r="D20" s="259">
        <f>IF(ISNA(VLOOKUP(B20,EDW_FEEDER!$T$2:$AH$86,10,FALSE))=TRUE,"",VLOOKUP(B20,EDW_FEEDER!$T$2:$AH$86,10,FALSE))</f>
        <v>128</v>
      </c>
      <c r="E20" s="260">
        <f>IF(ISNA(VLOOKUP(B20,EDW_FEEDER!$T$2:$AH$86,11,FALSE))=TRUE,"",VLOOKUP(B20,EDW_FEEDER!$T$2:$AH$870,11,FALSE))</f>
        <v>0.40693000000000001</v>
      </c>
      <c r="F20" s="258">
        <f>IF(ISNA(VLOOKUP(B20,EDW_FEEDER!$T$2:$AH$86,12,FALSE))=TRUE,"",VLOOKUP(B20,EDW_FEEDER!$T$2:$AH$86,12,FALSE))</f>
        <v>222</v>
      </c>
      <c r="G20" s="258">
        <f>IF(ISNA(VLOOKUP(B20,EDW_FEEDER!$T$2:$AH$86,13,FALSE))=TRUE,"",VLOOKUP(B20,EDW_FEEDER!$T$2:$AH$86,13,FALSE))</f>
        <v>2404</v>
      </c>
      <c r="H20" s="259">
        <f>IF(ISNA(VLOOKUP(B20,EDW_FEEDER!$T$2:$AH$86,14,FALSE))=TRUE,"",VLOOKUP(B20,EDW_FEEDER!$T$2:$AH$86,14,FALSE))</f>
        <v>162.30000000000001</v>
      </c>
      <c r="I20" s="259">
        <f>IF(ISNA(VLOOKUP(B20,EDW_FEEDER!$T$2:$AH$86,15,FALSE))=TRUE,"",VLOOKUP(B20,EDW_FEEDER!$T$2:$AH$86,15,FALSE))</f>
        <v>166.6</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7373</v>
      </c>
      <c r="D21" s="259">
        <f>IF(ISNA(VLOOKUP(B21,EDW_FEEDER!$T$2:$AH$86,10,FALSE))=TRUE,"",VLOOKUP(B21,EDW_FEEDER!$T$2:$AH$86,10,FALSE))</f>
        <v>188.5</v>
      </c>
      <c r="E21" s="260">
        <f>IF(ISNA(VLOOKUP(B21,EDW_FEEDER!$T$2:$AH$86,11,FALSE))=TRUE,"",VLOOKUP(B21,EDW_FEEDER!$T$2:$AH$870,11,FALSE))</f>
        <v>0.63665000000000005</v>
      </c>
      <c r="F21" s="258">
        <f>IF(ISNA(VLOOKUP(B21,EDW_FEEDER!$T$2:$AH$86,12,FALSE))=TRUE,"",VLOOKUP(B21,EDW_FEEDER!$T$2:$AH$86,12,FALSE))</f>
        <v>229</v>
      </c>
      <c r="G21" s="258">
        <f>IF(ISNA(VLOOKUP(B21,EDW_FEEDER!$T$2:$AH$86,13,FALSE))=TRUE,"",VLOOKUP(B21,EDW_FEEDER!$T$2:$AH$86,13,FALSE))</f>
        <v>3562</v>
      </c>
      <c r="H21" s="259">
        <f>IF(ISNA(VLOOKUP(B21,EDW_FEEDER!$T$2:$AH$86,14,FALSE))=TRUE,"",VLOOKUP(B21,EDW_FEEDER!$T$2:$AH$86,14,FALSE))</f>
        <v>265.7</v>
      </c>
      <c r="I21" s="259">
        <f>IF(ISNA(VLOOKUP(B21,EDW_FEEDER!$T$2:$AH$86,15,FALSE))=TRUE,"",VLOOKUP(B21,EDW_FEEDER!$T$2:$AH$86,15,FALSE))</f>
        <v>243.5</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1894</v>
      </c>
      <c r="D22" s="259">
        <f>IF(ISNA(VLOOKUP(B22,EDW_FEEDER!$T$2:$AH$86,10,FALSE))=TRUE,"",VLOOKUP(B22,EDW_FEEDER!$T$2:$AH$86,10,FALSE))</f>
        <v>146.5</v>
      </c>
      <c r="E22" s="260">
        <f>IF(ISNA(VLOOKUP(B22,EDW_FEEDER!$T$2:$AH$86,11,FALSE))=TRUE,"",VLOOKUP(B22,EDW_FEEDER!$T$2:$AH$870,11,FALSE))</f>
        <v>0.47677000000000003</v>
      </c>
      <c r="F22" s="258">
        <f>IF(ISNA(VLOOKUP(B22,EDW_FEEDER!$T$2:$AH$86,12,FALSE))=TRUE,"",VLOOKUP(B22,EDW_FEEDER!$T$2:$AH$86,12,FALSE))</f>
        <v>111</v>
      </c>
      <c r="G22" s="258">
        <f>IF(ISNA(VLOOKUP(B22,EDW_FEEDER!$T$2:$AH$86,13,FALSE))=TRUE,"",VLOOKUP(B22,EDW_FEEDER!$T$2:$AH$86,13,FALSE))</f>
        <v>1065</v>
      </c>
      <c r="H22" s="259">
        <f>IF(ISNA(VLOOKUP(B22,EDW_FEEDER!$T$2:$AH$86,14,FALSE))=TRUE,"",VLOOKUP(B22,EDW_FEEDER!$T$2:$AH$86,14,FALSE))</f>
        <v>216.4</v>
      </c>
      <c r="I22" s="259">
        <f>IF(ISNA(VLOOKUP(B22,EDW_FEEDER!$T$2:$AH$86,15,FALSE))=TRUE,"",VLOOKUP(B22,EDW_FEEDER!$T$2:$AH$86,15,FALSE))</f>
        <v>219.1</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7933</v>
      </c>
      <c r="D23" s="259">
        <f>IF(ISNA(VLOOKUP(B23,EDW_FEEDER!$T$2:$AH$86,10,FALSE))=TRUE,"",VLOOKUP(B23,EDW_FEEDER!$T$2:$AH$86,10,FALSE))</f>
        <v>151.19999999999999</v>
      </c>
      <c r="E23" s="260">
        <f>IF(ISNA(VLOOKUP(B23,EDW_FEEDER!$T$2:$AH$86,11,FALSE))=TRUE,"",VLOOKUP(B23,EDW_FEEDER!$T$2:$AH$870,11,FALSE))</f>
        <v>0.52742</v>
      </c>
      <c r="F23" s="258">
        <f>IF(ISNA(VLOOKUP(B23,EDW_FEEDER!$T$2:$AH$86,12,FALSE))=TRUE,"",VLOOKUP(B23,EDW_FEEDER!$T$2:$AH$86,12,FALSE))</f>
        <v>398</v>
      </c>
      <c r="G23" s="258">
        <f>IF(ISNA(VLOOKUP(B23,EDW_FEEDER!$T$2:$AH$86,13,FALSE))=TRUE,"",VLOOKUP(B23,EDW_FEEDER!$T$2:$AH$86,13,FALSE))</f>
        <v>3414</v>
      </c>
      <c r="H23" s="259">
        <f>IF(ISNA(VLOOKUP(B23,EDW_FEEDER!$T$2:$AH$86,14,FALSE))=TRUE,"",VLOOKUP(B23,EDW_FEEDER!$T$2:$AH$86,14,FALSE))</f>
        <v>223.4</v>
      </c>
      <c r="I23" s="259">
        <f>IF(ISNA(VLOOKUP(B23,EDW_FEEDER!$T$2:$AH$86,15,FALSE))=TRUE,"",VLOOKUP(B23,EDW_FEEDER!$T$2:$AH$86,15,FALSE))</f>
        <v>245.1</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3553</v>
      </c>
      <c r="D24" s="259">
        <f>IF(ISNA(VLOOKUP(B24,EDW_FEEDER!$T$2:$AH$86,10,FALSE))=TRUE,"",VLOOKUP(B24,EDW_FEEDER!$T$2:$AH$86,10,FALSE))</f>
        <v>124.8</v>
      </c>
      <c r="E24" s="260">
        <f>IF(ISNA(VLOOKUP(B24,EDW_FEEDER!$T$2:$AH$86,11,FALSE))=TRUE,"",VLOOKUP(B24,EDW_FEEDER!$T$2:$AH$870,11,FALSE))</f>
        <v>0.44385000000000002</v>
      </c>
      <c r="F24" s="258">
        <f>IF(ISNA(VLOOKUP(B24,EDW_FEEDER!$T$2:$AH$86,12,FALSE))=TRUE,"",VLOOKUP(B24,EDW_FEEDER!$T$2:$AH$86,12,FALSE))</f>
        <v>178</v>
      </c>
      <c r="G24" s="258">
        <f>IF(ISNA(VLOOKUP(B24,EDW_FEEDER!$T$2:$AH$86,13,FALSE))=TRUE,"",VLOOKUP(B24,EDW_FEEDER!$T$2:$AH$86,13,FALSE))</f>
        <v>1950</v>
      </c>
      <c r="H24" s="259">
        <f>IF(ISNA(VLOOKUP(B24,EDW_FEEDER!$T$2:$AH$86,14,FALSE))=TRUE,"",VLOOKUP(B24,EDW_FEEDER!$T$2:$AH$86,14,FALSE))</f>
        <v>160.6</v>
      </c>
      <c r="I24" s="259">
        <f>IF(ISNA(VLOOKUP(B24,EDW_FEEDER!$T$2:$AH$86,15,FALSE))=TRUE,"",VLOOKUP(B24,EDW_FEEDER!$T$2:$AH$86,15,FALSE))</f>
        <v>171.5</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12951</v>
      </c>
      <c r="D25" s="259">
        <f>IF(ISNA(VLOOKUP(B25,EDW_FEEDER!$T$2:$AH$86,10,FALSE))=TRUE,"",VLOOKUP(B25,EDW_FEEDER!$T$2:$AH$86,10,FALSE))</f>
        <v>164.7</v>
      </c>
      <c r="E25" s="260">
        <f>IF(ISNA(VLOOKUP(B25,EDW_FEEDER!$T$2:$AH$86,11,FALSE))=TRUE,"",VLOOKUP(B25,EDW_FEEDER!$T$2:$AH$870,11,FALSE))</f>
        <v>0.55471000000000004</v>
      </c>
      <c r="F25" s="258">
        <f>IF(ISNA(VLOOKUP(B25,EDW_FEEDER!$T$2:$AH$86,12,FALSE))=TRUE,"",VLOOKUP(B25,EDW_FEEDER!$T$2:$AH$86,12,FALSE))</f>
        <v>819</v>
      </c>
      <c r="G25" s="258">
        <f>IF(ISNA(VLOOKUP(B25,EDW_FEEDER!$T$2:$AH$86,13,FALSE))=TRUE,"",VLOOKUP(B25,EDW_FEEDER!$T$2:$AH$86,13,FALSE))</f>
        <v>7237</v>
      </c>
      <c r="H25" s="259">
        <f>IF(ISNA(VLOOKUP(B25,EDW_FEEDER!$T$2:$AH$86,14,FALSE))=TRUE,"",VLOOKUP(B25,EDW_FEEDER!$T$2:$AH$86,14,FALSE))</f>
        <v>247.3</v>
      </c>
      <c r="I25" s="259">
        <f>IF(ISNA(VLOOKUP(B25,EDW_FEEDER!$T$2:$AH$86,15,FALSE))=TRUE,"",VLOOKUP(B25,EDW_FEEDER!$T$2:$AH$86,15,FALSE))</f>
        <v>263</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6191</v>
      </c>
      <c r="D26" s="259">
        <f>IF(ISNA(VLOOKUP(B26,EDW_FEEDER!$T$2:$AH$86,10,FALSE))=TRUE,"",VLOOKUP(B26,EDW_FEEDER!$T$2:$AH$86,10,FALSE))</f>
        <v>172</v>
      </c>
      <c r="E26" s="260">
        <f>IF(ISNA(VLOOKUP(B26,EDW_FEEDER!$T$2:$AH$86,11,FALSE))=TRUE,"",VLOOKUP(B26,EDW_FEEDER!$T$2:$AH$870,11,FALSE))</f>
        <v>0.54384999999999994</v>
      </c>
      <c r="F26" s="258">
        <f>IF(ISNA(VLOOKUP(B26,EDW_FEEDER!$T$2:$AH$86,12,FALSE))=TRUE,"",VLOOKUP(B26,EDW_FEEDER!$T$2:$AH$86,12,FALSE))</f>
        <v>300</v>
      </c>
      <c r="G26" s="258">
        <f>IF(ISNA(VLOOKUP(B26,EDW_FEEDER!$T$2:$AH$86,13,FALSE))=TRUE,"",VLOOKUP(B26,EDW_FEEDER!$T$2:$AH$86,13,FALSE))</f>
        <v>2847</v>
      </c>
      <c r="H26" s="259">
        <f>IF(ISNA(VLOOKUP(B26,EDW_FEEDER!$T$2:$AH$86,14,FALSE))=TRUE,"",VLOOKUP(B26,EDW_FEEDER!$T$2:$AH$86,14,FALSE))</f>
        <v>246.1</v>
      </c>
      <c r="I26" s="259">
        <f>IF(ISNA(VLOOKUP(B26,EDW_FEEDER!$T$2:$AH$86,15,FALSE))=TRUE,"",VLOOKUP(B26,EDW_FEEDER!$T$2:$AH$86,15,FALSE))</f>
        <v>230.8</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4260</v>
      </c>
      <c r="D27" s="259">
        <f>IF(ISNA(VLOOKUP(B27,EDW_FEEDER!$T$2:$AH$86,10,FALSE))=TRUE,"",VLOOKUP(B27,EDW_FEEDER!$T$2:$AH$86,10,FALSE))</f>
        <v>87.5</v>
      </c>
      <c r="E27" s="260">
        <f>IF(ISNA(VLOOKUP(B27,EDW_FEEDER!$T$2:$AH$86,11,FALSE))=TRUE,"",VLOOKUP(B27,EDW_FEEDER!$T$2:$AH$870,11,FALSE))</f>
        <v>0.22581999999999999</v>
      </c>
      <c r="F27" s="258">
        <f>IF(ISNA(VLOOKUP(B27,EDW_FEEDER!$T$2:$AH$86,12,FALSE))=TRUE,"",VLOOKUP(B27,EDW_FEEDER!$T$2:$AH$86,12,FALSE))</f>
        <v>756</v>
      </c>
      <c r="G27" s="258">
        <f>IF(ISNA(VLOOKUP(B27,EDW_FEEDER!$T$2:$AH$86,13,FALSE))=TRUE,"",VLOOKUP(B27,EDW_FEEDER!$T$2:$AH$86,13,FALSE))</f>
        <v>7535</v>
      </c>
      <c r="H27" s="259">
        <f>IF(ISNA(VLOOKUP(B27,EDW_FEEDER!$T$2:$AH$86,14,FALSE))=TRUE,"",VLOOKUP(B27,EDW_FEEDER!$T$2:$AH$86,14,FALSE))</f>
        <v>72.2</v>
      </c>
      <c r="I27" s="259">
        <f>IF(ISNA(VLOOKUP(B27,EDW_FEEDER!$T$2:$AH$86,15,FALSE))=TRUE,"",VLOOKUP(B27,EDW_FEEDER!$T$2:$AH$86,15,FALSE))</f>
        <v>68.400000000000006</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7274</v>
      </c>
      <c r="D28" s="259">
        <f>IF(ISNA(VLOOKUP(B28,EDW_FEEDER!$T$2:$AH$86,10,FALSE))=TRUE,"",VLOOKUP(B28,EDW_FEEDER!$T$2:$AH$86,10,FALSE))</f>
        <v>164.7</v>
      </c>
      <c r="E28" s="260">
        <f>IF(ISNA(VLOOKUP(B28,EDW_FEEDER!$T$2:$AH$86,11,FALSE))=TRUE,"",VLOOKUP(B28,EDW_FEEDER!$T$2:$AH$870,11,FALSE))</f>
        <v>0.44762000000000002</v>
      </c>
      <c r="F28" s="258">
        <f>IF(ISNA(VLOOKUP(B28,EDW_FEEDER!$T$2:$AH$86,12,FALSE))=TRUE,"",VLOOKUP(B28,EDW_FEEDER!$T$2:$AH$86,12,FALSE))</f>
        <v>310</v>
      </c>
      <c r="G28" s="258">
        <f>IF(ISNA(VLOOKUP(B28,EDW_FEEDER!$T$2:$AH$86,13,FALSE))=TRUE,"",VLOOKUP(B28,EDW_FEEDER!$T$2:$AH$86,13,FALSE))</f>
        <v>4690</v>
      </c>
      <c r="H28" s="259">
        <f>IF(ISNA(VLOOKUP(B28,EDW_FEEDER!$T$2:$AH$86,14,FALSE))=TRUE,"",VLOOKUP(B28,EDW_FEEDER!$T$2:$AH$86,14,FALSE))</f>
        <v>211.5</v>
      </c>
      <c r="I28" s="259">
        <f>IF(ISNA(VLOOKUP(B28,EDW_FEEDER!$T$2:$AH$86,15,FALSE))=TRUE,"",VLOOKUP(B28,EDW_FEEDER!$T$2:$AH$86,15,FALSE))</f>
        <v>202.4</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955</v>
      </c>
      <c r="D29" s="259">
        <f>IF(ISNA(VLOOKUP(B29,EDW_FEEDER!$T$2:$AH$86,10,FALSE))=TRUE,"",VLOOKUP(B29,EDW_FEEDER!$T$2:$AH$86,10,FALSE))</f>
        <v>177</v>
      </c>
      <c r="E29" s="260">
        <f>IF(ISNA(VLOOKUP(B29,EDW_FEEDER!$T$2:$AH$86,11,FALSE))=TRUE,"",VLOOKUP(B29,EDW_FEEDER!$T$2:$AH$870,11,FALSE))</f>
        <v>0.65969</v>
      </c>
      <c r="F29" s="258">
        <f>IF(ISNA(VLOOKUP(B29,EDW_FEEDER!$T$2:$AH$86,12,FALSE))=TRUE,"",VLOOKUP(B29,EDW_FEEDER!$T$2:$AH$86,12,FALSE))</f>
        <v>47</v>
      </c>
      <c r="G29" s="258">
        <f>IF(ISNA(VLOOKUP(B29,EDW_FEEDER!$T$2:$AH$86,13,FALSE))=TRUE,"",VLOOKUP(B29,EDW_FEEDER!$T$2:$AH$86,13,FALSE))</f>
        <v>498</v>
      </c>
      <c r="H29" s="259">
        <f>IF(ISNA(VLOOKUP(B29,EDW_FEEDER!$T$2:$AH$86,14,FALSE))=TRUE,"",VLOOKUP(B29,EDW_FEEDER!$T$2:$AH$86,14,FALSE))</f>
        <v>191.2</v>
      </c>
      <c r="I29" s="259">
        <f>IF(ISNA(VLOOKUP(B29,EDW_FEEDER!$T$2:$AH$86,15,FALSE))=TRUE,"",VLOOKUP(B29,EDW_FEEDER!$T$2:$AH$86,15,FALSE))</f>
        <v>192.5</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1202</v>
      </c>
      <c r="D30" s="259">
        <f>IF(ISNA(VLOOKUP(B30,EDW_FEEDER!$T$2:$AH$86,10,FALSE))=TRUE,"",VLOOKUP(B30,EDW_FEEDER!$T$2:$AH$86,10,FALSE))</f>
        <v>156</v>
      </c>
      <c r="E30" s="260">
        <f>IF(ISNA(VLOOKUP(B30,EDW_FEEDER!$T$2:$AH$86,11,FALSE))=TRUE,"",VLOOKUP(B30,EDW_FEEDER!$T$2:$AH$870,11,FALSE))</f>
        <v>0.52329000000000003</v>
      </c>
      <c r="F30" s="258">
        <f>IF(ISNA(VLOOKUP(B30,EDW_FEEDER!$T$2:$AH$86,12,FALSE))=TRUE,"",VLOOKUP(B30,EDW_FEEDER!$T$2:$AH$86,12,FALSE))</f>
        <v>32</v>
      </c>
      <c r="G30" s="258">
        <f>IF(ISNA(VLOOKUP(B30,EDW_FEEDER!$T$2:$AH$86,13,FALSE))=TRUE,"",VLOOKUP(B30,EDW_FEEDER!$T$2:$AH$86,13,FALSE))</f>
        <v>579</v>
      </c>
      <c r="H30" s="259">
        <f>IF(ISNA(VLOOKUP(B30,EDW_FEEDER!$T$2:$AH$86,14,FALSE))=TRUE,"",VLOOKUP(B30,EDW_FEEDER!$T$2:$AH$86,14,FALSE))</f>
        <v>242.5</v>
      </c>
      <c r="I30" s="259">
        <f>IF(ISNA(VLOOKUP(B30,EDW_FEEDER!$T$2:$AH$86,15,FALSE))=TRUE,"",VLOOKUP(B30,EDW_FEEDER!$T$2:$AH$86,15,FALSE))</f>
        <v>230.1</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19614</v>
      </c>
      <c r="D32" s="259">
        <f>IF(ISNA(VLOOKUP("USAP",EDW_FEEDER!$T$2:$AH$86,10,FALSE))=TRUE,"",VLOOKUP("USAP",EDW_FEEDER!$T$2:$AH$86,10,FALSE))</f>
        <v>64.2</v>
      </c>
      <c r="E32" s="260">
        <f>IF(ISNA(VLOOKUP("USAP",EDW_FEEDER!$T$2:$AH$86,11,FALSE))=TRUE,"",VLOOKUP("USAP",EDW_FEEDER!$T$2:$AH$870,11,FALSE))</f>
        <v>0.11007</v>
      </c>
      <c r="F32" s="258">
        <f>IF(ISNA(VLOOKUP("USAP",EDW_FEEDER!$T$2:$AH$86,12,FALSE))=TRUE,"",VLOOKUP("USAP",EDW_FEEDER!$T$2:$AH$86,12,FALSE))</f>
        <v>3680</v>
      </c>
      <c r="G32" s="258">
        <f>IF(ISNA(VLOOKUP("USAP",EDW_FEEDER!$T$2:$AH$86,13,FALSE))=TRUE,"",VLOOKUP("USAP",EDW_FEEDER!$T$2:$AH$86,13,FALSE))</f>
        <v>39521</v>
      </c>
      <c r="H32" s="259">
        <f>IF(ISNA(VLOOKUP("USAP",EDW_FEEDER!$T$2:$AH$86,14,FALSE))=TRUE,"",VLOOKUP("USAP",EDW_FEEDER!$T$2:$AH$86,14,FALSE))</f>
        <v>70</v>
      </c>
      <c r="I32" s="259">
        <f>IF(ISNA(VLOOKUP("USAP",EDW_FEEDER!$T$2:$AH$86,15,FALSE))=TRUE,"",VLOOKUP("USAP",EDW_FEEDER!$T$2:$AH$86,15,FALSE))</f>
        <v>63.6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7561</v>
      </c>
      <c r="D33" s="259">
        <f>IF(ISNA(VLOOKUP(B33,EDW_FEEDER!$T$2:$AH$86,10,FALSE))=TRUE,"",VLOOKUP(B33,EDW_FEEDER!$T$2:$AH$86,10,FALSE))</f>
        <v>67.8</v>
      </c>
      <c r="E33" s="260">
        <f>IF(ISNA(VLOOKUP(B33,EDW_FEEDER!$T$2:$AH$86,11,FALSE))=TRUE,"",VLOOKUP(B33,EDW_FEEDER!$T$2:$AH$870,11,FALSE))</f>
        <v>0.12828999999999999</v>
      </c>
      <c r="F33" s="258">
        <f>IF(ISNA(VLOOKUP(B33,EDW_FEEDER!$T$2:$AH$86,12,FALSE))=TRUE,"",VLOOKUP(B33,EDW_FEEDER!$T$2:$AH$86,12,FALSE))</f>
        <v>1223</v>
      </c>
      <c r="G33" s="258">
        <f>IF(ISNA(VLOOKUP(B33,EDW_FEEDER!$T$2:$AH$86,13,FALSE))=TRUE,"",VLOOKUP(B33,EDW_FEEDER!$T$2:$AH$86,13,FALSE))</f>
        <v>11816</v>
      </c>
      <c r="H33" s="259">
        <f>IF(ISNA(VLOOKUP(B33,EDW_FEEDER!$T$2:$AH$86,14,FALSE))=TRUE,"",VLOOKUP(B33,EDW_FEEDER!$T$2:$AH$86,14,FALSE))</f>
        <v>84.1</v>
      </c>
      <c r="I33" s="259">
        <f>IF(ISNA(VLOOKUP(B33,EDW_FEEDER!$T$2:$AH$86,15,FALSE))=TRUE,"",VLOOKUP(B33,EDW_FEEDER!$T$2:$AH$86,15,FALSE))</f>
        <v>72.7</v>
      </c>
      <c r="J33" s="105"/>
      <c r="K33" s="105"/>
      <c r="L33" s="105"/>
      <c r="M33" s="105"/>
    </row>
    <row r="34" spans="1:16" x14ac:dyDescent="0.2">
      <c r="A34" s="16"/>
      <c r="B34" s="116" t="s">
        <v>243</v>
      </c>
      <c r="C34" s="258">
        <f>IF(ISNA(VLOOKUP($B34,EDW_FEEDER!$T$2:$AH$86,9,FALSE))=TRUE,"",VLOOKUP($B34,EDW_FEEDER!$T$2:$AH$86,9,FALSE))</f>
        <v>4880</v>
      </c>
      <c r="D34" s="259">
        <f>IF(ISNA(VLOOKUP(B34,EDW_FEEDER!$T$2:$AH$86,10,FALSE))=TRUE,"",VLOOKUP(B34,EDW_FEEDER!$T$2:$AH$86,10,FALSE))</f>
        <v>55.7</v>
      </c>
      <c r="E34" s="260">
        <f>IF(ISNA(VLOOKUP(B34,EDW_FEEDER!$T$2:$AH$86,11,FALSE))=TRUE,"",VLOOKUP(B34,EDW_FEEDER!$T$2:$AH$870,11,FALSE))</f>
        <v>8.4629999999999997E-2</v>
      </c>
      <c r="F34" s="258">
        <f>IF(ISNA(VLOOKUP(B34,EDW_FEEDER!$T$2:$AH$86,12,FALSE))=TRUE,"",VLOOKUP(B34,EDW_FEEDER!$T$2:$AH$86,12,FALSE))</f>
        <v>962</v>
      </c>
      <c r="G34" s="258">
        <f>IF(ISNA(VLOOKUP(B34,EDW_FEEDER!$T$2:$AH$86,13,FALSE))=TRUE,"",VLOOKUP(B34,EDW_FEEDER!$T$2:$AH$86,13,FALSE))</f>
        <v>10841</v>
      </c>
      <c r="H34" s="259">
        <f>IF(ISNA(VLOOKUP(B34,EDW_FEEDER!$T$2:$AH$86,14,FALSE))=TRUE,"",VLOOKUP(B34,EDW_FEEDER!$T$2:$AH$86,14,FALSE))</f>
        <v>60.6</v>
      </c>
      <c r="I34" s="259">
        <f>IF(ISNA(VLOOKUP(B34,EDW_FEEDER!$T$2:$AH$86,15,FALSE))=TRUE,"",VLOOKUP(B34,EDW_FEEDER!$T$2:$AH$86,15,FALSE))</f>
        <v>56.2</v>
      </c>
      <c r="J34" s="105"/>
      <c r="K34" s="105"/>
      <c r="L34" s="105"/>
      <c r="M34" s="105"/>
    </row>
    <row r="35" spans="1:16" x14ac:dyDescent="0.2">
      <c r="B35" s="116" t="s">
        <v>251</v>
      </c>
      <c r="C35" s="258">
        <f>IF(ISNA(VLOOKUP($B35,EDW_FEEDER!$T$2:$AH$86,9,FALSE))=TRUE,"",VLOOKUP($B35,EDW_FEEDER!$T$2:$AH$86,9,FALSE))</f>
        <v>6519</v>
      </c>
      <c r="D35" s="259">
        <f>IF(ISNA(VLOOKUP(B35,EDW_FEEDER!$T$2:$AH$86,10,FALSE))=TRUE,"",VLOOKUP(B35,EDW_FEEDER!$T$2:$AH$86,10,FALSE))</f>
        <v>54.9</v>
      </c>
      <c r="E35" s="260">
        <f>IF(ISNA(VLOOKUP(B35,EDW_FEEDER!$T$2:$AH$86,11,FALSE))=TRUE,"",VLOOKUP(B35,EDW_FEEDER!$T$2:$AH$870,11,FALSE))</f>
        <v>6.3659999999999994E-2</v>
      </c>
      <c r="F35" s="258">
        <f>IF(ISNA(VLOOKUP(B35,EDW_FEEDER!$T$2:$AH$86,12,FALSE))=TRUE,"",VLOOKUP(B35,EDW_FEEDER!$T$2:$AH$86,12,FALSE))</f>
        <v>1371</v>
      </c>
      <c r="G35" s="258">
        <f>IF(ISNA(VLOOKUP(B35,EDW_FEEDER!$T$2:$AH$86,13,FALSE))=TRUE,"",VLOOKUP(B35,EDW_FEEDER!$T$2:$AH$86,13,FALSE))</f>
        <v>15322</v>
      </c>
      <c r="H35" s="259">
        <f>IF(ISNA(VLOOKUP(B35,EDW_FEEDER!$T$2:$AH$86,14,FALSE))=TRUE,"",VLOOKUP(B35,EDW_FEEDER!$T$2:$AH$86,14,FALSE))</f>
        <v>65.8</v>
      </c>
      <c r="I35" s="259">
        <f>IF(ISNA(VLOOKUP(B35,EDW_FEEDER!$T$2:$AH$86,15,FALSE))=TRUE,"",VLOOKUP(B35,EDW_FEEDER!$T$2:$AH$86,15,FALSE))</f>
        <v>63</v>
      </c>
      <c r="J35" s="105"/>
      <c r="K35" s="105"/>
      <c r="L35" s="105"/>
      <c r="M35" s="105"/>
    </row>
    <row r="36" spans="1:16" x14ac:dyDescent="0.2">
      <c r="B36" s="117" t="s">
        <v>433</v>
      </c>
      <c r="C36" s="258">
        <f>IF(ISNA(VLOOKUP(B36,EDW_FEEDER!$T$2:$AH$86,9,FALSE))=TRUE,"",VLOOKUP(B36,EDW_FEEDER!$T$2:$AH$86,9,FALSE))</f>
        <v>654</v>
      </c>
      <c r="D36" s="259">
        <f>IF(ISNA(VLOOKUP(B36,EDW_FEEDER!$T$2:$AH$86,10,FALSE))=TRUE,"",VLOOKUP(B36,EDW_FEEDER!$T$2:$AH$86,10,FALSE))</f>
        <v>178.2</v>
      </c>
      <c r="E36" s="260">
        <f>IF(ISNA(VLOOKUP(B36,EDW_FEEDER!$T$2:$AH$86,11,FALSE))=TRUE,"",VLOOKUP(B36,EDW_FEEDER!$T$2:$AH$86,11,FALSE))</f>
        <v>0.55198999999999998</v>
      </c>
      <c r="F36" s="258">
        <f>IF(ISNA(VLOOKUP(B36,EDW_FEEDER!$T$2:$AH$86,12,FALSE))=TRUE,"",VLOOKUP(B36,EDW_FEEDER!$T$2:$AH$86,12,FALSE))</f>
        <v>124</v>
      </c>
      <c r="G36" s="258">
        <f>IF(ISNA(VLOOKUP(B36,EDW_FEEDER!$T$2:$AH$86,13,FALSE))=TRUE,"",VLOOKUP(B36,EDW_FEEDER!$T$2:$AH$86,13,FALSE))</f>
        <v>1542</v>
      </c>
      <c r="H36" s="259">
        <f>IF(ISNA(VLOOKUP(B36,EDW_FEEDER!$T$2:$AH$86,14,FALSE))=TRUE,"",VLOOKUP(B36,EDW_FEEDER!$T$2:$AH$870,14,FALSE))</f>
        <v>51.3</v>
      </c>
      <c r="I36" s="259">
        <f>IF(ISNA(VLOOKUP(B36,EDW_FEEDER!$T$2:$AH$86,15,FALSE))=TRUE,"",VLOOKUP(B36,EDW_FEEDER!$T$2:$AH$86,15,FALSE))</f>
        <v>52.3</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10298</v>
      </c>
      <c r="D38" s="259">
        <f>IF(ISNA(VLOOKUP("USAQ",EDW_FEEDER!$T$2:$AH$86,10,FALSE))=TRUE,"",VLOOKUP("USAQ",EDW_FEEDER!$T$2:$AH$86,10,FALSE))</f>
        <v>92.1</v>
      </c>
      <c r="E38" s="260">
        <f>IF(ISNA(VLOOKUP("USAQ",EDW_FEEDER!$T$2:$AH$86,11,FALSE))=TRUE,"",VLOOKUP("USAQ",EDW_FEEDER!$T$2:$AH$86,11,FALSE))</f>
        <v>0.28481000000000001</v>
      </c>
      <c r="F38" s="258">
        <f>IF(ISNA(VLOOKUP("USAQ",EDW_FEEDER!$T$2:$AH$86,12,FALSE))=TRUE,"",VLOOKUP("USAQ",EDW_FEEDER!$T$2:$AH$86,12,FALSE))</f>
        <v>563</v>
      </c>
      <c r="G38" s="258">
        <f>IF(ISNA(VLOOKUP("USAQ",EDW_FEEDER!$T$2:$AH$86,13,FALSE))=TRUE,"",VLOOKUP("USAQ",EDW_FEEDER!$T$2:$AH$86,13,FALSE))</f>
        <v>6645</v>
      </c>
      <c r="H38" s="259">
        <f>IF(ISNA(VLOOKUP("USAQ",EDW_FEEDER!$T$2:$AH$86,14,FALSE))=TRUE,"",VLOOKUP("USAQ",EDW_FEEDER!$T$2:$AH$86,14,FALSE))</f>
        <v>143</v>
      </c>
      <c r="I38" s="259">
        <f>IF(ISNA(VLOOKUP("USAQ",EDW_FEEDER!$T$2:$AH$86,15,FALSE))=TRUE,"",VLOOKUP("USAQ",EDW_FEEDER!$T$2:$AH$86,15,FALSE))</f>
        <v>124.8</v>
      </c>
      <c r="J38" s="105"/>
      <c r="K38" s="105"/>
      <c r="L38" s="105"/>
      <c r="M38" s="105"/>
    </row>
    <row r="39" spans="1:16" x14ac:dyDescent="0.2">
      <c r="B39" s="221" t="s">
        <v>85</v>
      </c>
      <c r="C39" s="258">
        <f>IF(ISNA(VLOOKUP("San Diego QS",EDW_FEEDER!$T$2:$AH$86,9,FALSE))=TRUE,"",VLOOKUP("San Diego QS",EDW_FEEDER!$T$2:$AH$86,9,FALSE))</f>
        <v>4367</v>
      </c>
      <c r="D39" s="259">
        <f>IF(ISNA(VLOOKUP("San Diego QS",EDW_FEEDER!$T$2:$AH$86,10,FALSE))=TRUE,"",VLOOKUP("San Diego QS",EDW_FEEDER!$T$2:$AH$86,10,FALSE))</f>
        <v>88.3</v>
      </c>
      <c r="E39" s="260">
        <f>IF(ISNA(VLOOKUP("San Diego QS",EDW_FEEDER!$T$2:$AH$86,11,FALSE))=TRUE,"",VLOOKUP("San Diego QS",EDW_FEEDER!$T$2:$AH$86,11,FALSE))</f>
        <v>0.25395000000000001</v>
      </c>
      <c r="F39" s="258">
        <f>IF(ISNA(VLOOKUP("San Diego QS",EDW_FEEDER!$T$2:$AH$86,12,FALSE))=TRUE,"",VLOOKUP("San Diego QS",EDW_FEEDER!$T$2:$AH$86,12,FALSE))</f>
        <v>332</v>
      </c>
      <c r="G39" s="258">
        <f>IF(ISNA(VLOOKUP("San Diego QS",EDW_FEEDER!$T$2:$AH$86,13,FALSE))=TRUE,"",VLOOKUP("San Diego QS",EDW_FEEDER!$T$2:$AH$86,13,FALSE))</f>
        <v>3436</v>
      </c>
      <c r="H39" s="259">
        <f>IF(ISNA(VLOOKUP("San Diego QS",EDW_FEEDER!$T$2:$AH$86,14,FALSE))=TRUE,"",VLOOKUP("San Diego QS",EDW_FEEDER!$T$2:$AH$86,14,FALSE))</f>
        <v>132.19999999999999</v>
      </c>
      <c r="I39" s="259">
        <f>IF(ISNA(VLOOKUP("San Diego QS",EDW_FEEDER!$T$2:$AH$86,15,FALSE))=TRUE,"",VLOOKUP("San Diego QS",EDW_FEEDER!$T$2:$AH$86,15,FALSE))</f>
        <v>108.9</v>
      </c>
      <c r="J39" s="105"/>
      <c r="K39" s="105"/>
      <c r="L39" s="105"/>
      <c r="M39" s="105"/>
      <c r="N39" s="49"/>
      <c r="O39" s="49"/>
      <c r="P39" s="49"/>
    </row>
    <row r="40" spans="1:16" x14ac:dyDescent="0.2">
      <c r="B40" s="221" t="s">
        <v>97</v>
      </c>
      <c r="C40" s="258">
        <f>IF(ISNA(VLOOKUP("Winston-Salem QS",EDW_FEEDER!$T$2:$AH$86,9,FALSE))=TRUE,"",VLOOKUP("Winston-Salem QS",EDW_FEEDER!$T$2:$AH$86,9,FALSE))</f>
        <v>4908</v>
      </c>
      <c r="D40" s="259">
        <f>IF(ISNA(VLOOKUP("Winston-Salem QS",EDW_FEEDER!$T$2:$AH$86,10,FALSE))=TRUE,"",VLOOKUP("Winston-Salem QS",EDW_FEEDER!$T$2:$AH$86,10,FALSE))</f>
        <v>96.5</v>
      </c>
      <c r="E40" s="260">
        <f>IF(ISNA(VLOOKUP("Winston-Salem QS",EDW_FEEDER!$T$2:$AH$86,11,FALSE))=TRUE,"",VLOOKUP("Winston-Salem QS",EDW_FEEDER!$T$2:$AH$86,11,FALSE))</f>
        <v>0.31274999999999997</v>
      </c>
      <c r="F40" s="258">
        <f>IF(ISNA(VLOOKUP("Winston-Salem QS",EDW_FEEDER!$T$2:$AH$86,12,FALSE))=TRUE,"",VLOOKUP("Winston-Salem QS",EDW_FEEDER!$T$2:$AH$86,12,FALSE))</f>
        <v>211</v>
      </c>
      <c r="G40" s="258">
        <f>IF(ISNA(VLOOKUP("Winston-Salem QS",EDW_FEEDER!$T$2:$AH$86,13,FALSE))=TRUE,"",VLOOKUP("Winston-Salem QS",EDW_FEEDER!$T$2:$AH$86,13,FALSE))</f>
        <v>2965</v>
      </c>
      <c r="H40" s="259">
        <f>IF(ISNA(VLOOKUP("Winston-Salem QS",EDW_FEEDER!$T$2:$AH$86,14,FALSE))=TRUE,"",VLOOKUP("Winston-Salem QS",EDW_FEEDER!$T$2:$AH$870,14,FALSE))</f>
        <v>151.4</v>
      </c>
      <c r="I40" s="259">
        <f>IF(ISNA(VLOOKUP("Winston-Salem QS",EDW_FEEDER!$T$2:$AH$86,15,FALSE))=TRUE,"",VLOOKUP("Winston-Salem QS",EDW_FEEDER!$T$2:$AH$86,15,FALSE))</f>
        <v>136.30000000000001</v>
      </c>
      <c r="J40" s="105"/>
      <c r="K40" s="105"/>
      <c r="L40" s="105"/>
      <c r="M40" s="105"/>
      <c r="N40" s="87"/>
      <c r="O40" s="88"/>
      <c r="P40" s="88"/>
    </row>
    <row r="41" spans="1:16" x14ac:dyDescent="0.2">
      <c r="B41" s="115" t="s">
        <v>432</v>
      </c>
      <c r="C41" s="258">
        <f>IF(ISNA(VLOOKUP(B41,EDW_FEEDER!$T$2:$AH$86,9,FALSE))=TRUE,"",VLOOKUP(B41,EDW_FEEDER!$T$2:$AH$86,9,FALSE))</f>
        <v>1023</v>
      </c>
      <c r="D41" s="259">
        <f>IF(ISNA(VLOOKUP(B41,EDW_FEEDER!$T$2:$AH$86,10,FALSE))=TRUE,"",VLOOKUP(B41,EDW_FEEDER!$T$2:$AH$86,10,FALSE))</f>
        <v>87.1</v>
      </c>
      <c r="E41" s="260">
        <f>IF(ISNA(VLOOKUP(B41,EDW_FEEDER!$T$2:$AH$86,11,FALSE))=TRUE,"",VLOOKUP(B41,EDW_FEEDER!$T$2:$AH$86,11,FALSE))</f>
        <v>0.28249999999999997</v>
      </c>
      <c r="F41" s="258">
        <f>IF(ISNA(VLOOKUP(B41,EDW_FEEDER!$T$2:$AH$86,12,FALSE))=TRUE,"",VLOOKUP(B41,EDW_FEEDER!$T$2:$AH$86,12,FALSE))</f>
        <v>20</v>
      </c>
      <c r="G41" s="258">
        <f>IF(ISNA(VLOOKUP(B41,EDW_FEEDER!$T$2:$AH$86,13,FALSE))=TRUE,"",VLOOKUP(B41,EDW_FEEDER!$T$2:$AH$86,13,FALSE))</f>
        <v>244</v>
      </c>
      <c r="H41" s="259">
        <f>IF(ISNA(VLOOKUP(B41,EDW_FEEDER!$T$2:$AH$86,14,FALSE))=TRUE,"",VLOOKUP(B41,EDW_FEEDER!$T$2:$AH$870,14,FALSE))</f>
        <v>233.2</v>
      </c>
      <c r="I41" s="259">
        <f>IF(ISNA(VLOOKUP(B41,EDW_FEEDER!$T$2:$AH$86,15,FALSE))=TRUE,"",VLOOKUP(B41,EDW_FEEDER!$T$2:$AH$86,15,FALSE))</f>
        <v>208</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11248</v>
      </c>
      <c r="D43" s="259">
        <f>IF(ISNA(VLOOKUP("USAB",EDW_FEEDER!$T$2:$AH$86,10,FALSE))=TRUE,"",VLOOKUP("USAB",EDW_FEEDER!$T$2:$AH$86,10,FALSE))</f>
        <v>95</v>
      </c>
      <c r="E43" s="260">
        <f>IF(ISNA(VLOOKUP("USAB",EDW_FEEDER!$T$2:$AH$86,11,FALSE))=TRUE,"",VLOOKUP("USAB",EDW_FEEDER!$T$2:$AH$86,11,FALSE))</f>
        <v>0.31028</v>
      </c>
      <c r="F43" s="258">
        <f>IF(ISNA(VLOOKUP("USAB",EDW_FEEDER!$T$2:$AH$86,12,FALSE))=TRUE,"",VLOOKUP("USAB",EDW_FEEDER!$T$2:$AH$86,12,FALSE))</f>
        <v>521</v>
      </c>
      <c r="G43" s="258">
        <f>IF(ISNA(VLOOKUP("USAB",EDW_FEEDER!$T$2:$AH$86,13,FALSE))=TRUE,"",VLOOKUP("USAB",EDW_FEEDER!$T$2:$AH$870,13,FALSE))</f>
        <v>6722</v>
      </c>
      <c r="H43" s="259">
        <f>IF(ISNA(VLOOKUP("USAB",EDW_FEEDER!$T$2:$AH$86,14,FALSE))=TRUE,"",VLOOKUP("USAB",EDW_FEEDER!$T$2:$AH$86,14,FALSE))</f>
        <v>157.4</v>
      </c>
      <c r="I43" s="259">
        <f>IF(ISNA(VLOOKUP("USAB",EDW_FEEDER!$T$2:$AH$86,15,FALSE))=TRUE,"",VLOOKUP("USAB",EDW_FEEDER!$T$2:$AH$86,15,FALSE))</f>
        <v>148</v>
      </c>
      <c r="J43" s="105"/>
      <c r="K43" s="105"/>
      <c r="L43" s="105"/>
      <c r="M43" s="105"/>
      <c r="N43" s="87"/>
      <c r="O43" s="88"/>
      <c r="P43" s="88"/>
    </row>
    <row r="44" spans="1:16" x14ac:dyDescent="0.2">
      <c r="B44" s="221" t="s">
        <v>97</v>
      </c>
      <c r="C44" s="258">
        <f>IF(ISNA(VLOOKUP("Winston-Salem BDD",EDW_FEEDER!$T$2:$AH$86,9,FALSE))=TRUE,"",VLOOKUP("Winston-Salem BDD",EDW_FEEDER!$T$2:$AH$86,9,FALSE))</f>
        <v>4273</v>
      </c>
      <c r="D44" s="259">
        <f>IF(ISNA(VLOOKUP("Winston-Salem BDD",EDW_FEEDER!$T$2:$AH$86,10,FALSE))=TRUE,"",VLOOKUP("Winston-Salem BDD",EDW_FEEDER!$T$2:$AH$86,10,FALSE))</f>
        <v>74.8</v>
      </c>
      <c r="E44" s="260">
        <f>IF(ISNA(VLOOKUP("Winston-Salem BDD",EDW_FEEDER!$T$2:$AH$86,11,FALSE))=TRUE,"",VLOOKUP("Winston-Salem BDD",EDW_FEEDER!$T$2:$AH$86,11,FALSE))</f>
        <v>0.18395</v>
      </c>
      <c r="F44" s="258">
        <f>IF(ISNA(VLOOKUP("Winston-Salem BDD",EDW_FEEDER!$T$2:$AH$86,12,FALSE))=TRUE,"",VLOOKUP("Winston-Salem BDD",EDW_FEEDER!$T$2:$AH$86,12,FALSE))</f>
        <v>167</v>
      </c>
      <c r="G44" s="258">
        <f>IF(ISNA(VLOOKUP("Winston-Salem BDD",EDW_FEEDER!$T$2:$AH$86,13,FALSE))=TRUE,"",VLOOKUP("Winston-Salem BDD",EDW_FEEDER!$T$2:$AH$870,13,FALSE))</f>
        <v>2589</v>
      </c>
      <c r="H44" s="259">
        <f>IF(ISNA(VLOOKUP("Winston-Salem BDD",EDW_FEEDER!$T$2:$AH$86,14,FALSE))=TRUE,"",VLOOKUP("Winston-Salem BDD",EDW_FEEDER!$T$2:$AH$86,14,FALSE))</f>
        <v>113.1</v>
      </c>
      <c r="I44" s="259">
        <f>IF(ISNA(VLOOKUP("Winston-Salem BDD",EDW_FEEDER!$T$2:$AH$86,15,FALSE))=TRUE,"",VLOOKUP("Winston-Salem BDD",EDW_FEEDER!$T$2:$AH$86,15,FALSE))</f>
        <v>94</v>
      </c>
      <c r="J44" s="105"/>
      <c r="K44" s="105"/>
      <c r="L44" s="105"/>
      <c r="M44" s="105"/>
    </row>
    <row r="45" spans="1:16" x14ac:dyDescent="0.2">
      <c r="B45" s="221" t="s">
        <v>84</v>
      </c>
      <c r="C45" s="258">
        <f>IF(ISNA(VLOOKUP("Salt Lake City BDD",EDW_FEEDER!$T$2:$AH$86,9,FALSE))=TRUE,"",VLOOKUP("Salt Lake City BDD",EDW_FEEDER!$T$2:$AH$86,9,FALSE))</f>
        <v>5506</v>
      </c>
      <c r="D45" s="259">
        <f>IF(ISNA(VLOOKUP("Salt Lake City BDD",EDW_FEEDER!$T$2:$AH$86,10,FALSE))=TRUE,"",VLOOKUP("Salt Lake City BDD",EDW_FEEDER!$T$2:$AH$86,10,FALSE))</f>
        <v>109.7</v>
      </c>
      <c r="E45" s="260">
        <f>IF(ISNA(VLOOKUP("Salt Lake City BDD",EDW_FEEDER!$T$2:$AH$86,11,FALSE))=TRUE,"",VLOOKUP("Salt Lake City BDD",EDW_FEEDER!$T$2:$AH$86,11,FALSE))</f>
        <v>0.41264000000000001</v>
      </c>
      <c r="F45" s="258">
        <f>IF(ISNA(VLOOKUP("Salt Lake City BDD",EDW_FEEDER!$T$2:$AH$86,12,FALSE))=TRUE,"",VLOOKUP("Salt Lake City BDD",EDW_FEEDER!$T$2:$AH$86,12,FALSE))</f>
        <v>295</v>
      </c>
      <c r="G45" s="258">
        <f>IF(ISNA(VLOOKUP("Salt Lake City BDD",EDW_FEEDER!$T$2:$AH$86,13,FALSE))=TRUE,"",VLOOKUP("Salt Lake City BDD",EDW_FEEDER!$T$2:$AH$86,13,FALSE))</f>
        <v>3584</v>
      </c>
      <c r="H45" s="259">
        <f>IF(ISNA(VLOOKUP("Salt Lake City BDD",EDW_FEEDER!$T$2:$AH$86,14,FALSE))=TRUE,"",VLOOKUP("Salt Lake City BDD",EDW_FEEDER!$T$2:$AH$870,14,FALSE))</f>
        <v>173.5</v>
      </c>
      <c r="I45" s="259">
        <f>IF(ISNA(VLOOKUP("Salt Lake City BDD",EDW_FEEDER!$T$2:$AH$86,15,FALSE))=TRUE,"",VLOOKUP("Salt Lake City BDD",EDW_FEEDER!$T$2:$AH$86,15,FALSE))</f>
        <v>184.3</v>
      </c>
      <c r="J45" s="105"/>
      <c r="K45" s="105"/>
      <c r="L45" s="105"/>
      <c r="M45" s="105"/>
    </row>
    <row r="46" spans="1:16" ht="25.5" x14ac:dyDescent="0.2">
      <c r="B46" s="264" t="s">
        <v>434</v>
      </c>
      <c r="C46" s="258">
        <f>IF(ISNA(VLOOKUP(B46,EDW_FEEDER!$T$2:$AH$86,9,FALSE))=TRUE,"",VLOOKUP(B46,EDW_FEEDER!$T$2:$AH$86,9,FALSE))</f>
        <v>1469</v>
      </c>
      <c r="D46" s="259">
        <f>IF(ISNA(VLOOKUP(B46,EDW_FEEDER!$T$2:$AH$86,10,FALSE))=TRUE,"",VLOOKUP(B46,EDW_FEEDER!$T$2:$AH$86,10,FALSE))</f>
        <v>98.8</v>
      </c>
      <c r="E46" s="260">
        <f>IF(ISNA(VLOOKUP(B46,EDW_FEEDER!$T$2:$AH$86,11,FALSE))=TRUE,"",VLOOKUP(B46,EDW_FEEDER!$T$2:$AH$86,11,FALSE))</f>
        <v>0.29408000000000001</v>
      </c>
      <c r="F46" s="258">
        <f>IF(ISNA(VLOOKUP(B46,EDW_FEEDER!$T$2:$AH$86,12,FALSE))=TRUE,"",VLOOKUP(B46,EDW_FEEDER!$T$2:$AH$86,12,FALSE))</f>
        <v>59</v>
      </c>
      <c r="G46" s="258">
        <f>IF(ISNA(VLOOKUP(B46,EDW_FEEDER!$T$2:$AH$86,13,FALSE))=TRUE,"",VLOOKUP(B46,EDW_FEEDER!$T$2:$AH$86,13,FALSE))</f>
        <v>549</v>
      </c>
      <c r="H46" s="259">
        <f>IF(ISNA(VLOOKUP(B46,EDW_FEEDER!$T$2:$AH$86,14,FALSE))=TRUE,"",VLOOKUP(B46,EDW_FEEDER!$T$2:$AH$870,14,FALSE))</f>
        <v>202.6</v>
      </c>
      <c r="I46" s="259">
        <f>IF(ISNA(VLOOKUP(B46,EDW_FEEDER!$T$2:$AH$86,15,FALSE))=TRUE,"",VLOOKUP(B46,EDW_FEEDER!$T$2:$AH$86,15,FALSE))</f>
        <v>165.5</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174037</v>
      </c>
      <c r="H7" s="230">
        <v>87009</v>
      </c>
      <c r="I7" s="231">
        <v>0.49994541390623831</v>
      </c>
      <c r="J7" s="5"/>
      <c r="K7" s="536" t="s">
        <v>338</v>
      </c>
      <c r="L7" s="537"/>
      <c r="M7" s="230">
        <v>21200</v>
      </c>
      <c r="N7" s="230">
        <v>1835</v>
      </c>
      <c r="O7" s="234">
        <v>8.65566037735849E-2</v>
      </c>
      <c r="P7" s="180"/>
      <c r="Q7" s="536" t="s">
        <v>317</v>
      </c>
      <c r="R7" s="537"/>
      <c r="S7" s="237">
        <v>289297</v>
      </c>
    </row>
    <row r="8" spans="2:20" ht="51" customHeight="1" x14ac:dyDescent="0.2">
      <c r="B8" s="5"/>
      <c r="C8" s="548" t="s">
        <v>322</v>
      </c>
      <c r="D8" s="549"/>
      <c r="E8" s="549"/>
      <c r="F8" s="550"/>
      <c r="G8" s="166">
        <v>636</v>
      </c>
      <c r="H8" s="161">
        <v>497</v>
      </c>
      <c r="I8" s="240">
        <v>0.78144654088050314</v>
      </c>
      <c r="J8" s="5"/>
      <c r="K8" s="544" t="s">
        <v>340</v>
      </c>
      <c r="L8" s="545"/>
      <c r="M8" s="183">
        <v>4994</v>
      </c>
      <c r="N8" s="184">
        <v>407</v>
      </c>
      <c r="O8" s="185">
        <v>8.1497797356828189E-2</v>
      </c>
      <c r="P8" s="293" t="s">
        <v>445</v>
      </c>
      <c r="Q8" s="527" t="s">
        <v>310</v>
      </c>
      <c r="R8" s="532"/>
      <c r="S8" s="216">
        <v>194784</v>
      </c>
    </row>
    <row r="9" spans="2:20" ht="45" customHeight="1" x14ac:dyDescent="0.2">
      <c r="B9" s="5"/>
      <c r="C9" s="548" t="s">
        <v>320</v>
      </c>
      <c r="D9" s="549"/>
      <c r="E9" s="549"/>
      <c r="F9" s="550"/>
      <c r="G9" s="129">
        <v>52736</v>
      </c>
      <c r="H9" s="125">
        <v>25371</v>
      </c>
      <c r="I9" s="126">
        <v>0.48109450849514562</v>
      </c>
      <c r="J9" s="293" t="s">
        <v>445</v>
      </c>
      <c r="K9" s="548" t="s">
        <v>339</v>
      </c>
      <c r="L9" s="549"/>
      <c r="M9" s="129">
        <v>6575</v>
      </c>
      <c r="N9" s="125">
        <v>469</v>
      </c>
      <c r="O9" s="158">
        <v>7.1330798479087451E-2</v>
      </c>
      <c r="P9" s="293" t="s">
        <v>445</v>
      </c>
      <c r="Q9" s="527" t="s">
        <v>291</v>
      </c>
      <c r="R9" s="532"/>
      <c r="S9" s="217">
        <v>407.6</v>
      </c>
    </row>
    <row r="10" spans="2:20" ht="63" customHeight="1" thickBot="1" x14ac:dyDescent="0.25">
      <c r="B10" s="5"/>
      <c r="C10" s="548" t="s">
        <v>321</v>
      </c>
      <c r="D10" s="549"/>
      <c r="E10" s="549"/>
      <c r="F10" s="550"/>
      <c r="G10" s="129">
        <v>120665</v>
      </c>
      <c r="H10" s="129">
        <v>61141</v>
      </c>
      <c r="I10" s="131">
        <v>0.50670036878962421</v>
      </c>
      <c r="J10" s="293" t="s">
        <v>445</v>
      </c>
      <c r="K10" s="527" t="s">
        <v>341</v>
      </c>
      <c r="L10" s="532"/>
      <c r="M10" s="129">
        <v>9631</v>
      </c>
      <c r="N10" s="125">
        <v>959</v>
      </c>
      <c r="O10" s="158">
        <v>9.9574291350846222E-2</v>
      </c>
      <c r="P10" s="181"/>
      <c r="Q10" s="527" t="s">
        <v>311</v>
      </c>
      <c r="R10" s="532"/>
      <c r="S10" s="217">
        <v>17203</v>
      </c>
    </row>
    <row r="11" spans="2:20" ht="45" customHeight="1" thickBot="1" x14ac:dyDescent="0.25">
      <c r="B11" s="5"/>
      <c r="C11" s="536" t="s">
        <v>397</v>
      </c>
      <c r="D11" s="537"/>
      <c r="E11" s="537"/>
      <c r="F11" s="537"/>
      <c r="G11" s="229">
        <v>6651</v>
      </c>
      <c r="H11" s="232">
        <v>1492</v>
      </c>
      <c r="I11" s="233">
        <v>0.22432716884678996</v>
      </c>
      <c r="J11" s="5"/>
      <c r="K11" s="536" t="s">
        <v>307</v>
      </c>
      <c r="L11" s="537"/>
      <c r="M11" s="229">
        <v>40816</v>
      </c>
      <c r="N11" s="229">
        <v>5116</v>
      </c>
      <c r="O11" s="235">
        <v>0.12534300274402196</v>
      </c>
      <c r="P11" s="181"/>
      <c r="Q11" s="527" t="s">
        <v>312</v>
      </c>
      <c r="R11" s="528"/>
      <c r="S11" s="217">
        <v>60451</v>
      </c>
    </row>
    <row r="12" spans="2:20" ht="46.5" customHeight="1" x14ac:dyDescent="0.2">
      <c r="B12" s="5"/>
      <c r="C12" s="551" t="s">
        <v>343</v>
      </c>
      <c r="D12" s="552"/>
      <c r="E12" s="552"/>
      <c r="F12" s="553"/>
      <c r="G12" s="129">
        <v>6129</v>
      </c>
      <c r="H12" s="125">
        <v>980</v>
      </c>
      <c r="I12" s="126">
        <v>0.15989557839778104</v>
      </c>
      <c r="J12" s="293" t="s">
        <v>445</v>
      </c>
      <c r="K12" s="527" t="s">
        <v>333</v>
      </c>
      <c r="L12" s="528"/>
      <c r="M12" s="157">
        <v>467</v>
      </c>
      <c r="N12" s="157">
        <v>18</v>
      </c>
      <c r="O12" s="177">
        <v>3.8543897216274089E-2</v>
      </c>
      <c r="P12" s="181"/>
      <c r="Q12" s="527" t="s">
        <v>292</v>
      </c>
      <c r="R12" s="528"/>
      <c r="S12" s="217">
        <v>629</v>
      </c>
    </row>
    <row r="13" spans="2:20" ht="49.5" customHeight="1" thickBot="1" x14ac:dyDescent="0.25">
      <c r="B13" s="5"/>
      <c r="C13" s="551" t="s">
        <v>323</v>
      </c>
      <c r="D13" s="552"/>
      <c r="E13" s="552"/>
      <c r="F13" s="553"/>
      <c r="G13" s="129">
        <v>522</v>
      </c>
      <c r="H13" s="125">
        <v>512</v>
      </c>
      <c r="I13" s="126">
        <v>0.98084291187739459</v>
      </c>
      <c r="J13" s="5"/>
      <c r="K13" s="527" t="s">
        <v>342</v>
      </c>
      <c r="L13" s="528"/>
      <c r="M13" s="157">
        <v>4669</v>
      </c>
      <c r="N13" s="157">
        <v>1061</v>
      </c>
      <c r="O13" s="178">
        <v>0.22724352109659457</v>
      </c>
      <c r="P13" s="181"/>
      <c r="Q13" s="527" t="s">
        <v>313</v>
      </c>
      <c r="R13" s="528"/>
      <c r="S13" s="217">
        <v>21104</v>
      </c>
    </row>
    <row r="14" spans="2:20" ht="45" customHeight="1" thickBot="1" x14ac:dyDescent="0.25">
      <c r="B14" s="5"/>
      <c r="C14" s="536" t="s">
        <v>1</v>
      </c>
      <c r="D14" s="537"/>
      <c r="E14" s="537"/>
      <c r="F14" s="537"/>
      <c r="G14" s="229">
        <v>312951</v>
      </c>
      <c r="H14" s="232">
        <v>156630</v>
      </c>
      <c r="I14" s="233">
        <v>0.5004936875101853</v>
      </c>
      <c r="J14" s="5"/>
      <c r="K14" s="527" t="s">
        <v>344</v>
      </c>
      <c r="L14" s="528"/>
      <c r="M14" s="157">
        <v>14701</v>
      </c>
      <c r="N14" s="157">
        <v>968</v>
      </c>
      <c r="O14" s="178">
        <v>6.5845860825794161E-2</v>
      </c>
      <c r="P14" s="181"/>
      <c r="Q14" s="527" t="s">
        <v>293</v>
      </c>
      <c r="R14" s="528"/>
      <c r="S14" s="217">
        <v>548.4</v>
      </c>
    </row>
    <row r="15" spans="2:20" ht="44.25" customHeight="1" x14ac:dyDescent="0.2">
      <c r="B15" s="5"/>
      <c r="C15" s="548" t="s">
        <v>324</v>
      </c>
      <c r="D15" s="549"/>
      <c r="E15" s="549"/>
      <c r="F15" s="550"/>
      <c r="G15" s="129">
        <v>311127</v>
      </c>
      <c r="H15" s="125">
        <v>155983</v>
      </c>
      <c r="I15" s="126">
        <v>0.50134832399631024</v>
      </c>
      <c r="J15" s="293" t="s">
        <v>445</v>
      </c>
      <c r="K15" s="527" t="s">
        <v>345</v>
      </c>
      <c r="L15" s="528"/>
      <c r="M15" s="157">
        <v>1</v>
      </c>
      <c r="N15" s="157">
        <v>0</v>
      </c>
      <c r="O15" s="178">
        <v>0</v>
      </c>
      <c r="P15" s="181"/>
      <c r="Q15" s="527" t="s">
        <v>314</v>
      </c>
      <c r="R15" s="528"/>
      <c r="S15" s="217">
        <v>12557</v>
      </c>
    </row>
    <row r="16" spans="2:20" ht="57.75" customHeight="1" x14ac:dyDescent="0.2">
      <c r="B16" s="5"/>
      <c r="C16" s="527" t="s">
        <v>325</v>
      </c>
      <c r="D16" s="532"/>
      <c r="E16" s="532"/>
      <c r="F16" s="528"/>
      <c r="G16" s="129">
        <v>1472</v>
      </c>
      <c r="H16" s="125">
        <v>378</v>
      </c>
      <c r="I16" s="126">
        <v>0.25679347826086957</v>
      </c>
      <c r="J16" s="293" t="s">
        <v>445</v>
      </c>
      <c r="K16" s="527" t="s">
        <v>346</v>
      </c>
      <c r="L16" s="528"/>
      <c r="M16" s="157">
        <v>4585</v>
      </c>
      <c r="N16" s="157">
        <v>1793</v>
      </c>
      <c r="O16" s="178">
        <v>0.39105779716466738</v>
      </c>
      <c r="P16" s="181"/>
      <c r="Q16" s="527" t="s">
        <v>294</v>
      </c>
      <c r="R16" s="528"/>
      <c r="S16" s="217">
        <v>170.1</v>
      </c>
    </row>
    <row r="17" spans="2:26" ht="31.5" customHeight="1" thickBot="1" x14ac:dyDescent="0.25">
      <c r="B17" s="5"/>
      <c r="C17" s="527" t="s">
        <v>326</v>
      </c>
      <c r="D17" s="532"/>
      <c r="E17" s="532"/>
      <c r="F17" s="528"/>
      <c r="G17" s="129">
        <v>100</v>
      </c>
      <c r="H17" s="125">
        <v>98</v>
      </c>
      <c r="I17" s="126">
        <v>0.98</v>
      </c>
      <c r="J17" s="5"/>
      <c r="K17" s="527" t="s">
        <v>347</v>
      </c>
      <c r="L17" s="528"/>
      <c r="M17" s="157">
        <v>16393</v>
      </c>
      <c r="N17" s="157">
        <v>1276</v>
      </c>
      <c r="O17" s="179">
        <v>7.783810162874398E-2</v>
      </c>
      <c r="P17" s="154"/>
      <c r="Q17" s="527" t="s">
        <v>422</v>
      </c>
      <c r="R17" s="528"/>
      <c r="S17" s="217">
        <v>401</v>
      </c>
    </row>
    <row r="18" spans="2:26" ht="32.25" customHeight="1" thickBot="1" x14ac:dyDescent="0.25">
      <c r="B18" s="5"/>
      <c r="C18" s="527" t="s">
        <v>327</v>
      </c>
      <c r="D18" s="532"/>
      <c r="E18" s="532"/>
      <c r="F18" s="528"/>
      <c r="G18" s="129">
        <v>231</v>
      </c>
      <c r="H18" s="125">
        <v>168</v>
      </c>
      <c r="I18" s="126">
        <v>0.72727272727272729</v>
      </c>
      <c r="J18" s="293" t="s">
        <v>445</v>
      </c>
      <c r="K18" s="536" t="s">
        <v>18</v>
      </c>
      <c r="L18" s="537"/>
      <c r="M18" s="229">
        <v>9504</v>
      </c>
      <c r="N18" s="229">
        <v>9204</v>
      </c>
      <c r="O18" s="235">
        <v>0.96843434343434343</v>
      </c>
      <c r="P18" s="182"/>
      <c r="Q18" s="536" t="s">
        <v>318</v>
      </c>
      <c r="R18" s="537"/>
      <c r="S18" s="238">
        <v>15588</v>
      </c>
    </row>
    <row r="19" spans="2:26" ht="41.25" customHeight="1" thickBot="1" x14ac:dyDescent="0.45">
      <c r="B19" s="5"/>
      <c r="C19" s="527" t="s">
        <v>328</v>
      </c>
      <c r="D19" s="532"/>
      <c r="E19" s="532"/>
      <c r="F19" s="528"/>
      <c r="G19" s="129">
        <v>2</v>
      </c>
      <c r="H19" s="125">
        <v>2</v>
      </c>
      <c r="I19" s="126">
        <v>1</v>
      </c>
      <c r="J19" s="293" t="s">
        <v>445</v>
      </c>
      <c r="K19" s="527" t="s">
        <v>348</v>
      </c>
      <c r="L19" s="528"/>
      <c r="M19" s="157">
        <v>9157</v>
      </c>
      <c r="N19" s="157">
        <v>9139</v>
      </c>
      <c r="O19" s="158">
        <v>0.99803429070656324</v>
      </c>
      <c r="P19" s="46"/>
      <c r="Q19" s="536" t="s">
        <v>319</v>
      </c>
      <c r="R19" s="537"/>
      <c r="S19" s="239">
        <v>7537</v>
      </c>
    </row>
    <row r="20" spans="2:26" ht="40.5" customHeight="1" x14ac:dyDescent="0.4">
      <c r="B20" s="5"/>
      <c r="C20" s="527" t="s">
        <v>329</v>
      </c>
      <c r="D20" s="532"/>
      <c r="E20" s="532"/>
      <c r="F20" s="528"/>
      <c r="G20" s="129">
        <v>17</v>
      </c>
      <c r="H20" s="125">
        <v>1</v>
      </c>
      <c r="I20" s="126">
        <v>5.8823529411764705E-2</v>
      </c>
      <c r="J20" s="293" t="s">
        <v>445</v>
      </c>
      <c r="K20" s="527" t="s">
        <v>395</v>
      </c>
      <c r="L20" s="528"/>
      <c r="M20" s="157">
        <v>340</v>
      </c>
      <c r="N20" s="157">
        <v>62</v>
      </c>
      <c r="O20" s="158">
        <v>0.18235294117647058</v>
      </c>
      <c r="P20" s="46"/>
      <c r="Q20" s="46"/>
      <c r="R20" s="46"/>
      <c r="S20" s="187"/>
    </row>
    <row r="21" spans="2:26" ht="39" customHeight="1" thickBot="1" x14ac:dyDescent="0.45">
      <c r="B21" s="5"/>
      <c r="C21" s="527" t="s">
        <v>330</v>
      </c>
      <c r="D21" s="532"/>
      <c r="E21" s="532"/>
      <c r="F21" s="528"/>
      <c r="G21" s="129">
        <v>2</v>
      </c>
      <c r="H21" s="125">
        <v>0</v>
      </c>
      <c r="I21" s="131">
        <v>0</v>
      </c>
      <c r="J21" s="293" t="s">
        <v>445</v>
      </c>
      <c r="K21" s="527" t="s">
        <v>349</v>
      </c>
      <c r="L21" s="528"/>
      <c r="M21" s="157">
        <v>7</v>
      </c>
      <c r="N21" s="157">
        <v>3</v>
      </c>
      <c r="O21" s="158">
        <v>0.42857142857142855</v>
      </c>
      <c r="P21" s="46"/>
      <c r="Q21" s="46"/>
      <c r="R21" s="46"/>
      <c r="S21" s="187"/>
    </row>
    <row r="22" spans="2:26" ht="32.25" customHeight="1" thickBot="1" x14ac:dyDescent="0.45">
      <c r="B22" s="5"/>
      <c r="C22" s="536" t="s">
        <v>16</v>
      </c>
      <c r="D22" s="537"/>
      <c r="E22" s="537"/>
      <c r="F22" s="537"/>
      <c r="G22" s="229">
        <v>489632</v>
      </c>
      <c r="H22" s="229">
        <v>337565</v>
      </c>
      <c r="I22" s="234">
        <v>0.68942593621331938</v>
      </c>
      <c r="J22" s="5"/>
      <c r="K22" s="536" t="s">
        <v>279</v>
      </c>
      <c r="L22" s="537"/>
      <c r="M22" s="229">
        <v>3028</v>
      </c>
      <c r="N22" s="229">
        <v>392</v>
      </c>
      <c r="O22" s="235">
        <v>0.12945838837516513</v>
      </c>
      <c r="P22" s="46"/>
      <c r="Q22" s="46"/>
      <c r="R22" s="46"/>
      <c r="S22" s="187"/>
      <c r="T22" s="538"/>
      <c r="U22" s="538"/>
      <c r="V22" s="167"/>
      <c r="W22" s="168"/>
      <c r="X22" s="168"/>
      <c r="Y22" s="169"/>
    </row>
    <row r="23" spans="2:26" ht="26.25" customHeight="1" x14ac:dyDescent="0.4">
      <c r="B23" s="5"/>
      <c r="C23" s="551" t="s">
        <v>331</v>
      </c>
      <c r="D23" s="552"/>
      <c r="E23" s="552"/>
      <c r="F23" s="553"/>
      <c r="G23" s="162">
        <v>261319</v>
      </c>
      <c r="H23" s="157">
        <v>197099</v>
      </c>
      <c r="I23" s="158">
        <v>0.75424672526681946</v>
      </c>
      <c r="J23" s="5"/>
      <c r="K23" s="527" t="s">
        <v>352</v>
      </c>
      <c r="L23" s="528"/>
      <c r="M23" s="157">
        <v>2330</v>
      </c>
      <c r="N23" s="157">
        <v>181</v>
      </c>
      <c r="O23" s="158">
        <v>7.7682403433476391E-2</v>
      </c>
      <c r="P23" s="46"/>
      <c r="Q23" s="46"/>
      <c r="R23" s="46"/>
      <c r="S23" s="187"/>
      <c r="T23" s="170"/>
      <c r="U23" s="170"/>
      <c r="V23" s="171"/>
      <c r="W23" s="172"/>
      <c r="X23" s="172"/>
      <c r="Y23" s="173"/>
    </row>
    <row r="24" spans="2:26" ht="39.75" customHeight="1" x14ac:dyDescent="0.4">
      <c r="B24" s="5"/>
      <c r="C24" s="551" t="s">
        <v>332</v>
      </c>
      <c r="D24" s="552"/>
      <c r="E24" s="552"/>
      <c r="F24" s="553"/>
      <c r="G24" s="162">
        <v>312</v>
      </c>
      <c r="H24" s="157">
        <v>189</v>
      </c>
      <c r="I24" s="158">
        <v>0.60576923076923073</v>
      </c>
      <c r="J24" s="5"/>
      <c r="K24" s="527" t="s">
        <v>351</v>
      </c>
      <c r="L24" s="528"/>
      <c r="M24" s="157">
        <v>244</v>
      </c>
      <c r="N24" s="157">
        <v>17</v>
      </c>
      <c r="O24" s="158">
        <v>6.9672131147540978E-2</v>
      </c>
      <c r="P24" s="46"/>
      <c r="Q24" s="46"/>
      <c r="R24" s="46"/>
      <c r="S24" s="187"/>
      <c r="T24" s="170"/>
      <c r="U24" s="170"/>
      <c r="V24" s="171"/>
      <c r="W24" s="172"/>
      <c r="X24" s="172"/>
      <c r="Y24" s="173"/>
    </row>
    <row r="25" spans="2:26" ht="37.5" customHeight="1" x14ac:dyDescent="0.4">
      <c r="B25" s="5"/>
      <c r="C25" s="551" t="s">
        <v>333</v>
      </c>
      <c r="D25" s="552"/>
      <c r="E25" s="552"/>
      <c r="F25" s="553"/>
      <c r="G25" s="162">
        <v>239</v>
      </c>
      <c r="H25" s="157">
        <v>176</v>
      </c>
      <c r="I25" s="158">
        <v>0.7364016736401674</v>
      </c>
      <c r="J25" s="5"/>
      <c r="K25" s="527" t="s">
        <v>350</v>
      </c>
      <c r="L25" s="528"/>
      <c r="M25" s="157">
        <v>454</v>
      </c>
      <c r="N25" s="157">
        <v>194</v>
      </c>
      <c r="O25" s="158">
        <v>0.42731277533039647</v>
      </c>
      <c r="P25" s="46"/>
      <c r="Q25" s="46"/>
      <c r="R25" s="46"/>
      <c r="S25" s="187"/>
      <c r="T25" s="170"/>
      <c r="U25" s="170"/>
      <c r="V25" s="171"/>
      <c r="W25" s="172"/>
      <c r="X25" s="172"/>
      <c r="Y25" s="173"/>
    </row>
    <row r="26" spans="2:26" ht="37.5" customHeight="1" thickBot="1" x14ac:dyDescent="0.45">
      <c r="B26" s="5"/>
      <c r="C26" s="551" t="s">
        <v>334</v>
      </c>
      <c r="D26" s="552"/>
      <c r="E26" s="552"/>
      <c r="F26" s="553"/>
      <c r="G26" s="162">
        <v>112628</v>
      </c>
      <c r="H26" s="157">
        <v>90222</v>
      </c>
      <c r="I26" s="158">
        <v>0.80106190290158752</v>
      </c>
      <c r="J26" s="175"/>
      <c r="K26" s="533" t="s">
        <v>448</v>
      </c>
      <c r="L26" s="535"/>
      <c r="M26" s="294">
        <v>41</v>
      </c>
      <c r="N26" s="294">
        <v>19</v>
      </c>
      <c r="O26" s="295">
        <v>0.46341463414634149</v>
      </c>
      <c r="P26" s="46"/>
      <c r="Q26" s="46"/>
      <c r="R26" s="46"/>
      <c r="S26" s="187"/>
      <c r="T26" s="170"/>
      <c r="U26" s="170"/>
      <c r="V26" s="171"/>
      <c r="W26" s="172"/>
      <c r="X26" s="172"/>
      <c r="Y26" s="173"/>
    </row>
    <row r="27" spans="2:26" ht="26.25" customHeight="1" x14ac:dyDescent="0.4">
      <c r="B27" s="5"/>
      <c r="C27" s="551" t="s">
        <v>335</v>
      </c>
      <c r="D27" s="552"/>
      <c r="E27" s="552"/>
      <c r="F27" s="553"/>
      <c r="G27" s="162">
        <v>30</v>
      </c>
      <c r="H27" s="157">
        <v>30</v>
      </c>
      <c r="I27" s="158">
        <v>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16308</v>
      </c>
      <c r="H28" s="125">
        <v>5983</v>
      </c>
      <c r="I28" s="126">
        <v>0.36687515329899434</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98796</v>
      </c>
      <c r="H29" s="157">
        <v>43866</v>
      </c>
      <c r="I29" s="158">
        <v>0.44400583019555445</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70819</v>
      </c>
      <c r="H30" s="230">
        <v>60746</v>
      </c>
      <c r="I30" s="235">
        <v>0.85776415933577144</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77</v>
      </c>
      <c r="H31" s="157">
        <v>63</v>
      </c>
      <c r="I31" s="158">
        <v>0.81818181818181823</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49</v>
      </c>
      <c r="H32" s="157">
        <v>43</v>
      </c>
      <c r="I32" s="158">
        <v>0.87755102040816324</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558</v>
      </c>
      <c r="H33" s="157">
        <v>519</v>
      </c>
      <c r="I33" s="158">
        <v>0.93010752688172038</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1319</v>
      </c>
      <c r="H34" s="157">
        <v>772</v>
      </c>
      <c r="I34" s="158">
        <v>0.58529188779378316</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218</v>
      </c>
      <c r="H35" s="157">
        <v>197</v>
      </c>
      <c r="I35" s="158">
        <v>0.90366972477064222</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15597</v>
      </c>
      <c r="H36" s="157">
        <v>12209</v>
      </c>
      <c r="I36" s="158">
        <v>0.78277873950118615</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53001</v>
      </c>
      <c r="H37" s="157">
        <v>46943</v>
      </c>
      <c r="I37" s="158">
        <v>0.88570026980623007</v>
      </c>
      <c r="J37" s="46"/>
      <c r="K37" s="46"/>
      <c r="L37" s="46"/>
      <c r="M37" s="46"/>
      <c r="N37" s="46"/>
      <c r="O37" s="46"/>
      <c r="P37" s="46"/>
      <c r="Q37" s="46"/>
      <c r="R37" s="46"/>
      <c r="S37" s="187"/>
    </row>
    <row r="38" spans="2:26" ht="32.25" customHeight="1" thickBot="1" x14ac:dyDescent="0.45">
      <c r="B38" s="5"/>
      <c r="C38" s="536" t="s">
        <v>308</v>
      </c>
      <c r="D38" s="537"/>
      <c r="E38" s="537"/>
      <c r="F38" s="537"/>
      <c r="G38" s="236">
        <v>236782</v>
      </c>
      <c r="H38" s="238">
        <v>111490</v>
      </c>
      <c r="I38" s="235">
        <v>0.47085504810331869</v>
      </c>
      <c r="J38" s="46"/>
      <c r="K38" s="46"/>
      <c r="Q38" s="46"/>
      <c r="R38" s="46"/>
      <c r="S38" s="187"/>
    </row>
    <row r="39" spans="2:26" ht="26.25" customHeight="1" x14ac:dyDescent="0.4">
      <c r="B39" s="5"/>
      <c r="C39" s="527" t="s">
        <v>364</v>
      </c>
      <c r="D39" s="532"/>
      <c r="E39" s="532"/>
      <c r="F39" s="528"/>
      <c r="G39" s="162">
        <v>5279</v>
      </c>
      <c r="H39" s="157">
        <v>3915</v>
      </c>
      <c r="I39" s="158">
        <v>0.74161773063080128</v>
      </c>
      <c r="J39" s="46"/>
      <c r="K39" s="46"/>
      <c r="Q39" s="46"/>
      <c r="R39" s="46"/>
      <c r="S39" s="187"/>
    </row>
    <row r="40" spans="2:26" ht="26.25" customHeight="1" x14ac:dyDescent="0.4">
      <c r="B40" s="5"/>
      <c r="C40" s="527" t="s">
        <v>365</v>
      </c>
      <c r="D40" s="532"/>
      <c r="E40" s="532"/>
      <c r="F40" s="528"/>
      <c r="G40" s="162">
        <v>162864</v>
      </c>
      <c r="H40" s="157">
        <v>54861</v>
      </c>
      <c r="I40" s="158">
        <v>0.33685160624815796</v>
      </c>
      <c r="J40" s="46"/>
      <c r="K40" s="46"/>
      <c r="L40" s="46"/>
      <c r="M40" s="46"/>
      <c r="N40" s="46"/>
      <c r="O40" s="46"/>
      <c r="P40" s="46"/>
      <c r="Q40" s="46"/>
      <c r="R40" s="46"/>
      <c r="S40" s="187"/>
    </row>
    <row r="41" spans="2:26" ht="26.25" customHeight="1" x14ac:dyDescent="0.4">
      <c r="B41" s="5"/>
      <c r="C41" s="527" t="s">
        <v>366</v>
      </c>
      <c r="D41" s="532"/>
      <c r="E41" s="532"/>
      <c r="F41" s="528"/>
      <c r="G41" s="162">
        <v>1294</v>
      </c>
      <c r="H41" s="157">
        <v>542</v>
      </c>
      <c r="I41" s="158">
        <v>0.41885625965996909</v>
      </c>
      <c r="J41" s="46"/>
      <c r="K41" s="46"/>
      <c r="L41" s="46"/>
      <c r="M41" s="46"/>
      <c r="N41" s="46"/>
      <c r="O41" s="46"/>
      <c r="P41" s="46"/>
      <c r="Q41" s="46"/>
      <c r="R41" s="46"/>
      <c r="S41" s="187"/>
    </row>
    <row r="42" spans="2:26" ht="36" customHeight="1" x14ac:dyDescent="0.4">
      <c r="B42" s="5"/>
      <c r="C42" s="527" t="s">
        <v>367</v>
      </c>
      <c r="D42" s="532"/>
      <c r="E42" s="532"/>
      <c r="F42" s="528"/>
      <c r="G42" s="162">
        <v>30939</v>
      </c>
      <c r="H42" s="157">
        <v>20593</v>
      </c>
      <c r="I42" s="158">
        <v>0.6656000517146643</v>
      </c>
      <c r="J42" s="46"/>
      <c r="K42" s="46"/>
      <c r="L42" s="46"/>
      <c r="M42" s="46"/>
      <c r="N42" s="46"/>
      <c r="O42" s="46"/>
      <c r="P42" s="46"/>
      <c r="Q42" s="46"/>
      <c r="R42" s="46"/>
      <c r="S42" s="187"/>
    </row>
    <row r="43" spans="2:26" ht="33" customHeight="1" x14ac:dyDescent="0.4">
      <c r="B43" s="5"/>
      <c r="C43" s="527" t="s">
        <v>368</v>
      </c>
      <c r="D43" s="532"/>
      <c r="E43" s="532"/>
      <c r="F43" s="528"/>
      <c r="G43" s="162">
        <v>35651</v>
      </c>
      <c r="H43" s="157">
        <v>30935</v>
      </c>
      <c r="I43" s="158">
        <v>0.86771759557936667</v>
      </c>
      <c r="J43" s="46"/>
      <c r="K43" s="46"/>
      <c r="L43" s="46"/>
      <c r="M43" s="46"/>
      <c r="N43" s="46"/>
      <c r="O43" s="46"/>
      <c r="P43" s="46"/>
      <c r="Q43" s="46"/>
      <c r="R43" s="46"/>
      <c r="S43" s="187"/>
    </row>
    <row r="44" spans="2:26" ht="27" customHeight="1" thickBot="1" x14ac:dyDescent="0.45">
      <c r="B44" s="5"/>
      <c r="C44" s="533" t="s">
        <v>369</v>
      </c>
      <c r="D44" s="534"/>
      <c r="E44" s="534"/>
      <c r="F44" s="535"/>
      <c r="G44" s="163">
        <v>755</v>
      </c>
      <c r="H44" s="159">
        <v>644</v>
      </c>
      <c r="I44" s="160">
        <v>0.85298013245033111</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378778</v>
      </c>
      <c r="D52" s="80">
        <v>364.1</v>
      </c>
      <c r="E52" s="81">
        <v>493639</v>
      </c>
      <c r="F52" s="81">
        <v>245131</v>
      </c>
      <c r="G52" s="84">
        <v>0.49657948419796655</v>
      </c>
      <c r="H52" s="81">
        <v>489632</v>
      </c>
      <c r="I52" s="81">
        <v>337565</v>
      </c>
      <c r="J52" s="84">
        <v>0.68942593621331938</v>
      </c>
      <c r="K52" s="81">
        <v>70819</v>
      </c>
      <c r="L52" s="81">
        <v>60746</v>
      </c>
      <c r="M52" s="84">
        <v>0.85776415933577144</v>
      </c>
      <c r="N52" s="81">
        <v>236782</v>
      </c>
      <c r="O52" s="81">
        <v>111490</v>
      </c>
      <c r="P52" s="84">
        <v>0.47085504810331869</v>
      </c>
      <c r="Q52" s="81">
        <v>9172</v>
      </c>
      <c r="R52" s="81">
        <v>3883</v>
      </c>
      <c r="S52" s="83">
        <v>283083</v>
      </c>
    </row>
    <row r="53" spans="1:19" x14ac:dyDescent="0.2">
      <c r="A53" s="70"/>
      <c r="B53" s="92" t="s">
        <v>149</v>
      </c>
      <c r="C53" s="81">
        <v>58662</v>
      </c>
      <c r="D53" s="191">
        <v>403.5</v>
      </c>
      <c r="E53" s="192">
        <v>93500</v>
      </c>
      <c r="F53" s="192">
        <v>46322</v>
      </c>
      <c r="G53" s="194">
        <v>0.49542245989304812</v>
      </c>
      <c r="H53" s="192">
        <v>79648</v>
      </c>
      <c r="I53" s="192">
        <v>54125</v>
      </c>
      <c r="J53" s="194">
        <v>0.67955253113700276</v>
      </c>
      <c r="K53" s="192">
        <v>11264</v>
      </c>
      <c r="L53" s="192">
        <v>9429</v>
      </c>
      <c r="M53" s="195">
        <v>0.83709161931818177</v>
      </c>
      <c r="N53" s="192">
        <v>56961</v>
      </c>
      <c r="O53" s="192">
        <v>24540</v>
      </c>
      <c r="P53" s="195">
        <v>0.43082108811291936</v>
      </c>
      <c r="Q53" s="192">
        <v>5828</v>
      </c>
      <c r="R53" s="192">
        <v>701</v>
      </c>
      <c r="S53" s="81">
        <v>53469</v>
      </c>
    </row>
    <row r="54" spans="1:19" x14ac:dyDescent="0.2">
      <c r="A54" s="243" t="s">
        <v>166</v>
      </c>
      <c r="B54" s="93" t="s">
        <v>46</v>
      </c>
      <c r="C54" s="82">
        <v>7534</v>
      </c>
      <c r="D54" s="196">
        <v>548.9</v>
      </c>
      <c r="E54" s="197">
        <v>9621</v>
      </c>
      <c r="F54" s="197">
        <v>6149</v>
      </c>
      <c r="G54" s="198">
        <v>0.63912275231264937</v>
      </c>
      <c r="H54" s="197">
        <v>8931</v>
      </c>
      <c r="I54" s="197">
        <v>7524</v>
      </c>
      <c r="J54" s="198">
        <v>0.84245885119247566</v>
      </c>
      <c r="K54" s="197">
        <v>1072</v>
      </c>
      <c r="L54" s="197">
        <v>950</v>
      </c>
      <c r="M54" s="198">
        <v>0.88619402985074625</v>
      </c>
      <c r="N54" s="197">
        <v>8805</v>
      </c>
      <c r="O54" s="197">
        <v>5057</v>
      </c>
      <c r="P54" s="198">
        <v>0.57433276547416245</v>
      </c>
      <c r="Q54" s="197">
        <v>32</v>
      </c>
      <c r="R54" s="197">
        <v>7</v>
      </c>
      <c r="S54" s="82">
        <v>4382</v>
      </c>
    </row>
    <row r="55" spans="1:19" x14ac:dyDescent="0.2">
      <c r="A55" s="243" t="s">
        <v>159</v>
      </c>
      <c r="B55" s="93" t="s">
        <v>48</v>
      </c>
      <c r="C55" s="82">
        <v>4879</v>
      </c>
      <c r="D55" s="196">
        <v>473.7</v>
      </c>
      <c r="E55" s="197">
        <v>5939</v>
      </c>
      <c r="F55" s="197">
        <v>3304</v>
      </c>
      <c r="G55" s="198">
        <v>0.55632261323455123</v>
      </c>
      <c r="H55" s="197">
        <v>6487</v>
      </c>
      <c r="I55" s="197">
        <v>4828</v>
      </c>
      <c r="J55" s="198">
        <v>0.74425774626175423</v>
      </c>
      <c r="K55" s="197">
        <v>2277</v>
      </c>
      <c r="L55" s="197">
        <v>1696</v>
      </c>
      <c r="M55" s="198">
        <v>0.74483970136144051</v>
      </c>
      <c r="N55" s="197">
        <v>962</v>
      </c>
      <c r="O55" s="197">
        <v>873</v>
      </c>
      <c r="P55" s="198">
        <v>0.90748440748440751</v>
      </c>
      <c r="Q55" s="197">
        <v>1</v>
      </c>
      <c r="R55" s="197">
        <v>6</v>
      </c>
      <c r="S55" s="82">
        <v>4012</v>
      </c>
    </row>
    <row r="56" spans="1:19" x14ac:dyDescent="0.2">
      <c r="A56" s="243" t="s">
        <v>162</v>
      </c>
      <c r="B56" s="93" t="s">
        <v>33</v>
      </c>
      <c r="C56" s="82">
        <v>1898</v>
      </c>
      <c r="D56" s="196">
        <v>195.8</v>
      </c>
      <c r="E56" s="197">
        <v>6411</v>
      </c>
      <c r="F56" s="197">
        <v>3455</v>
      </c>
      <c r="G56" s="198">
        <v>0.53891748557167374</v>
      </c>
      <c r="H56" s="197">
        <v>2872</v>
      </c>
      <c r="I56" s="197">
        <v>1518</v>
      </c>
      <c r="J56" s="198">
        <v>0.5285515320334262</v>
      </c>
      <c r="K56" s="197">
        <v>81</v>
      </c>
      <c r="L56" s="197">
        <v>47</v>
      </c>
      <c r="M56" s="198">
        <v>0.58024691358024694</v>
      </c>
      <c r="N56" s="197">
        <v>692</v>
      </c>
      <c r="O56" s="197">
        <v>481</v>
      </c>
      <c r="P56" s="198">
        <v>0.69508670520231219</v>
      </c>
      <c r="Q56" s="197">
        <v>3</v>
      </c>
      <c r="R56" s="197">
        <v>6</v>
      </c>
      <c r="S56" s="82">
        <v>1462</v>
      </c>
    </row>
    <row r="57" spans="1:19" x14ac:dyDescent="0.2">
      <c r="A57" s="244" t="s">
        <v>175</v>
      </c>
      <c r="B57" s="93" t="s">
        <v>51</v>
      </c>
      <c r="C57" s="82">
        <v>9445</v>
      </c>
      <c r="D57" s="196">
        <v>482</v>
      </c>
      <c r="E57" s="197">
        <v>10391</v>
      </c>
      <c r="F57" s="197">
        <v>3984</v>
      </c>
      <c r="G57" s="198">
        <v>0.38340871908382251</v>
      </c>
      <c r="H57" s="197">
        <v>11564</v>
      </c>
      <c r="I57" s="197">
        <v>9110</v>
      </c>
      <c r="J57" s="198">
        <v>0.78778969214804562</v>
      </c>
      <c r="K57" s="197">
        <v>1134</v>
      </c>
      <c r="L57" s="197">
        <v>1092</v>
      </c>
      <c r="M57" s="198">
        <v>0.96296296296296291</v>
      </c>
      <c r="N57" s="197">
        <v>11365</v>
      </c>
      <c r="O57" s="197">
        <v>3931</v>
      </c>
      <c r="P57" s="198">
        <v>0.34588649362076551</v>
      </c>
      <c r="Q57" s="197">
        <v>13</v>
      </c>
      <c r="R57" s="197">
        <v>299</v>
      </c>
      <c r="S57" s="82">
        <v>12927</v>
      </c>
    </row>
    <row r="58" spans="1:19" x14ac:dyDescent="0.2">
      <c r="A58" s="244" t="s">
        <v>179</v>
      </c>
      <c r="B58" s="93" t="s">
        <v>55</v>
      </c>
      <c r="C58" s="82">
        <v>4284</v>
      </c>
      <c r="D58" s="196">
        <v>209</v>
      </c>
      <c r="E58" s="197">
        <v>9968</v>
      </c>
      <c r="F58" s="197">
        <v>4391</v>
      </c>
      <c r="G58" s="198">
        <v>0.4405096308186196</v>
      </c>
      <c r="H58" s="197">
        <v>6729</v>
      </c>
      <c r="I58" s="197">
        <v>4081</v>
      </c>
      <c r="J58" s="198">
        <v>0.60647941744687173</v>
      </c>
      <c r="K58" s="197">
        <v>1164</v>
      </c>
      <c r="L58" s="197">
        <v>1111</v>
      </c>
      <c r="M58" s="198">
        <v>0.95446735395189009</v>
      </c>
      <c r="N58" s="197">
        <v>9939</v>
      </c>
      <c r="O58" s="197">
        <v>2445</v>
      </c>
      <c r="P58" s="198">
        <v>0.24600060368246301</v>
      </c>
      <c r="Q58" s="197">
        <v>2</v>
      </c>
      <c r="R58" s="197">
        <v>164</v>
      </c>
      <c r="S58" s="82">
        <v>5772</v>
      </c>
    </row>
    <row r="59" spans="1:19" x14ac:dyDescent="0.2">
      <c r="A59" s="244" t="s">
        <v>163</v>
      </c>
      <c r="B59" s="93" t="s">
        <v>58</v>
      </c>
      <c r="C59" s="82">
        <v>1636</v>
      </c>
      <c r="D59" s="196">
        <v>249.4</v>
      </c>
      <c r="E59" s="197">
        <v>2030</v>
      </c>
      <c r="F59" s="197">
        <v>680</v>
      </c>
      <c r="G59" s="198">
        <v>0.33497536945812806</v>
      </c>
      <c r="H59" s="197">
        <v>2738</v>
      </c>
      <c r="I59" s="197">
        <v>1496</v>
      </c>
      <c r="J59" s="198">
        <v>0.54638422205989778</v>
      </c>
      <c r="K59" s="197">
        <v>208</v>
      </c>
      <c r="L59" s="197">
        <v>164</v>
      </c>
      <c r="M59" s="198">
        <v>0.78846153846153844</v>
      </c>
      <c r="N59" s="197">
        <v>1635</v>
      </c>
      <c r="O59" s="197">
        <v>568</v>
      </c>
      <c r="P59" s="198">
        <v>0.34740061162079511</v>
      </c>
      <c r="Q59" s="197">
        <v>0</v>
      </c>
      <c r="R59" s="197">
        <v>5</v>
      </c>
      <c r="S59" s="82">
        <v>928</v>
      </c>
    </row>
    <row r="60" spans="1:19" x14ac:dyDescent="0.2">
      <c r="A60" s="244" t="s">
        <v>176</v>
      </c>
      <c r="B60" s="93" t="s">
        <v>62</v>
      </c>
      <c r="C60" s="82">
        <v>8052</v>
      </c>
      <c r="D60" s="196">
        <v>451.8</v>
      </c>
      <c r="E60" s="197">
        <v>8963</v>
      </c>
      <c r="F60" s="197">
        <v>5351</v>
      </c>
      <c r="G60" s="198">
        <v>0.59700992971103428</v>
      </c>
      <c r="H60" s="197">
        <v>11707</v>
      </c>
      <c r="I60" s="197">
        <v>6795</v>
      </c>
      <c r="J60" s="198">
        <v>0.58042196976168103</v>
      </c>
      <c r="K60" s="197">
        <v>1501</v>
      </c>
      <c r="L60" s="197">
        <v>1328</v>
      </c>
      <c r="M60" s="198">
        <v>0.88474350433044635</v>
      </c>
      <c r="N60" s="197">
        <v>1993</v>
      </c>
      <c r="O60" s="197">
        <v>1406</v>
      </c>
      <c r="P60" s="198">
        <v>0.70546914199698951</v>
      </c>
      <c r="Q60" s="197">
        <v>3</v>
      </c>
      <c r="R60" s="197">
        <v>192</v>
      </c>
      <c r="S60" s="82">
        <v>7202</v>
      </c>
    </row>
    <row r="61" spans="1:19" x14ac:dyDescent="0.2">
      <c r="A61" s="244" t="s">
        <v>201</v>
      </c>
      <c r="B61" s="93" t="s">
        <v>68</v>
      </c>
      <c r="C61" s="82">
        <v>1967</v>
      </c>
      <c r="D61" s="196">
        <v>379.4</v>
      </c>
      <c r="E61" s="197">
        <v>1629</v>
      </c>
      <c r="F61" s="197">
        <v>731</v>
      </c>
      <c r="G61" s="198">
        <v>0.44874155923879683</v>
      </c>
      <c r="H61" s="197">
        <v>2422</v>
      </c>
      <c r="I61" s="197">
        <v>1763</v>
      </c>
      <c r="J61" s="198">
        <v>0.72791081750619324</v>
      </c>
      <c r="K61" s="197">
        <v>995</v>
      </c>
      <c r="L61" s="197">
        <v>906</v>
      </c>
      <c r="M61" s="198">
        <v>0.91055276381909545</v>
      </c>
      <c r="N61" s="197">
        <v>223</v>
      </c>
      <c r="O61" s="197">
        <v>172</v>
      </c>
      <c r="P61" s="198">
        <v>0.77130044843049328</v>
      </c>
      <c r="Q61" s="197">
        <v>0</v>
      </c>
      <c r="R61" s="197">
        <v>2</v>
      </c>
      <c r="S61" s="82">
        <v>747</v>
      </c>
    </row>
    <row r="62" spans="1:19" x14ac:dyDescent="0.2">
      <c r="A62" s="244" t="s">
        <v>161</v>
      </c>
      <c r="B62" s="93" t="s">
        <v>74</v>
      </c>
      <c r="C62" s="82">
        <v>3187</v>
      </c>
      <c r="D62" s="196">
        <v>223</v>
      </c>
      <c r="E62" s="197">
        <v>7706</v>
      </c>
      <c r="F62" s="197">
        <v>4191</v>
      </c>
      <c r="G62" s="198">
        <v>0.54386192577212567</v>
      </c>
      <c r="H62" s="197">
        <v>4648</v>
      </c>
      <c r="I62" s="197">
        <v>2532</v>
      </c>
      <c r="J62" s="198">
        <v>0.54475043029259895</v>
      </c>
      <c r="K62" s="197">
        <v>601</v>
      </c>
      <c r="L62" s="197">
        <v>314</v>
      </c>
      <c r="M62" s="198">
        <v>0.52246256239600664</v>
      </c>
      <c r="N62" s="197">
        <v>554</v>
      </c>
      <c r="O62" s="197">
        <v>393</v>
      </c>
      <c r="P62" s="198">
        <v>0.70938628158844763</v>
      </c>
      <c r="Q62" s="197">
        <v>3</v>
      </c>
      <c r="R62" s="197">
        <v>10</v>
      </c>
      <c r="S62" s="82">
        <v>3760</v>
      </c>
    </row>
    <row r="63" spans="1:19" x14ac:dyDescent="0.2">
      <c r="A63" s="244" t="s">
        <v>164</v>
      </c>
      <c r="B63" s="93" t="s">
        <v>75</v>
      </c>
      <c r="C63" s="82">
        <v>736</v>
      </c>
      <c r="D63" s="196">
        <v>149</v>
      </c>
      <c r="E63" s="197">
        <v>3154</v>
      </c>
      <c r="F63" s="197">
        <v>1310</v>
      </c>
      <c r="G63" s="198">
        <v>0.4153455928979074</v>
      </c>
      <c r="H63" s="197">
        <v>1277</v>
      </c>
      <c r="I63" s="197">
        <v>555</v>
      </c>
      <c r="J63" s="198">
        <v>0.43461237274862963</v>
      </c>
      <c r="K63" s="197">
        <v>93</v>
      </c>
      <c r="L63" s="197">
        <v>86</v>
      </c>
      <c r="M63" s="198">
        <v>0.92473118279569888</v>
      </c>
      <c r="N63" s="197">
        <v>1399</v>
      </c>
      <c r="O63" s="197">
        <v>436</v>
      </c>
      <c r="P63" s="198">
        <v>0.31165117941386705</v>
      </c>
      <c r="Q63" s="197">
        <v>2</v>
      </c>
      <c r="R63" s="197">
        <v>3</v>
      </c>
      <c r="S63" s="82">
        <v>2567</v>
      </c>
    </row>
    <row r="64" spans="1:19" x14ac:dyDescent="0.2">
      <c r="A64" s="244" t="s">
        <v>115</v>
      </c>
      <c r="B64" s="94" t="s">
        <v>77</v>
      </c>
      <c r="C64" s="82">
        <v>7500</v>
      </c>
      <c r="D64" s="196">
        <v>423.7</v>
      </c>
      <c r="E64" s="197">
        <v>15861</v>
      </c>
      <c r="F64" s="197">
        <v>7630</v>
      </c>
      <c r="G64" s="198">
        <v>0.4810541579976042</v>
      </c>
      <c r="H64" s="197">
        <v>9506</v>
      </c>
      <c r="I64" s="197">
        <v>6541</v>
      </c>
      <c r="J64" s="198">
        <v>0.68809173153797598</v>
      </c>
      <c r="K64" s="197">
        <v>472</v>
      </c>
      <c r="L64" s="197">
        <v>393</v>
      </c>
      <c r="M64" s="198">
        <v>0.8326271186440678</v>
      </c>
      <c r="N64" s="197">
        <v>9358</v>
      </c>
      <c r="O64" s="197">
        <v>4871</v>
      </c>
      <c r="P64" s="198">
        <v>0.52051720453088268</v>
      </c>
      <c r="Q64" s="197">
        <v>5769</v>
      </c>
      <c r="R64" s="197">
        <v>0</v>
      </c>
      <c r="S64" s="82">
        <v>4032</v>
      </c>
    </row>
    <row r="65" spans="1:19" x14ac:dyDescent="0.2">
      <c r="A65" s="244" t="s">
        <v>165</v>
      </c>
      <c r="B65" s="93" t="s">
        <v>79</v>
      </c>
      <c r="C65" s="82">
        <v>4385</v>
      </c>
      <c r="D65" s="196">
        <v>396.4</v>
      </c>
      <c r="E65" s="197">
        <v>6168</v>
      </c>
      <c r="F65" s="197">
        <v>3232</v>
      </c>
      <c r="G65" s="198">
        <v>0.52399481193255515</v>
      </c>
      <c r="H65" s="197">
        <v>5642</v>
      </c>
      <c r="I65" s="197">
        <v>4534</v>
      </c>
      <c r="J65" s="198">
        <v>0.80361573909961004</v>
      </c>
      <c r="K65" s="197">
        <v>382</v>
      </c>
      <c r="L65" s="197">
        <v>284</v>
      </c>
      <c r="M65" s="198">
        <v>0.74345549738219896</v>
      </c>
      <c r="N65" s="197">
        <v>2949</v>
      </c>
      <c r="O65" s="197">
        <v>1697</v>
      </c>
      <c r="P65" s="198">
        <v>0.5754493048491014</v>
      </c>
      <c r="Q65" s="197">
        <v>0</v>
      </c>
      <c r="R65" s="197">
        <v>3</v>
      </c>
      <c r="S65" s="82">
        <v>4250</v>
      </c>
    </row>
    <row r="66" spans="1:19" x14ac:dyDescent="0.2">
      <c r="A66" s="244" t="s">
        <v>160</v>
      </c>
      <c r="B66" s="93" t="s">
        <v>81</v>
      </c>
      <c r="C66" s="82">
        <v>988</v>
      </c>
      <c r="D66" s="196">
        <v>175.8</v>
      </c>
      <c r="E66" s="197">
        <v>2691</v>
      </c>
      <c r="F66" s="197">
        <v>613</v>
      </c>
      <c r="G66" s="198">
        <v>0.22779635823114083</v>
      </c>
      <c r="H66" s="197">
        <v>2017</v>
      </c>
      <c r="I66" s="197">
        <v>922</v>
      </c>
      <c r="J66" s="198">
        <v>0.45711452652454138</v>
      </c>
      <c r="K66" s="197">
        <v>578</v>
      </c>
      <c r="L66" s="197">
        <v>566</v>
      </c>
      <c r="M66" s="198">
        <v>0.97923875432525953</v>
      </c>
      <c r="N66" s="197">
        <v>1375</v>
      </c>
      <c r="O66" s="197">
        <v>972</v>
      </c>
      <c r="P66" s="198">
        <v>0.70690909090909093</v>
      </c>
      <c r="Q66" s="197">
        <v>0</v>
      </c>
      <c r="R66" s="197">
        <v>4</v>
      </c>
      <c r="S66" s="82">
        <v>665</v>
      </c>
    </row>
    <row r="67" spans="1:19" x14ac:dyDescent="0.2">
      <c r="A67" s="244" t="s">
        <v>203</v>
      </c>
      <c r="B67" s="93" t="s">
        <v>92</v>
      </c>
      <c r="C67" s="82">
        <v>1087</v>
      </c>
      <c r="D67" s="196">
        <v>226.7</v>
      </c>
      <c r="E67" s="197">
        <v>1093</v>
      </c>
      <c r="F67" s="197">
        <v>268</v>
      </c>
      <c r="G67" s="198">
        <v>0.24519670631290028</v>
      </c>
      <c r="H67" s="197">
        <v>1657</v>
      </c>
      <c r="I67" s="197">
        <v>862</v>
      </c>
      <c r="J67" s="198">
        <v>0.52021726010863001</v>
      </c>
      <c r="K67" s="197">
        <v>632</v>
      </c>
      <c r="L67" s="197">
        <v>436</v>
      </c>
      <c r="M67" s="198">
        <v>0.689873417721519</v>
      </c>
      <c r="N67" s="197">
        <v>5176</v>
      </c>
      <c r="O67" s="197">
        <v>1014</v>
      </c>
      <c r="P67" s="198">
        <v>0.19590417310664607</v>
      </c>
      <c r="Q67" s="197">
        <v>0</v>
      </c>
      <c r="R67" s="197">
        <v>0</v>
      </c>
      <c r="S67" s="82">
        <v>384</v>
      </c>
    </row>
    <row r="68" spans="1:19" x14ac:dyDescent="0.2">
      <c r="A68" s="244" t="s">
        <v>105</v>
      </c>
      <c r="B68" s="32" t="s">
        <v>155</v>
      </c>
      <c r="C68" s="82">
        <v>494</v>
      </c>
      <c r="D68" s="196">
        <v>397.3</v>
      </c>
      <c r="E68" s="197">
        <v>636</v>
      </c>
      <c r="F68" s="197">
        <v>348</v>
      </c>
      <c r="G68" s="198">
        <v>0.54716981132075471</v>
      </c>
      <c r="H68" s="197">
        <v>767</v>
      </c>
      <c r="I68" s="197">
        <v>542</v>
      </c>
      <c r="J68" s="198">
        <v>0.70664928292046936</v>
      </c>
      <c r="K68" s="197">
        <v>66</v>
      </c>
      <c r="L68" s="197">
        <v>48</v>
      </c>
      <c r="M68" s="198">
        <v>0.72727272727272729</v>
      </c>
      <c r="N68" s="197">
        <v>93</v>
      </c>
      <c r="O68" s="197">
        <v>64</v>
      </c>
      <c r="P68" s="198">
        <v>0.68817204301075274</v>
      </c>
      <c r="Q68" s="197">
        <v>0</v>
      </c>
      <c r="R68" s="197">
        <v>0</v>
      </c>
      <c r="S68" s="82">
        <v>104</v>
      </c>
    </row>
    <row r="69" spans="1:19" x14ac:dyDescent="0.2">
      <c r="A69" s="244" t="s">
        <v>212</v>
      </c>
      <c r="B69" s="95" t="s">
        <v>96</v>
      </c>
      <c r="C69" s="82">
        <v>590</v>
      </c>
      <c r="D69" s="199">
        <v>443.5</v>
      </c>
      <c r="E69" s="200">
        <v>1239</v>
      </c>
      <c r="F69" s="200">
        <v>685</v>
      </c>
      <c r="G69" s="201">
        <v>0.55286521388216303</v>
      </c>
      <c r="H69" s="200">
        <v>684</v>
      </c>
      <c r="I69" s="200">
        <v>522</v>
      </c>
      <c r="J69" s="201">
        <v>0.76315789473684215</v>
      </c>
      <c r="K69" s="200">
        <v>8</v>
      </c>
      <c r="L69" s="200">
        <v>8</v>
      </c>
      <c r="M69" s="201">
        <v>1</v>
      </c>
      <c r="N69" s="200">
        <v>443</v>
      </c>
      <c r="O69" s="200">
        <v>160</v>
      </c>
      <c r="P69" s="201">
        <v>0.36117381489841988</v>
      </c>
      <c r="Q69" s="200">
        <v>0</v>
      </c>
      <c r="R69" s="200">
        <v>0</v>
      </c>
      <c r="S69" s="82">
        <v>275</v>
      </c>
    </row>
    <row r="70" spans="1:19" x14ac:dyDescent="0.2">
      <c r="A70" s="70"/>
      <c r="B70" s="92" t="s">
        <v>20</v>
      </c>
      <c r="C70" s="81">
        <v>168091</v>
      </c>
      <c r="D70" s="202">
        <v>343.7</v>
      </c>
      <c r="E70" s="203">
        <v>166636</v>
      </c>
      <c r="F70" s="203">
        <v>85331</v>
      </c>
      <c r="G70" s="193">
        <v>0.51208022276098797</v>
      </c>
      <c r="H70" s="203">
        <v>200768</v>
      </c>
      <c r="I70" s="203">
        <v>147761</v>
      </c>
      <c r="J70" s="193">
        <v>0.73597884124960156</v>
      </c>
      <c r="K70" s="203">
        <v>24673</v>
      </c>
      <c r="L70" s="203">
        <v>21909</v>
      </c>
      <c r="M70" s="193">
        <v>0.8879747091962874</v>
      </c>
      <c r="N70" s="203">
        <v>71199</v>
      </c>
      <c r="O70" s="203">
        <v>35510</v>
      </c>
      <c r="P70" s="193">
        <v>0.49874295987303191</v>
      </c>
      <c r="Q70" s="203">
        <v>224</v>
      </c>
      <c r="R70" s="203">
        <v>1128</v>
      </c>
      <c r="S70" s="81">
        <v>102140</v>
      </c>
    </row>
    <row r="71" spans="1:19" x14ac:dyDescent="0.2">
      <c r="A71" s="243" t="s">
        <v>168</v>
      </c>
      <c r="B71" s="93" t="s">
        <v>34</v>
      </c>
      <c r="C71" s="82">
        <v>16328</v>
      </c>
      <c r="D71" s="196">
        <v>377.9</v>
      </c>
      <c r="E71" s="197">
        <v>22685</v>
      </c>
      <c r="F71" s="197">
        <v>10942</v>
      </c>
      <c r="G71" s="198">
        <v>0.48234516200132244</v>
      </c>
      <c r="H71" s="197">
        <v>21232</v>
      </c>
      <c r="I71" s="197">
        <v>14391</v>
      </c>
      <c r="J71" s="198">
        <v>0.67779766390354179</v>
      </c>
      <c r="K71" s="197">
        <v>3406</v>
      </c>
      <c r="L71" s="197">
        <v>2852</v>
      </c>
      <c r="M71" s="198">
        <v>0.83734586024662361</v>
      </c>
      <c r="N71" s="197">
        <v>8789</v>
      </c>
      <c r="O71" s="197">
        <v>3932</v>
      </c>
      <c r="P71" s="198">
        <v>0.4473774035726476</v>
      </c>
      <c r="Q71" s="197">
        <v>49</v>
      </c>
      <c r="R71" s="197">
        <v>21</v>
      </c>
      <c r="S71" s="82">
        <v>14974</v>
      </c>
    </row>
    <row r="72" spans="1:19" x14ac:dyDescent="0.2">
      <c r="A72" s="243" t="s">
        <v>171</v>
      </c>
      <c r="B72" s="93" t="s">
        <v>52</v>
      </c>
      <c r="C72" s="82">
        <v>12864</v>
      </c>
      <c r="D72" s="196">
        <v>291.3</v>
      </c>
      <c r="E72" s="197">
        <v>13835</v>
      </c>
      <c r="F72" s="197">
        <v>6843</v>
      </c>
      <c r="G72" s="198">
        <v>0.49461510661366098</v>
      </c>
      <c r="H72" s="197">
        <v>18709</v>
      </c>
      <c r="I72" s="197">
        <v>11202</v>
      </c>
      <c r="J72" s="198">
        <v>0.59874926505959702</v>
      </c>
      <c r="K72" s="197">
        <v>1372</v>
      </c>
      <c r="L72" s="197">
        <v>1202</v>
      </c>
      <c r="M72" s="198">
        <v>0.87609329446064144</v>
      </c>
      <c r="N72" s="197">
        <v>2910</v>
      </c>
      <c r="O72" s="197">
        <v>2063</v>
      </c>
      <c r="P72" s="198">
        <v>0.7089347079037801</v>
      </c>
      <c r="Q72" s="197">
        <v>3</v>
      </c>
      <c r="R72" s="197">
        <v>46</v>
      </c>
      <c r="S72" s="82">
        <v>9592</v>
      </c>
    </row>
    <row r="73" spans="1:19" x14ac:dyDescent="0.2">
      <c r="A73" s="243" t="s">
        <v>167</v>
      </c>
      <c r="B73" s="93" t="s">
        <v>61</v>
      </c>
      <c r="C73" s="82">
        <v>1728</v>
      </c>
      <c r="D73" s="196">
        <v>253.7</v>
      </c>
      <c r="E73" s="197">
        <v>2352</v>
      </c>
      <c r="F73" s="197">
        <v>632</v>
      </c>
      <c r="G73" s="198">
        <v>0.2687074829931973</v>
      </c>
      <c r="H73" s="197">
        <v>2492</v>
      </c>
      <c r="I73" s="197">
        <v>1516</v>
      </c>
      <c r="J73" s="198">
        <v>0.608346709470305</v>
      </c>
      <c r="K73" s="197">
        <v>187</v>
      </c>
      <c r="L73" s="197">
        <v>174</v>
      </c>
      <c r="M73" s="198">
        <v>0.93048128342245995</v>
      </c>
      <c r="N73" s="197">
        <v>1925</v>
      </c>
      <c r="O73" s="197">
        <v>750</v>
      </c>
      <c r="P73" s="198">
        <v>0.38961038961038963</v>
      </c>
      <c r="Q73" s="197">
        <v>3</v>
      </c>
      <c r="R73" s="197">
        <v>13</v>
      </c>
      <c r="S73" s="82">
        <v>2459</v>
      </c>
    </row>
    <row r="74" spans="1:19" x14ac:dyDescent="0.2">
      <c r="A74" s="244" t="s">
        <v>174</v>
      </c>
      <c r="B74" s="32" t="s">
        <v>63</v>
      </c>
      <c r="C74" s="82">
        <v>4511</v>
      </c>
      <c r="D74" s="196">
        <v>385.9</v>
      </c>
      <c r="E74" s="197">
        <v>7731</v>
      </c>
      <c r="F74" s="197">
        <v>4858</v>
      </c>
      <c r="G74" s="198">
        <v>0.62837925236062608</v>
      </c>
      <c r="H74" s="197">
        <v>5316</v>
      </c>
      <c r="I74" s="197">
        <v>3982</v>
      </c>
      <c r="J74" s="198">
        <v>0.74905944319036866</v>
      </c>
      <c r="K74" s="197">
        <v>1125</v>
      </c>
      <c r="L74" s="197">
        <v>1040</v>
      </c>
      <c r="M74" s="198">
        <v>0.9244444444444444</v>
      </c>
      <c r="N74" s="197">
        <v>3305</v>
      </c>
      <c r="O74" s="197">
        <v>2188</v>
      </c>
      <c r="P74" s="198">
        <v>0.66202723146747355</v>
      </c>
      <c r="Q74" s="197">
        <v>74</v>
      </c>
      <c r="R74" s="197">
        <v>145</v>
      </c>
      <c r="S74" s="82">
        <v>3882</v>
      </c>
    </row>
    <row r="75" spans="1:19" x14ac:dyDescent="0.2">
      <c r="A75" s="244" t="s">
        <v>177</v>
      </c>
      <c r="B75" s="93" t="s">
        <v>67</v>
      </c>
      <c r="C75" s="82">
        <v>8556</v>
      </c>
      <c r="D75" s="196">
        <v>447.7</v>
      </c>
      <c r="E75" s="197">
        <v>9234</v>
      </c>
      <c r="F75" s="197">
        <v>5768</v>
      </c>
      <c r="G75" s="198">
        <v>0.62464803985271822</v>
      </c>
      <c r="H75" s="197">
        <v>11080</v>
      </c>
      <c r="I75" s="197">
        <v>7663</v>
      </c>
      <c r="J75" s="198">
        <v>0.6916064981949458</v>
      </c>
      <c r="K75" s="197">
        <v>1519</v>
      </c>
      <c r="L75" s="197">
        <v>1419</v>
      </c>
      <c r="M75" s="198">
        <v>0.93416721527320601</v>
      </c>
      <c r="N75" s="197">
        <v>2030</v>
      </c>
      <c r="O75" s="197">
        <v>1519</v>
      </c>
      <c r="P75" s="198">
        <v>0.74827586206896557</v>
      </c>
      <c r="Q75" s="197">
        <v>72</v>
      </c>
      <c r="R75" s="197">
        <v>207</v>
      </c>
      <c r="S75" s="82">
        <v>4297</v>
      </c>
    </row>
    <row r="76" spans="1:19" x14ac:dyDescent="0.2">
      <c r="A76" s="244" t="s">
        <v>173</v>
      </c>
      <c r="B76" s="93" t="s">
        <v>71</v>
      </c>
      <c r="C76" s="82">
        <v>10942</v>
      </c>
      <c r="D76" s="196">
        <v>383.8</v>
      </c>
      <c r="E76" s="197">
        <v>8866</v>
      </c>
      <c r="F76" s="197">
        <v>5409</v>
      </c>
      <c r="G76" s="198">
        <v>0.61008346492217458</v>
      </c>
      <c r="H76" s="197">
        <v>11960</v>
      </c>
      <c r="I76" s="197">
        <v>9081</v>
      </c>
      <c r="J76" s="198">
        <v>0.75928093645484951</v>
      </c>
      <c r="K76" s="197">
        <v>4534</v>
      </c>
      <c r="L76" s="197">
        <v>4273</v>
      </c>
      <c r="M76" s="198">
        <v>0.94243493603881778</v>
      </c>
      <c r="N76" s="197">
        <v>2885</v>
      </c>
      <c r="O76" s="197">
        <v>2192</v>
      </c>
      <c r="P76" s="198">
        <v>0.75979202772963605</v>
      </c>
      <c r="Q76" s="197">
        <v>2</v>
      </c>
      <c r="R76" s="197">
        <v>278</v>
      </c>
      <c r="S76" s="82">
        <v>10007</v>
      </c>
    </row>
    <row r="77" spans="1:19" x14ac:dyDescent="0.2">
      <c r="A77" s="244" t="s">
        <v>107</v>
      </c>
      <c r="B77" s="93" t="s">
        <v>72</v>
      </c>
      <c r="C77" s="82">
        <v>5605</v>
      </c>
      <c r="D77" s="196">
        <v>236.4</v>
      </c>
      <c r="E77" s="197">
        <v>11756</v>
      </c>
      <c r="F77" s="197">
        <v>4362</v>
      </c>
      <c r="G77" s="198">
        <v>0.37104457298400817</v>
      </c>
      <c r="H77" s="197">
        <v>8051</v>
      </c>
      <c r="I77" s="197">
        <v>4176</v>
      </c>
      <c r="J77" s="198">
        <v>0.5186933300211154</v>
      </c>
      <c r="K77" s="197">
        <v>1596</v>
      </c>
      <c r="L77" s="197">
        <v>1425</v>
      </c>
      <c r="M77" s="198">
        <v>0.8928571428571429</v>
      </c>
      <c r="N77" s="197">
        <v>2625</v>
      </c>
      <c r="O77" s="197">
        <v>2107</v>
      </c>
      <c r="P77" s="198">
        <v>0.80266666666666664</v>
      </c>
      <c r="Q77" s="197">
        <v>4</v>
      </c>
      <c r="R77" s="197">
        <v>210</v>
      </c>
      <c r="S77" s="82">
        <v>5415</v>
      </c>
    </row>
    <row r="78" spans="1:19" x14ac:dyDescent="0.2">
      <c r="A78" s="244" t="s">
        <v>121</v>
      </c>
      <c r="B78" s="93" t="s">
        <v>83</v>
      </c>
      <c r="C78" s="82">
        <v>14925</v>
      </c>
      <c r="D78" s="196">
        <v>416.2</v>
      </c>
      <c r="E78" s="197">
        <v>17206</v>
      </c>
      <c r="F78" s="197">
        <v>8816</v>
      </c>
      <c r="G78" s="198">
        <v>0.51237940253399972</v>
      </c>
      <c r="H78" s="197">
        <v>17735</v>
      </c>
      <c r="I78" s="197">
        <v>13347</v>
      </c>
      <c r="J78" s="198">
        <v>0.75257964477022832</v>
      </c>
      <c r="K78" s="197">
        <v>3013</v>
      </c>
      <c r="L78" s="197">
        <v>2579</v>
      </c>
      <c r="M78" s="198">
        <v>0.85595751742449389</v>
      </c>
      <c r="N78" s="197">
        <v>6902</v>
      </c>
      <c r="O78" s="197">
        <v>4769</v>
      </c>
      <c r="P78" s="198">
        <v>0.69095914227760069</v>
      </c>
      <c r="Q78" s="197">
        <v>6</v>
      </c>
      <c r="R78" s="197">
        <v>24</v>
      </c>
      <c r="S78" s="82">
        <v>11539</v>
      </c>
    </row>
    <row r="79" spans="1:19" x14ac:dyDescent="0.2">
      <c r="A79" s="244" t="s">
        <v>198</v>
      </c>
      <c r="B79" s="93" t="s">
        <v>86</v>
      </c>
      <c r="C79" s="82">
        <v>2743</v>
      </c>
      <c r="D79" s="196">
        <v>330.1</v>
      </c>
      <c r="E79" s="197">
        <v>3622</v>
      </c>
      <c r="F79" s="197">
        <v>1464</v>
      </c>
      <c r="G79" s="198">
        <v>0.40419657647708446</v>
      </c>
      <c r="H79" s="197">
        <v>3966</v>
      </c>
      <c r="I79" s="197">
        <v>2850</v>
      </c>
      <c r="J79" s="198">
        <v>0.71860816944024208</v>
      </c>
      <c r="K79" s="197">
        <v>696</v>
      </c>
      <c r="L79" s="197">
        <v>612</v>
      </c>
      <c r="M79" s="198">
        <v>0.87931034482758619</v>
      </c>
      <c r="N79" s="197">
        <v>2364</v>
      </c>
      <c r="O79" s="197">
        <v>1640</v>
      </c>
      <c r="P79" s="198">
        <v>0.69373942470389172</v>
      </c>
      <c r="Q79" s="197">
        <v>1</v>
      </c>
      <c r="R79" s="197">
        <v>3</v>
      </c>
      <c r="S79" s="82">
        <v>5591</v>
      </c>
    </row>
    <row r="80" spans="1:19" x14ac:dyDescent="0.2">
      <c r="A80" s="244" t="s">
        <v>169</v>
      </c>
      <c r="B80" s="93" t="s">
        <v>91</v>
      </c>
      <c r="C80" s="82">
        <v>18839</v>
      </c>
      <c r="D80" s="196">
        <v>344.7</v>
      </c>
      <c r="E80" s="197">
        <v>34072</v>
      </c>
      <c r="F80" s="197">
        <v>19686</v>
      </c>
      <c r="G80" s="198">
        <v>0.57777647335055182</v>
      </c>
      <c r="H80" s="197">
        <v>22763</v>
      </c>
      <c r="I80" s="197">
        <v>16383</v>
      </c>
      <c r="J80" s="198">
        <v>0.71972059921802922</v>
      </c>
      <c r="K80" s="197">
        <v>2533</v>
      </c>
      <c r="L80" s="197">
        <v>1949</v>
      </c>
      <c r="M80" s="198">
        <v>0.76944334780892221</v>
      </c>
      <c r="N80" s="197">
        <v>27340</v>
      </c>
      <c r="O80" s="197">
        <v>8273</v>
      </c>
      <c r="P80" s="198">
        <v>0.30259692757863937</v>
      </c>
      <c r="Q80" s="197">
        <v>9</v>
      </c>
      <c r="R80" s="197">
        <v>167</v>
      </c>
      <c r="S80" s="82">
        <v>25276</v>
      </c>
    </row>
    <row r="81" spans="1:20" x14ac:dyDescent="0.2">
      <c r="A81" s="244" t="s">
        <v>416</v>
      </c>
      <c r="B81" s="96" t="s">
        <v>94</v>
      </c>
      <c r="C81" s="82">
        <v>47756</v>
      </c>
      <c r="D81" s="196">
        <v>292.8</v>
      </c>
      <c r="E81" s="197">
        <v>1041</v>
      </c>
      <c r="F81" s="197">
        <v>305</v>
      </c>
      <c r="G81" s="198">
        <v>0.29298751200768491</v>
      </c>
      <c r="H81" s="197">
        <v>48393</v>
      </c>
      <c r="I81" s="197">
        <v>44153</v>
      </c>
      <c r="J81" s="198">
        <v>0.91238402248259043</v>
      </c>
      <c r="K81" s="197">
        <v>135</v>
      </c>
      <c r="L81" s="197">
        <v>132</v>
      </c>
      <c r="M81" s="198">
        <v>0.97777777777777775</v>
      </c>
      <c r="N81" s="197">
        <v>785</v>
      </c>
      <c r="O81" s="197">
        <v>615</v>
      </c>
      <c r="P81" s="198">
        <v>0.78343949044585992</v>
      </c>
      <c r="Q81" s="197">
        <v>0</v>
      </c>
      <c r="R81" s="197">
        <v>2</v>
      </c>
      <c r="S81" s="82">
        <v>57</v>
      </c>
    </row>
    <row r="82" spans="1:20" x14ac:dyDescent="0.2">
      <c r="A82" s="244" t="s">
        <v>170</v>
      </c>
      <c r="B82" s="97" t="s">
        <v>97</v>
      </c>
      <c r="C82" s="82">
        <v>23294</v>
      </c>
      <c r="D82" s="204">
        <v>374.9</v>
      </c>
      <c r="E82" s="200">
        <v>34236</v>
      </c>
      <c r="F82" s="200">
        <v>16246</v>
      </c>
      <c r="G82" s="201">
        <v>0.4745297347821007</v>
      </c>
      <c r="H82" s="200">
        <v>29071</v>
      </c>
      <c r="I82" s="200">
        <v>19017</v>
      </c>
      <c r="J82" s="201">
        <v>0.65415706374049742</v>
      </c>
      <c r="K82" s="200">
        <v>4557</v>
      </c>
      <c r="L82" s="200">
        <v>4252</v>
      </c>
      <c r="M82" s="201">
        <v>0.93307000219442615</v>
      </c>
      <c r="N82" s="200">
        <v>9339</v>
      </c>
      <c r="O82" s="200">
        <v>5462</v>
      </c>
      <c r="P82" s="201">
        <v>0.5848591926330442</v>
      </c>
      <c r="Q82" s="200">
        <v>1</v>
      </c>
      <c r="R82" s="200">
        <v>12</v>
      </c>
      <c r="S82" s="82">
        <v>9051</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68747</v>
      </c>
      <c r="D87" s="191">
        <v>314.39999999999998</v>
      </c>
      <c r="E87" s="192">
        <v>119921</v>
      </c>
      <c r="F87" s="192">
        <v>56619</v>
      </c>
      <c r="G87" s="194">
        <v>0.47213582274997706</v>
      </c>
      <c r="H87" s="192">
        <v>96998</v>
      </c>
      <c r="I87" s="192">
        <v>57441</v>
      </c>
      <c r="J87" s="194">
        <v>0.59218746778284093</v>
      </c>
      <c r="K87" s="192">
        <v>15090</v>
      </c>
      <c r="L87" s="192">
        <v>11638</v>
      </c>
      <c r="M87" s="194">
        <v>0.77123923127899274</v>
      </c>
      <c r="N87" s="192">
        <v>53768</v>
      </c>
      <c r="O87" s="192">
        <v>19689</v>
      </c>
      <c r="P87" s="194">
        <v>0.36618434756732632</v>
      </c>
      <c r="Q87" s="192">
        <v>2820</v>
      </c>
      <c r="R87" s="192">
        <v>1415</v>
      </c>
      <c r="S87" s="81">
        <v>70791</v>
      </c>
    </row>
    <row r="88" spans="1:20" x14ac:dyDescent="0.2">
      <c r="A88" s="243" t="s">
        <v>178</v>
      </c>
      <c r="B88" s="93" t="s">
        <v>50</v>
      </c>
      <c r="C88" s="82">
        <v>7098</v>
      </c>
      <c r="D88" s="196">
        <v>476.1</v>
      </c>
      <c r="E88" s="197">
        <v>12095</v>
      </c>
      <c r="F88" s="197">
        <v>6954</v>
      </c>
      <c r="G88" s="198">
        <v>0.57494832575444399</v>
      </c>
      <c r="H88" s="197">
        <v>8643</v>
      </c>
      <c r="I88" s="197">
        <v>6648</v>
      </c>
      <c r="J88" s="198">
        <v>0.76917736896910793</v>
      </c>
      <c r="K88" s="197">
        <v>1497</v>
      </c>
      <c r="L88" s="197">
        <v>1458</v>
      </c>
      <c r="M88" s="198">
        <v>0.97394789579158314</v>
      </c>
      <c r="N88" s="197">
        <v>3758</v>
      </c>
      <c r="O88" s="197">
        <v>3051</v>
      </c>
      <c r="P88" s="198">
        <v>0.81186801490154337</v>
      </c>
      <c r="Q88" s="197">
        <v>9</v>
      </c>
      <c r="R88" s="197">
        <v>256</v>
      </c>
      <c r="S88" s="82">
        <v>6920</v>
      </c>
      <c r="T88" s="137"/>
    </row>
    <row r="89" spans="1:20" x14ac:dyDescent="0.2">
      <c r="A89" s="243" t="s">
        <v>182</v>
      </c>
      <c r="B89" s="93" t="s">
        <v>54</v>
      </c>
      <c r="C89" s="82">
        <v>1544</v>
      </c>
      <c r="D89" s="196">
        <v>150.6</v>
      </c>
      <c r="E89" s="197">
        <v>2398</v>
      </c>
      <c r="F89" s="197">
        <v>891</v>
      </c>
      <c r="G89" s="198">
        <v>0.37155963302752293</v>
      </c>
      <c r="H89" s="197">
        <v>2407</v>
      </c>
      <c r="I89" s="197">
        <v>872</v>
      </c>
      <c r="J89" s="198">
        <v>0.36227669297881182</v>
      </c>
      <c r="K89" s="197">
        <v>391</v>
      </c>
      <c r="L89" s="197">
        <v>220</v>
      </c>
      <c r="M89" s="198">
        <v>0.5626598465473146</v>
      </c>
      <c r="N89" s="197">
        <v>1760</v>
      </c>
      <c r="O89" s="197">
        <v>273</v>
      </c>
      <c r="P89" s="198">
        <v>0.15511363636363637</v>
      </c>
      <c r="Q89" s="197">
        <v>1</v>
      </c>
      <c r="R89" s="197">
        <v>19</v>
      </c>
      <c r="S89" s="82">
        <v>1082</v>
      </c>
      <c r="T89" s="137"/>
    </row>
    <row r="90" spans="1:20" x14ac:dyDescent="0.2">
      <c r="A90" s="243" t="s">
        <v>207</v>
      </c>
      <c r="B90" s="93" t="s">
        <v>56</v>
      </c>
      <c r="C90" s="82">
        <v>397</v>
      </c>
      <c r="D90" s="196">
        <v>110</v>
      </c>
      <c r="E90" s="197">
        <v>1134</v>
      </c>
      <c r="F90" s="197">
        <v>422</v>
      </c>
      <c r="G90" s="198">
        <v>0.37213403880070545</v>
      </c>
      <c r="H90" s="197">
        <v>575</v>
      </c>
      <c r="I90" s="197">
        <v>160</v>
      </c>
      <c r="J90" s="198">
        <v>0.27826086956521739</v>
      </c>
      <c r="K90" s="197">
        <v>42</v>
      </c>
      <c r="L90" s="197">
        <v>24</v>
      </c>
      <c r="M90" s="198">
        <v>0.5714285714285714</v>
      </c>
      <c r="N90" s="197">
        <v>78</v>
      </c>
      <c r="O90" s="197">
        <v>41</v>
      </c>
      <c r="P90" s="198">
        <v>0.52564102564102566</v>
      </c>
      <c r="Q90" s="197">
        <v>0</v>
      </c>
      <c r="R90" s="197">
        <v>1</v>
      </c>
      <c r="S90" s="82">
        <v>425</v>
      </c>
      <c r="T90" s="137"/>
    </row>
    <row r="91" spans="1:20" x14ac:dyDescent="0.2">
      <c r="A91" s="243" t="s">
        <v>200</v>
      </c>
      <c r="B91" s="93" t="s">
        <v>60</v>
      </c>
      <c r="C91" s="82">
        <v>12515</v>
      </c>
      <c r="D91" s="196">
        <v>328.7</v>
      </c>
      <c r="E91" s="197">
        <v>24352</v>
      </c>
      <c r="F91" s="197">
        <v>14229</v>
      </c>
      <c r="G91" s="198">
        <v>0.58430519053876473</v>
      </c>
      <c r="H91" s="197">
        <v>16498</v>
      </c>
      <c r="I91" s="197">
        <v>11616</v>
      </c>
      <c r="J91" s="198">
        <v>0.70408534367802156</v>
      </c>
      <c r="K91" s="197">
        <v>1680</v>
      </c>
      <c r="L91" s="197">
        <v>1223</v>
      </c>
      <c r="M91" s="198">
        <v>0.72797619047619044</v>
      </c>
      <c r="N91" s="197">
        <v>6854</v>
      </c>
      <c r="O91" s="197">
        <v>5479</v>
      </c>
      <c r="P91" s="198">
        <v>0.79938721914210675</v>
      </c>
      <c r="Q91" s="197">
        <v>0</v>
      </c>
      <c r="R91" s="197">
        <v>210</v>
      </c>
      <c r="S91" s="82">
        <v>17272</v>
      </c>
      <c r="T91" s="137"/>
    </row>
    <row r="92" spans="1:20" x14ac:dyDescent="0.2">
      <c r="A92" s="243" t="s">
        <v>183</v>
      </c>
      <c r="B92" s="93" t="s">
        <v>64</v>
      </c>
      <c r="C92" s="82">
        <v>2320</v>
      </c>
      <c r="D92" s="196">
        <v>120.1</v>
      </c>
      <c r="E92" s="197">
        <v>1866</v>
      </c>
      <c r="F92" s="197">
        <v>374</v>
      </c>
      <c r="G92" s="198">
        <v>0.20042872454448016</v>
      </c>
      <c r="H92" s="197">
        <v>4285</v>
      </c>
      <c r="I92" s="197">
        <v>1146</v>
      </c>
      <c r="J92" s="198">
        <v>0.26744457409568262</v>
      </c>
      <c r="K92" s="197">
        <v>572</v>
      </c>
      <c r="L92" s="197">
        <v>438</v>
      </c>
      <c r="M92" s="198">
        <v>0.76573426573426573</v>
      </c>
      <c r="N92" s="197">
        <v>767</v>
      </c>
      <c r="O92" s="197">
        <v>580</v>
      </c>
      <c r="P92" s="198">
        <v>0.75619295958279009</v>
      </c>
      <c r="Q92" s="197">
        <v>0</v>
      </c>
      <c r="R92" s="197">
        <v>10</v>
      </c>
      <c r="S92" s="82">
        <v>1422</v>
      </c>
      <c r="T92" s="137"/>
    </row>
    <row r="93" spans="1:20" x14ac:dyDescent="0.2">
      <c r="A93" s="243" t="s">
        <v>195</v>
      </c>
      <c r="B93" s="93" t="s">
        <v>65</v>
      </c>
      <c r="C93" s="82">
        <v>3849</v>
      </c>
      <c r="D93" s="196">
        <v>358.3</v>
      </c>
      <c r="E93" s="197">
        <v>5009</v>
      </c>
      <c r="F93" s="197">
        <v>2170</v>
      </c>
      <c r="G93" s="198">
        <v>0.43322020363345976</v>
      </c>
      <c r="H93" s="197">
        <v>7154</v>
      </c>
      <c r="I93" s="197">
        <v>3512</v>
      </c>
      <c r="J93" s="198">
        <v>0.4909141738887336</v>
      </c>
      <c r="K93" s="197">
        <v>2719</v>
      </c>
      <c r="L93" s="197">
        <v>2567</v>
      </c>
      <c r="M93" s="198">
        <v>0.94409709452004409</v>
      </c>
      <c r="N93" s="197">
        <v>23673</v>
      </c>
      <c r="O93" s="197">
        <v>1493</v>
      </c>
      <c r="P93" s="198">
        <v>6.3067629789211335E-2</v>
      </c>
      <c r="Q93" s="197">
        <v>0</v>
      </c>
      <c r="R93" s="197">
        <v>147</v>
      </c>
      <c r="S93" s="82">
        <v>4493</v>
      </c>
      <c r="T93" s="137"/>
    </row>
    <row r="94" spans="1:20" x14ac:dyDescent="0.2">
      <c r="A94" s="243" t="s">
        <v>180</v>
      </c>
      <c r="B94" s="32" t="s">
        <v>70</v>
      </c>
      <c r="C94" s="82">
        <v>3866</v>
      </c>
      <c r="D94" s="196">
        <v>196.1</v>
      </c>
      <c r="E94" s="197">
        <v>6731</v>
      </c>
      <c r="F94" s="197">
        <v>2193</v>
      </c>
      <c r="G94" s="198">
        <v>0.3258059723666617</v>
      </c>
      <c r="H94" s="197">
        <v>6771</v>
      </c>
      <c r="I94" s="197">
        <v>2757</v>
      </c>
      <c r="J94" s="198">
        <v>0.40717766947275141</v>
      </c>
      <c r="K94" s="197">
        <v>290</v>
      </c>
      <c r="L94" s="197">
        <v>141</v>
      </c>
      <c r="M94" s="198">
        <v>0.48620689655172411</v>
      </c>
      <c r="N94" s="197">
        <v>725</v>
      </c>
      <c r="O94" s="197">
        <v>345</v>
      </c>
      <c r="P94" s="198">
        <v>0.47586206896551725</v>
      </c>
      <c r="Q94" s="197">
        <v>2756</v>
      </c>
      <c r="R94" s="197">
        <v>0</v>
      </c>
      <c r="S94" s="82">
        <v>2779</v>
      </c>
      <c r="T94" s="137"/>
    </row>
    <row r="95" spans="1:20" x14ac:dyDescent="0.2">
      <c r="A95" s="243" t="s">
        <v>196</v>
      </c>
      <c r="B95" s="93" t="s">
        <v>36</v>
      </c>
      <c r="C95" s="82">
        <v>5397</v>
      </c>
      <c r="D95" s="196">
        <v>225.9</v>
      </c>
      <c r="E95" s="197">
        <v>9133</v>
      </c>
      <c r="F95" s="197">
        <v>3539</v>
      </c>
      <c r="G95" s="198">
        <v>0.38749589401073031</v>
      </c>
      <c r="H95" s="197">
        <v>8214</v>
      </c>
      <c r="I95" s="197">
        <v>3317</v>
      </c>
      <c r="J95" s="198">
        <v>0.40382274166057952</v>
      </c>
      <c r="K95" s="197">
        <v>1545</v>
      </c>
      <c r="L95" s="197">
        <v>698</v>
      </c>
      <c r="M95" s="198">
        <v>0.45177993527508092</v>
      </c>
      <c r="N95" s="197">
        <v>1038</v>
      </c>
      <c r="O95" s="197">
        <v>451</v>
      </c>
      <c r="P95" s="198">
        <v>0.4344894026974952</v>
      </c>
      <c r="Q95" s="197">
        <v>0</v>
      </c>
      <c r="R95" s="197">
        <v>76</v>
      </c>
      <c r="S95" s="82">
        <v>3568</v>
      </c>
      <c r="T95" s="137"/>
    </row>
    <row r="96" spans="1:20" x14ac:dyDescent="0.2">
      <c r="A96" s="243" t="s">
        <v>172</v>
      </c>
      <c r="B96" s="93" t="s">
        <v>73</v>
      </c>
      <c r="C96" s="82">
        <v>6524</v>
      </c>
      <c r="D96" s="196">
        <v>475.7</v>
      </c>
      <c r="E96" s="197">
        <v>8124</v>
      </c>
      <c r="F96" s="197">
        <v>3902</v>
      </c>
      <c r="G96" s="198">
        <v>0.48030526834071885</v>
      </c>
      <c r="H96" s="197">
        <v>7634</v>
      </c>
      <c r="I96" s="197">
        <v>6163</v>
      </c>
      <c r="J96" s="198">
        <v>0.80730940529211426</v>
      </c>
      <c r="K96" s="197">
        <v>837</v>
      </c>
      <c r="L96" s="197">
        <v>402</v>
      </c>
      <c r="M96" s="198">
        <v>0.48028673835125446</v>
      </c>
      <c r="N96" s="197">
        <v>1465</v>
      </c>
      <c r="O96" s="197">
        <v>648</v>
      </c>
      <c r="P96" s="198">
        <v>0.44232081911262799</v>
      </c>
      <c r="Q96" s="197">
        <v>3</v>
      </c>
      <c r="R96" s="197">
        <v>281</v>
      </c>
      <c r="S96" s="82">
        <v>4894</v>
      </c>
      <c r="T96" s="137"/>
    </row>
    <row r="97" spans="1:21" x14ac:dyDescent="0.2">
      <c r="A97" s="243" t="s">
        <v>208</v>
      </c>
      <c r="B97" s="93" t="s">
        <v>88</v>
      </c>
      <c r="C97" s="82">
        <v>222</v>
      </c>
      <c r="D97" s="196">
        <v>65.099999999999994</v>
      </c>
      <c r="E97" s="197">
        <v>1043</v>
      </c>
      <c r="F97" s="197">
        <v>324</v>
      </c>
      <c r="G97" s="198">
        <v>0.31064237775647174</v>
      </c>
      <c r="H97" s="197">
        <v>433</v>
      </c>
      <c r="I97" s="197">
        <v>54</v>
      </c>
      <c r="J97" s="198">
        <v>0.12471131639722864</v>
      </c>
      <c r="K97" s="197">
        <v>337</v>
      </c>
      <c r="L97" s="197">
        <v>144</v>
      </c>
      <c r="M97" s="198">
        <v>0.42729970326409494</v>
      </c>
      <c r="N97" s="197">
        <v>195</v>
      </c>
      <c r="O97" s="197">
        <v>91</v>
      </c>
      <c r="P97" s="198">
        <v>0.46666666666666667</v>
      </c>
      <c r="Q97" s="197">
        <v>0</v>
      </c>
      <c r="R97" s="197">
        <v>4</v>
      </c>
      <c r="S97" s="82">
        <v>189</v>
      </c>
      <c r="T97" s="137"/>
    </row>
    <row r="98" spans="1:21" x14ac:dyDescent="0.2">
      <c r="A98" s="243" t="s">
        <v>181</v>
      </c>
      <c r="B98" s="93" t="s">
        <v>89</v>
      </c>
      <c r="C98" s="82">
        <v>5174</v>
      </c>
      <c r="D98" s="196">
        <v>309.60000000000002</v>
      </c>
      <c r="E98" s="197">
        <v>9135</v>
      </c>
      <c r="F98" s="197">
        <v>4548</v>
      </c>
      <c r="G98" s="198">
        <v>0.49786535303776686</v>
      </c>
      <c r="H98" s="197">
        <v>8732</v>
      </c>
      <c r="I98" s="197">
        <v>6098</v>
      </c>
      <c r="J98" s="198">
        <v>0.69835089326614752</v>
      </c>
      <c r="K98" s="197">
        <v>3044</v>
      </c>
      <c r="L98" s="197">
        <v>2901</v>
      </c>
      <c r="M98" s="198">
        <v>0.95302233902759526</v>
      </c>
      <c r="N98" s="197">
        <v>4857</v>
      </c>
      <c r="O98" s="197">
        <v>3161</v>
      </c>
      <c r="P98" s="198">
        <v>0.6508132592135063</v>
      </c>
      <c r="Q98" s="197">
        <v>45</v>
      </c>
      <c r="R98" s="197">
        <v>222</v>
      </c>
      <c r="S98" s="82">
        <v>6046</v>
      </c>
      <c r="T98" s="137"/>
    </row>
    <row r="99" spans="1:21" x14ac:dyDescent="0.2">
      <c r="A99" s="243" t="s">
        <v>184</v>
      </c>
      <c r="B99" s="98" t="s">
        <v>90</v>
      </c>
      <c r="C99" s="82">
        <v>1702</v>
      </c>
      <c r="D99" s="196">
        <v>167.3</v>
      </c>
      <c r="E99" s="197">
        <v>10881</v>
      </c>
      <c r="F99" s="197">
        <v>3544</v>
      </c>
      <c r="G99" s="198">
        <v>0.32570535796342248</v>
      </c>
      <c r="H99" s="197">
        <v>4695</v>
      </c>
      <c r="I99" s="197">
        <v>1474</v>
      </c>
      <c r="J99" s="198">
        <v>0.31395101171459</v>
      </c>
      <c r="K99" s="197">
        <v>559</v>
      </c>
      <c r="L99" s="197">
        <v>344</v>
      </c>
      <c r="M99" s="198">
        <v>0.61538461538461542</v>
      </c>
      <c r="N99" s="197">
        <v>1800</v>
      </c>
      <c r="O99" s="197">
        <v>920</v>
      </c>
      <c r="P99" s="198">
        <v>0.51111111111111107</v>
      </c>
      <c r="Q99" s="197">
        <v>1</v>
      </c>
      <c r="R99" s="197">
        <v>0</v>
      </c>
      <c r="S99" s="82">
        <v>1492</v>
      </c>
      <c r="T99" s="137"/>
    </row>
    <row r="100" spans="1:21" x14ac:dyDescent="0.2">
      <c r="A100" s="243" t="s">
        <v>194</v>
      </c>
      <c r="B100" s="93" t="s">
        <v>93</v>
      </c>
      <c r="C100" s="82">
        <v>16486</v>
      </c>
      <c r="D100" s="196">
        <v>296.7</v>
      </c>
      <c r="E100" s="197">
        <v>24537</v>
      </c>
      <c r="F100" s="197">
        <v>12007</v>
      </c>
      <c r="G100" s="198">
        <v>0.4893426254228308</v>
      </c>
      <c r="H100" s="197">
        <v>18209</v>
      </c>
      <c r="I100" s="197">
        <v>12320</v>
      </c>
      <c r="J100" s="198">
        <v>0.67658850019221262</v>
      </c>
      <c r="K100" s="197">
        <v>1429</v>
      </c>
      <c r="L100" s="197">
        <v>1012</v>
      </c>
      <c r="M100" s="198">
        <v>0.70818754373687898</v>
      </c>
      <c r="N100" s="197">
        <v>5145</v>
      </c>
      <c r="O100" s="197">
        <v>2959</v>
      </c>
      <c r="P100" s="198">
        <v>0.57512147716229345</v>
      </c>
      <c r="Q100" s="197">
        <v>5</v>
      </c>
      <c r="R100" s="197">
        <v>171</v>
      </c>
      <c r="S100" s="82">
        <v>18689</v>
      </c>
      <c r="T100" s="137"/>
    </row>
    <row r="101" spans="1:21" x14ac:dyDescent="0.2">
      <c r="A101" s="243" t="s">
        <v>209</v>
      </c>
      <c r="B101" s="95" t="s">
        <v>95</v>
      </c>
      <c r="C101" s="82">
        <v>1653</v>
      </c>
      <c r="D101" s="196">
        <v>190.7</v>
      </c>
      <c r="E101" s="197">
        <v>3483</v>
      </c>
      <c r="F101" s="197">
        <v>1522</v>
      </c>
      <c r="G101" s="198">
        <v>0.43697961527418894</v>
      </c>
      <c r="H101" s="197">
        <v>2748</v>
      </c>
      <c r="I101" s="197">
        <v>1304</v>
      </c>
      <c r="J101" s="198">
        <v>0.47452692867540031</v>
      </c>
      <c r="K101" s="197">
        <v>148</v>
      </c>
      <c r="L101" s="197">
        <v>66</v>
      </c>
      <c r="M101" s="198">
        <v>0.44594594594594594</v>
      </c>
      <c r="N101" s="197">
        <v>1653</v>
      </c>
      <c r="O101" s="197">
        <v>197</v>
      </c>
      <c r="P101" s="198">
        <v>0.1191772534785239</v>
      </c>
      <c r="Q101" s="197">
        <v>0</v>
      </c>
      <c r="R101" s="197">
        <v>18</v>
      </c>
      <c r="S101" s="82">
        <v>1520</v>
      </c>
      <c r="T101" s="137"/>
    </row>
    <row r="102" spans="1:21" x14ac:dyDescent="0.2">
      <c r="A102" s="243"/>
      <c r="B102" s="92" t="s">
        <v>22</v>
      </c>
      <c r="C102" s="81">
        <v>83209</v>
      </c>
      <c r="D102" s="191">
        <v>418.2</v>
      </c>
      <c r="E102" s="192">
        <v>113562</v>
      </c>
      <c r="F102" s="192">
        <v>56844</v>
      </c>
      <c r="G102" s="194">
        <v>0.50055476303693136</v>
      </c>
      <c r="H102" s="192">
        <v>112150</v>
      </c>
      <c r="I102" s="192">
        <v>78177</v>
      </c>
      <c r="J102" s="194">
        <v>0.69707534551939365</v>
      </c>
      <c r="K102" s="192">
        <v>19790</v>
      </c>
      <c r="L102" s="192">
        <v>17770</v>
      </c>
      <c r="M102" s="194">
        <v>0.89792824658918646</v>
      </c>
      <c r="N102" s="192">
        <v>50933</v>
      </c>
      <c r="O102" s="192">
        <v>31206</v>
      </c>
      <c r="P102" s="194">
        <v>0.61268725580664796</v>
      </c>
      <c r="Q102" s="192">
        <v>300</v>
      </c>
      <c r="R102" s="192">
        <v>631</v>
      </c>
      <c r="S102" s="81">
        <v>44126</v>
      </c>
    </row>
    <row r="103" spans="1:21" x14ac:dyDescent="0.2">
      <c r="A103" s="243" t="s">
        <v>186</v>
      </c>
      <c r="B103" s="93" t="s">
        <v>44</v>
      </c>
      <c r="C103" s="82">
        <v>1853</v>
      </c>
      <c r="D103" s="196">
        <v>290.3</v>
      </c>
      <c r="E103" s="197">
        <v>3896</v>
      </c>
      <c r="F103" s="197">
        <v>1645</v>
      </c>
      <c r="G103" s="198">
        <v>0.42222792607802873</v>
      </c>
      <c r="H103" s="197">
        <v>2963</v>
      </c>
      <c r="I103" s="197">
        <v>1617</v>
      </c>
      <c r="J103" s="198">
        <v>0.54573067836652045</v>
      </c>
      <c r="K103" s="197">
        <v>136</v>
      </c>
      <c r="L103" s="197">
        <v>56</v>
      </c>
      <c r="M103" s="198">
        <v>0.41176470588235292</v>
      </c>
      <c r="N103" s="197">
        <v>472</v>
      </c>
      <c r="O103" s="197">
        <v>354</v>
      </c>
      <c r="P103" s="198">
        <v>0.75</v>
      </c>
      <c r="Q103" s="197">
        <v>0</v>
      </c>
      <c r="R103" s="197">
        <v>10</v>
      </c>
      <c r="S103" s="82">
        <v>1906</v>
      </c>
    </row>
    <row r="104" spans="1:21" x14ac:dyDescent="0.2">
      <c r="A104" s="243" t="s">
        <v>420</v>
      </c>
      <c r="B104" s="93" t="s">
        <v>45</v>
      </c>
      <c r="C104" s="82">
        <v>2531</v>
      </c>
      <c r="D104" s="196">
        <v>520.70000000000005</v>
      </c>
      <c r="E104" s="197">
        <v>1154</v>
      </c>
      <c r="F104" s="197">
        <v>267</v>
      </c>
      <c r="G104" s="198">
        <v>0.231369150779896</v>
      </c>
      <c r="H104" s="197">
        <v>3147</v>
      </c>
      <c r="I104" s="197">
        <v>2534</v>
      </c>
      <c r="J104" s="198">
        <v>0.80521131236097876</v>
      </c>
      <c r="K104" s="197">
        <v>1746</v>
      </c>
      <c r="L104" s="197">
        <v>1622</v>
      </c>
      <c r="M104" s="198">
        <v>0.92898052691867128</v>
      </c>
      <c r="N104" s="197">
        <v>232</v>
      </c>
      <c r="O104" s="197">
        <v>192</v>
      </c>
      <c r="P104" s="198">
        <v>0.82758620689655171</v>
      </c>
      <c r="Q104" s="197">
        <v>0</v>
      </c>
      <c r="R104" s="197">
        <v>4</v>
      </c>
      <c r="S104" s="82">
        <v>241</v>
      </c>
    </row>
    <row r="105" spans="1:21" x14ac:dyDescent="0.2">
      <c r="A105" s="243" t="s">
        <v>192</v>
      </c>
      <c r="B105" s="93" t="s">
        <v>47</v>
      </c>
      <c r="C105" s="82">
        <v>716</v>
      </c>
      <c r="D105" s="196">
        <v>110.9</v>
      </c>
      <c r="E105" s="197">
        <v>1587</v>
      </c>
      <c r="F105" s="197">
        <v>451</v>
      </c>
      <c r="G105" s="198">
        <v>0.28418399495904223</v>
      </c>
      <c r="H105" s="197">
        <v>1106</v>
      </c>
      <c r="I105" s="197">
        <v>231</v>
      </c>
      <c r="J105" s="198">
        <v>0.20886075949367089</v>
      </c>
      <c r="K105" s="197">
        <v>196</v>
      </c>
      <c r="L105" s="197">
        <v>124</v>
      </c>
      <c r="M105" s="198">
        <v>0.63265306122448983</v>
      </c>
      <c r="N105" s="197">
        <v>353</v>
      </c>
      <c r="O105" s="197">
        <v>260</v>
      </c>
      <c r="P105" s="198">
        <v>0.73654390934844194</v>
      </c>
      <c r="Q105" s="197">
        <v>0</v>
      </c>
      <c r="R105" s="197">
        <v>7</v>
      </c>
      <c r="S105" s="82">
        <v>973</v>
      </c>
    </row>
    <row r="106" spans="1:21" x14ac:dyDescent="0.2">
      <c r="A106" s="243" t="s">
        <v>421</v>
      </c>
      <c r="B106" s="32" t="s">
        <v>49</v>
      </c>
      <c r="C106" s="82">
        <v>495</v>
      </c>
      <c r="D106" s="196">
        <v>336.2</v>
      </c>
      <c r="E106" s="197">
        <v>978</v>
      </c>
      <c r="F106" s="197">
        <v>259</v>
      </c>
      <c r="G106" s="198">
        <v>0.26482617586912066</v>
      </c>
      <c r="H106" s="197">
        <v>828</v>
      </c>
      <c r="I106" s="197">
        <v>471</v>
      </c>
      <c r="J106" s="198">
        <v>0.5688405797101449</v>
      </c>
      <c r="K106" s="197">
        <v>64</v>
      </c>
      <c r="L106" s="197">
        <v>46</v>
      </c>
      <c r="M106" s="198">
        <v>0.71875</v>
      </c>
      <c r="N106" s="197">
        <v>1321</v>
      </c>
      <c r="O106" s="197">
        <v>455</v>
      </c>
      <c r="P106" s="198">
        <v>0.34443603330809991</v>
      </c>
      <c r="Q106" s="197">
        <v>15</v>
      </c>
      <c r="R106" s="197">
        <v>6</v>
      </c>
      <c r="S106" s="82">
        <v>266</v>
      </c>
    </row>
    <row r="107" spans="1:21" x14ac:dyDescent="0.2">
      <c r="A107" s="243" t="s">
        <v>185</v>
      </c>
      <c r="B107" s="32" t="s">
        <v>53</v>
      </c>
      <c r="C107" s="82">
        <v>7371</v>
      </c>
      <c r="D107" s="196">
        <v>457.8</v>
      </c>
      <c r="E107" s="197">
        <v>9815</v>
      </c>
      <c r="F107" s="197">
        <v>5271</v>
      </c>
      <c r="G107" s="198">
        <v>0.53703515028018334</v>
      </c>
      <c r="H107" s="197">
        <v>9583</v>
      </c>
      <c r="I107" s="197">
        <v>7411</v>
      </c>
      <c r="J107" s="198">
        <v>0.77334863821350308</v>
      </c>
      <c r="K107" s="197">
        <v>2083</v>
      </c>
      <c r="L107" s="197">
        <v>1788</v>
      </c>
      <c r="M107" s="198">
        <v>0.8583773403744599</v>
      </c>
      <c r="N107" s="197">
        <v>5363</v>
      </c>
      <c r="O107" s="197">
        <v>2485</v>
      </c>
      <c r="P107" s="198">
        <v>0.46336005966809624</v>
      </c>
      <c r="Q107" s="197">
        <v>2</v>
      </c>
      <c r="R107" s="197">
        <v>36</v>
      </c>
      <c r="S107" s="82">
        <v>4851</v>
      </c>
      <c r="U107" s="17"/>
    </row>
    <row r="108" spans="1:21" x14ac:dyDescent="0.2">
      <c r="A108" s="243" t="s">
        <v>206</v>
      </c>
      <c r="B108" s="32" t="s">
        <v>57</v>
      </c>
      <c r="C108" s="82">
        <v>831</v>
      </c>
      <c r="D108" s="196">
        <v>273.89999999999998</v>
      </c>
      <c r="E108" s="197">
        <v>871</v>
      </c>
      <c r="F108" s="197">
        <v>119</v>
      </c>
      <c r="G108" s="198">
        <v>0.13662456946039037</v>
      </c>
      <c r="H108" s="197">
        <v>1266</v>
      </c>
      <c r="I108" s="197">
        <v>647</v>
      </c>
      <c r="J108" s="198">
        <v>0.5110584518167457</v>
      </c>
      <c r="K108" s="197">
        <v>294</v>
      </c>
      <c r="L108" s="197">
        <v>196</v>
      </c>
      <c r="M108" s="198">
        <v>0.66666666666666663</v>
      </c>
      <c r="N108" s="197">
        <v>638</v>
      </c>
      <c r="O108" s="197">
        <v>102</v>
      </c>
      <c r="P108" s="198">
        <v>0.15987460815047022</v>
      </c>
      <c r="Q108" s="197">
        <v>0</v>
      </c>
      <c r="R108" s="197">
        <v>4</v>
      </c>
      <c r="S108" s="82">
        <v>275</v>
      </c>
      <c r="U108"/>
    </row>
    <row r="109" spans="1:21" x14ac:dyDescent="0.2">
      <c r="A109" s="243" t="s">
        <v>210</v>
      </c>
      <c r="B109" s="93" t="s">
        <v>59</v>
      </c>
      <c r="C109" s="82">
        <v>1538</v>
      </c>
      <c r="D109" s="196">
        <v>222.5</v>
      </c>
      <c r="E109" s="197">
        <v>3731</v>
      </c>
      <c r="F109" s="197">
        <v>1958</v>
      </c>
      <c r="G109" s="198">
        <v>0.52479228088984187</v>
      </c>
      <c r="H109" s="197">
        <v>2174</v>
      </c>
      <c r="I109" s="197">
        <v>1457</v>
      </c>
      <c r="J109" s="198">
        <v>0.67019319227230911</v>
      </c>
      <c r="K109" s="197">
        <v>425</v>
      </c>
      <c r="L109" s="197">
        <v>393</v>
      </c>
      <c r="M109" s="198">
        <v>0.92470588235294116</v>
      </c>
      <c r="N109" s="197">
        <v>1103</v>
      </c>
      <c r="O109" s="197">
        <v>627</v>
      </c>
      <c r="P109" s="198">
        <v>0.5684496826835902</v>
      </c>
      <c r="Q109" s="197">
        <v>0</v>
      </c>
      <c r="R109" s="197">
        <v>3</v>
      </c>
      <c r="S109" s="82">
        <v>930</v>
      </c>
      <c r="U109"/>
    </row>
    <row r="110" spans="1:21" x14ac:dyDescent="0.2">
      <c r="A110" s="243" t="s">
        <v>189</v>
      </c>
      <c r="B110" s="93" t="s">
        <v>66</v>
      </c>
      <c r="C110" s="82">
        <v>6024</v>
      </c>
      <c r="D110" s="196">
        <v>443.3</v>
      </c>
      <c r="E110" s="197">
        <v>15772</v>
      </c>
      <c r="F110" s="197">
        <v>9648</v>
      </c>
      <c r="G110" s="198">
        <v>0.61171696677656606</v>
      </c>
      <c r="H110" s="197">
        <v>7900</v>
      </c>
      <c r="I110" s="197">
        <v>6071</v>
      </c>
      <c r="J110" s="198">
        <v>0.76848101265822788</v>
      </c>
      <c r="K110" s="197">
        <v>1431</v>
      </c>
      <c r="L110" s="197">
        <v>1334</v>
      </c>
      <c r="M110" s="198">
        <v>0.93221523410202656</v>
      </c>
      <c r="N110" s="197">
        <v>3996</v>
      </c>
      <c r="O110" s="197">
        <v>2979</v>
      </c>
      <c r="P110" s="198">
        <v>0.74549549549549554</v>
      </c>
      <c r="Q110" s="197">
        <v>2</v>
      </c>
      <c r="R110" s="197">
        <v>35</v>
      </c>
      <c r="S110" s="82">
        <v>4649</v>
      </c>
      <c r="U110"/>
    </row>
    <row r="111" spans="1:21" x14ac:dyDescent="0.2">
      <c r="A111" s="243" t="s">
        <v>199</v>
      </c>
      <c r="B111" s="93" t="s">
        <v>69</v>
      </c>
      <c r="C111" s="82">
        <v>761</v>
      </c>
      <c r="D111" s="196">
        <v>165.1</v>
      </c>
      <c r="E111" s="197">
        <v>1566</v>
      </c>
      <c r="F111" s="197">
        <v>701</v>
      </c>
      <c r="G111" s="198">
        <v>0.44763729246487866</v>
      </c>
      <c r="H111" s="197">
        <v>881</v>
      </c>
      <c r="I111" s="197">
        <v>383</v>
      </c>
      <c r="J111" s="198">
        <v>0.43473325766174803</v>
      </c>
      <c r="K111" s="197">
        <v>211</v>
      </c>
      <c r="L111" s="197">
        <v>162</v>
      </c>
      <c r="M111" s="198">
        <v>0.76777251184834128</v>
      </c>
      <c r="N111" s="197">
        <v>960</v>
      </c>
      <c r="O111" s="197">
        <v>427</v>
      </c>
      <c r="P111" s="198">
        <v>0.44479166666666664</v>
      </c>
      <c r="Q111" s="197">
        <v>258</v>
      </c>
      <c r="R111" s="197">
        <v>117</v>
      </c>
      <c r="S111" s="82">
        <v>1098</v>
      </c>
      <c r="U111"/>
    </row>
    <row r="112" spans="1:21" x14ac:dyDescent="0.2">
      <c r="A112" s="243" t="s">
        <v>188</v>
      </c>
      <c r="B112" s="93" t="s">
        <v>76</v>
      </c>
      <c r="C112" s="82">
        <v>9416</v>
      </c>
      <c r="D112" s="196">
        <v>440.5</v>
      </c>
      <c r="E112" s="197">
        <v>18086</v>
      </c>
      <c r="F112" s="197">
        <v>10024</v>
      </c>
      <c r="G112" s="198">
        <v>0.55424084927568285</v>
      </c>
      <c r="H112" s="197">
        <v>12299</v>
      </c>
      <c r="I112" s="197">
        <v>9887</v>
      </c>
      <c r="J112" s="198">
        <v>0.8038864948369786</v>
      </c>
      <c r="K112" s="197">
        <v>1630</v>
      </c>
      <c r="L112" s="197">
        <v>1525</v>
      </c>
      <c r="M112" s="198">
        <v>0.93558282208588961</v>
      </c>
      <c r="N112" s="197">
        <v>13521</v>
      </c>
      <c r="O112" s="197">
        <v>9075</v>
      </c>
      <c r="P112" s="198">
        <v>0.67117816729531843</v>
      </c>
      <c r="Q112" s="197">
        <v>0</v>
      </c>
      <c r="R112" s="197">
        <v>26</v>
      </c>
      <c r="S112" s="82">
        <v>8497</v>
      </c>
      <c r="U112"/>
    </row>
    <row r="113" spans="1:21" x14ac:dyDescent="0.2">
      <c r="A113" s="243" t="s">
        <v>190</v>
      </c>
      <c r="B113" s="93" t="s">
        <v>78</v>
      </c>
      <c r="C113" s="82">
        <v>5784</v>
      </c>
      <c r="D113" s="196">
        <v>380.3</v>
      </c>
      <c r="E113" s="197">
        <v>6140</v>
      </c>
      <c r="F113" s="197">
        <v>2817</v>
      </c>
      <c r="G113" s="198">
        <v>0.45879478827361564</v>
      </c>
      <c r="H113" s="197">
        <v>7283</v>
      </c>
      <c r="I113" s="197">
        <v>5345</v>
      </c>
      <c r="J113" s="198">
        <v>0.73390086502814778</v>
      </c>
      <c r="K113" s="197">
        <v>442</v>
      </c>
      <c r="L113" s="197">
        <v>357</v>
      </c>
      <c r="M113" s="198">
        <v>0.80769230769230771</v>
      </c>
      <c r="N113" s="197">
        <v>5697</v>
      </c>
      <c r="O113" s="197">
        <v>3045</v>
      </c>
      <c r="P113" s="198">
        <v>0.53449183780937337</v>
      </c>
      <c r="Q113" s="197">
        <v>1</v>
      </c>
      <c r="R113" s="197">
        <v>45</v>
      </c>
      <c r="S113" s="82">
        <v>6260</v>
      </c>
      <c r="U113"/>
    </row>
    <row r="114" spans="1:21" x14ac:dyDescent="0.2">
      <c r="A114" s="243" t="s">
        <v>193</v>
      </c>
      <c r="B114" s="93" t="s">
        <v>80</v>
      </c>
      <c r="C114" s="82">
        <v>8056</v>
      </c>
      <c r="D114" s="196">
        <v>444</v>
      </c>
      <c r="E114" s="197">
        <v>7620</v>
      </c>
      <c r="F114" s="197">
        <v>3848</v>
      </c>
      <c r="G114" s="198">
        <v>0.50498687664041997</v>
      </c>
      <c r="H114" s="197">
        <v>10238</v>
      </c>
      <c r="I114" s="197">
        <v>7637</v>
      </c>
      <c r="J114" s="198">
        <v>0.74594647392068758</v>
      </c>
      <c r="K114" s="197">
        <v>3328</v>
      </c>
      <c r="L114" s="197">
        <v>2933</v>
      </c>
      <c r="M114" s="198">
        <v>0.88131009615384615</v>
      </c>
      <c r="N114" s="197">
        <v>1828</v>
      </c>
      <c r="O114" s="197">
        <v>1443</v>
      </c>
      <c r="P114" s="198">
        <v>0.78938730853391681</v>
      </c>
      <c r="Q114" s="197">
        <v>2</v>
      </c>
      <c r="R114" s="197">
        <v>54</v>
      </c>
      <c r="S114" s="82">
        <v>5347</v>
      </c>
      <c r="U114"/>
    </row>
    <row r="115" spans="1:21" x14ac:dyDescent="0.2">
      <c r="A115" s="243" t="s">
        <v>197</v>
      </c>
      <c r="B115" s="93" t="s">
        <v>82</v>
      </c>
      <c r="C115" s="82">
        <v>3654</v>
      </c>
      <c r="D115" s="196">
        <v>463.5</v>
      </c>
      <c r="E115" s="197">
        <v>6092</v>
      </c>
      <c r="F115" s="197">
        <v>3833</v>
      </c>
      <c r="G115" s="198">
        <v>0.6291858174655286</v>
      </c>
      <c r="H115" s="197">
        <v>4168</v>
      </c>
      <c r="I115" s="197">
        <v>3379</v>
      </c>
      <c r="J115" s="198">
        <v>0.81070057581573896</v>
      </c>
      <c r="K115" s="197">
        <v>392</v>
      </c>
      <c r="L115" s="197">
        <v>381</v>
      </c>
      <c r="M115" s="198">
        <v>0.97193877551020413</v>
      </c>
      <c r="N115" s="197">
        <v>3010</v>
      </c>
      <c r="O115" s="197">
        <v>1485</v>
      </c>
      <c r="P115" s="198">
        <v>0.49335548172757476</v>
      </c>
      <c r="Q115" s="197">
        <v>2</v>
      </c>
      <c r="R115" s="197">
        <v>78</v>
      </c>
      <c r="S115" s="82">
        <v>1379</v>
      </c>
      <c r="U115"/>
    </row>
    <row r="116" spans="1:21" ht="13.5" customHeight="1" x14ac:dyDescent="0.2">
      <c r="A116" s="243" t="s">
        <v>187</v>
      </c>
      <c r="B116" s="32" t="s">
        <v>84</v>
      </c>
      <c r="C116" s="82">
        <v>11018</v>
      </c>
      <c r="D116" s="196">
        <v>479.4</v>
      </c>
      <c r="E116" s="197">
        <v>6945</v>
      </c>
      <c r="F116" s="197">
        <v>2651</v>
      </c>
      <c r="G116" s="198">
        <v>0.38171346292296615</v>
      </c>
      <c r="H116" s="197">
        <v>15601</v>
      </c>
      <c r="I116" s="197">
        <v>9788</v>
      </c>
      <c r="J116" s="198">
        <v>0.6273956797641177</v>
      </c>
      <c r="K116" s="197">
        <v>1730</v>
      </c>
      <c r="L116" s="197">
        <v>1693</v>
      </c>
      <c r="M116" s="198">
        <v>0.97861271676300576</v>
      </c>
      <c r="N116" s="197">
        <v>434</v>
      </c>
      <c r="O116" s="197">
        <v>274</v>
      </c>
      <c r="P116" s="198">
        <v>0.63133640552995396</v>
      </c>
      <c r="Q116" s="197">
        <v>0</v>
      </c>
      <c r="R116" s="197">
        <v>6</v>
      </c>
      <c r="S116" s="82">
        <v>454</v>
      </c>
      <c r="U116"/>
    </row>
    <row r="117" spans="1:21" x14ac:dyDescent="0.2">
      <c r="A117" s="243" t="s">
        <v>202</v>
      </c>
      <c r="B117" s="32" t="s">
        <v>85</v>
      </c>
      <c r="C117" s="82">
        <v>9562</v>
      </c>
      <c r="D117" s="196">
        <v>318.5</v>
      </c>
      <c r="E117" s="197">
        <v>13069</v>
      </c>
      <c r="F117" s="197">
        <v>4490</v>
      </c>
      <c r="G117" s="198">
        <v>0.34356109878338054</v>
      </c>
      <c r="H117" s="197">
        <v>13601</v>
      </c>
      <c r="I117" s="197">
        <v>7467</v>
      </c>
      <c r="J117" s="198">
        <v>0.54900374972428501</v>
      </c>
      <c r="K117" s="197">
        <v>1400</v>
      </c>
      <c r="L117" s="197">
        <v>1135</v>
      </c>
      <c r="M117" s="198">
        <v>0.81071428571428572</v>
      </c>
      <c r="N117" s="197">
        <v>1939</v>
      </c>
      <c r="O117" s="197">
        <v>1148</v>
      </c>
      <c r="P117" s="198">
        <v>0.59205776173285196</v>
      </c>
      <c r="Q117" s="197">
        <v>0</v>
      </c>
      <c r="R117" s="197">
        <v>62</v>
      </c>
      <c r="S117" s="82">
        <v>3349</v>
      </c>
      <c r="U117"/>
    </row>
    <row r="118" spans="1:21" x14ac:dyDescent="0.2">
      <c r="A118" s="243" t="s">
        <v>191</v>
      </c>
      <c r="B118" s="93" t="s">
        <v>87</v>
      </c>
      <c r="C118" s="82">
        <v>13599</v>
      </c>
      <c r="D118" s="205">
        <v>441.8</v>
      </c>
      <c r="E118" s="197">
        <v>16240</v>
      </c>
      <c r="F118" s="197">
        <v>8862</v>
      </c>
      <c r="G118" s="198">
        <v>0.54568965517241375</v>
      </c>
      <c r="H118" s="197">
        <v>19112</v>
      </c>
      <c r="I118" s="197">
        <v>13852</v>
      </c>
      <c r="J118" s="198">
        <v>0.72478024277940556</v>
      </c>
      <c r="K118" s="197">
        <v>4282</v>
      </c>
      <c r="L118" s="197">
        <v>4025</v>
      </c>
      <c r="M118" s="198">
        <v>0.93998131714152267</v>
      </c>
      <c r="N118" s="197">
        <v>10066</v>
      </c>
      <c r="O118" s="197">
        <v>6855</v>
      </c>
      <c r="P118" s="198">
        <v>0.68100536459368166</v>
      </c>
      <c r="Q118" s="197">
        <v>18</v>
      </c>
      <c r="R118" s="197">
        <v>138</v>
      </c>
      <c r="S118" s="82">
        <v>3651</v>
      </c>
      <c r="U118"/>
    </row>
    <row r="119" spans="1:21" x14ac:dyDescent="0.2">
      <c r="A119" s="243"/>
      <c r="B119" s="272" t="s">
        <v>435</v>
      </c>
      <c r="C119" s="276">
        <v>69</v>
      </c>
      <c r="D119" s="202">
        <v>556.1</v>
      </c>
      <c r="E119" s="203">
        <v>20</v>
      </c>
      <c r="F119" s="203">
        <v>15</v>
      </c>
      <c r="G119" s="193">
        <v>0.75</v>
      </c>
      <c r="H119" s="203">
        <v>68</v>
      </c>
      <c r="I119" s="203">
        <v>61</v>
      </c>
      <c r="J119" s="193">
        <v>0.8970588235294118</v>
      </c>
      <c r="K119" s="203">
        <v>2</v>
      </c>
      <c r="L119" s="203">
        <v>0</v>
      </c>
      <c r="M119" s="193">
        <v>0</v>
      </c>
      <c r="N119" s="203">
        <v>3921</v>
      </c>
      <c r="O119" s="203">
        <v>545</v>
      </c>
      <c r="P119" s="193">
        <v>0.13899515429737311</v>
      </c>
      <c r="Q119" s="203">
        <v>0</v>
      </c>
      <c r="R119" s="203">
        <v>8</v>
      </c>
      <c r="S119" s="273">
        <v>12557</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22749</v>
      </c>
      <c r="D124" s="206">
        <v>68.7</v>
      </c>
      <c r="E124" s="207">
        <v>21200</v>
      </c>
      <c r="F124" s="207">
        <v>1835</v>
      </c>
      <c r="G124" s="208">
        <v>8.65566037735849E-2</v>
      </c>
      <c r="H124" s="207">
        <v>40816</v>
      </c>
      <c r="I124" s="207">
        <v>5116</v>
      </c>
      <c r="J124" s="208">
        <v>0.12534300274402196</v>
      </c>
      <c r="K124" s="207">
        <v>9504</v>
      </c>
      <c r="L124" s="207">
        <v>9204</v>
      </c>
      <c r="M124" s="208">
        <v>0.96843434343434343</v>
      </c>
      <c r="N124" s="207">
        <v>3069</v>
      </c>
      <c r="O124" s="207">
        <v>411</v>
      </c>
      <c r="P124" s="208">
        <v>0.13391984359726294</v>
      </c>
      <c r="Q124" s="207">
        <v>6416</v>
      </c>
      <c r="R124" s="207">
        <v>3654</v>
      </c>
      <c r="S124" s="85">
        <v>6214</v>
      </c>
    </row>
    <row r="125" spans="1:21" x14ac:dyDescent="0.2">
      <c r="A125" s="243" t="s">
        <v>414</v>
      </c>
      <c r="B125" s="15" t="s">
        <v>283</v>
      </c>
      <c r="C125" s="82">
        <v>10664</v>
      </c>
      <c r="D125" s="196">
        <v>83</v>
      </c>
      <c r="E125" s="197">
        <v>9297</v>
      </c>
      <c r="F125" s="197">
        <v>1011</v>
      </c>
      <c r="G125" s="198">
        <v>0.10874475637302355</v>
      </c>
      <c r="H125" s="197">
        <v>17223</v>
      </c>
      <c r="I125" s="197">
        <v>2376</v>
      </c>
      <c r="J125" s="198">
        <v>0.13795506009406028</v>
      </c>
      <c r="K125" s="197">
        <v>8787</v>
      </c>
      <c r="L125" s="197">
        <v>8753</v>
      </c>
      <c r="M125" s="198">
        <v>0.99613064754751335</v>
      </c>
      <c r="N125" s="197">
        <v>2317</v>
      </c>
      <c r="O125" s="197">
        <v>85</v>
      </c>
      <c r="P125" s="198">
        <v>3.6685369011653E-2</v>
      </c>
      <c r="Q125" s="197">
        <v>1244</v>
      </c>
      <c r="R125" s="197">
        <v>1581</v>
      </c>
      <c r="S125" s="82">
        <v>2002</v>
      </c>
    </row>
    <row r="126" spans="1:21" x14ac:dyDescent="0.2">
      <c r="A126" s="245" t="s">
        <v>418</v>
      </c>
      <c r="B126" s="15" t="s">
        <v>284</v>
      </c>
      <c r="C126" s="82">
        <v>4431</v>
      </c>
      <c r="D126" s="196">
        <v>53.4</v>
      </c>
      <c r="E126" s="197">
        <v>5927</v>
      </c>
      <c r="F126" s="197">
        <v>425</v>
      </c>
      <c r="G126" s="198">
        <v>7.1705753332208536E-2</v>
      </c>
      <c r="H126" s="197">
        <v>7720</v>
      </c>
      <c r="I126" s="197">
        <v>450</v>
      </c>
      <c r="J126" s="198">
        <v>5.8290155440414507E-2</v>
      </c>
      <c r="K126" s="197">
        <v>231</v>
      </c>
      <c r="L126" s="197">
        <v>1</v>
      </c>
      <c r="M126" s="198">
        <v>4.329004329004329E-3</v>
      </c>
      <c r="N126" s="197">
        <v>432</v>
      </c>
      <c r="O126" s="197">
        <v>98</v>
      </c>
      <c r="P126" s="198">
        <v>0.22685185185185186</v>
      </c>
      <c r="Q126" s="197">
        <v>566</v>
      </c>
      <c r="R126" s="197">
        <v>367</v>
      </c>
      <c r="S126" s="82">
        <v>2090</v>
      </c>
    </row>
    <row r="127" spans="1:21" x14ac:dyDescent="0.2">
      <c r="A127" s="243" t="s">
        <v>419</v>
      </c>
      <c r="B127" s="18" t="s">
        <v>285</v>
      </c>
      <c r="C127" s="82">
        <v>7654</v>
      </c>
      <c r="D127" s="196">
        <v>57.7</v>
      </c>
      <c r="E127" s="197">
        <v>5713</v>
      </c>
      <c r="F127" s="197">
        <v>262</v>
      </c>
      <c r="G127" s="198">
        <v>4.5860318571678625E-2</v>
      </c>
      <c r="H127" s="197">
        <v>13776</v>
      </c>
      <c r="I127" s="197">
        <v>411</v>
      </c>
      <c r="J127" s="198">
        <v>2.9834494773519165E-2</v>
      </c>
      <c r="K127" s="197">
        <v>161</v>
      </c>
      <c r="L127" s="197">
        <v>144</v>
      </c>
      <c r="M127" s="198">
        <v>0.89440993788819878</v>
      </c>
      <c r="N127" s="197">
        <v>110</v>
      </c>
      <c r="O127" s="197">
        <v>42</v>
      </c>
      <c r="P127" s="198">
        <v>0.38181818181818183</v>
      </c>
      <c r="Q127" s="197">
        <v>4495</v>
      </c>
      <c r="R127" s="197">
        <v>1706</v>
      </c>
      <c r="S127" s="82">
        <v>2122</v>
      </c>
    </row>
    <row r="128" spans="1:21" x14ac:dyDescent="0.2">
      <c r="A128" s="70"/>
      <c r="B128" s="18" t="s">
        <v>27</v>
      </c>
      <c r="C128" s="209" t="s">
        <v>31</v>
      </c>
      <c r="D128" s="209" t="s">
        <v>31</v>
      </c>
      <c r="E128" s="210">
        <v>263</v>
      </c>
      <c r="F128" s="210">
        <v>137</v>
      </c>
      <c r="G128" s="211">
        <v>0.52091254752851712</v>
      </c>
      <c r="H128" s="210">
        <v>2097</v>
      </c>
      <c r="I128" s="210">
        <v>1879</v>
      </c>
      <c r="J128" s="211">
        <v>0.89604196471149256</v>
      </c>
      <c r="K128" s="210">
        <v>325</v>
      </c>
      <c r="L128" s="210">
        <v>306</v>
      </c>
      <c r="M128" s="211">
        <v>0.94153846153846155</v>
      </c>
      <c r="N128" s="210">
        <v>210</v>
      </c>
      <c r="O128" s="210">
        <v>186</v>
      </c>
      <c r="P128" s="211">
        <v>0.88571428571428568</v>
      </c>
      <c r="Q128" s="210">
        <v>111</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508366</v>
      </c>
      <c r="C3">
        <v>322656</v>
      </c>
      <c r="E3" t="s">
        <v>9</v>
      </c>
      <c r="F3">
        <v>20</v>
      </c>
      <c r="G3">
        <v>15</v>
      </c>
      <c r="H3">
        <v>68</v>
      </c>
      <c r="I3">
        <v>61</v>
      </c>
      <c r="J3">
        <v>2</v>
      </c>
      <c r="L3">
        <v>3921</v>
      </c>
      <c r="M3">
        <v>545</v>
      </c>
      <c r="N3">
        <v>0</v>
      </c>
      <c r="O3">
        <v>8</v>
      </c>
      <c r="P3">
        <v>556.1</v>
      </c>
      <c r="Q3">
        <v>69</v>
      </c>
      <c r="T3" t="s">
        <v>44</v>
      </c>
      <c r="U3">
        <v>3935</v>
      </c>
      <c r="V3">
        <v>127</v>
      </c>
      <c r="W3">
        <v>0.41220000000000001</v>
      </c>
      <c r="X3">
        <v>190</v>
      </c>
      <c r="Y3">
        <v>2119</v>
      </c>
      <c r="Z3">
        <v>195.9</v>
      </c>
      <c r="AA3">
        <v>191.5</v>
      </c>
      <c r="AB3">
        <v>4321</v>
      </c>
      <c r="AC3">
        <v>126.2</v>
      </c>
      <c r="AD3">
        <v>0.40383999999999998</v>
      </c>
      <c r="AE3">
        <v>203</v>
      </c>
      <c r="AF3">
        <v>2207</v>
      </c>
      <c r="AG3">
        <v>198.4</v>
      </c>
      <c r="AH3">
        <v>193.8</v>
      </c>
      <c r="AK3" t="s">
        <v>159</v>
      </c>
      <c r="AV3">
        <v>4012</v>
      </c>
      <c r="AX3">
        <v>12</v>
      </c>
      <c r="AY3">
        <v>23723</v>
      </c>
      <c r="AZ3" s="446">
        <v>41986</v>
      </c>
    </row>
    <row r="4" spans="1:52" x14ac:dyDescent="0.2">
      <c r="A4" t="s">
        <v>114</v>
      </c>
      <c r="B4">
        <v>112628</v>
      </c>
      <c r="C4">
        <v>90222</v>
      </c>
      <c r="E4" t="s">
        <v>9</v>
      </c>
      <c r="F4">
        <v>20</v>
      </c>
      <c r="G4">
        <v>15</v>
      </c>
      <c r="H4">
        <v>68</v>
      </c>
      <c r="I4">
        <v>61</v>
      </c>
      <c r="J4">
        <v>2</v>
      </c>
      <c r="L4">
        <v>3921</v>
      </c>
      <c r="M4">
        <v>545</v>
      </c>
      <c r="N4">
        <v>0</v>
      </c>
      <c r="O4">
        <v>8</v>
      </c>
      <c r="P4">
        <v>556.1</v>
      </c>
      <c r="Q4">
        <v>69</v>
      </c>
      <c r="T4" t="s">
        <v>45</v>
      </c>
      <c r="U4">
        <v>1242</v>
      </c>
      <c r="V4">
        <v>92</v>
      </c>
      <c r="W4">
        <v>0.22544</v>
      </c>
      <c r="X4">
        <v>83</v>
      </c>
      <c r="Y4">
        <v>882</v>
      </c>
      <c r="Z4">
        <v>170.6</v>
      </c>
      <c r="AA4">
        <v>152.19999999999999</v>
      </c>
      <c r="AB4">
        <v>1274</v>
      </c>
      <c r="AC4">
        <v>94</v>
      </c>
      <c r="AD4">
        <v>0.25118000000000001</v>
      </c>
      <c r="AE4">
        <v>85</v>
      </c>
      <c r="AF4">
        <v>896</v>
      </c>
      <c r="AG4">
        <v>170.5</v>
      </c>
      <c r="AH4">
        <v>152.1</v>
      </c>
      <c r="AK4" t="s">
        <v>160</v>
      </c>
      <c r="AV4">
        <v>665</v>
      </c>
    </row>
    <row r="5" spans="1:52" x14ac:dyDescent="0.2">
      <c r="A5" t="s">
        <v>106</v>
      </c>
      <c r="B5">
        <v>6129</v>
      </c>
      <c r="C5">
        <v>980</v>
      </c>
      <c r="E5" t="s">
        <v>93</v>
      </c>
      <c r="F5">
        <v>24537</v>
      </c>
      <c r="G5">
        <v>12007</v>
      </c>
      <c r="H5">
        <v>18209</v>
      </c>
      <c r="I5">
        <v>12320</v>
      </c>
      <c r="J5">
        <v>1429</v>
      </c>
      <c r="K5">
        <v>1012</v>
      </c>
      <c r="L5">
        <v>5145</v>
      </c>
      <c r="M5">
        <v>2959</v>
      </c>
      <c r="N5">
        <v>5</v>
      </c>
      <c r="O5">
        <v>171</v>
      </c>
      <c r="P5">
        <v>296.7</v>
      </c>
      <c r="Q5">
        <v>16486</v>
      </c>
      <c r="T5" t="s">
        <v>34</v>
      </c>
      <c r="U5">
        <v>23070</v>
      </c>
      <c r="V5">
        <v>151.69999999999999</v>
      </c>
      <c r="W5">
        <v>0.48726000000000003</v>
      </c>
      <c r="X5">
        <v>1312</v>
      </c>
      <c r="Y5">
        <v>14277</v>
      </c>
      <c r="Z5">
        <v>202.6</v>
      </c>
      <c r="AA5">
        <v>216.6</v>
      </c>
      <c r="AB5">
        <v>19297</v>
      </c>
      <c r="AC5">
        <v>152.9</v>
      </c>
      <c r="AD5">
        <v>0.53608999999999996</v>
      </c>
      <c r="AE5">
        <v>1131</v>
      </c>
      <c r="AF5">
        <v>12635</v>
      </c>
      <c r="AG5">
        <v>201.5</v>
      </c>
      <c r="AH5">
        <v>204.1</v>
      </c>
      <c r="AK5" t="s">
        <v>161</v>
      </c>
      <c r="AV5">
        <v>3760</v>
      </c>
    </row>
    <row r="6" spans="1:52" x14ac:dyDescent="0.2">
      <c r="A6" t="s">
        <v>107</v>
      </c>
      <c r="B6">
        <v>1472</v>
      </c>
      <c r="C6">
        <v>378</v>
      </c>
      <c r="E6" t="s">
        <v>56</v>
      </c>
      <c r="F6">
        <v>1134</v>
      </c>
      <c r="G6">
        <v>422</v>
      </c>
      <c r="H6">
        <v>575</v>
      </c>
      <c r="I6">
        <v>160</v>
      </c>
      <c r="J6">
        <v>42</v>
      </c>
      <c r="K6">
        <v>24</v>
      </c>
      <c r="L6">
        <v>78</v>
      </c>
      <c r="M6">
        <v>41</v>
      </c>
      <c r="N6">
        <v>0</v>
      </c>
      <c r="O6">
        <v>1</v>
      </c>
      <c r="P6">
        <v>110</v>
      </c>
      <c r="Q6">
        <v>397</v>
      </c>
      <c r="T6" t="s">
        <v>46</v>
      </c>
      <c r="U6">
        <v>9783</v>
      </c>
      <c r="V6">
        <v>207.2</v>
      </c>
      <c r="W6">
        <v>0.64561000000000002</v>
      </c>
      <c r="X6">
        <v>243</v>
      </c>
      <c r="Y6">
        <v>3978</v>
      </c>
      <c r="Z6">
        <v>298.2</v>
      </c>
      <c r="AA6">
        <v>287.5</v>
      </c>
      <c r="AB6">
        <v>6747</v>
      </c>
      <c r="AC6">
        <v>186</v>
      </c>
      <c r="AD6">
        <v>0.55728</v>
      </c>
      <c r="AE6">
        <v>54</v>
      </c>
      <c r="AF6">
        <v>1169</v>
      </c>
      <c r="AG6">
        <v>434</v>
      </c>
      <c r="AH6">
        <v>377.9</v>
      </c>
      <c r="AK6" t="s">
        <v>162</v>
      </c>
      <c r="AV6">
        <v>1462</v>
      </c>
    </row>
    <row r="7" spans="1:52" x14ac:dyDescent="0.2">
      <c r="A7" t="s">
        <v>116</v>
      </c>
      <c r="B7">
        <v>239</v>
      </c>
      <c r="C7">
        <v>176</v>
      </c>
      <c r="E7" t="s">
        <v>50</v>
      </c>
      <c r="F7">
        <v>12095</v>
      </c>
      <c r="G7">
        <v>6954</v>
      </c>
      <c r="H7">
        <v>8643</v>
      </c>
      <c r="I7">
        <v>6648</v>
      </c>
      <c r="J7">
        <v>1497</v>
      </c>
      <c r="K7">
        <v>1458</v>
      </c>
      <c r="L7">
        <v>3758</v>
      </c>
      <c r="M7">
        <v>3051</v>
      </c>
      <c r="N7">
        <v>9</v>
      </c>
      <c r="O7">
        <v>256</v>
      </c>
      <c r="P7">
        <v>476.1</v>
      </c>
      <c r="Q7">
        <v>7098</v>
      </c>
      <c r="T7" t="s">
        <v>47</v>
      </c>
      <c r="U7">
        <v>1624</v>
      </c>
      <c r="V7">
        <v>102</v>
      </c>
      <c r="W7">
        <v>0.28448000000000001</v>
      </c>
      <c r="X7">
        <v>136</v>
      </c>
      <c r="Y7">
        <v>1395</v>
      </c>
      <c r="Z7">
        <v>165.5</v>
      </c>
      <c r="AA7">
        <v>162.69999999999999</v>
      </c>
      <c r="AB7">
        <v>1809</v>
      </c>
      <c r="AC7">
        <v>111.7</v>
      </c>
      <c r="AD7">
        <v>0.32835999999999999</v>
      </c>
      <c r="AE7">
        <v>159</v>
      </c>
      <c r="AF7">
        <v>1688</v>
      </c>
      <c r="AG7">
        <v>174.8</v>
      </c>
      <c r="AH7">
        <v>170.2</v>
      </c>
      <c r="AK7" t="s">
        <v>163</v>
      </c>
      <c r="AV7">
        <v>928</v>
      </c>
    </row>
    <row r="8" spans="1:52" x14ac:dyDescent="0.2">
      <c r="A8" t="s">
        <v>108</v>
      </c>
      <c r="B8">
        <v>231</v>
      </c>
      <c r="C8">
        <v>168</v>
      </c>
      <c r="E8" t="s">
        <v>60</v>
      </c>
      <c r="F8">
        <v>24352</v>
      </c>
      <c r="G8">
        <v>14229</v>
      </c>
      <c r="H8">
        <v>16498</v>
      </c>
      <c r="I8">
        <v>11616</v>
      </c>
      <c r="J8">
        <v>1680</v>
      </c>
      <c r="K8">
        <v>1223</v>
      </c>
      <c r="L8">
        <v>6854</v>
      </c>
      <c r="M8">
        <v>5479</v>
      </c>
      <c r="N8">
        <v>0</v>
      </c>
      <c r="O8">
        <v>210</v>
      </c>
      <c r="P8">
        <v>328.7</v>
      </c>
      <c r="Q8">
        <v>12515</v>
      </c>
      <c r="T8" t="s">
        <v>48</v>
      </c>
      <c r="U8">
        <v>6303</v>
      </c>
      <c r="V8">
        <v>164.6</v>
      </c>
      <c r="W8">
        <v>0.53513999999999995</v>
      </c>
      <c r="X8">
        <v>333</v>
      </c>
      <c r="Y8">
        <v>2325</v>
      </c>
      <c r="Z8">
        <v>259</v>
      </c>
      <c r="AA8">
        <v>262.10000000000002</v>
      </c>
      <c r="AB8">
        <v>5793</v>
      </c>
      <c r="AC8">
        <v>157.19999999999999</v>
      </c>
      <c r="AD8">
        <v>0.49940000000000001</v>
      </c>
      <c r="AE8">
        <v>297</v>
      </c>
      <c r="AF8">
        <v>1979</v>
      </c>
      <c r="AG8">
        <v>260.5</v>
      </c>
      <c r="AH8">
        <v>261.5</v>
      </c>
      <c r="AK8" t="s">
        <v>164</v>
      </c>
      <c r="AV8">
        <v>2567</v>
      </c>
    </row>
    <row r="9" spans="1:52" x14ac:dyDescent="0.2">
      <c r="A9" t="s">
        <v>466</v>
      </c>
      <c r="B9">
        <v>2</v>
      </c>
      <c r="C9">
        <v>2</v>
      </c>
      <c r="E9" t="s">
        <v>64</v>
      </c>
      <c r="F9">
        <v>1866</v>
      </c>
      <c r="G9">
        <v>374</v>
      </c>
      <c r="H9">
        <v>4285</v>
      </c>
      <c r="I9">
        <v>1146</v>
      </c>
      <c r="J9">
        <v>572</v>
      </c>
      <c r="K9">
        <v>438</v>
      </c>
      <c r="L9">
        <v>767</v>
      </c>
      <c r="M9">
        <v>580</v>
      </c>
      <c r="N9">
        <v>0</v>
      </c>
      <c r="O9">
        <v>10</v>
      </c>
      <c r="P9">
        <v>120.1</v>
      </c>
      <c r="Q9">
        <v>2320</v>
      </c>
      <c r="T9" t="s">
        <v>33</v>
      </c>
      <c r="U9">
        <v>6510</v>
      </c>
      <c r="V9">
        <v>150</v>
      </c>
      <c r="W9">
        <v>0.53610000000000002</v>
      </c>
      <c r="X9">
        <v>185</v>
      </c>
      <c r="Y9">
        <v>2819</v>
      </c>
      <c r="Z9">
        <v>256</v>
      </c>
      <c r="AA9">
        <v>248.6</v>
      </c>
      <c r="AB9">
        <v>6533</v>
      </c>
      <c r="AC9">
        <v>149.1</v>
      </c>
      <c r="AD9">
        <v>0.53405999999999998</v>
      </c>
      <c r="AE9">
        <v>180</v>
      </c>
      <c r="AF9">
        <v>2756</v>
      </c>
      <c r="AG9">
        <v>252.7</v>
      </c>
      <c r="AH9">
        <v>246.9</v>
      </c>
      <c r="AK9" t="s">
        <v>115</v>
      </c>
      <c r="AV9">
        <v>4032</v>
      </c>
    </row>
    <row r="10" spans="1:52" x14ac:dyDescent="0.2">
      <c r="A10" t="s">
        <v>113</v>
      </c>
      <c r="B10">
        <v>312</v>
      </c>
      <c r="C10">
        <v>189</v>
      </c>
      <c r="E10" t="s">
        <v>95</v>
      </c>
      <c r="F10">
        <v>3483</v>
      </c>
      <c r="G10">
        <v>1522</v>
      </c>
      <c r="H10">
        <v>2748</v>
      </c>
      <c r="I10">
        <v>1304</v>
      </c>
      <c r="J10">
        <v>148</v>
      </c>
      <c r="K10">
        <v>66</v>
      </c>
      <c r="L10">
        <v>1653</v>
      </c>
      <c r="M10">
        <v>197</v>
      </c>
      <c r="N10">
        <v>0</v>
      </c>
      <c r="O10">
        <v>18</v>
      </c>
      <c r="P10">
        <v>190.7</v>
      </c>
      <c r="Q10">
        <v>1653</v>
      </c>
      <c r="T10" t="s">
        <v>151</v>
      </c>
      <c r="U10">
        <v>117267</v>
      </c>
      <c r="V10">
        <v>148.5</v>
      </c>
      <c r="W10">
        <v>0.48375000000000001</v>
      </c>
      <c r="X10">
        <v>5135</v>
      </c>
      <c r="Y10">
        <v>64874</v>
      </c>
      <c r="Z10">
        <v>197.7</v>
      </c>
      <c r="AA10">
        <v>197.2</v>
      </c>
      <c r="AB10">
        <v>128007</v>
      </c>
      <c r="AC10">
        <v>148.4</v>
      </c>
      <c r="AD10">
        <v>0.47364000000000001</v>
      </c>
      <c r="AE10">
        <v>5655</v>
      </c>
      <c r="AF10">
        <v>71074</v>
      </c>
      <c r="AG10">
        <v>203.5</v>
      </c>
      <c r="AH10">
        <v>205.2</v>
      </c>
      <c r="AK10" t="s">
        <v>165</v>
      </c>
      <c r="AV10">
        <v>2794</v>
      </c>
    </row>
    <row r="11" spans="1:52" x14ac:dyDescent="0.2">
      <c r="A11" t="s">
        <v>140</v>
      </c>
      <c r="B11">
        <v>454</v>
      </c>
      <c r="C11">
        <v>194</v>
      </c>
      <c r="E11" t="s">
        <v>36</v>
      </c>
      <c r="F11">
        <v>9133</v>
      </c>
      <c r="G11">
        <v>3539</v>
      </c>
      <c r="H11">
        <v>8214</v>
      </c>
      <c r="I11">
        <v>3317</v>
      </c>
      <c r="J11">
        <v>1545</v>
      </c>
      <c r="K11">
        <v>698</v>
      </c>
      <c r="L11">
        <v>1038</v>
      </c>
      <c r="M11">
        <v>451</v>
      </c>
      <c r="N11">
        <v>0</v>
      </c>
      <c r="O11">
        <v>76</v>
      </c>
      <c r="P11">
        <v>225.9</v>
      </c>
      <c r="Q11">
        <v>5397</v>
      </c>
      <c r="T11" t="s">
        <v>49</v>
      </c>
      <c r="U11">
        <v>1042</v>
      </c>
      <c r="V11">
        <v>98.3</v>
      </c>
      <c r="W11">
        <v>0.25047999999999998</v>
      </c>
      <c r="X11">
        <v>57</v>
      </c>
      <c r="Y11">
        <v>707</v>
      </c>
      <c r="Z11">
        <v>177.4</v>
      </c>
      <c r="AA11">
        <v>148</v>
      </c>
      <c r="AB11">
        <v>1251</v>
      </c>
      <c r="AC11">
        <v>111.8</v>
      </c>
      <c r="AD11">
        <v>0.30456</v>
      </c>
      <c r="AE11">
        <v>73</v>
      </c>
      <c r="AF11">
        <v>888</v>
      </c>
      <c r="AG11">
        <v>201.4</v>
      </c>
      <c r="AH11">
        <v>175</v>
      </c>
      <c r="AK11" t="s">
        <v>166</v>
      </c>
      <c r="AV11">
        <v>4382</v>
      </c>
    </row>
    <row r="12" spans="1:52" x14ac:dyDescent="0.2">
      <c r="A12" t="s">
        <v>130</v>
      </c>
      <c r="B12">
        <v>6575</v>
      </c>
      <c r="C12">
        <v>469</v>
      </c>
      <c r="E12" t="s">
        <v>90</v>
      </c>
      <c r="F12">
        <v>10881</v>
      </c>
      <c r="G12">
        <v>3544</v>
      </c>
      <c r="H12">
        <v>4695</v>
      </c>
      <c r="I12">
        <v>1474</v>
      </c>
      <c r="J12">
        <v>559</v>
      </c>
      <c r="K12">
        <v>344</v>
      </c>
      <c r="L12">
        <v>1800</v>
      </c>
      <c r="M12">
        <v>920</v>
      </c>
      <c r="N12">
        <v>1</v>
      </c>
      <c r="O12">
        <v>0</v>
      </c>
      <c r="P12">
        <v>167.3</v>
      </c>
      <c r="Q12">
        <v>1702</v>
      </c>
      <c r="T12" t="s">
        <v>50</v>
      </c>
      <c r="U12">
        <v>12144</v>
      </c>
      <c r="V12">
        <v>173.8</v>
      </c>
      <c r="W12">
        <v>0.57789999999999997</v>
      </c>
      <c r="X12">
        <v>423</v>
      </c>
      <c r="Y12">
        <v>5535</v>
      </c>
      <c r="Z12">
        <v>239.5</v>
      </c>
      <c r="AA12">
        <v>263.89999999999998</v>
      </c>
      <c r="AB12">
        <v>7900</v>
      </c>
      <c r="AC12">
        <v>212.1</v>
      </c>
      <c r="AD12">
        <v>0.74987000000000004</v>
      </c>
      <c r="AE12">
        <v>305</v>
      </c>
      <c r="AF12">
        <v>4433</v>
      </c>
      <c r="AG12">
        <v>265.2</v>
      </c>
      <c r="AH12">
        <v>280</v>
      </c>
      <c r="AK12" t="s">
        <v>175</v>
      </c>
      <c r="AV12">
        <v>12927</v>
      </c>
    </row>
    <row r="13" spans="1:52" x14ac:dyDescent="0.2">
      <c r="A13" t="s">
        <v>148</v>
      </c>
      <c r="B13">
        <v>467</v>
      </c>
      <c r="C13">
        <v>18</v>
      </c>
      <c r="E13" t="s">
        <v>70</v>
      </c>
      <c r="F13">
        <v>6731</v>
      </c>
      <c r="G13">
        <v>2193</v>
      </c>
      <c r="H13">
        <v>6771</v>
      </c>
      <c r="I13">
        <v>2757</v>
      </c>
      <c r="J13">
        <v>290</v>
      </c>
      <c r="K13">
        <v>141</v>
      </c>
      <c r="L13">
        <v>725</v>
      </c>
      <c r="M13">
        <v>345</v>
      </c>
      <c r="N13">
        <v>2756</v>
      </c>
      <c r="O13">
        <v>0</v>
      </c>
      <c r="P13">
        <v>196.1</v>
      </c>
      <c r="Q13">
        <v>3866</v>
      </c>
      <c r="T13" t="s">
        <v>51</v>
      </c>
      <c r="U13">
        <v>10558</v>
      </c>
      <c r="V13">
        <v>133</v>
      </c>
      <c r="W13">
        <v>0.38388</v>
      </c>
      <c r="X13">
        <v>635</v>
      </c>
      <c r="Y13">
        <v>8228</v>
      </c>
      <c r="Z13">
        <v>172.1</v>
      </c>
      <c r="AA13">
        <v>179.2</v>
      </c>
      <c r="AB13">
        <v>11766</v>
      </c>
      <c r="AC13">
        <v>134</v>
      </c>
      <c r="AD13">
        <v>0.37786999999999998</v>
      </c>
      <c r="AE13">
        <v>694</v>
      </c>
      <c r="AF13">
        <v>8823</v>
      </c>
      <c r="AG13">
        <v>174.9</v>
      </c>
      <c r="AH13">
        <v>183.6</v>
      </c>
      <c r="AK13" t="s">
        <v>176</v>
      </c>
      <c r="AV13">
        <v>7202</v>
      </c>
    </row>
    <row r="14" spans="1:52" x14ac:dyDescent="0.2">
      <c r="A14" t="s">
        <v>467</v>
      </c>
      <c r="B14">
        <v>2</v>
      </c>
      <c r="E14" t="s">
        <v>89</v>
      </c>
      <c r="F14">
        <v>9135</v>
      </c>
      <c r="G14">
        <v>4548</v>
      </c>
      <c r="H14">
        <v>8732</v>
      </c>
      <c r="I14">
        <v>6098</v>
      </c>
      <c r="J14">
        <v>3044</v>
      </c>
      <c r="K14">
        <v>2901</v>
      </c>
      <c r="L14">
        <v>4857</v>
      </c>
      <c r="M14">
        <v>3161</v>
      </c>
      <c r="N14">
        <v>45</v>
      </c>
      <c r="O14">
        <v>222</v>
      </c>
      <c r="P14">
        <v>309.60000000000002</v>
      </c>
      <c r="Q14">
        <v>5174</v>
      </c>
      <c r="T14" t="s">
        <v>52</v>
      </c>
      <c r="U14">
        <v>13890</v>
      </c>
      <c r="V14">
        <v>147.80000000000001</v>
      </c>
      <c r="W14">
        <v>0.49286999999999997</v>
      </c>
      <c r="X14">
        <v>820</v>
      </c>
      <c r="Y14">
        <v>8567</v>
      </c>
      <c r="Z14">
        <v>207</v>
      </c>
      <c r="AA14">
        <v>226</v>
      </c>
      <c r="AB14">
        <v>11500</v>
      </c>
      <c r="AC14">
        <v>154</v>
      </c>
      <c r="AD14">
        <v>0.53312999999999999</v>
      </c>
      <c r="AE14">
        <v>724</v>
      </c>
      <c r="AF14">
        <v>7607</v>
      </c>
      <c r="AG14">
        <v>204.9</v>
      </c>
      <c r="AH14">
        <v>223.3</v>
      </c>
      <c r="AK14" t="s">
        <v>179</v>
      </c>
      <c r="AV14">
        <v>5772</v>
      </c>
    </row>
    <row r="15" spans="1:52" x14ac:dyDescent="0.2">
      <c r="A15" t="s">
        <v>137</v>
      </c>
      <c r="B15">
        <v>7</v>
      </c>
      <c r="C15">
        <v>3</v>
      </c>
      <c r="E15" t="s">
        <v>54</v>
      </c>
      <c r="F15">
        <v>2398</v>
      </c>
      <c r="G15">
        <v>891</v>
      </c>
      <c r="H15">
        <v>2407</v>
      </c>
      <c r="I15">
        <v>872</v>
      </c>
      <c r="J15">
        <v>391</v>
      </c>
      <c r="K15">
        <v>220</v>
      </c>
      <c r="L15">
        <v>1760</v>
      </c>
      <c r="M15">
        <v>273</v>
      </c>
      <c r="N15">
        <v>1</v>
      </c>
      <c r="O15">
        <v>19</v>
      </c>
      <c r="P15">
        <v>150.6</v>
      </c>
      <c r="Q15">
        <v>1544</v>
      </c>
      <c r="T15" t="s">
        <v>53</v>
      </c>
      <c r="U15">
        <v>9588</v>
      </c>
      <c r="V15">
        <v>155.9</v>
      </c>
      <c r="W15">
        <v>0.51981999999999995</v>
      </c>
      <c r="X15">
        <v>438</v>
      </c>
      <c r="Y15">
        <v>4628</v>
      </c>
      <c r="Z15">
        <v>249.3</v>
      </c>
      <c r="AA15">
        <v>234.4</v>
      </c>
      <c r="AB15">
        <v>9807</v>
      </c>
      <c r="AC15">
        <v>158.69999999999999</v>
      </c>
      <c r="AD15">
        <v>0.52900999999999998</v>
      </c>
      <c r="AE15">
        <v>454</v>
      </c>
      <c r="AF15">
        <v>4964</v>
      </c>
      <c r="AG15">
        <v>252.2</v>
      </c>
      <c r="AH15">
        <v>240</v>
      </c>
      <c r="AK15" t="s">
        <v>412</v>
      </c>
      <c r="AV15">
        <v>1456</v>
      </c>
    </row>
    <row r="16" spans="1:52" x14ac:dyDescent="0.2">
      <c r="A16" t="s">
        <v>110</v>
      </c>
      <c r="B16">
        <v>30</v>
      </c>
      <c r="C16">
        <v>30</v>
      </c>
      <c r="E16" t="s">
        <v>65</v>
      </c>
      <c r="F16">
        <v>5009</v>
      </c>
      <c r="G16">
        <v>2170</v>
      </c>
      <c r="H16">
        <v>7154</v>
      </c>
      <c r="I16">
        <v>3512</v>
      </c>
      <c r="J16">
        <v>2719</v>
      </c>
      <c r="K16">
        <v>2567</v>
      </c>
      <c r="L16">
        <v>23673</v>
      </c>
      <c r="M16">
        <v>1493</v>
      </c>
      <c r="N16">
        <v>0</v>
      </c>
      <c r="O16">
        <v>147</v>
      </c>
      <c r="P16">
        <v>358.3</v>
      </c>
      <c r="Q16">
        <v>3849</v>
      </c>
      <c r="T16" t="s">
        <v>54</v>
      </c>
      <c r="U16">
        <v>2492</v>
      </c>
      <c r="V16">
        <v>122.1</v>
      </c>
      <c r="W16">
        <v>0.36236000000000002</v>
      </c>
      <c r="X16">
        <v>130</v>
      </c>
      <c r="Y16">
        <v>2337</v>
      </c>
      <c r="Z16">
        <v>148.5</v>
      </c>
      <c r="AA16">
        <v>157.6</v>
      </c>
      <c r="AB16">
        <v>3610</v>
      </c>
      <c r="AC16">
        <v>127.7</v>
      </c>
      <c r="AD16">
        <v>0.35374</v>
      </c>
      <c r="AE16">
        <v>170</v>
      </c>
      <c r="AF16">
        <v>2823</v>
      </c>
      <c r="AG16">
        <v>161</v>
      </c>
      <c r="AH16">
        <v>173.8</v>
      </c>
      <c r="AK16" t="s">
        <v>201</v>
      </c>
      <c r="AV16">
        <v>747</v>
      </c>
    </row>
    <row r="17" spans="1:48" x14ac:dyDescent="0.2">
      <c r="A17" t="s">
        <v>138</v>
      </c>
      <c r="B17">
        <v>340</v>
      </c>
      <c r="C17">
        <v>62</v>
      </c>
      <c r="E17" t="s">
        <v>73</v>
      </c>
      <c r="F17">
        <v>8124</v>
      </c>
      <c r="G17">
        <v>3902</v>
      </c>
      <c r="H17">
        <v>7634</v>
      </c>
      <c r="I17">
        <v>6163</v>
      </c>
      <c r="J17">
        <v>837</v>
      </c>
      <c r="K17">
        <v>402</v>
      </c>
      <c r="L17">
        <v>1465</v>
      </c>
      <c r="M17">
        <v>648</v>
      </c>
      <c r="N17">
        <v>3</v>
      </c>
      <c r="O17">
        <v>281</v>
      </c>
      <c r="P17">
        <v>475.7</v>
      </c>
      <c r="Q17">
        <v>6524</v>
      </c>
      <c r="T17" t="s">
        <v>55</v>
      </c>
      <c r="U17">
        <v>10276</v>
      </c>
      <c r="V17">
        <v>133.9</v>
      </c>
      <c r="W17">
        <v>0.43908000000000003</v>
      </c>
      <c r="X17">
        <v>559</v>
      </c>
      <c r="Y17">
        <v>6221</v>
      </c>
      <c r="Z17">
        <v>194.3</v>
      </c>
      <c r="AA17">
        <v>188.5</v>
      </c>
      <c r="AB17">
        <v>10634</v>
      </c>
      <c r="AC17">
        <v>133.9</v>
      </c>
      <c r="AD17">
        <v>0.44235000000000002</v>
      </c>
      <c r="AE17">
        <v>593</v>
      </c>
      <c r="AF17">
        <v>6652</v>
      </c>
      <c r="AG17">
        <v>195.4</v>
      </c>
      <c r="AH17">
        <v>187.4</v>
      </c>
      <c r="AK17" t="s">
        <v>203</v>
      </c>
      <c r="AV17">
        <v>384</v>
      </c>
    </row>
    <row r="18" spans="1:48" x14ac:dyDescent="0.2">
      <c r="A18" t="s">
        <v>142</v>
      </c>
      <c r="B18">
        <v>41</v>
      </c>
      <c r="C18">
        <v>19</v>
      </c>
      <c r="E18" t="s">
        <v>88</v>
      </c>
      <c r="F18">
        <v>1043</v>
      </c>
      <c r="G18">
        <v>324</v>
      </c>
      <c r="H18">
        <v>433</v>
      </c>
      <c r="I18">
        <v>54</v>
      </c>
      <c r="J18">
        <v>337</v>
      </c>
      <c r="K18">
        <v>144</v>
      </c>
      <c r="L18">
        <v>195</v>
      </c>
      <c r="M18">
        <v>91</v>
      </c>
      <c r="N18">
        <v>0</v>
      </c>
      <c r="O18">
        <v>4</v>
      </c>
      <c r="P18">
        <v>65.099999999999994</v>
      </c>
      <c r="Q18">
        <v>222</v>
      </c>
      <c r="T18" t="s">
        <v>149</v>
      </c>
      <c r="U18">
        <v>93675</v>
      </c>
      <c r="V18">
        <v>155</v>
      </c>
      <c r="W18">
        <v>0.50187999999999999</v>
      </c>
      <c r="X18">
        <v>5008</v>
      </c>
      <c r="Y18">
        <v>55365</v>
      </c>
      <c r="Z18">
        <v>200.3</v>
      </c>
      <c r="AA18">
        <v>201.2</v>
      </c>
      <c r="AB18">
        <v>98841</v>
      </c>
      <c r="AC18">
        <v>152.4</v>
      </c>
      <c r="AD18">
        <v>0.48781999999999998</v>
      </c>
      <c r="AE18">
        <v>5220</v>
      </c>
      <c r="AF18">
        <v>57160</v>
      </c>
      <c r="AG18">
        <v>198.3</v>
      </c>
      <c r="AH18">
        <v>200</v>
      </c>
      <c r="AK18" t="s">
        <v>413</v>
      </c>
      <c r="AV18">
        <v>16</v>
      </c>
    </row>
    <row r="19" spans="1:48" x14ac:dyDescent="0.2">
      <c r="A19" t="s">
        <v>135</v>
      </c>
      <c r="B19">
        <v>14701</v>
      </c>
      <c r="C19">
        <v>968</v>
      </c>
      <c r="E19" t="s">
        <v>151</v>
      </c>
      <c r="F19">
        <v>119921</v>
      </c>
      <c r="G19">
        <v>56619</v>
      </c>
      <c r="H19">
        <v>96998</v>
      </c>
      <c r="I19">
        <v>57441</v>
      </c>
      <c r="J19">
        <v>15090</v>
      </c>
      <c r="K19">
        <v>11638</v>
      </c>
      <c r="L19">
        <v>53768</v>
      </c>
      <c r="M19">
        <v>19689</v>
      </c>
      <c r="N19">
        <v>2820</v>
      </c>
      <c r="O19">
        <v>1415</v>
      </c>
      <c r="P19">
        <v>314.39999999999998</v>
      </c>
      <c r="Q19">
        <v>68747</v>
      </c>
      <c r="T19" t="s">
        <v>56</v>
      </c>
      <c r="U19">
        <v>1205</v>
      </c>
      <c r="V19">
        <v>112</v>
      </c>
      <c r="W19">
        <v>0.35851</v>
      </c>
      <c r="X19">
        <v>71</v>
      </c>
      <c r="Y19">
        <v>825</v>
      </c>
      <c r="Z19">
        <v>130.5</v>
      </c>
      <c r="AA19">
        <v>141.19999999999999</v>
      </c>
      <c r="AB19">
        <v>1555</v>
      </c>
      <c r="AC19">
        <v>126.9</v>
      </c>
      <c r="AD19">
        <v>0.40450000000000003</v>
      </c>
      <c r="AE19">
        <v>86</v>
      </c>
      <c r="AF19">
        <v>989</v>
      </c>
      <c r="AG19">
        <v>154.30000000000001</v>
      </c>
      <c r="AH19">
        <v>163</v>
      </c>
      <c r="AK19" t="s">
        <v>105</v>
      </c>
      <c r="AV19">
        <v>88</v>
      </c>
    </row>
    <row r="20" spans="1:48" x14ac:dyDescent="0.2">
      <c r="A20" t="s">
        <v>468</v>
      </c>
      <c r="B20">
        <v>1</v>
      </c>
      <c r="E20" t="s">
        <v>92</v>
      </c>
      <c r="F20">
        <v>1093</v>
      </c>
      <c r="G20">
        <v>268</v>
      </c>
      <c r="H20">
        <v>1657</v>
      </c>
      <c r="I20">
        <v>862</v>
      </c>
      <c r="J20">
        <v>632</v>
      </c>
      <c r="K20">
        <v>436</v>
      </c>
      <c r="L20">
        <v>5176</v>
      </c>
      <c r="M20">
        <v>1014</v>
      </c>
      <c r="N20">
        <v>0</v>
      </c>
      <c r="O20">
        <v>0</v>
      </c>
      <c r="P20">
        <v>226.7</v>
      </c>
      <c r="Q20">
        <v>1087</v>
      </c>
      <c r="T20" t="s">
        <v>205</v>
      </c>
      <c r="U20">
        <v>903</v>
      </c>
      <c r="V20">
        <v>76.900000000000006</v>
      </c>
      <c r="W20">
        <v>0.13289000000000001</v>
      </c>
      <c r="X20">
        <v>81</v>
      </c>
      <c r="Y20">
        <v>986</v>
      </c>
      <c r="Z20">
        <v>103.5</v>
      </c>
      <c r="AA20">
        <v>106.6</v>
      </c>
      <c r="AB20">
        <v>1453</v>
      </c>
      <c r="AC20">
        <v>100.2</v>
      </c>
      <c r="AD20">
        <v>0.24295</v>
      </c>
      <c r="AE20">
        <v>119</v>
      </c>
      <c r="AF20">
        <v>1438</v>
      </c>
      <c r="AG20">
        <v>141.19999999999999</v>
      </c>
      <c r="AH20">
        <v>152.1</v>
      </c>
      <c r="AK20" t="s">
        <v>212</v>
      </c>
      <c r="AV20">
        <v>275</v>
      </c>
    </row>
    <row r="21" spans="1:48" x14ac:dyDescent="0.2">
      <c r="A21" t="s">
        <v>121</v>
      </c>
      <c r="B21">
        <v>77</v>
      </c>
      <c r="C21">
        <v>63</v>
      </c>
      <c r="E21" t="s">
        <v>48</v>
      </c>
      <c r="F21">
        <v>5939</v>
      </c>
      <c r="G21">
        <v>3304</v>
      </c>
      <c r="H21">
        <v>6487</v>
      </c>
      <c r="I21">
        <v>4828</v>
      </c>
      <c r="J21">
        <v>2277</v>
      </c>
      <c r="K21">
        <v>1696</v>
      </c>
      <c r="L21">
        <v>962</v>
      </c>
      <c r="M21">
        <v>873</v>
      </c>
      <c r="N21">
        <v>1</v>
      </c>
      <c r="O21">
        <v>6</v>
      </c>
      <c r="P21">
        <v>473.7</v>
      </c>
      <c r="Q21">
        <v>4879</v>
      </c>
      <c r="T21" t="s">
        <v>58</v>
      </c>
      <c r="U21">
        <v>2128</v>
      </c>
      <c r="V21">
        <v>111</v>
      </c>
      <c r="W21">
        <v>0.32424999999999998</v>
      </c>
      <c r="X21">
        <v>157</v>
      </c>
      <c r="Y21">
        <v>1946</v>
      </c>
      <c r="Z21">
        <v>155.6</v>
      </c>
      <c r="AA21">
        <v>159</v>
      </c>
      <c r="AB21">
        <v>3782</v>
      </c>
      <c r="AC21">
        <v>128</v>
      </c>
      <c r="AD21">
        <v>0.40693000000000001</v>
      </c>
      <c r="AE21">
        <v>222</v>
      </c>
      <c r="AF21">
        <v>2404</v>
      </c>
      <c r="AG21">
        <v>162.30000000000001</v>
      </c>
      <c r="AH21">
        <v>166.6</v>
      </c>
      <c r="AK21" t="s">
        <v>414</v>
      </c>
      <c r="AV21">
        <v>2002</v>
      </c>
    </row>
    <row r="22" spans="1:48" x14ac:dyDescent="0.2">
      <c r="A22" t="s">
        <v>123</v>
      </c>
      <c r="B22">
        <v>49</v>
      </c>
      <c r="C22">
        <v>43</v>
      </c>
      <c r="E22" t="s">
        <v>75</v>
      </c>
      <c r="F22">
        <v>3154</v>
      </c>
      <c r="G22">
        <v>1310</v>
      </c>
      <c r="H22">
        <v>1277</v>
      </c>
      <c r="I22">
        <v>555</v>
      </c>
      <c r="J22">
        <v>93</v>
      </c>
      <c r="K22">
        <v>86</v>
      </c>
      <c r="L22">
        <v>1399</v>
      </c>
      <c r="M22">
        <v>436</v>
      </c>
      <c r="N22">
        <v>2</v>
      </c>
      <c r="O22">
        <v>3</v>
      </c>
      <c r="P22">
        <v>149</v>
      </c>
      <c r="Q22">
        <v>736</v>
      </c>
      <c r="T22" t="s">
        <v>59</v>
      </c>
      <c r="U22">
        <v>3643</v>
      </c>
      <c r="V22">
        <v>162</v>
      </c>
      <c r="W22">
        <v>0.53115999999999997</v>
      </c>
      <c r="X22">
        <v>162</v>
      </c>
      <c r="Y22">
        <v>1968</v>
      </c>
      <c r="Z22">
        <v>221.4</v>
      </c>
      <c r="AA22">
        <v>224.3</v>
      </c>
      <c r="AB22">
        <v>3286</v>
      </c>
      <c r="AC22">
        <v>153.1</v>
      </c>
      <c r="AD22">
        <v>0.48143999999999998</v>
      </c>
      <c r="AE22">
        <v>141</v>
      </c>
      <c r="AF22">
        <v>1733</v>
      </c>
      <c r="AG22">
        <v>215.4</v>
      </c>
      <c r="AH22">
        <v>222.6</v>
      </c>
      <c r="AK22" t="s">
        <v>415</v>
      </c>
      <c r="AV22">
        <v>55471</v>
      </c>
    </row>
    <row r="23" spans="1:48" x14ac:dyDescent="0.2">
      <c r="A23" t="s">
        <v>112</v>
      </c>
      <c r="B23">
        <v>98796</v>
      </c>
      <c r="C23">
        <v>43866</v>
      </c>
      <c r="E23" t="s">
        <v>33</v>
      </c>
      <c r="F23">
        <v>6411</v>
      </c>
      <c r="G23">
        <v>3455</v>
      </c>
      <c r="H23">
        <v>2872</v>
      </c>
      <c r="I23">
        <v>1518</v>
      </c>
      <c r="J23">
        <v>81</v>
      </c>
      <c r="K23">
        <v>47</v>
      </c>
      <c r="L23">
        <v>692</v>
      </c>
      <c r="M23">
        <v>481</v>
      </c>
      <c r="N23">
        <v>3</v>
      </c>
      <c r="O23">
        <v>6</v>
      </c>
      <c r="P23">
        <v>195.8</v>
      </c>
      <c r="Q23">
        <v>1898</v>
      </c>
      <c r="T23" t="s">
        <v>60</v>
      </c>
      <c r="U23">
        <v>24508</v>
      </c>
      <c r="V23">
        <v>177.1</v>
      </c>
      <c r="W23">
        <v>0.58328000000000002</v>
      </c>
      <c r="X23">
        <v>802</v>
      </c>
      <c r="Y23">
        <v>11799</v>
      </c>
      <c r="Z23">
        <v>213.3</v>
      </c>
      <c r="AA23">
        <v>220.3</v>
      </c>
      <c r="AB23">
        <v>18097</v>
      </c>
      <c r="AC23">
        <v>193.1</v>
      </c>
      <c r="AD23">
        <v>0.63419000000000003</v>
      </c>
      <c r="AE23">
        <v>597</v>
      </c>
      <c r="AF23">
        <v>10006</v>
      </c>
      <c r="AG23">
        <v>225.1</v>
      </c>
      <c r="AH23">
        <v>229.9</v>
      </c>
      <c r="AK23" t="s">
        <v>121</v>
      </c>
      <c r="AV23">
        <v>11539</v>
      </c>
    </row>
    <row r="24" spans="1:48" x14ac:dyDescent="0.2">
      <c r="A24" t="s">
        <v>28</v>
      </c>
      <c r="B24">
        <v>636</v>
      </c>
      <c r="C24">
        <v>497</v>
      </c>
      <c r="E24" t="s">
        <v>55</v>
      </c>
      <c r="F24">
        <v>9968</v>
      </c>
      <c r="G24">
        <v>4391</v>
      </c>
      <c r="H24">
        <v>6729</v>
      </c>
      <c r="I24">
        <v>4081</v>
      </c>
      <c r="J24">
        <v>1164</v>
      </c>
      <c r="K24">
        <v>1111</v>
      </c>
      <c r="L24">
        <v>9939</v>
      </c>
      <c r="M24">
        <v>2445</v>
      </c>
      <c r="N24">
        <v>2</v>
      </c>
      <c r="O24">
        <v>164</v>
      </c>
      <c r="P24">
        <v>209</v>
      </c>
      <c r="Q24">
        <v>4284</v>
      </c>
      <c r="T24" t="s">
        <v>61</v>
      </c>
      <c r="U24">
        <v>2535</v>
      </c>
      <c r="V24">
        <v>104</v>
      </c>
      <c r="W24">
        <v>0.25048999999999999</v>
      </c>
      <c r="X24">
        <v>194</v>
      </c>
      <c r="Y24">
        <v>2757</v>
      </c>
      <c r="Z24">
        <v>137.69999999999999</v>
      </c>
      <c r="AA24">
        <v>154.80000000000001</v>
      </c>
      <c r="AB24">
        <v>6212</v>
      </c>
      <c r="AC24">
        <v>101.2</v>
      </c>
      <c r="AD24">
        <v>0.19189000000000001</v>
      </c>
      <c r="AE24">
        <v>366</v>
      </c>
      <c r="AF24">
        <v>4188</v>
      </c>
      <c r="AG24">
        <v>140.30000000000001</v>
      </c>
      <c r="AH24">
        <v>171.8</v>
      </c>
      <c r="AK24" t="s">
        <v>167</v>
      </c>
      <c r="AV24">
        <v>2459</v>
      </c>
    </row>
    <row r="25" spans="1:48" x14ac:dyDescent="0.2">
      <c r="A25" t="s">
        <v>104</v>
      </c>
      <c r="B25">
        <v>120665</v>
      </c>
      <c r="C25">
        <v>61141</v>
      </c>
      <c r="E25" t="s">
        <v>58</v>
      </c>
      <c r="F25">
        <v>2030</v>
      </c>
      <c r="G25">
        <v>680</v>
      </c>
      <c r="H25">
        <v>2738</v>
      </c>
      <c r="I25">
        <v>1496</v>
      </c>
      <c r="J25">
        <v>208</v>
      </c>
      <c r="K25">
        <v>164</v>
      </c>
      <c r="L25">
        <v>1635</v>
      </c>
      <c r="M25">
        <v>568</v>
      </c>
      <c r="N25">
        <v>0</v>
      </c>
      <c r="O25">
        <v>5</v>
      </c>
      <c r="P25">
        <v>249.4</v>
      </c>
      <c r="Q25">
        <v>1636</v>
      </c>
      <c r="T25" t="s">
        <v>62</v>
      </c>
      <c r="U25">
        <v>9448</v>
      </c>
      <c r="V25">
        <v>179.5</v>
      </c>
      <c r="W25">
        <v>0.59070999999999996</v>
      </c>
      <c r="X25">
        <v>296</v>
      </c>
      <c r="Y25">
        <v>4048</v>
      </c>
      <c r="Z25">
        <v>244.9</v>
      </c>
      <c r="AA25">
        <v>240.4</v>
      </c>
      <c r="AB25">
        <v>7373</v>
      </c>
      <c r="AC25">
        <v>188.5</v>
      </c>
      <c r="AD25">
        <v>0.63665000000000005</v>
      </c>
      <c r="AE25">
        <v>229</v>
      </c>
      <c r="AF25">
        <v>3562</v>
      </c>
      <c r="AG25">
        <v>265.7</v>
      </c>
      <c r="AH25">
        <v>243.5</v>
      </c>
      <c r="AK25" t="s">
        <v>168</v>
      </c>
      <c r="AV25">
        <v>14974</v>
      </c>
    </row>
    <row r="26" spans="1:48" x14ac:dyDescent="0.2">
      <c r="A26" t="s">
        <v>109</v>
      </c>
      <c r="B26">
        <v>100</v>
      </c>
      <c r="C26">
        <v>98</v>
      </c>
      <c r="E26" t="s">
        <v>74</v>
      </c>
      <c r="F26">
        <v>7706</v>
      </c>
      <c r="G26">
        <v>4191</v>
      </c>
      <c r="H26">
        <v>4648</v>
      </c>
      <c r="I26">
        <v>2532</v>
      </c>
      <c r="J26">
        <v>601</v>
      </c>
      <c r="K26">
        <v>314</v>
      </c>
      <c r="L26">
        <v>554</v>
      </c>
      <c r="M26">
        <v>393</v>
      </c>
      <c r="N26">
        <v>3</v>
      </c>
      <c r="O26">
        <v>10</v>
      </c>
      <c r="P26">
        <v>223</v>
      </c>
      <c r="Q26">
        <v>3187</v>
      </c>
      <c r="T26" t="s">
        <v>63</v>
      </c>
      <c r="U26">
        <v>7712</v>
      </c>
      <c r="V26">
        <v>205.4</v>
      </c>
      <c r="W26">
        <v>0.62758999999999998</v>
      </c>
      <c r="X26">
        <v>345</v>
      </c>
      <c r="Y26">
        <v>3285</v>
      </c>
      <c r="Z26">
        <v>277.3</v>
      </c>
      <c r="AA26">
        <v>284.8</v>
      </c>
      <c r="AB26">
        <v>6740</v>
      </c>
      <c r="AC26">
        <v>224.2</v>
      </c>
      <c r="AD26">
        <v>0.71736</v>
      </c>
      <c r="AE26">
        <v>328</v>
      </c>
      <c r="AF26">
        <v>3218</v>
      </c>
      <c r="AG26">
        <v>290.8</v>
      </c>
      <c r="AH26">
        <v>286.89999999999998</v>
      </c>
      <c r="AK26" t="s">
        <v>169</v>
      </c>
      <c r="AV26">
        <v>25276</v>
      </c>
    </row>
    <row r="27" spans="1:48" x14ac:dyDescent="0.2">
      <c r="A27" t="s">
        <v>133</v>
      </c>
      <c r="B27">
        <v>16393</v>
      </c>
      <c r="C27">
        <v>1276</v>
      </c>
      <c r="E27" t="s">
        <v>46</v>
      </c>
      <c r="F27">
        <v>9621</v>
      </c>
      <c r="G27">
        <v>6149</v>
      </c>
      <c r="H27">
        <v>8931</v>
      </c>
      <c r="I27">
        <v>7524</v>
      </c>
      <c r="J27">
        <v>1072</v>
      </c>
      <c r="K27">
        <v>950</v>
      </c>
      <c r="L27">
        <v>8805</v>
      </c>
      <c r="M27">
        <v>5057</v>
      </c>
      <c r="N27">
        <v>32</v>
      </c>
      <c r="O27">
        <v>7</v>
      </c>
      <c r="P27">
        <v>548.9</v>
      </c>
      <c r="Q27">
        <v>7534</v>
      </c>
      <c r="T27" t="s">
        <v>64</v>
      </c>
      <c r="U27">
        <v>1949</v>
      </c>
      <c r="V27">
        <v>84.5</v>
      </c>
      <c r="W27">
        <v>0.19395000000000001</v>
      </c>
      <c r="X27">
        <v>199</v>
      </c>
      <c r="Y27">
        <v>2087</v>
      </c>
      <c r="Z27">
        <v>122.2</v>
      </c>
      <c r="AA27">
        <v>117.2</v>
      </c>
      <c r="AB27">
        <v>5497</v>
      </c>
      <c r="AC27">
        <v>118.5</v>
      </c>
      <c r="AD27">
        <v>0.34837000000000001</v>
      </c>
      <c r="AE27">
        <v>463</v>
      </c>
      <c r="AF27">
        <v>4681</v>
      </c>
      <c r="AG27">
        <v>172.9</v>
      </c>
      <c r="AH27">
        <v>173.5</v>
      </c>
      <c r="AK27" t="s">
        <v>170</v>
      </c>
      <c r="AV27">
        <v>9051</v>
      </c>
    </row>
    <row r="28" spans="1:48" x14ac:dyDescent="0.2">
      <c r="A28" t="s">
        <v>141</v>
      </c>
      <c r="B28">
        <v>244</v>
      </c>
      <c r="C28">
        <v>17</v>
      </c>
      <c r="E28" t="s">
        <v>51</v>
      </c>
      <c r="F28">
        <v>10391</v>
      </c>
      <c r="G28">
        <v>3984</v>
      </c>
      <c r="H28">
        <v>11564</v>
      </c>
      <c r="I28">
        <v>9110</v>
      </c>
      <c r="J28">
        <v>1134</v>
      </c>
      <c r="K28">
        <v>1092</v>
      </c>
      <c r="L28">
        <v>11365</v>
      </c>
      <c r="M28">
        <v>3931</v>
      </c>
      <c r="N28">
        <v>13</v>
      </c>
      <c r="O28">
        <v>299</v>
      </c>
      <c r="P28">
        <v>482</v>
      </c>
      <c r="Q28">
        <v>9445</v>
      </c>
      <c r="T28" t="s">
        <v>65</v>
      </c>
      <c r="U28">
        <v>5248</v>
      </c>
      <c r="V28">
        <v>130.4</v>
      </c>
      <c r="W28">
        <v>0.42168</v>
      </c>
      <c r="X28">
        <v>319</v>
      </c>
      <c r="Y28">
        <v>3195</v>
      </c>
      <c r="Z28">
        <v>201.8</v>
      </c>
      <c r="AA28">
        <v>197.9</v>
      </c>
      <c r="AB28">
        <v>6235</v>
      </c>
      <c r="AC28">
        <v>125.7</v>
      </c>
      <c r="AD28">
        <v>0.40176000000000001</v>
      </c>
      <c r="AE28">
        <v>332</v>
      </c>
      <c r="AF28">
        <v>3312</v>
      </c>
      <c r="AG28">
        <v>202.5</v>
      </c>
      <c r="AH28">
        <v>202.5</v>
      </c>
      <c r="AK28" t="s">
        <v>171</v>
      </c>
      <c r="AV28">
        <v>9592</v>
      </c>
    </row>
    <row r="29" spans="1:48" x14ac:dyDescent="0.2">
      <c r="A29" t="s">
        <v>30</v>
      </c>
      <c r="B29">
        <v>311127</v>
      </c>
      <c r="C29">
        <v>155983</v>
      </c>
      <c r="E29" t="s">
        <v>68</v>
      </c>
      <c r="F29">
        <v>1629</v>
      </c>
      <c r="G29">
        <v>731</v>
      </c>
      <c r="H29">
        <v>2422</v>
      </c>
      <c r="I29">
        <v>1763</v>
      </c>
      <c r="J29">
        <v>995</v>
      </c>
      <c r="K29">
        <v>906</v>
      </c>
      <c r="L29">
        <v>223</v>
      </c>
      <c r="M29">
        <v>172</v>
      </c>
      <c r="N29">
        <v>0</v>
      </c>
      <c r="O29">
        <v>2</v>
      </c>
      <c r="P29">
        <v>379.4</v>
      </c>
      <c r="Q29">
        <v>1967</v>
      </c>
      <c r="T29" t="s">
        <v>66</v>
      </c>
      <c r="U29">
        <v>16113</v>
      </c>
      <c r="V29">
        <v>172.1</v>
      </c>
      <c r="W29">
        <v>0.60889000000000004</v>
      </c>
      <c r="X29">
        <v>620</v>
      </c>
      <c r="Y29">
        <v>7178</v>
      </c>
      <c r="Z29">
        <v>272.2</v>
      </c>
      <c r="AA29">
        <v>261.2</v>
      </c>
      <c r="AB29">
        <v>13511</v>
      </c>
      <c r="AC29">
        <v>180.8</v>
      </c>
      <c r="AD29">
        <v>0.66886000000000001</v>
      </c>
      <c r="AE29">
        <v>482</v>
      </c>
      <c r="AF29">
        <v>5818</v>
      </c>
      <c r="AG29">
        <v>289.8</v>
      </c>
      <c r="AH29">
        <v>269.7</v>
      </c>
      <c r="AK29" t="s">
        <v>107</v>
      </c>
      <c r="AV29">
        <v>5415</v>
      </c>
    </row>
    <row r="30" spans="1:48" x14ac:dyDescent="0.2">
      <c r="A30" t="s">
        <v>105</v>
      </c>
      <c r="B30">
        <v>17</v>
      </c>
      <c r="C30">
        <v>1</v>
      </c>
      <c r="E30" t="s">
        <v>79</v>
      </c>
      <c r="F30">
        <v>6168</v>
      </c>
      <c r="G30">
        <v>3232</v>
      </c>
      <c r="H30">
        <v>5642</v>
      </c>
      <c r="I30">
        <v>4534</v>
      </c>
      <c r="J30">
        <v>382</v>
      </c>
      <c r="K30">
        <v>284</v>
      </c>
      <c r="L30">
        <v>2949</v>
      </c>
      <c r="M30">
        <v>1697</v>
      </c>
      <c r="N30">
        <v>0</v>
      </c>
      <c r="O30">
        <v>3</v>
      </c>
      <c r="P30">
        <v>396.4</v>
      </c>
      <c r="Q30">
        <v>4385</v>
      </c>
      <c r="T30" t="s">
        <v>67</v>
      </c>
      <c r="U30">
        <v>9324</v>
      </c>
      <c r="V30">
        <v>195.5</v>
      </c>
      <c r="W30">
        <v>0.60853999999999997</v>
      </c>
      <c r="X30">
        <v>487</v>
      </c>
      <c r="Y30">
        <v>5492</v>
      </c>
      <c r="Z30">
        <v>207.9</v>
      </c>
      <c r="AA30">
        <v>215.6</v>
      </c>
      <c r="AB30">
        <v>9614</v>
      </c>
      <c r="AC30">
        <v>196.2</v>
      </c>
      <c r="AD30">
        <v>0.61014999999999997</v>
      </c>
      <c r="AE30">
        <v>502</v>
      </c>
      <c r="AF30">
        <v>5551</v>
      </c>
      <c r="AG30">
        <v>209.4</v>
      </c>
      <c r="AH30">
        <v>217.3</v>
      </c>
      <c r="AK30" t="s">
        <v>173</v>
      </c>
      <c r="AV30">
        <v>10007</v>
      </c>
    </row>
    <row r="31" spans="1:48" x14ac:dyDescent="0.2">
      <c r="A31" t="s">
        <v>118</v>
      </c>
      <c r="B31">
        <v>558</v>
      </c>
      <c r="C31">
        <v>519</v>
      </c>
      <c r="E31" t="s">
        <v>81</v>
      </c>
      <c r="F31">
        <v>2691</v>
      </c>
      <c r="G31">
        <v>613</v>
      </c>
      <c r="H31">
        <v>2017</v>
      </c>
      <c r="I31">
        <v>922</v>
      </c>
      <c r="J31">
        <v>578</v>
      </c>
      <c r="K31">
        <v>566</v>
      </c>
      <c r="L31">
        <v>1375</v>
      </c>
      <c r="M31">
        <v>972</v>
      </c>
      <c r="N31">
        <v>0</v>
      </c>
      <c r="O31">
        <v>4</v>
      </c>
      <c r="P31">
        <v>175.8</v>
      </c>
      <c r="Q31">
        <v>988</v>
      </c>
      <c r="T31" t="s">
        <v>68</v>
      </c>
      <c r="U31">
        <v>1759</v>
      </c>
      <c r="V31">
        <v>133.9</v>
      </c>
      <c r="W31">
        <v>0.43603999999999998</v>
      </c>
      <c r="X31">
        <v>83</v>
      </c>
      <c r="Y31">
        <v>884</v>
      </c>
      <c r="Z31">
        <v>189.8</v>
      </c>
      <c r="AA31">
        <v>200.6</v>
      </c>
      <c r="AB31">
        <v>1894</v>
      </c>
      <c r="AC31">
        <v>146.5</v>
      </c>
      <c r="AD31">
        <v>0.47677000000000003</v>
      </c>
      <c r="AE31">
        <v>111</v>
      </c>
      <c r="AF31">
        <v>1065</v>
      </c>
      <c r="AG31">
        <v>216.4</v>
      </c>
      <c r="AH31">
        <v>219.1</v>
      </c>
      <c r="AK31" t="s">
        <v>174</v>
      </c>
      <c r="AV31">
        <v>3882</v>
      </c>
    </row>
    <row r="32" spans="1:48" x14ac:dyDescent="0.2">
      <c r="A32" t="s">
        <v>111</v>
      </c>
      <c r="B32">
        <v>522</v>
      </c>
      <c r="C32">
        <v>512</v>
      </c>
      <c r="E32" t="s">
        <v>96</v>
      </c>
      <c r="F32">
        <v>1239</v>
      </c>
      <c r="G32">
        <v>685</v>
      </c>
      <c r="H32">
        <v>684</v>
      </c>
      <c r="I32">
        <v>522</v>
      </c>
      <c r="J32">
        <v>8</v>
      </c>
      <c r="K32">
        <v>8</v>
      </c>
      <c r="L32">
        <v>443</v>
      </c>
      <c r="M32">
        <v>160</v>
      </c>
      <c r="N32">
        <v>0</v>
      </c>
      <c r="O32">
        <v>0</v>
      </c>
      <c r="P32">
        <v>443.5</v>
      </c>
      <c r="Q32">
        <v>590</v>
      </c>
      <c r="T32" t="s">
        <v>69</v>
      </c>
      <c r="U32">
        <v>1443</v>
      </c>
      <c r="V32">
        <v>148.4</v>
      </c>
      <c r="W32">
        <v>0.45461000000000001</v>
      </c>
      <c r="X32">
        <v>99</v>
      </c>
      <c r="Y32">
        <v>983</v>
      </c>
      <c r="Z32">
        <v>207.1</v>
      </c>
      <c r="AA32">
        <v>176.2</v>
      </c>
      <c r="AB32">
        <v>2714</v>
      </c>
      <c r="AC32">
        <v>174.3</v>
      </c>
      <c r="AD32">
        <v>0.53058000000000005</v>
      </c>
      <c r="AE32">
        <v>168</v>
      </c>
      <c r="AF32">
        <v>1763</v>
      </c>
      <c r="AG32">
        <v>253.2</v>
      </c>
      <c r="AH32">
        <v>230.1</v>
      </c>
      <c r="AK32" t="s">
        <v>177</v>
      </c>
      <c r="AV32">
        <v>4297</v>
      </c>
    </row>
    <row r="33" spans="1:48" x14ac:dyDescent="0.2">
      <c r="A33" t="s">
        <v>134</v>
      </c>
      <c r="B33">
        <v>4585</v>
      </c>
      <c r="C33">
        <v>1793</v>
      </c>
      <c r="E33" t="s">
        <v>62</v>
      </c>
      <c r="F33">
        <v>8963</v>
      </c>
      <c r="G33">
        <v>5351</v>
      </c>
      <c r="H33">
        <v>11707</v>
      </c>
      <c r="I33">
        <v>6795</v>
      </c>
      <c r="J33">
        <v>1501</v>
      </c>
      <c r="K33">
        <v>1328</v>
      </c>
      <c r="L33">
        <v>1993</v>
      </c>
      <c r="M33">
        <v>1406</v>
      </c>
      <c r="N33">
        <v>3</v>
      </c>
      <c r="O33">
        <v>192</v>
      </c>
      <c r="P33">
        <v>451.8</v>
      </c>
      <c r="Q33">
        <v>8052</v>
      </c>
      <c r="T33" t="s">
        <v>242</v>
      </c>
      <c r="U33">
        <v>5177</v>
      </c>
      <c r="V33">
        <v>128.19999999999999</v>
      </c>
      <c r="W33">
        <v>0.38651999999999997</v>
      </c>
      <c r="X33">
        <v>271</v>
      </c>
      <c r="Y33">
        <v>3653</v>
      </c>
      <c r="Z33">
        <v>181.5</v>
      </c>
      <c r="AA33">
        <v>173.3</v>
      </c>
      <c r="AB33">
        <v>6989</v>
      </c>
      <c r="AC33">
        <v>121.6</v>
      </c>
      <c r="AD33">
        <v>0.33953</v>
      </c>
      <c r="AE33">
        <v>329</v>
      </c>
      <c r="AF33">
        <v>4096</v>
      </c>
      <c r="AG33">
        <v>180.9</v>
      </c>
      <c r="AH33">
        <v>183</v>
      </c>
      <c r="AK33" t="s">
        <v>198</v>
      </c>
      <c r="AV33">
        <v>5591</v>
      </c>
    </row>
    <row r="34" spans="1:48" x14ac:dyDescent="0.2">
      <c r="A34" t="s">
        <v>115</v>
      </c>
      <c r="B34">
        <v>16308</v>
      </c>
      <c r="C34">
        <v>5983</v>
      </c>
      <c r="E34" t="s">
        <v>77</v>
      </c>
      <c r="F34">
        <v>15861</v>
      </c>
      <c r="G34">
        <v>7630</v>
      </c>
      <c r="H34">
        <v>9506</v>
      </c>
      <c r="I34">
        <v>6541</v>
      </c>
      <c r="J34">
        <v>472</v>
      </c>
      <c r="K34">
        <v>393</v>
      </c>
      <c r="L34">
        <v>9358</v>
      </c>
      <c r="M34">
        <v>4871</v>
      </c>
      <c r="N34">
        <v>5769</v>
      </c>
      <c r="O34">
        <v>0</v>
      </c>
      <c r="P34">
        <v>423.7</v>
      </c>
      <c r="Q34">
        <v>7500</v>
      </c>
      <c r="T34" t="s">
        <v>243</v>
      </c>
      <c r="U34">
        <v>4875</v>
      </c>
      <c r="V34">
        <v>55.5</v>
      </c>
      <c r="W34">
        <v>8.4099999999999994E-2</v>
      </c>
      <c r="X34">
        <v>962</v>
      </c>
      <c r="Y34">
        <v>10833</v>
      </c>
      <c r="Z34">
        <v>60.6</v>
      </c>
      <c r="AA34">
        <v>55.9</v>
      </c>
      <c r="AB34">
        <v>4880</v>
      </c>
      <c r="AC34">
        <v>55.7</v>
      </c>
      <c r="AD34">
        <v>8.4629999999999997E-2</v>
      </c>
      <c r="AE34">
        <v>962</v>
      </c>
      <c r="AF34">
        <v>10841</v>
      </c>
      <c r="AG34">
        <v>60.6</v>
      </c>
      <c r="AH34">
        <v>56.2</v>
      </c>
      <c r="AK34" t="s">
        <v>416</v>
      </c>
      <c r="AV34">
        <v>57</v>
      </c>
    </row>
    <row r="35" spans="1:48" x14ac:dyDescent="0.2">
      <c r="A35" t="s">
        <v>143</v>
      </c>
      <c r="B35">
        <v>2330</v>
      </c>
      <c r="C35">
        <v>181</v>
      </c>
      <c r="E35" t="s">
        <v>155</v>
      </c>
      <c r="F35">
        <v>636</v>
      </c>
      <c r="G35">
        <v>348</v>
      </c>
      <c r="H35">
        <v>767</v>
      </c>
      <c r="I35">
        <v>542</v>
      </c>
      <c r="J35">
        <v>66</v>
      </c>
      <c r="K35">
        <v>48</v>
      </c>
      <c r="L35">
        <v>93</v>
      </c>
      <c r="M35">
        <v>64</v>
      </c>
      <c r="N35">
        <v>0</v>
      </c>
      <c r="O35">
        <v>0</v>
      </c>
      <c r="P35">
        <v>397.3</v>
      </c>
      <c r="Q35">
        <v>494</v>
      </c>
      <c r="T35" t="s">
        <v>71</v>
      </c>
      <c r="U35">
        <v>8854</v>
      </c>
      <c r="V35">
        <v>169.5</v>
      </c>
      <c r="W35">
        <v>0.61001000000000005</v>
      </c>
      <c r="X35">
        <v>291</v>
      </c>
      <c r="Y35">
        <v>5628</v>
      </c>
      <c r="Z35">
        <v>234</v>
      </c>
      <c r="AA35">
        <v>217.3</v>
      </c>
      <c r="AB35">
        <v>9251</v>
      </c>
      <c r="AC35">
        <v>169.2</v>
      </c>
      <c r="AD35">
        <v>0.61841999999999997</v>
      </c>
      <c r="AE35">
        <v>306</v>
      </c>
      <c r="AF35">
        <v>5841</v>
      </c>
      <c r="AG35">
        <v>235.2</v>
      </c>
      <c r="AH35">
        <v>212.3</v>
      </c>
      <c r="AK35" t="s">
        <v>415</v>
      </c>
      <c r="AV35">
        <v>102140</v>
      </c>
    </row>
    <row r="36" spans="1:48" x14ac:dyDescent="0.2">
      <c r="A36" t="s">
        <v>132</v>
      </c>
      <c r="B36">
        <v>9631</v>
      </c>
      <c r="C36">
        <v>959</v>
      </c>
      <c r="E36" t="s">
        <v>149</v>
      </c>
      <c r="F36">
        <v>93500</v>
      </c>
      <c r="G36">
        <v>46322</v>
      </c>
      <c r="H36">
        <v>79648</v>
      </c>
      <c r="I36">
        <v>54125</v>
      </c>
      <c r="J36">
        <v>11264</v>
      </c>
      <c r="K36">
        <v>9429</v>
      </c>
      <c r="L36">
        <v>56961</v>
      </c>
      <c r="M36">
        <v>24540</v>
      </c>
      <c r="N36">
        <v>5828</v>
      </c>
      <c r="O36">
        <v>701</v>
      </c>
      <c r="P36">
        <v>403.5</v>
      </c>
      <c r="Q36">
        <v>58662</v>
      </c>
      <c r="T36" t="s">
        <v>36</v>
      </c>
      <c r="U36">
        <v>9261</v>
      </c>
      <c r="V36">
        <v>118.5</v>
      </c>
      <c r="W36">
        <v>0.38159999999999999</v>
      </c>
      <c r="X36">
        <v>464</v>
      </c>
      <c r="Y36">
        <v>5325</v>
      </c>
      <c r="Z36">
        <v>176</v>
      </c>
      <c r="AA36">
        <v>167.9</v>
      </c>
      <c r="AB36">
        <v>15413</v>
      </c>
      <c r="AC36">
        <v>119.3</v>
      </c>
      <c r="AD36">
        <v>0.35632000000000003</v>
      </c>
      <c r="AE36">
        <v>630</v>
      </c>
      <c r="AF36">
        <v>7084</v>
      </c>
      <c r="AG36">
        <v>194.1</v>
      </c>
      <c r="AH36">
        <v>191.4</v>
      </c>
      <c r="AK36" t="s">
        <v>172</v>
      </c>
      <c r="AV36">
        <v>4894</v>
      </c>
    </row>
    <row r="37" spans="1:48" x14ac:dyDescent="0.2">
      <c r="A37" t="s">
        <v>131</v>
      </c>
      <c r="B37">
        <v>4994</v>
      </c>
      <c r="C37">
        <v>407</v>
      </c>
      <c r="E37" t="s">
        <v>82</v>
      </c>
      <c r="F37">
        <v>6092</v>
      </c>
      <c r="G37">
        <v>3833</v>
      </c>
      <c r="H37">
        <v>4168</v>
      </c>
      <c r="I37">
        <v>3379</v>
      </c>
      <c r="J37">
        <v>392</v>
      </c>
      <c r="K37">
        <v>381</v>
      </c>
      <c r="L37">
        <v>3010</v>
      </c>
      <c r="M37">
        <v>1485</v>
      </c>
      <c r="N37">
        <v>2</v>
      </c>
      <c r="O37">
        <v>78</v>
      </c>
      <c r="P37">
        <v>463.5</v>
      </c>
      <c r="Q37">
        <v>3654</v>
      </c>
      <c r="T37" t="s">
        <v>72</v>
      </c>
      <c r="U37">
        <v>12368</v>
      </c>
      <c r="V37">
        <v>117.7</v>
      </c>
      <c r="W37">
        <v>0.35325000000000001</v>
      </c>
      <c r="X37">
        <v>684</v>
      </c>
      <c r="Y37">
        <v>7483</v>
      </c>
      <c r="Z37">
        <v>178.5</v>
      </c>
      <c r="AA37">
        <v>172.3</v>
      </c>
      <c r="AB37">
        <v>12820</v>
      </c>
      <c r="AC37">
        <v>122.2</v>
      </c>
      <c r="AD37">
        <v>0.38618999999999998</v>
      </c>
      <c r="AE37">
        <v>743</v>
      </c>
      <c r="AF37">
        <v>8215</v>
      </c>
      <c r="AG37">
        <v>180.9</v>
      </c>
      <c r="AH37">
        <v>178.2</v>
      </c>
      <c r="AK37" t="s">
        <v>178</v>
      </c>
      <c r="AV37">
        <v>6920</v>
      </c>
    </row>
    <row r="38" spans="1:48" x14ac:dyDescent="0.2">
      <c r="A38" t="s">
        <v>147</v>
      </c>
      <c r="B38">
        <v>53001</v>
      </c>
      <c r="C38">
        <v>46943</v>
      </c>
      <c r="E38" t="s">
        <v>47</v>
      </c>
      <c r="F38">
        <v>1587</v>
      </c>
      <c r="G38">
        <v>451</v>
      </c>
      <c r="H38">
        <v>1106</v>
      </c>
      <c r="I38">
        <v>231</v>
      </c>
      <c r="J38">
        <v>196</v>
      </c>
      <c r="K38">
        <v>124</v>
      </c>
      <c r="L38">
        <v>353</v>
      </c>
      <c r="M38">
        <v>260</v>
      </c>
      <c r="N38">
        <v>0</v>
      </c>
      <c r="O38">
        <v>7</v>
      </c>
      <c r="P38">
        <v>110.9</v>
      </c>
      <c r="Q38">
        <v>716</v>
      </c>
      <c r="T38" t="s">
        <v>73</v>
      </c>
      <c r="U38">
        <v>8504</v>
      </c>
      <c r="V38">
        <v>134.19999999999999</v>
      </c>
      <c r="W38">
        <v>0.46343000000000001</v>
      </c>
      <c r="X38">
        <v>263</v>
      </c>
      <c r="Y38">
        <v>3358</v>
      </c>
      <c r="Z38">
        <v>209.6</v>
      </c>
      <c r="AA38">
        <v>214.2</v>
      </c>
      <c r="AB38">
        <v>8394</v>
      </c>
      <c r="AC38">
        <v>132.6</v>
      </c>
      <c r="AD38">
        <v>0.45699000000000001</v>
      </c>
      <c r="AE38">
        <v>253</v>
      </c>
      <c r="AF38">
        <v>3088</v>
      </c>
      <c r="AG38">
        <v>210.4</v>
      </c>
      <c r="AH38">
        <v>215.4</v>
      </c>
      <c r="AK38" t="s">
        <v>180</v>
      </c>
      <c r="AV38">
        <v>2779</v>
      </c>
    </row>
    <row r="39" spans="1:48" x14ac:dyDescent="0.2">
      <c r="A39" t="s">
        <v>145</v>
      </c>
      <c r="B39">
        <v>7537</v>
      </c>
      <c r="C39">
        <v>4618</v>
      </c>
      <c r="E39" t="s">
        <v>53</v>
      </c>
      <c r="F39">
        <v>9815</v>
      </c>
      <c r="G39">
        <v>5271</v>
      </c>
      <c r="H39">
        <v>9583</v>
      </c>
      <c r="I39">
        <v>7411</v>
      </c>
      <c r="J39">
        <v>2083</v>
      </c>
      <c r="K39">
        <v>1788</v>
      </c>
      <c r="L39">
        <v>5363</v>
      </c>
      <c r="M39">
        <v>2485</v>
      </c>
      <c r="N39">
        <v>2</v>
      </c>
      <c r="O39">
        <v>36</v>
      </c>
      <c r="P39">
        <v>457.8</v>
      </c>
      <c r="Q39">
        <v>7371</v>
      </c>
      <c r="T39" t="s">
        <v>74</v>
      </c>
      <c r="U39">
        <v>8025</v>
      </c>
      <c r="V39">
        <v>152.4</v>
      </c>
      <c r="W39">
        <v>0.53320999999999996</v>
      </c>
      <c r="X39">
        <v>402</v>
      </c>
      <c r="Y39">
        <v>3454</v>
      </c>
      <c r="Z39">
        <v>223.8</v>
      </c>
      <c r="AA39">
        <v>246.4</v>
      </c>
      <c r="AB39">
        <v>7933</v>
      </c>
      <c r="AC39">
        <v>151.19999999999999</v>
      </c>
      <c r="AD39">
        <v>0.52742</v>
      </c>
      <c r="AE39">
        <v>398</v>
      </c>
      <c r="AF39">
        <v>3414</v>
      </c>
      <c r="AG39">
        <v>223.4</v>
      </c>
      <c r="AH39">
        <v>245.1</v>
      </c>
      <c r="AK39" t="s">
        <v>181</v>
      </c>
      <c r="AV39">
        <v>6046</v>
      </c>
    </row>
    <row r="40" spans="1:48" x14ac:dyDescent="0.2">
      <c r="A40" t="s">
        <v>119</v>
      </c>
      <c r="B40">
        <v>218</v>
      </c>
      <c r="C40">
        <v>197</v>
      </c>
      <c r="E40" t="s">
        <v>69</v>
      </c>
      <c r="F40">
        <v>1566</v>
      </c>
      <c r="G40">
        <v>701</v>
      </c>
      <c r="H40">
        <v>881</v>
      </c>
      <c r="I40">
        <v>383</v>
      </c>
      <c r="J40">
        <v>211</v>
      </c>
      <c r="K40">
        <v>162</v>
      </c>
      <c r="L40">
        <v>960</v>
      </c>
      <c r="M40">
        <v>427</v>
      </c>
      <c r="N40">
        <v>258</v>
      </c>
      <c r="O40">
        <v>117</v>
      </c>
      <c r="P40">
        <v>165.1</v>
      </c>
      <c r="Q40">
        <v>761</v>
      </c>
      <c r="T40" t="s">
        <v>75</v>
      </c>
      <c r="U40">
        <v>3289</v>
      </c>
      <c r="V40">
        <v>120.4</v>
      </c>
      <c r="W40">
        <v>0.40011999999999998</v>
      </c>
      <c r="X40">
        <v>163</v>
      </c>
      <c r="Y40">
        <v>1752</v>
      </c>
      <c r="Z40">
        <v>161.4</v>
      </c>
      <c r="AA40">
        <v>169.8</v>
      </c>
      <c r="AB40">
        <v>3553</v>
      </c>
      <c r="AC40">
        <v>124.8</v>
      </c>
      <c r="AD40">
        <v>0.44385000000000002</v>
      </c>
      <c r="AE40">
        <v>178</v>
      </c>
      <c r="AF40">
        <v>1950</v>
      </c>
      <c r="AG40">
        <v>160.6</v>
      </c>
      <c r="AH40">
        <v>171.5</v>
      </c>
      <c r="AK40" t="s">
        <v>182</v>
      </c>
      <c r="AV40">
        <v>1082</v>
      </c>
    </row>
    <row r="41" spans="1:48" x14ac:dyDescent="0.2">
      <c r="A41" t="s">
        <v>120</v>
      </c>
      <c r="B41">
        <v>15597</v>
      </c>
      <c r="C41">
        <v>12209</v>
      </c>
      <c r="E41" t="s">
        <v>76</v>
      </c>
      <c r="F41">
        <v>18086</v>
      </c>
      <c r="G41">
        <v>10024</v>
      </c>
      <c r="H41">
        <v>12299</v>
      </c>
      <c r="I41">
        <v>9887</v>
      </c>
      <c r="J41">
        <v>1630</v>
      </c>
      <c r="K41">
        <v>1525</v>
      </c>
      <c r="L41">
        <v>13521</v>
      </c>
      <c r="M41">
        <v>9075</v>
      </c>
      <c r="N41">
        <v>0</v>
      </c>
      <c r="O41">
        <v>26</v>
      </c>
      <c r="P41">
        <v>440.5</v>
      </c>
      <c r="Q41">
        <v>9416</v>
      </c>
      <c r="T41" t="s">
        <v>76</v>
      </c>
      <c r="U41">
        <v>18187</v>
      </c>
      <c r="V41">
        <v>172</v>
      </c>
      <c r="W41">
        <v>0.55830999999999997</v>
      </c>
      <c r="X41">
        <v>770</v>
      </c>
      <c r="Y41">
        <v>8722</v>
      </c>
      <c r="Z41">
        <v>247.6</v>
      </c>
      <c r="AA41">
        <v>246.7</v>
      </c>
      <c r="AB41">
        <v>14454</v>
      </c>
      <c r="AC41">
        <v>176.8</v>
      </c>
      <c r="AD41">
        <v>0.57672999999999996</v>
      </c>
      <c r="AE41">
        <v>478</v>
      </c>
      <c r="AF41">
        <v>5909</v>
      </c>
      <c r="AG41">
        <v>261.8</v>
      </c>
      <c r="AH41">
        <v>260.39999999999998</v>
      </c>
      <c r="AK41" t="s">
        <v>183</v>
      </c>
      <c r="AV41">
        <v>1422</v>
      </c>
    </row>
    <row r="42" spans="1:48" x14ac:dyDescent="0.2">
      <c r="A42" t="s">
        <v>136</v>
      </c>
      <c r="B42">
        <v>4669</v>
      </c>
      <c r="C42">
        <v>1061</v>
      </c>
      <c r="E42" t="s">
        <v>78</v>
      </c>
      <c r="F42">
        <v>6140</v>
      </c>
      <c r="G42">
        <v>2817</v>
      </c>
      <c r="H42">
        <v>7283</v>
      </c>
      <c r="I42">
        <v>5345</v>
      </c>
      <c r="J42">
        <v>442</v>
      </c>
      <c r="K42">
        <v>357</v>
      </c>
      <c r="L42">
        <v>5697</v>
      </c>
      <c r="M42">
        <v>3045</v>
      </c>
      <c r="N42">
        <v>1</v>
      </c>
      <c r="O42">
        <v>45</v>
      </c>
      <c r="P42">
        <v>380.3</v>
      </c>
      <c r="Q42">
        <v>5784</v>
      </c>
      <c r="T42" t="s">
        <v>9</v>
      </c>
      <c r="U42">
        <v>756</v>
      </c>
      <c r="V42">
        <v>137.5</v>
      </c>
      <c r="W42">
        <v>0.31746000000000002</v>
      </c>
      <c r="X42">
        <v>9</v>
      </c>
      <c r="Y42">
        <v>121</v>
      </c>
      <c r="Z42">
        <v>278.89999999999998</v>
      </c>
      <c r="AA42">
        <v>247.9</v>
      </c>
      <c r="AB42">
        <v>1717</v>
      </c>
      <c r="AC42">
        <v>241.8</v>
      </c>
      <c r="AD42">
        <v>0.73790999999999995</v>
      </c>
      <c r="AE42">
        <v>2</v>
      </c>
      <c r="AF42">
        <v>71</v>
      </c>
      <c r="AG42">
        <v>439.5</v>
      </c>
      <c r="AH42">
        <v>244.1</v>
      </c>
      <c r="AK42" t="s">
        <v>184</v>
      </c>
      <c r="AV42">
        <v>1492</v>
      </c>
    </row>
    <row r="43" spans="1:48" x14ac:dyDescent="0.2">
      <c r="A43" t="s">
        <v>29</v>
      </c>
      <c r="B43">
        <v>52736</v>
      </c>
      <c r="C43">
        <v>25371</v>
      </c>
      <c r="E43" t="s">
        <v>87</v>
      </c>
      <c r="F43">
        <v>16240</v>
      </c>
      <c r="G43">
        <v>8862</v>
      </c>
      <c r="H43">
        <v>19112</v>
      </c>
      <c r="I43">
        <v>13852</v>
      </c>
      <c r="J43">
        <v>4282</v>
      </c>
      <c r="K43">
        <v>4025</v>
      </c>
      <c r="L43">
        <v>10066</v>
      </c>
      <c r="M43">
        <v>6855</v>
      </c>
      <c r="N43">
        <v>18</v>
      </c>
      <c r="O43">
        <v>138</v>
      </c>
      <c r="P43">
        <v>441.8</v>
      </c>
      <c r="Q43">
        <v>13599</v>
      </c>
      <c r="T43" t="s">
        <v>434</v>
      </c>
      <c r="U43">
        <v>1899</v>
      </c>
      <c r="V43">
        <v>81.900000000000006</v>
      </c>
      <c r="W43">
        <v>0.22800999999999999</v>
      </c>
      <c r="X43">
        <v>63</v>
      </c>
      <c r="Y43">
        <v>530</v>
      </c>
      <c r="Z43">
        <v>193.5</v>
      </c>
      <c r="AA43">
        <v>165.1</v>
      </c>
      <c r="AB43">
        <v>1469</v>
      </c>
      <c r="AC43">
        <v>98.8</v>
      </c>
      <c r="AD43">
        <v>0.29408000000000001</v>
      </c>
      <c r="AE43">
        <v>59</v>
      </c>
      <c r="AF43">
        <v>549</v>
      </c>
      <c r="AG43">
        <v>202.6</v>
      </c>
      <c r="AH43">
        <v>165.5</v>
      </c>
      <c r="AK43" t="s">
        <v>194</v>
      </c>
      <c r="AV43">
        <v>18689</v>
      </c>
    </row>
    <row r="44" spans="1:48" x14ac:dyDescent="0.2">
      <c r="A44" t="s">
        <v>117</v>
      </c>
      <c r="B44">
        <v>261319</v>
      </c>
      <c r="C44">
        <v>197099</v>
      </c>
      <c r="E44" t="s">
        <v>49</v>
      </c>
      <c r="F44">
        <v>978</v>
      </c>
      <c r="G44">
        <v>259</v>
      </c>
      <c r="H44">
        <v>828</v>
      </c>
      <c r="I44">
        <v>471</v>
      </c>
      <c r="J44">
        <v>64</v>
      </c>
      <c r="K44">
        <v>46</v>
      </c>
      <c r="L44">
        <v>1321</v>
      </c>
      <c r="M44">
        <v>455</v>
      </c>
      <c r="N44">
        <v>15</v>
      </c>
      <c r="O44">
        <v>6</v>
      </c>
      <c r="P44">
        <v>336.2</v>
      </c>
      <c r="Q44">
        <v>495</v>
      </c>
      <c r="T44" t="s">
        <v>433</v>
      </c>
      <c r="U44">
        <v>674</v>
      </c>
      <c r="V44">
        <v>178</v>
      </c>
      <c r="W44">
        <v>0.55637999999999999</v>
      </c>
      <c r="X44">
        <v>128</v>
      </c>
      <c r="Y44">
        <v>1577</v>
      </c>
      <c r="Z44">
        <v>56.2</v>
      </c>
      <c r="AA44">
        <v>57.1</v>
      </c>
      <c r="AB44">
        <v>654</v>
      </c>
      <c r="AC44">
        <v>178.2</v>
      </c>
      <c r="AD44">
        <v>0.55198999999999998</v>
      </c>
      <c r="AE44">
        <v>124</v>
      </c>
      <c r="AF44">
        <v>1542</v>
      </c>
      <c r="AG44">
        <v>51.3</v>
      </c>
      <c r="AH44">
        <v>52.3</v>
      </c>
      <c r="AK44" t="s">
        <v>195</v>
      </c>
      <c r="AV44">
        <v>4493</v>
      </c>
    </row>
    <row r="45" spans="1:48" x14ac:dyDescent="0.2">
      <c r="A45" t="s">
        <v>144</v>
      </c>
      <c r="B45">
        <v>15588</v>
      </c>
      <c r="C45">
        <v>2000</v>
      </c>
      <c r="E45" t="s">
        <v>59</v>
      </c>
      <c r="F45">
        <v>3731</v>
      </c>
      <c r="G45">
        <v>1958</v>
      </c>
      <c r="H45">
        <v>2174</v>
      </c>
      <c r="I45">
        <v>1457</v>
      </c>
      <c r="J45">
        <v>425</v>
      </c>
      <c r="K45">
        <v>393</v>
      </c>
      <c r="L45">
        <v>1103</v>
      </c>
      <c r="M45">
        <v>627</v>
      </c>
      <c r="N45">
        <v>0</v>
      </c>
      <c r="O45">
        <v>3</v>
      </c>
      <c r="P45">
        <v>222.5</v>
      </c>
      <c r="Q45">
        <v>1538</v>
      </c>
      <c r="T45" s="17" t="s">
        <v>432</v>
      </c>
      <c r="U45">
        <v>2732</v>
      </c>
      <c r="V45">
        <v>71.599999999999994</v>
      </c>
      <c r="W45">
        <v>0.16800999999999999</v>
      </c>
      <c r="X45">
        <v>83</v>
      </c>
      <c r="Y45">
        <v>588</v>
      </c>
      <c r="Z45">
        <v>139.19999999999999</v>
      </c>
      <c r="AA45">
        <v>134.5</v>
      </c>
      <c r="AB45">
        <v>1023</v>
      </c>
      <c r="AC45">
        <v>87.1</v>
      </c>
      <c r="AD45">
        <v>0.28249999999999997</v>
      </c>
      <c r="AE45">
        <v>20</v>
      </c>
      <c r="AF45">
        <v>244</v>
      </c>
      <c r="AG45">
        <v>233.2</v>
      </c>
      <c r="AH45">
        <v>208</v>
      </c>
      <c r="AK45" t="s">
        <v>196</v>
      </c>
      <c r="AV45">
        <v>3568</v>
      </c>
    </row>
    <row r="46" spans="1:48" x14ac:dyDescent="0.2">
      <c r="A46" t="s">
        <v>139</v>
      </c>
      <c r="B46">
        <v>9157</v>
      </c>
      <c r="C46">
        <v>9139</v>
      </c>
      <c r="E46" t="s">
        <v>80</v>
      </c>
      <c r="F46">
        <v>7620</v>
      </c>
      <c r="G46">
        <v>3848</v>
      </c>
      <c r="H46">
        <v>10238</v>
      </c>
      <c r="I46">
        <v>7637</v>
      </c>
      <c r="J46">
        <v>3328</v>
      </c>
      <c r="K46">
        <v>2933</v>
      </c>
      <c r="L46">
        <v>1828</v>
      </c>
      <c r="M46">
        <v>1443</v>
      </c>
      <c r="N46">
        <v>2</v>
      </c>
      <c r="O46">
        <v>54</v>
      </c>
      <c r="P46">
        <v>444</v>
      </c>
      <c r="Q46">
        <v>8056</v>
      </c>
      <c r="T46" t="s">
        <v>244</v>
      </c>
      <c r="U46">
        <v>13259</v>
      </c>
      <c r="V46">
        <v>164.7</v>
      </c>
      <c r="W46">
        <v>0.55320999999999998</v>
      </c>
      <c r="X46">
        <v>824</v>
      </c>
      <c r="Y46">
        <v>7315</v>
      </c>
      <c r="Z46">
        <v>246.5</v>
      </c>
      <c r="AA46">
        <v>261.5</v>
      </c>
      <c r="AB46">
        <v>12951</v>
      </c>
      <c r="AC46">
        <v>164.7</v>
      </c>
      <c r="AD46">
        <v>0.55471000000000004</v>
      </c>
      <c r="AE46">
        <v>819</v>
      </c>
      <c r="AF46">
        <v>7237</v>
      </c>
      <c r="AG46">
        <v>247.3</v>
      </c>
      <c r="AH46">
        <v>263</v>
      </c>
      <c r="AK46" t="s">
        <v>417</v>
      </c>
      <c r="AV46">
        <v>25</v>
      </c>
    </row>
    <row r="47" spans="1:48" x14ac:dyDescent="0.2">
      <c r="A47" t="s">
        <v>122</v>
      </c>
      <c r="B47">
        <v>1319</v>
      </c>
      <c r="C47">
        <v>772</v>
      </c>
      <c r="E47" t="s">
        <v>45</v>
      </c>
      <c r="F47">
        <v>1154</v>
      </c>
      <c r="G47">
        <v>267</v>
      </c>
      <c r="H47">
        <v>3147</v>
      </c>
      <c r="I47">
        <v>2534</v>
      </c>
      <c r="J47">
        <v>1746</v>
      </c>
      <c r="K47">
        <v>1622</v>
      </c>
      <c r="L47">
        <v>232</v>
      </c>
      <c r="M47">
        <v>192</v>
      </c>
      <c r="N47">
        <v>0</v>
      </c>
      <c r="O47">
        <v>4</v>
      </c>
      <c r="P47">
        <v>520.70000000000005</v>
      </c>
      <c r="Q47">
        <v>2531</v>
      </c>
      <c r="T47" t="s">
        <v>245</v>
      </c>
      <c r="U47">
        <v>7549</v>
      </c>
      <c r="V47">
        <v>67.599999999999994</v>
      </c>
      <c r="W47">
        <v>0.1273</v>
      </c>
      <c r="X47">
        <v>1220</v>
      </c>
      <c r="Y47">
        <v>11797</v>
      </c>
      <c r="Z47">
        <v>83.8</v>
      </c>
      <c r="AA47">
        <v>72.400000000000006</v>
      </c>
      <c r="AB47">
        <v>7561</v>
      </c>
      <c r="AC47">
        <v>67.8</v>
      </c>
      <c r="AD47">
        <v>0.12828999999999999</v>
      </c>
      <c r="AE47">
        <v>1223</v>
      </c>
      <c r="AF47">
        <v>11816</v>
      </c>
      <c r="AG47">
        <v>84.1</v>
      </c>
      <c r="AH47">
        <v>72.7</v>
      </c>
      <c r="AK47" t="s">
        <v>200</v>
      </c>
      <c r="AV47">
        <v>17247</v>
      </c>
    </row>
    <row r="48" spans="1:48" x14ac:dyDescent="0.2">
      <c r="A48" t="s">
        <v>125</v>
      </c>
      <c r="B48">
        <v>30939</v>
      </c>
      <c r="C48">
        <v>20593</v>
      </c>
      <c r="E48" t="s">
        <v>85</v>
      </c>
      <c r="F48">
        <v>13069</v>
      </c>
      <c r="G48">
        <v>4490</v>
      </c>
      <c r="H48">
        <v>13601</v>
      </c>
      <c r="I48">
        <v>7467</v>
      </c>
      <c r="J48">
        <v>1400</v>
      </c>
      <c r="K48">
        <v>1135</v>
      </c>
      <c r="L48">
        <v>1939</v>
      </c>
      <c r="M48">
        <v>1148</v>
      </c>
      <c r="N48">
        <v>0</v>
      </c>
      <c r="O48">
        <v>62</v>
      </c>
      <c r="P48">
        <v>318.5</v>
      </c>
      <c r="Q48">
        <v>9562</v>
      </c>
      <c r="T48" t="s">
        <v>78</v>
      </c>
      <c r="U48">
        <v>6402</v>
      </c>
      <c r="V48">
        <v>136.5</v>
      </c>
      <c r="W48">
        <v>0.46422999999999998</v>
      </c>
      <c r="X48">
        <v>552</v>
      </c>
      <c r="Y48">
        <v>5588</v>
      </c>
      <c r="Z48">
        <v>174.4</v>
      </c>
      <c r="AA48">
        <v>184.3</v>
      </c>
      <c r="AB48">
        <v>7537</v>
      </c>
      <c r="AC48">
        <v>141.6</v>
      </c>
      <c r="AD48">
        <v>0.49754999999999999</v>
      </c>
      <c r="AE48">
        <v>649</v>
      </c>
      <c r="AF48">
        <v>6619</v>
      </c>
      <c r="AG48">
        <v>181</v>
      </c>
      <c r="AH48">
        <v>190.7</v>
      </c>
      <c r="AK48" t="s">
        <v>207</v>
      </c>
      <c r="AV48">
        <v>425</v>
      </c>
    </row>
    <row r="49" spans="1:48" x14ac:dyDescent="0.2">
      <c r="A49" t="s">
        <v>124</v>
      </c>
      <c r="B49">
        <v>5279</v>
      </c>
      <c r="C49">
        <v>3915</v>
      </c>
      <c r="E49" t="s">
        <v>44</v>
      </c>
      <c r="F49">
        <v>3896</v>
      </c>
      <c r="G49">
        <v>1645</v>
      </c>
      <c r="H49">
        <v>2963</v>
      </c>
      <c r="I49">
        <v>1617</v>
      </c>
      <c r="J49">
        <v>136</v>
      </c>
      <c r="K49">
        <v>56</v>
      </c>
      <c r="L49">
        <v>472</v>
      </c>
      <c r="M49">
        <v>354</v>
      </c>
      <c r="N49">
        <v>0</v>
      </c>
      <c r="O49">
        <v>10</v>
      </c>
      <c r="P49">
        <v>290.3</v>
      </c>
      <c r="Q49">
        <v>1853</v>
      </c>
      <c r="T49" t="s">
        <v>79</v>
      </c>
      <c r="U49">
        <v>6292</v>
      </c>
      <c r="V49">
        <v>170.5</v>
      </c>
      <c r="W49">
        <v>0.54085000000000005</v>
      </c>
      <c r="X49">
        <v>317</v>
      </c>
      <c r="Y49">
        <v>3063</v>
      </c>
      <c r="Z49">
        <v>246.1</v>
      </c>
      <c r="AA49">
        <v>229</v>
      </c>
      <c r="AB49">
        <v>6191</v>
      </c>
      <c r="AC49">
        <v>172</v>
      </c>
      <c r="AD49">
        <v>0.54384999999999994</v>
      </c>
      <c r="AE49">
        <v>300</v>
      </c>
      <c r="AF49">
        <v>2847</v>
      </c>
      <c r="AG49">
        <v>246.1</v>
      </c>
      <c r="AH49">
        <v>230.8</v>
      </c>
      <c r="AK49" t="s">
        <v>208</v>
      </c>
      <c r="AV49">
        <v>189</v>
      </c>
    </row>
    <row r="50" spans="1:48" x14ac:dyDescent="0.2">
      <c r="A50" t="s">
        <v>126</v>
      </c>
      <c r="B50">
        <v>162864</v>
      </c>
      <c r="C50">
        <v>54861</v>
      </c>
      <c r="E50" t="s">
        <v>66</v>
      </c>
      <c r="F50">
        <v>15772</v>
      </c>
      <c r="G50">
        <v>9648</v>
      </c>
      <c r="H50">
        <v>7900</v>
      </c>
      <c r="I50">
        <v>6071</v>
      </c>
      <c r="J50">
        <v>1431</v>
      </c>
      <c r="K50">
        <v>1334</v>
      </c>
      <c r="L50">
        <v>3996</v>
      </c>
      <c r="M50">
        <v>2979</v>
      </c>
      <c r="N50">
        <v>2</v>
      </c>
      <c r="O50">
        <v>35</v>
      </c>
      <c r="P50">
        <v>443.3</v>
      </c>
      <c r="Q50">
        <v>6024</v>
      </c>
      <c r="T50" t="s">
        <v>80</v>
      </c>
      <c r="U50">
        <v>8190</v>
      </c>
      <c r="V50">
        <v>152</v>
      </c>
      <c r="W50">
        <v>0.47887999999999997</v>
      </c>
      <c r="X50">
        <v>311</v>
      </c>
      <c r="Y50">
        <v>4385</v>
      </c>
      <c r="Z50">
        <v>226.3</v>
      </c>
      <c r="AA50">
        <v>207.5</v>
      </c>
      <c r="AB50">
        <v>8149</v>
      </c>
      <c r="AC50">
        <v>151.6</v>
      </c>
      <c r="AD50">
        <v>0.47724</v>
      </c>
      <c r="AE50">
        <v>308</v>
      </c>
      <c r="AF50">
        <v>4379</v>
      </c>
      <c r="AG50">
        <v>224.4</v>
      </c>
      <c r="AH50">
        <v>207.5</v>
      </c>
      <c r="AK50" t="s">
        <v>209</v>
      </c>
      <c r="AV50">
        <v>1520</v>
      </c>
    </row>
    <row r="51" spans="1:48" x14ac:dyDescent="0.2">
      <c r="A51" t="s">
        <v>127</v>
      </c>
      <c r="B51">
        <v>755</v>
      </c>
      <c r="C51">
        <v>644</v>
      </c>
      <c r="E51" t="s">
        <v>57</v>
      </c>
      <c r="F51">
        <v>871</v>
      </c>
      <c r="G51">
        <v>119</v>
      </c>
      <c r="H51">
        <v>1266</v>
      </c>
      <c r="I51">
        <v>647</v>
      </c>
      <c r="J51">
        <v>294</v>
      </c>
      <c r="K51">
        <v>196</v>
      </c>
      <c r="L51">
        <v>638</v>
      </c>
      <c r="M51">
        <v>102</v>
      </c>
      <c r="N51">
        <v>0</v>
      </c>
      <c r="O51">
        <v>4</v>
      </c>
      <c r="P51">
        <v>273.89999999999998</v>
      </c>
      <c r="Q51">
        <v>831</v>
      </c>
      <c r="T51" t="s">
        <v>81</v>
      </c>
      <c r="U51">
        <v>2991</v>
      </c>
      <c r="V51">
        <v>79.7</v>
      </c>
      <c r="W51">
        <v>0.19758999999999999</v>
      </c>
      <c r="X51">
        <v>680</v>
      </c>
      <c r="Y51">
        <v>6997</v>
      </c>
      <c r="Z51">
        <v>66.5</v>
      </c>
      <c r="AA51">
        <v>63.6</v>
      </c>
      <c r="AB51">
        <v>4260</v>
      </c>
      <c r="AC51">
        <v>87.5</v>
      </c>
      <c r="AD51">
        <v>0.22581999999999999</v>
      </c>
      <c r="AE51">
        <v>756</v>
      </c>
      <c r="AF51">
        <v>7535</v>
      </c>
      <c r="AG51">
        <v>72.2</v>
      </c>
      <c r="AH51">
        <v>68.400000000000006</v>
      </c>
      <c r="AK51" t="s">
        <v>418</v>
      </c>
      <c r="AV51">
        <v>2090</v>
      </c>
    </row>
    <row r="52" spans="1:48" x14ac:dyDescent="0.2">
      <c r="A52" t="s">
        <v>129</v>
      </c>
      <c r="B52">
        <v>1294</v>
      </c>
      <c r="C52">
        <v>542</v>
      </c>
      <c r="E52" t="s">
        <v>84</v>
      </c>
      <c r="F52">
        <v>6945</v>
      </c>
      <c r="G52">
        <v>2651</v>
      </c>
      <c r="H52">
        <v>15601</v>
      </c>
      <c r="I52">
        <v>9788</v>
      </c>
      <c r="J52">
        <v>1730</v>
      </c>
      <c r="K52">
        <v>1693</v>
      </c>
      <c r="L52">
        <v>434</v>
      </c>
      <c r="M52">
        <v>274</v>
      </c>
      <c r="N52">
        <v>0</v>
      </c>
      <c r="O52">
        <v>6</v>
      </c>
      <c r="P52">
        <v>479.4</v>
      </c>
      <c r="Q52">
        <v>11018</v>
      </c>
      <c r="T52" t="s">
        <v>82</v>
      </c>
      <c r="U52">
        <v>6150</v>
      </c>
      <c r="V52">
        <v>201</v>
      </c>
      <c r="W52">
        <v>0.63544999999999996</v>
      </c>
      <c r="X52">
        <v>146</v>
      </c>
      <c r="Y52">
        <v>2349</v>
      </c>
      <c r="Z52">
        <v>278.7</v>
      </c>
      <c r="AA52">
        <v>250.6</v>
      </c>
      <c r="AB52">
        <v>4935</v>
      </c>
      <c r="AC52">
        <v>213.4</v>
      </c>
      <c r="AD52">
        <v>0.65713999999999995</v>
      </c>
      <c r="AE52">
        <v>90</v>
      </c>
      <c r="AF52">
        <v>1442</v>
      </c>
      <c r="AG52">
        <v>321.7</v>
      </c>
      <c r="AH52">
        <v>276.89999999999998</v>
      </c>
      <c r="AK52" t="s">
        <v>419</v>
      </c>
      <c r="AV52">
        <v>2122</v>
      </c>
    </row>
    <row r="53" spans="1:48" x14ac:dyDescent="0.2">
      <c r="A53" t="s">
        <v>128</v>
      </c>
      <c r="B53">
        <v>35651</v>
      </c>
      <c r="C53">
        <v>30935</v>
      </c>
      <c r="E53" t="s">
        <v>152</v>
      </c>
      <c r="F53">
        <v>113562</v>
      </c>
      <c r="G53">
        <v>56844</v>
      </c>
      <c r="H53">
        <v>112150</v>
      </c>
      <c r="I53">
        <v>78177</v>
      </c>
      <c r="J53">
        <v>19790</v>
      </c>
      <c r="K53">
        <v>17770</v>
      </c>
      <c r="L53">
        <v>50933</v>
      </c>
      <c r="M53">
        <v>31206</v>
      </c>
      <c r="N53">
        <v>300</v>
      </c>
      <c r="O53">
        <v>631</v>
      </c>
      <c r="P53">
        <v>418.2</v>
      </c>
      <c r="Q53">
        <v>83209</v>
      </c>
      <c r="T53" t="s">
        <v>83</v>
      </c>
      <c r="U53">
        <v>17608</v>
      </c>
      <c r="V53">
        <v>158.4</v>
      </c>
      <c r="W53">
        <v>0.52073000000000003</v>
      </c>
      <c r="X53">
        <v>715</v>
      </c>
      <c r="Y53">
        <v>9200</v>
      </c>
      <c r="Z53">
        <v>237.3</v>
      </c>
      <c r="AA53">
        <v>243.4</v>
      </c>
      <c r="AB53">
        <v>17323</v>
      </c>
      <c r="AC53">
        <v>152.19999999999999</v>
      </c>
      <c r="AD53">
        <v>0.50631999999999999</v>
      </c>
      <c r="AE53">
        <v>678</v>
      </c>
      <c r="AF53">
        <v>8516</v>
      </c>
      <c r="AG53">
        <v>229.8</v>
      </c>
      <c r="AH53">
        <v>233.6</v>
      </c>
      <c r="AK53" t="s">
        <v>415</v>
      </c>
      <c r="AV53">
        <v>75003</v>
      </c>
    </row>
    <row r="54" spans="1:48" x14ac:dyDescent="0.2">
      <c r="E54" t="s">
        <v>34</v>
      </c>
      <c r="F54">
        <v>22685</v>
      </c>
      <c r="G54">
        <v>10942</v>
      </c>
      <c r="H54">
        <v>21232</v>
      </c>
      <c r="I54">
        <v>14391</v>
      </c>
      <c r="J54">
        <v>3406</v>
      </c>
      <c r="K54">
        <v>2852</v>
      </c>
      <c r="L54">
        <v>8789</v>
      </c>
      <c r="M54">
        <v>3932</v>
      </c>
      <c r="N54">
        <v>49</v>
      </c>
      <c r="O54">
        <v>21</v>
      </c>
      <c r="P54">
        <v>377.9</v>
      </c>
      <c r="Q54">
        <v>16328</v>
      </c>
      <c r="T54" t="s">
        <v>246</v>
      </c>
      <c r="U54">
        <v>1541</v>
      </c>
      <c r="V54">
        <v>101.6</v>
      </c>
      <c r="W54">
        <v>0.25308000000000003</v>
      </c>
      <c r="X54">
        <v>130</v>
      </c>
      <c r="Y54">
        <v>1642</v>
      </c>
      <c r="Z54">
        <v>143.69999999999999</v>
      </c>
      <c r="AA54">
        <v>153.5</v>
      </c>
      <c r="AB54">
        <v>4384</v>
      </c>
      <c r="AC54">
        <v>91.7</v>
      </c>
      <c r="AD54">
        <v>0.1469</v>
      </c>
      <c r="AE54">
        <v>169</v>
      </c>
      <c r="AF54">
        <v>1830</v>
      </c>
      <c r="AG54">
        <v>141.4</v>
      </c>
      <c r="AH54">
        <v>155.5</v>
      </c>
      <c r="AK54" t="s">
        <v>185</v>
      </c>
      <c r="AV54">
        <v>4851</v>
      </c>
    </row>
    <row r="55" spans="1:48" x14ac:dyDescent="0.2">
      <c r="E55" t="s">
        <v>63</v>
      </c>
      <c r="F55">
        <v>7731</v>
      </c>
      <c r="G55">
        <v>4858</v>
      </c>
      <c r="H55">
        <v>5316</v>
      </c>
      <c r="I55">
        <v>3982</v>
      </c>
      <c r="J55">
        <v>1125</v>
      </c>
      <c r="K55">
        <v>1040</v>
      </c>
      <c r="L55">
        <v>3305</v>
      </c>
      <c r="M55">
        <v>2188</v>
      </c>
      <c r="N55">
        <v>74</v>
      </c>
      <c r="O55">
        <v>145</v>
      </c>
      <c r="P55">
        <v>385.9</v>
      </c>
      <c r="Q55">
        <v>4511</v>
      </c>
      <c r="T55" t="s">
        <v>247</v>
      </c>
      <c r="U55">
        <v>5447</v>
      </c>
      <c r="V55">
        <v>110.4</v>
      </c>
      <c r="W55">
        <v>0.41674</v>
      </c>
      <c r="X55">
        <v>293</v>
      </c>
      <c r="Y55">
        <v>3601</v>
      </c>
      <c r="Z55">
        <v>174.3</v>
      </c>
      <c r="AA55">
        <v>184.3</v>
      </c>
      <c r="AB55">
        <v>5506</v>
      </c>
      <c r="AC55">
        <v>109.7</v>
      </c>
      <c r="AD55">
        <v>0.41264000000000001</v>
      </c>
      <c r="AE55">
        <v>295</v>
      </c>
      <c r="AF55">
        <v>3584</v>
      </c>
      <c r="AG55">
        <v>173.5</v>
      </c>
      <c r="AH55">
        <v>184.3</v>
      </c>
      <c r="AK55" t="s">
        <v>186</v>
      </c>
      <c r="AV55">
        <v>1906</v>
      </c>
    </row>
    <row r="56" spans="1:48" x14ac:dyDescent="0.2">
      <c r="E56" t="s">
        <v>83</v>
      </c>
      <c r="F56">
        <v>17206</v>
      </c>
      <c r="G56">
        <v>8816</v>
      </c>
      <c r="H56">
        <v>17735</v>
      </c>
      <c r="I56">
        <v>13347</v>
      </c>
      <c r="J56">
        <v>3013</v>
      </c>
      <c r="K56">
        <v>2579</v>
      </c>
      <c r="L56">
        <v>6902</v>
      </c>
      <c r="M56">
        <v>4769</v>
      </c>
      <c r="N56">
        <v>6</v>
      </c>
      <c r="O56">
        <v>24</v>
      </c>
      <c r="P56">
        <v>416.2</v>
      </c>
      <c r="Q56">
        <v>14925</v>
      </c>
      <c r="T56" t="s">
        <v>248</v>
      </c>
      <c r="U56">
        <v>10348</v>
      </c>
      <c r="V56">
        <v>117</v>
      </c>
      <c r="W56">
        <v>0.34644000000000003</v>
      </c>
      <c r="X56">
        <v>791</v>
      </c>
      <c r="Y56">
        <v>9243</v>
      </c>
      <c r="Z56">
        <v>168.4</v>
      </c>
      <c r="AA56">
        <v>172</v>
      </c>
      <c r="AB56">
        <v>11151</v>
      </c>
      <c r="AC56">
        <v>117.1</v>
      </c>
      <c r="AD56">
        <v>0.34499000000000002</v>
      </c>
      <c r="AE56">
        <v>880</v>
      </c>
      <c r="AF56">
        <v>10227</v>
      </c>
      <c r="AG56">
        <v>176.1</v>
      </c>
      <c r="AH56">
        <v>178.2</v>
      </c>
      <c r="AK56" t="s">
        <v>187</v>
      </c>
      <c r="AV56">
        <v>454</v>
      </c>
    </row>
    <row r="57" spans="1:48" x14ac:dyDescent="0.2">
      <c r="E57" t="s">
        <v>52</v>
      </c>
      <c r="F57">
        <v>13835</v>
      </c>
      <c r="G57">
        <v>6843</v>
      </c>
      <c r="H57">
        <v>18709</v>
      </c>
      <c r="I57">
        <v>11202</v>
      </c>
      <c r="J57">
        <v>1372</v>
      </c>
      <c r="K57">
        <v>1202</v>
      </c>
      <c r="L57">
        <v>2910</v>
      </c>
      <c r="M57">
        <v>2063</v>
      </c>
      <c r="N57">
        <v>3</v>
      </c>
      <c r="O57">
        <v>46</v>
      </c>
      <c r="P57">
        <v>291.3</v>
      </c>
      <c r="Q57">
        <v>12864</v>
      </c>
      <c r="T57" t="s">
        <v>249</v>
      </c>
      <c r="U57">
        <v>3008</v>
      </c>
      <c r="V57">
        <v>97.3</v>
      </c>
      <c r="W57">
        <v>0.31881999999999999</v>
      </c>
      <c r="X57">
        <v>271</v>
      </c>
      <c r="Y57">
        <v>3101</v>
      </c>
      <c r="Z57">
        <v>137.30000000000001</v>
      </c>
      <c r="AA57">
        <v>111.7</v>
      </c>
      <c r="AB57">
        <v>4367</v>
      </c>
      <c r="AC57">
        <v>88.3</v>
      </c>
      <c r="AD57">
        <v>0.25395000000000001</v>
      </c>
      <c r="AE57">
        <v>332</v>
      </c>
      <c r="AF57">
        <v>3436</v>
      </c>
      <c r="AG57">
        <v>132.19999999999999</v>
      </c>
      <c r="AH57">
        <v>108.9</v>
      </c>
      <c r="AK57" t="s">
        <v>188</v>
      </c>
      <c r="AV57">
        <v>8497</v>
      </c>
    </row>
    <row r="58" spans="1:48" x14ac:dyDescent="0.2">
      <c r="E58" t="s">
        <v>86</v>
      </c>
      <c r="F58">
        <v>3622</v>
      </c>
      <c r="G58">
        <v>1464</v>
      </c>
      <c r="H58">
        <v>3966</v>
      </c>
      <c r="I58">
        <v>2850</v>
      </c>
      <c r="J58">
        <v>696</v>
      </c>
      <c r="K58">
        <v>612</v>
      </c>
      <c r="L58">
        <v>2364</v>
      </c>
      <c r="M58">
        <v>1640</v>
      </c>
      <c r="N58">
        <v>1</v>
      </c>
      <c r="O58">
        <v>3</v>
      </c>
      <c r="P58">
        <v>330.1</v>
      </c>
      <c r="Q58">
        <v>2743</v>
      </c>
      <c r="T58" t="s">
        <v>86</v>
      </c>
      <c r="U58">
        <v>3605</v>
      </c>
      <c r="V58">
        <v>131.30000000000001</v>
      </c>
      <c r="W58">
        <v>0.39972000000000002</v>
      </c>
      <c r="X58">
        <v>156</v>
      </c>
      <c r="Y58">
        <v>2506</v>
      </c>
      <c r="Z58">
        <v>190.1</v>
      </c>
      <c r="AA58">
        <v>178.1</v>
      </c>
      <c r="AB58">
        <v>3967</v>
      </c>
      <c r="AC58">
        <v>130.9</v>
      </c>
      <c r="AD58">
        <v>0.40786</v>
      </c>
      <c r="AE58">
        <v>186</v>
      </c>
      <c r="AF58">
        <v>2813</v>
      </c>
      <c r="AG58">
        <v>169.9</v>
      </c>
      <c r="AH58">
        <v>172.5</v>
      </c>
      <c r="AK58" t="s">
        <v>189</v>
      </c>
      <c r="AV58">
        <v>4649</v>
      </c>
    </row>
    <row r="59" spans="1:48" x14ac:dyDescent="0.2">
      <c r="E59" t="s">
        <v>72</v>
      </c>
      <c r="F59">
        <v>11756</v>
      </c>
      <c r="G59">
        <v>4362</v>
      </c>
      <c r="H59">
        <v>8051</v>
      </c>
      <c r="I59">
        <v>4176</v>
      </c>
      <c r="J59">
        <v>1596</v>
      </c>
      <c r="K59">
        <v>1425</v>
      </c>
      <c r="L59">
        <v>2625</v>
      </c>
      <c r="M59">
        <v>2107</v>
      </c>
      <c r="N59">
        <v>4</v>
      </c>
      <c r="O59">
        <v>210</v>
      </c>
      <c r="P59">
        <v>236.4</v>
      </c>
      <c r="Q59">
        <v>5605</v>
      </c>
      <c r="T59" t="s">
        <v>87</v>
      </c>
      <c r="U59">
        <v>16663</v>
      </c>
      <c r="V59">
        <v>178</v>
      </c>
      <c r="W59">
        <v>0.55679999999999996</v>
      </c>
      <c r="X59">
        <v>1710</v>
      </c>
      <c r="Y59">
        <v>18478</v>
      </c>
      <c r="Z59">
        <v>146.5</v>
      </c>
      <c r="AA59">
        <v>145.4</v>
      </c>
      <c r="AB59">
        <v>14330</v>
      </c>
      <c r="AC59">
        <v>178</v>
      </c>
      <c r="AD59">
        <v>0.55701000000000001</v>
      </c>
      <c r="AE59">
        <v>1573</v>
      </c>
      <c r="AF59">
        <v>17124</v>
      </c>
      <c r="AG59">
        <v>136</v>
      </c>
      <c r="AH59">
        <v>136</v>
      </c>
      <c r="AK59" t="s">
        <v>190</v>
      </c>
      <c r="AV59">
        <v>6260</v>
      </c>
    </row>
    <row r="60" spans="1:48" x14ac:dyDescent="0.2">
      <c r="E60" t="s">
        <v>61</v>
      </c>
      <c r="F60">
        <v>2352</v>
      </c>
      <c r="G60">
        <v>632</v>
      </c>
      <c r="H60">
        <v>2492</v>
      </c>
      <c r="I60">
        <v>1516</v>
      </c>
      <c r="J60">
        <v>187</v>
      </c>
      <c r="K60">
        <v>174</v>
      </c>
      <c r="L60">
        <v>1925</v>
      </c>
      <c r="M60">
        <v>750</v>
      </c>
      <c r="N60">
        <v>3</v>
      </c>
      <c r="O60">
        <v>13</v>
      </c>
      <c r="P60">
        <v>253.7</v>
      </c>
      <c r="Q60">
        <v>1728</v>
      </c>
      <c r="T60" t="s">
        <v>88</v>
      </c>
      <c r="U60">
        <v>1113</v>
      </c>
      <c r="V60">
        <v>105.7</v>
      </c>
      <c r="W60">
        <v>0.29470000000000002</v>
      </c>
      <c r="X60">
        <v>66</v>
      </c>
      <c r="Y60">
        <v>1017</v>
      </c>
      <c r="Z60">
        <v>157</v>
      </c>
      <c r="AA60">
        <v>150.9</v>
      </c>
      <c r="AB60">
        <v>1995</v>
      </c>
      <c r="AC60">
        <v>109.6</v>
      </c>
      <c r="AD60">
        <v>0.28971999999999998</v>
      </c>
      <c r="AE60">
        <v>92</v>
      </c>
      <c r="AF60">
        <v>1466</v>
      </c>
      <c r="AG60">
        <v>170.3</v>
      </c>
      <c r="AH60">
        <v>180</v>
      </c>
      <c r="AK60" t="s">
        <v>191</v>
      </c>
      <c r="AV60">
        <v>3651</v>
      </c>
    </row>
    <row r="61" spans="1:48" x14ac:dyDescent="0.2">
      <c r="E61" t="s">
        <v>67</v>
      </c>
      <c r="F61">
        <v>9234</v>
      </c>
      <c r="G61">
        <v>5768</v>
      </c>
      <c r="H61">
        <v>11080</v>
      </c>
      <c r="I61">
        <v>7663</v>
      </c>
      <c r="J61">
        <v>1519</v>
      </c>
      <c r="K61">
        <v>1419</v>
      </c>
      <c r="L61">
        <v>2030</v>
      </c>
      <c r="M61">
        <v>1519</v>
      </c>
      <c r="N61">
        <v>72</v>
      </c>
      <c r="O61">
        <v>207</v>
      </c>
      <c r="P61">
        <v>447.7</v>
      </c>
      <c r="Q61">
        <v>8556</v>
      </c>
      <c r="T61" t="s">
        <v>150</v>
      </c>
      <c r="U61">
        <v>160386</v>
      </c>
      <c r="V61">
        <v>160.19999999999999</v>
      </c>
      <c r="W61">
        <v>0.52361000000000002</v>
      </c>
      <c r="X61">
        <v>7512</v>
      </c>
      <c r="Y61">
        <v>91006</v>
      </c>
      <c r="Z61">
        <v>220</v>
      </c>
      <c r="AA61">
        <v>222.2</v>
      </c>
      <c r="AB61">
        <v>146167</v>
      </c>
      <c r="AC61">
        <v>162.9</v>
      </c>
      <c r="AD61">
        <v>0.54634000000000005</v>
      </c>
      <c r="AE61">
        <v>7032</v>
      </c>
      <c r="AF61">
        <v>85389</v>
      </c>
      <c r="AG61">
        <v>218.8</v>
      </c>
      <c r="AH61">
        <v>217.7</v>
      </c>
      <c r="AK61" t="s">
        <v>192</v>
      </c>
      <c r="AV61">
        <v>973</v>
      </c>
    </row>
    <row r="62" spans="1:48" x14ac:dyDescent="0.2">
      <c r="E62" t="s">
        <v>71</v>
      </c>
      <c r="F62">
        <v>8866</v>
      </c>
      <c r="G62">
        <v>5409</v>
      </c>
      <c r="H62">
        <v>11960</v>
      </c>
      <c r="I62">
        <v>9081</v>
      </c>
      <c r="J62">
        <v>4534</v>
      </c>
      <c r="K62">
        <v>4273</v>
      </c>
      <c r="L62">
        <v>2885</v>
      </c>
      <c r="M62">
        <v>2192</v>
      </c>
      <c r="N62">
        <v>2</v>
      </c>
      <c r="O62">
        <v>278</v>
      </c>
      <c r="P62">
        <v>383.8</v>
      </c>
      <c r="Q62">
        <v>10942</v>
      </c>
      <c r="T62" t="s">
        <v>89</v>
      </c>
      <c r="U62">
        <v>9273</v>
      </c>
      <c r="V62">
        <v>148.19999999999999</v>
      </c>
      <c r="W62">
        <v>0.50910999999999995</v>
      </c>
      <c r="X62">
        <v>466</v>
      </c>
      <c r="Y62">
        <v>5172</v>
      </c>
      <c r="Z62">
        <v>205</v>
      </c>
      <c r="AA62">
        <v>205</v>
      </c>
      <c r="AB62">
        <v>10132</v>
      </c>
      <c r="AC62">
        <v>145.1</v>
      </c>
      <c r="AD62">
        <v>0.48765999999999998</v>
      </c>
      <c r="AE62">
        <v>496</v>
      </c>
      <c r="AF62">
        <v>5577</v>
      </c>
      <c r="AG62">
        <v>210.6</v>
      </c>
      <c r="AH62">
        <v>209.5</v>
      </c>
      <c r="AK62" t="s">
        <v>193</v>
      </c>
      <c r="AV62">
        <v>5347</v>
      </c>
    </row>
    <row r="63" spans="1:48" x14ac:dyDescent="0.2">
      <c r="E63" t="s">
        <v>94</v>
      </c>
      <c r="F63">
        <v>1041</v>
      </c>
      <c r="G63">
        <v>305</v>
      </c>
      <c r="H63">
        <v>48393</v>
      </c>
      <c r="I63">
        <v>44153</v>
      </c>
      <c r="J63">
        <v>135</v>
      </c>
      <c r="K63">
        <v>132</v>
      </c>
      <c r="L63">
        <v>785</v>
      </c>
      <c r="M63">
        <v>615</v>
      </c>
      <c r="N63">
        <v>0</v>
      </c>
      <c r="O63">
        <v>2</v>
      </c>
      <c r="P63">
        <v>292.8</v>
      </c>
      <c r="Q63">
        <v>47756</v>
      </c>
      <c r="T63" t="s">
        <v>250</v>
      </c>
      <c r="U63">
        <v>8376</v>
      </c>
      <c r="V63">
        <v>126.4</v>
      </c>
      <c r="W63">
        <v>0.40090999999999999</v>
      </c>
      <c r="X63">
        <v>504</v>
      </c>
      <c r="Y63">
        <v>5296</v>
      </c>
      <c r="Z63">
        <v>176.3</v>
      </c>
      <c r="AA63">
        <v>149.69999999999999</v>
      </c>
      <c r="AB63">
        <v>14760</v>
      </c>
      <c r="AC63">
        <v>139.9</v>
      </c>
      <c r="AD63">
        <v>0.41599000000000003</v>
      </c>
      <c r="AE63">
        <v>737</v>
      </c>
      <c r="AF63">
        <v>7798</v>
      </c>
      <c r="AG63">
        <v>193.7</v>
      </c>
      <c r="AH63">
        <v>183.6</v>
      </c>
      <c r="AK63" t="s">
        <v>197</v>
      </c>
      <c r="AV63">
        <v>1379</v>
      </c>
    </row>
    <row r="64" spans="1:48" x14ac:dyDescent="0.2">
      <c r="E64" t="s">
        <v>97</v>
      </c>
      <c r="F64">
        <v>34236</v>
      </c>
      <c r="G64">
        <v>16246</v>
      </c>
      <c r="H64">
        <v>29071</v>
      </c>
      <c r="I64">
        <v>19017</v>
      </c>
      <c r="J64">
        <v>4557</v>
      </c>
      <c r="K64">
        <v>4252</v>
      </c>
      <c r="L64">
        <v>9339</v>
      </c>
      <c r="M64">
        <v>5462</v>
      </c>
      <c r="N64">
        <v>1</v>
      </c>
      <c r="O64">
        <v>12</v>
      </c>
      <c r="P64">
        <v>374.9</v>
      </c>
      <c r="Q64">
        <v>23294</v>
      </c>
      <c r="T64" t="s">
        <v>251</v>
      </c>
      <c r="U64">
        <v>6516</v>
      </c>
      <c r="V64">
        <v>54.8</v>
      </c>
      <c r="W64">
        <v>6.3380000000000006E-2</v>
      </c>
      <c r="X64">
        <v>1370</v>
      </c>
      <c r="Y64">
        <v>15314</v>
      </c>
      <c r="Z64">
        <v>65.7</v>
      </c>
      <c r="AA64">
        <v>62.9</v>
      </c>
      <c r="AB64">
        <v>6519</v>
      </c>
      <c r="AC64">
        <v>54.9</v>
      </c>
      <c r="AD64">
        <v>6.3659999999999994E-2</v>
      </c>
      <c r="AE64">
        <v>1371</v>
      </c>
      <c r="AF64">
        <v>15322</v>
      </c>
      <c r="AG64">
        <v>65.8</v>
      </c>
      <c r="AH64">
        <v>63</v>
      </c>
      <c r="AK64" t="s">
        <v>199</v>
      </c>
      <c r="AV64">
        <v>1098</v>
      </c>
    </row>
    <row r="65" spans="5:48" x14ac:dyDescent="0.2">
      <c r="E65" t="s">
        <v>91</v>
      </c>
      <c r="F65">
        <v>34072</v>
      </c>
      <c r="G65">
        <v>19686</v>
      </c>
      <c r="H65">
        <v>22763</v>
      </c>
      <c r="I65">
        <v>16383</v>
      </c>
      <c r="J65">
        <v>2533</v>
      </c>
      <c r="K65">
        <v>1949</v>
      </c>
      <c r="L65">
        <v>27340</v>
      </c>
      <c r="M65">
        <v>8273</v>
      </c>
      <c r="N65">
        <v>9</v>
      </c>
      <c r="O65">
        <v>167</v>
      </c>
      <c r="P65">
        <v>344.7</v>
      </c>
      <c r="Q65">
        <v>18839</v>
      </c>
      <c r="T65" t="s">
        <v>91</v>
      </c>
      <c r="U65">
        <v>34417</v>
      </c>
      <c r="V65">
        <v>173.5</v>
      </c>
      <c r="W65">
        <v>0.58384000000000003</v>
      </c>
      <c r="X65">
        <v>1398</v>
      </c>
      <c r="Y65">
        <v>18647</v>
      </c>
      <c r="Z65">
        <v>251.3</v>
      </c>
      <c r="AA65">
        <v>241.1</v>
      </c>
      <c r="AB65">
        <v>27368</v>
      </c>
      <c r="AC65">
        <v>188.1</v>
      </c>
      <c r="AD65">
        <v>0.66483000000000003</v>
      </c>
      <c r="AE65">
        <v>1161</v>
      </c>
      <c r="AF65">
        <v>16021</v>
      </c>
      <c r="AG65">
        <v>259.5</v>
      </c>
      <c r="AH65">
        <v>240.4</v>
      </c>
      <c r="AK65" t="s">
        <v>420</v>
      </c>
      <c r="AV65">
        <v>241</v>
      </c>
    </row>
    <row r="66" spans="5:48" x14ac:dyDescent="0.2">
      <c r="E66" t="s">
        <v>150</v>
      </c>
      <c r="F66">
        <v>166636</v>
      </c>
      <c r="G66">
        <v>85331</v>
      </c>
      <c r="H66">
        <v>200768</v>
      </c>
      <c r="I66">
        <v>147761</v>
      </c>
      <c r="J66">
        <v>24673</v>
      </c>
      <c r="K66">
        <v>21909</v>
      </c>
      <c r="L66">
        <v>71199</v>
      </c>
      <c r="M66">
        <v>35510</v>
      </c>
      <c r="N66">
        <v>224</v>
      </c>
      <c r="O66">
        <v>1128</v>
      </c>
      <c r="P66">
        <v>343.7</v>
      </c>
      <c r="Q66">
        <v>168091</v>
      </c>
      <c r="T66" t="s">
        <v>92</v>
      </c>
      <c r="U66">
        <v>1128</v>
      </c>
      <c r="V66">
        <v>100</v>
      </c>
      <c r="W66">
        <v>0.24113000000000001</v>
      </c>
      <c r="X66">
        <v>62</v>
      </c>
      <c r="Y66">
        <v>1360</v>
      </c>
      <c r="Z66">
        <v>147.6</v>
      </c>
      <c r="AA66">
        <v>118.5</v>
      </c>
      <c r="AB66">
        <v>7274</v>
      </c>
      <c r="AC66">
        <v>164.7</v>
      </c>
      <c r="AD66">
        <v>0.44762000000000002</v>
      </c>
      <c r="AE66">
        <v>310</v>
      </c>
      <c r="AF66">
        <v>4690</v>
      </c>
      <c r="AG66">
        <v>211.5</v>
      </c>
      <c r="AH66">
        <v>202.4</v>
      </c>
      <c r="AK66" t="s">
        <v>202</v>
      </c>
      <c r="AV66">
        <v>3349</v>
      </c>
    </row>
    <row r="67" spans="5:48" x14ac:dyDescent="0.2">
      <c r="E67" t="s">
        <v>278</v>
      </c>
      <c r="F67">
        <v>493639</v>
      </c>
      <c r="G67">
        <v>245131</v>
      </c>
      <c r="H67">
        <v>489632</v>
      </c>
      <c r="I67">
        <v>337565</v>
      </c>
      <c r="J67">
        <v>70819</v>
      </c>
      <c r="K67">
        <v>60746</v>
      </c>
      <c r="L67">
        <v>236782</v>
      </c>
      <c r="M67">
        <v>111490</v>
      </c>
      <c r="N67">
        <v>9172</v>
      </c>
      <c r="O67">
        <v>3883</v>
      </c>
      <c r="P67">
        <v>364.1</v>
      </c>
      <c r="Q67">
        <v>378778</v>
      </c>
      <c r="T67" t="s">
        <v>7</v>
      </c>
      <c r="U67">
        <v>520258</v>
      </c>
      <c r="V67">
        <v>149.6</v>
      </c>
      <c r="W67">
        <v>0.48222999999999999</v>
      </c>
      <c r="X67">
        <v>28704</v>
      </c>
      <c r="Y67">
        <v>335507</v>
      </c>
      <c r="Z67">
        <v>185.3</v>
      </c>
      <c r="AA67">
        <v>185.6</v>
      </c>
      <c r="AB67">
        <v>520258</v>
      </c>
      <c r="AC67">
        <v>149.6</v>
      </c>
      <c r="AD67">
        <v>0.48222999999999999</v>
      </c>
      <c r="AE67">
        <v>28704</v>
      </c>
      <c r="AF67">
        <v>335507</v>
      </c>
      <c r="AG67">
        <v>185.3</v>
      </c>
      <c r="AH67">
        <v>185.6</v>
      </c>
      <c r="AK67" t="s">
        <v>206</v>
      </c>
      <c r="AV67">
        <v>275</v>
      </c>
    </row>
    <row r="68" spans="5:48" x14ac:dyDescent="0.2">
      <c r="E68" t="s">
        <v>243</v>
      </c>
      <c r="F68">
        <v>5927</v>
      </c>
      <c r="G68">
        <v>425</v>
      </c>
      <c r="H68">
        <v>7720</v>
      </c>
      <c r="I68">
        <v>450</v>
      </c>
      <c r="J68">
        <v>231</v>
      </c>
      <c r="K68">
        <v>1</v>
      </c>
      <c r="L68">
        <v>432</v>
      </c>
      <c r="M68">
        <v>98</v>
      </c>
      <c r="N68">
        <v>566</v>
      </c>
      <c r="O68">
        <v>367</v>
      </c>
      <c r="P68">
        <v>53.4</v>
      </c>
      <c r="Q68">
        <v>4431</v>
      </c>
      <c r="T68" t="s">
        <v>252</v>
      </c>
      <c r="U68">
        <v>11248</v>
      </c>
      <c r="V68">
        <v>95</v>
      </c>
      <c r="W68">
        <v>0.31028</v>
      </c>
      <c r="X68">
        <v>521</v>
      </c>
      <c r="Y68">
        <v>6722</v>
      </c>
      <c r="Z68">
        <v>157.4</v>
      </c>
      <c r="AA68">
        <v>148</v>
      </c>
      <c r="AB68">
        <v>11248</v>
      </c>
      <c r="AC68">
        <v>95</v>
      </c>
      <c r="AD68">
        <v>0.31028</v>
      </c>
      <c r="AE68">
        <v>521</v>
      </c>
      <c r="AF68">
        <v>6722</v>
      </c>
      <c r="AG68">
        <v>157.4</v>
      </c>
      <c r="AH68">
        <v>148</v>
      </c>
      <c r="AK68" t="s">
        <v>421</v>
      </c>
      <c r="AV68">
        <v>266</v>
      </c>
    </row>
    <row r="69" spans="5:48" x14ac:dyDescent="0.2">
      <c r="E69" t="s">
        <v>279</v>
      </c>
      <c r="F69">
        <v>263</v>
      </c>
      <c r="G69">
        <v>137</v>
      </c>
      <c r="H69">
        <v>2097</v>
      </c>
      <c r="I69">
        <v>1879</v>
      </c>
      <c r="J69">
        <v>325</v>
      </c>
      <c r="K69">
        <v>306</v>
      </c>
      <c r="L69">
        <v>210</v>
      </c>
      <c r="M69">
        <v>186</v>
      </c>
      <c r="N69">
        <v>111</v>
      </c>
      <c r="O69">
        <v>0</v>
      </c>
      <c r="Q69">
        <v>0</v>
      </c>
      <c r="T69" t="s">
        <v>253</v>
      </c>
      <c r="U69">
        <v>19614</v>
      </c>
      <c r="V69">
        <v>64.2</v>
      </c>
      <c r="W69">
        <v>0.11007</v>
      </c>
      <c r="X69">
        <v>3680</v>
      </c>
      <c r="Y69">
        <v>39521</v>
      </c>
      <c r="Z69">
        <v>70</v>
      </c>
      <c r="AA69">
        <v>63.6</v>
      </c>
      <c r="AB69">
        <v>19614</v>
      </c>
      <c r="AC69">
        <v>64.2</v>
      </c>
      <c r="AD69">
        <v>0.11007</v>
      </c>
      <c r="AE69">
        <v>3680</v>
      </c>
      <c r="AF69">
        <v>39521</v>
      </c>
      <c r="AG69">
        <v>70</v>
      </c>
      <c r="AH69">
        <v>63.6</v>
      </c>
      <c r="AK69" t="s">
        <v>210</v>
      </c>
      <c r="AV69">
        <v>930</v>
      </c>
    </row>
    <row r="70" spans="5:48" x14ac:dyDescent="0.2">
      <c r="E70" t="s">
        <v>245</v>
      </c>
      <c r="F70">
        <v>9297</v>
      </c>
      <c r="G70">
        <v>1011</v>
      </c>
      <c r="H70">
        <v>17223</v>
      </c>
      <c r="I70">
        <v>2376</v>
      </c>
      <c r="J70">
        <v>8787</v>
      </c>
      <c r="K70">
        <v>8753</v>
      </c>
      <c r="L70">
        <v>2317</v>
      </c>
      <c r="M70">
        <v>85</v>
      </c>
      <c r="N70">
        <v>1244</v>
      </c>
      <c r="O70">
        <v>1581</v>
      </c>
      <c r="P70">
        <v>83</v>
      </c>
      <c r="Q70">
        <v>10664</v>
      </c>
      <c r="T70" t="s">
        <v>254</v>
      </c>
      <c r="U70">
        <v>10298</v>
      </c>
      <c r="V70">
        <v>92.1</v>
      </c>
      <c r="W70">
        <v>0.28481000000000001</v>
      </c>
      <c r="X70">
        <v>563</v>
      </c>
      <c r="Y70">
        <v>6645</v>
      </c>
      <c r="Z70">
        <v>143</v>
      </c>
      <c r="AA70">
        <v>124.8</v>
      </c>
      <c r="AB70">
        <v>10298</v>
      </c>
      <c r="AC70">
        <v>92.1</v>
      </c>
      <c r="AD70">
        <v>0.28481000000000001</v>
      </c>
      <c r="AE70">
        <v>563</v>
      </c>
      <c r="AF70">
        <v>6645</v>
      </c>
      <c r="AG70">
        <v>143</v>
      </c>
      <c r="AH70">
        <v>124.8</v>
      </c>
      <c r="AK70" t="s">
        <v>415</v>
      </c>
      <c r="AV70">
        <v>44126</v>
      </c>
    </row>
    <row r="71" spans="5:48" x14ac:dyDescent="0.2">
      <c r="E71" t="s">
        <v>251</v>
      </c>
      <c r="F71">
        <v>5713</v>
      </c>
      <c r="G71">
        <v>262</v>
      </c>
      <c r="H71">
        <v>13776</v>
      </c>
      <c r="I71">
        <v>411</v>
      </c>
      <c r="J71">
        <v>161</v>
      </c>
      <c r="K71">
        <v>144</v>
      </c>
      <c r="L71">
        <v>110</v>
      </c>
      <c r="M71">
        <v>42</v>
      </c>
      <c r="N71">
        <v>4495</v>
      </c>
      <c r="O71">
        <v>1706</v>
      </c>
      <c r="P71">
        <v>57.7</v>
      </c>
      <c r="Q71">
        <v>7654</v>
      </c>
      <c r="T71" t="s">
        <v>255</v>
      </c>
      <c r="U71">
        <v>479098</v>
      </c>
      <c r="V71">
        <v>155.69999999999999</v>
      </c>
      <c r="W71">
        <v>0.50573999999999997</v>
      </c>
      <c r="X71">
        <v>23940</v>
      </c>
      <c r="Y71">
        <v>282619</v>
      </c>
      <c r="Z71">
        <v>204.7</v>
      </c>
      <c r="AA71">
        <v>205</v>
      </c>
      <c r="AB71">
        <v>479098</v>
      </c>
      <c r="AC71">
        <v>155.69999999999999</v>
      </c>
      <c r="AD71">
        <v>0.50573999999999997</v>
      </c>
      <c r="AE71">
        <v>23940</v>
      </c>
      <c r="AF71">
        <v>282619</v>
      </c>
      <c r="AG71">
        <v>204.7</v>
      </c>
      <c r="AH71">
        <v>205</v>
      </c>
      <c r="AK71" t="s">
        <v>7</v>
      </c>
      <c r="AL71">
        <v>194784</v>
      </c>
      <c r="AM71">
        <v>407.6</v>
      </c>
      <c r="AN71">
        <v>17203</v>
      </c>
      <c r="AO71">
        <v>60451</v>
      </c>
      <c r="AP71">
        <v>629</v>
      </c>
      <c r="AQ71">
        <v>21104</v>
      </c>
      <c r="AR71">
        <v>548.4</v>
      </c>
      <c r="AS71">
        <v>12557</v>
      </c>
      <c r="AT71">
        <v>170.1</v>
      </c>
      <c r="AU71">
        <v>401</v>
      </c>
      <c r="AV71">
        <v>289297</v>
      </c>
    </row>
    <row r="72" spans="5:48" x14ac:dyDescent="0.2">
      <c r="E72" t="s">
        <v>253</v>
      </c>
      <c r="F72">
        <v>21200</v>
      </c>
      <c r="G72">
        <v>1835</v>
      </c>
      <c r="H72">
        <v>40816</v>
      </c>
      <c r="I72">
        <v>5116</v>
      </c>
      <c r="J72">
        <v>9504</v>
      </c>
      <c r="K72">
        <v>9204</v>
      </c>
      <c r="L72">
        <v>3069</v>
      </c>
      <c r="M72">
        <v>411</v>
      </c>
      <c r="N72">
        <v>6416</v>
      </c>
      <c r="O72">
        <v>3654</v>
      </c>
      <c r="P72">
        <v>68.7</v>
      </c>
      <c r="Q72">
        <v>22749</v>
      </c>
      <c r="T72" t="s">
        <v>93</v>
      </c>
      <c r="U72">
        <v>24551</v>
      </c>
      <c r="V72">
        <v>153.19999999999999</v>
      </c>
      <c r="W72">
        <v>0.49220000000000003</v>
      </c>
      <c r="X72">
        <v>990</v>
      </c>
      <c r="Y72">
        <v>13431</v>
      </c>
      <c r="Z72">
        <v>213.4</v>
      </c>
      <c r="AA72">
        <v>205.4</v>
      </c>
      <c r="AB72">
        <v>23967</v>
      </c>
      <c r="AC72">
        <v>155</v>
      </c>
      <c r="AD72">
        <v>0.50144</v>
      </c>
      <c r="AE72">
        <v>994</v>
      </c>
      <c r="AF72">
        <v>13859</v>
      </c>
      <c r="AG72">
        <v>215.6</v>
      </c>
      <c r="AH72">
        <v>209.7</v>
      </c>
    </row>
    <row r="73" spans="5:48" x14ac:dyDescent="0.2">
      <c r="T73" t="s">
        <v>430</v>
      </c>
      <c r="U73">
        <v>756</v>
      </c>
      <c r="V73">
        <v>137.5</v>
      </c>
      <c r="W73">
        <v>0.31746000000000002</v>
      </c>
      <c r="X73">
        <v>9</v>
      </c>
      <c r="Y73">
        <v>121</v>
      </c>
      <c r="Z73">
        <v>278.89999999999998</v>
      </c>
      <c r="AA73">
        <v>247.9</v>
      </c>
      <c r="AB73">
        <v>1717</v>
      </c>
      <c r="AC73">
        <v>241.8</v>
      </c>
      <c r="AD73">
        <v>0.73790999999999995</v>
      </c>
      <c r="AE73">
        <v>2</v>
      </c>
      <c r="AF73">
        <v>71</v>
      </c>
      <c r="AG73">
        <v>439.5</v>
      </c>
      <c r="AH73">
        <v>244.1</v>
      </c>
    </row>
    <row r="74" spans="5:48" x14ac:dyDescent="0.2">
      <c r="T74" t="s">
        <v>152</v>
      </c>
      <c r="U74">
        <v>107014</v>
      </c>
      <c r="V74">
        <v>157.4</v>
      </c>
      <c r="W74">
        <v>0.50778000000000001</v>
      </c>
      <c r="X74">
        <v>6276</v>
      </c>
      <c r="Y74">
        <v>71253</v>
      </c>
      <c r="Z74">
        <v>195.5</v>
      </c>
      <c r="AA74">
        <v>193.1</v>
      </c>
      <c r="AB74">
        <v>104366</v>
      </c>
      <c r="AC74">
        <v>156.19999999999999</v>
      </c>
      <c r="AD74">
        <v>0.50141999999999998</v>
      </c>
      <c r="AE74">
        <v>6031</v>
      </c>
      <c r="AF74">
        <v>68925</v>
      </c>
      <c r="AG74">
        <v>194.8</v>
      </c>
      <c r="AH74">
        <v>193.3</v>
      </c>
    </row>
    <row r="75" spans="5:48" x14ac:dyDescent="0.2">
      <c r="T75" t="s">
        <v>256</v>
      </c>
      <c r="U75">
        <v>667</v>
      </c>
      <c r="V75">
        <v>146.19999999999999</v>
      </c>
      <c r="W75">
        <v>0.52473999999999998</v>
      </c>
      <c r="X75">
        <v>30</v>
      </c>
      <c r="Y75">
        <v>325</v>
      </c>
      <c r="Z75">
        <v>162.6</v>
      </c>
      <c r="AA75">
        <v>154</v>
      </c>
      <c r="AB75">
        <v>955</v>
      </c>
      <c r="AC75">
        <v>177</v>
      </c>
      <c r="AD75">
        <v>0.65969</v>
      </c>
      <c r="AE75">
        <v>47</v>
      </c>
      <c r="AF75">
        <v>498</v>
      </c>
      <c r="AG75">
        <v>191.2</v>
      </c>
      <c r="AH75">
        <v>192.5</v>
      </c>
    </row>
    <row r="76" spans="5:48" x14ac:dyDescent="0.2">
      <c r="T76" t="s">
        <v>95</v>
      </c>
      <c r="U76">
        <v>3466</v>
      </c>
      <c r="V76">
        <v>134.30000000000001</v>
      </c>
      <c r="W76">
        <v>0.43912000000000001</v>
      </c>
      <c r="X76">
        <v>167</v>
      </c>
      <c r="Y76">
        <v>1844</v>
      </c>
      <c r="Z76">
        <v>199.4</v>
      </c>
      <c r="AA76">
        <v>194.9</v>
      </c>
      <c r="AB76">
        <v>3463</v>
      </c>
      <c r="AC76">
        <v>133.80000000000001</v>
      </c>
      <c r="AD76">
        <v>0.44008000000000003</v>
      </c>
      <c r="AE76">
        <v>171</v>
      </c>
      <c r="AF76">
        <v>1862</v>
      </c>
      <c r="AG76">
        <v>207.6</v>
      </c>
      <c r="AH76">
        <v>196.5</v>
      </c>
    </row>
    <row r="77" spans="5:48" x14ac:dyDescent="0.2">
      <c r="P77" s="17"/>
      <c r="Q77" s="17"/>
      <c r="R77" s="17"/>
      <c r="S77" s="17"/>
      <c r="T77" t="s">
        <v>96</v>
      </c>
      <c r="U77">
        <v>1259</v>
      </c>
      <c r="V77">
        <v>162.80000000000001</v>
      </c>
      <c r="W77">
        <v>0.54488000000000003</v>
      </c>
      <c r="X77">
        <v>39</v>
      </c>
      <c r="Y77">
        <v>650</v>
      </c>
      <c r="Z77">
        <v>254.8</v>
      </c>
      <c r="AA77">
        <v>246.3</v>
      </c>
      <c r="AB77">
        <v>1202</v>
      </c>
      <c r="AC77">
        <v>156</v>
      </c>
      <c r="AD77">
        <v>0.52329000000000003</v>
      </c>
      <c r="AE77">
        <v>32</v>
      </c>
      <c r="AF77">
        <v>579</v>
      </c>
      <c r="AG77">
        <v>242.5</v>
      </c>
      <c r="AH77">
        <v>230.1</v>
      </c>
    </row>
    <row r="78" spans="5:48" x14ac:dyDescent="0.2">
      <c r="T78" t="s">
        <v>257</v>
      </c>
      <c r="U78">
        <v>27003</v>
      </c>
      <c r="V78">
        <v>158.4</v>
      </c>
      <c r="W78">
        <v>0.52842</v>
      </c>
      <c r="X78">
        <v>1110</v>
      </c>
      <c r="Y78">
        <v>13164</v>
      </c>
      <c r="Z78">
        <v>227.4</v>
      </c>
      <c r="AA78">
        <v>224.1</v>
      </c>
      <c r="AB78">
        <v>22075</v>
      </c>
      <c r="AC78">
        <v>164.3</v>
      </c>
      <c r="AD78">
        <v>0.55410999999999999</v>
      </c>
      <c r="AE78">
        <v>907</v>
      </c>
      <c r="AF78">
        <v>10784</v>
      </c>
      <c r="AG78">
        <v>237.4</v>
      </c>
      <c r="AH78">
        <v>225.2</v>
      </c>
    </row>
    <row r="79" spans="5:48" x14ac:dyDescent="0.2">
      <c r="T79" t="s">
        <v>258</v>
      </c>
      <c r="U79">
        <v>3902</v>
      </c>
      <c r="V79">
        <v>79.900000000000006</v>
      </c>
      <c r="W79">
        <v>0.20169000000000001</v>
      </c>
      <c r="X79">
        <v>165</v>
      </c>
      <c r="Y79">
        <v>2591</v>
      </c>
      <c r="Z79">
        <v>113.7</v>
      </c>
      <c r="AA79">
        <v>94</v>
      </c>
      <c r="AB79">
        <v>4273</v>
      </c>
      <c r="AC79">
        <v>74.8</v>
      </c>
      <c r="AD79">
        <v>0.18395</v>
      </c>
      <c r="AE79">
        <v>167</v>
      </c>
      <c r="AF79">
        <v>2589</v>
      </c>
      <c r="AG79">
        <v>113.1</v>
      </c>
      <c r="AH79">
        <v>94</v>
      </c>
    </row>
    <row r="80" spans="5:48" x14ac:dyDescent="0.2">
      <c r="T80" t="s">
        <v>259</v>
      </c>
      <c r="U80">
        <v>4558</v>
      </c>
      <c r="V80">
        <v>100.9</v>
      </c>
      <c r="W80">
        <v>0.33238000000000001</v>
      </c>
      <c r="X80">
        <v>209</v>
      </c>
      <c r="Y80">
        <v>2956</v>
      </c>
      <c r="Z80">
        <v>151.80000000000001</v>
      </c>
      <c r="AA80">
        <v>136.6</v>
      </c>
      <c r="AB80">
        <v>4908</v>
      </c>
      <c r="AC80">
        <v>96.5</v>
      </c>
      <c r="AD80">
        <v>0.31274999999999997</v>
      </c>
      <c r="AE80">
        <v>211</v>
      </c>
      <c r="AF80">
        <v>2965</v>
      </c>
      <c r="AG80">
        <v>151.4</v>
      </c>
      <c r="AH80">
        <v>136.30000000000001</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c r="E113" s="300"/>
    </row>
    <row r="114" spans="1:37" x14ac:dyDescent="0.2">
      <c r="A114" s="299" t="s">
        <v>454</v>
      </c>
      <c r="B114" s="300"/>
      <c r="C114" s="300"/>
      <c r="D114" s="300"/>
      <c r="E114" s="300"/>
      <c r="F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v>
      </c>
      <c r="AG7" s="278">
        <v>606</v>
      </c>
      <c r="AH7" s="379">
        <v>15165</v>
      </c>
      <c r="AI7" s="304">
        <v>0.91500000000000004</v>
      </c>
      <c r="AJ7" s="278">
        <v>304</v>
      </c>
      <c r="AK7" s="394">
        <v>3578</v>
      </c>
      <c r="AL7" s="378">
        <v>0.90990000000000004</v>
      </c>
      <c r="AM7" s="278">
        <v>1302</v>
      </c>
      <c r="AN7" s="379">
        <v>14448</v>
      </c>
      <c r="AO7" s="304">
        <v>0.92330000000000001</v>
      </c>
      <c r="AP7" s="278">
        <v>1066</v>
      </c>
      <c r="AQ7" s="346">
        <v>13899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0.95125235658497176</v>
      </c>
      <c r="AG8" s="281">
        <v>181</v>
      </c>
      <c r="AH8" s="381">
        <v>3713</v>
      </c>
      <c r="AI8" s="368">
        <v>0.90900000000000003</v>
      </c>
      <c r="AJ8" s="281">
        <v>91</v>
      </c>
      <c r="AK8" s="395">
        <v>1000</v>
      </c>
      <c r="AL8" s="380">
        <v>0.90007401924500374</v>
      </c>
      <c r="AM8" s="281">
        <v>405</v>
      </c>
      <c r="AN8" s="381">
        <v>4053</v>
      </c>
      <c r="AO8" s="368">
        <v>0.90227507755946224</v>
      </c>
      <c r="AP8" s="281">
        <v>378</v>
      </c>
      <c r="AQ8" s="348">
        <v>3868</v>
      </c>
    </row>
    <row r="9" spans="1:43" x14ac:dyDescent="0.2">
      <c r="A9" s="37"/>
      <c r="B9" s="316"/>
      <c r="C9" s="412" t="s">
        <v>48</v>
      </c>
      <c r="D9" s="413" t="s">
        <v>159</v>
      </c>
      <c r="E9" s="414">
        <v>7</v>
      </c>
      <c r="F9" s="414">
        <v>63</v>
      </c>
      <c r="G9" s="415">
        <v>0.88890000000000002</v>
      </c>
      <c r="H9" s="37"/>
      <c r="I9" s="412" t="s">
        <v>48</v>
      </c>
      <c r="J9" s="413" t="s">
        <v>159</v>
      </c>
      <c r="K9" s="424">
        <v>9</v>
      </c>
      <c r="L9" s="424">
        <v>209</v>
      </c>
      <c r="M9" s="425">
        <v>0.95689999999999997</v>
      </c>
      <c r="N9" s="314"/>
      <c r="O9" s="37"/>
      <c r="P9" s="316"/>
      <c r="Q9" s="412" t="s">
        <v>48</v>
      </c>
      <c r="R9" s="413" t="s">
        <v>159</v>
      </c>
      <c r="S9" s="424">
        <v>15</v>
      </c>
      <c r="T9" s="424">
        <v>252</v>
      </c>
      <c r="U9" s="425">
        <v>0.9405</v>
      </c>
      <c r="V9" s="37"/>
      <c r="W9" s="412" t="s">
        <v>48</v>
      </c>
      <c r="X9" s="413" t="s">
        <v>159</v>
      </c>
      <c r="Y9" s="424">
        <v>25</v>
      </c>
      <c r="Z9" s="424">
        <v>249</v>
      </c>
      <c r="AA9" s="425">
        <v>0.89959999999999996</v>
      </c>
      <c r="AB9" s="314"/>
      <c r="AC9" s="37"/>
      <c r="AD9" s="349" t="s">
        <v>46</v>
      </c>
      <c r="AE9" s="282" t="s">
        <v>166</v>
      </c>
      <c r="AF9" s="382">
        <v>0.91869999999999996</v>
      </c>
      <c r="AG9" s="283">
        <v>17</v>
      </c>
      <c r="AH9" s="383">
        <v>209</v>
      </c>
      <c r="AI9" s="369">
        <v>0.85450000000000004</v>
      </c>
      <c r="AJ9" s="283">
        <v>8</v>
      </c>
      <c r="AK9" s="396">
        <v>55</v>
      </c>
      <c r="AL9" s="382">
        <v>0.82330000000000003</v>
      </c>
      <c r="AM9" s="283">
        <v>44</v>
      </c>
      <c r="AN9" s="383">
        <v>249</v>
      </c>
      <c r="AO9" s="369">
        <v>0.86160000000000003</v>
      </c>
      <c r="AP9" s="283">
        <v>31</v>
      </c>
      <c r="AQ9" s="350">
        <v>224</v>
      </c>
    </row>
    <row r="10" spans="1:43" x14ac:dyDescent="0.2">
      <c r="A10" s="37"/>
      <c r="B10" s="316"/>
      <c r="C10" s="412" t="s">
        <v>81</v>
      </c>
      <c r="D10" s="413" t="s">
        <v>160</v>
      </c>
      <c r="E10" s="414">
        <v>4</v>
      </c>
      <c r="F10" s="414">
        <v>65</v>
      </c>
      <c r="G10" s="415">
        <v>0.9385</v>
      </c>
      <c r="H10" s="37"/>
      <c r="I10" s="412" t="s">
        <v>81</v>
      </c>
      <c r="J10" s="413" t="s">
        <v>160</v>
      </c>
      <c r="K10" s="424">
        <v>9</v>
      </c>
      <c r="L10" s="424">
        <v>252</v>
      </c>
      <c r="M10" s="425">
        <v>0.96430000000000005</v>
      </c>
      <c r="N10" s="314"/>
      <c r="O10" s="37"/>
      <c r="P10" s="316"/>
      <c r="Q10" s="412" t="s">
        <v>81</v>
      </c>
      <c r="R10" s="413" t="s">
        <v>160</v>
      </c>
      <c r="S10" s="424">
        <v>15</v>
      </c>
      <c r="T10" s="424">
        <v>273</v>
      </c>
      <c r="U10" s="425">
        <v>0.94510000000000005</v>
      </c>
      <c r="V10" s="37"/>
      <c r="W10" s="412" t="s">
        <v>81</v>
      </c>
      <c r="X10" s="413" t="s">
        <v>160</v>
      </c>
      <c r="Y10" s="424">
        <v>25</v>
      </c>
      <c r="Z10" s="424">
        <v>264</v>
      </c>
      <c r="AA10" s="425">
        <v>0.90529999999999999</v>
      </c>
      <c r="AB10" s="314"/>
      <c r="AC10" s="37"/>
      <c r="AD10" s="349" t="s">
        <v>48</v>
      </c>
      <c r="AE10" s="282" t="s">
        <v>159</v>
      </c>
      <c r="AF10" s="382">
        <v>0.95689999999999997</v>
      </c>
      <c r="AG10" s="283">
        <v>9</v>
      </c>
      <c r="AH10" s="383">
        <v>209</v>
      </c>
      <c r="AI10" s="369">
        <v>0.88890000000000002</v>
      </c>
      <c r="AJ10" s="283">
        <v>7</v>
      </c>
      <c r="AK10" s="396">
        <v>63</v>
      </c>
      <c r="AL10" s="382">
        <v>0.9405</v>
      </c>
      <c r="AM10" s="283">
        <v>15</v>
      </c>
      <c r="AN10" s="383">
        <v>252</v>
      </c>
      <c r="AO10" s="369">
        <v>0.89959999999999996</v>
      </c>
      <c r="AP10" s="283">
        <v>25</v>
      </c>
      <c r="AQ10" s="350">
        <v>249</v>
      </c>
    </row>
    <row r="11" spans="1:43" x14ac:dyDescent="0.2">
      <c r="A11" s="37"/>
      <c r="B11" s="316"/>
      <c r="C11" s="412" t="s">
        <v>74</v>
      </c>
      <c r="D11" s="413" t="s">
        <v>161</v>
      </c>
      <c r="E11" s="414">
        <v>4</v>
      </c>
      <c r="F11" s="414">
        <v>61</v>
      </c>
      <c r="G11" s="415">
        <v>0.93440000000000001</v>
      </c>
      <c r="H11" s="37"/>
      <c r="I11" s="412" t="s">
        <v>74</v>
      </c>
      <c r="J11" s="413" t="s">
        <v>161</v>
      </c>
      <c r="K11" s="424">
        <v>14</v>
      </c>
      <c r="L11" s="424">
        <v>231</v>
      </c>
      <c r="M11" s="425">
        <v>0.93940000000000001</v>
      </c>
      <c r="N11" s="314"/>
      <c r="O11" s="37"/>
      <c r="P11" s="316"/>
      <c r="Q11" s="412" t="s">
        <v>74</v>
      </c>
      <c r="R11" s="413" t="s">
        <v>161</v>
      </c>
      <c r="S11" s="424">
        <v>18</v>
      </c>
      <c r="T11" s="424">
        <v>251</v>
      </c>
      <c r="U11" s="425">
        <v>0.92830000000000001</v>
      </c>
      <c r="V11" s="37"/>
      <c r="W11" s="412" t="s">
        <v>74</v>
      </c>
      <c r="X11" s="413" t="s">
        <v>161</v>
      </c>
      <c r="Y11" s="424">
        <v>23</v>
      </c>
      <c r="Z11" s="424">
        <v>239</v>
      </c>
      <c r="AA11" s="425">
        <v>0.90380000000000005</v>
      </c>
      <c r="AB11" s="314"/>
      <c r="AC11" s="37"/>
      <c r="AD11" s="349" t="s">
        <v>33</v>
      </c>
      <c r="AE11" s="282" t="s">
        <v>162</v>
      </c>
      <c r="AF11" s="382">
        <v>0.95099999999999996</v>
      </c>
      <c r="AG11" s="283">
        <v>10</v>
      </c>
      <c r="AH11" s="383">
        <v>204</v>
      </c>
      <c r="AI11" s="369">
        <v>0.91039999999999999</v>
      </c>
      <c r="AJ11" s="283">
        <v>6</v>
      </c>
      <c r="AK11" s="396">
        <v>67</v>
      </c>
      <c r="AL11" s="382">
        <v>0.90159999999999996</v>
      </c>
      <c r="AM11" s="283">
        <v>25</v>
      </c>
      <c r="AN11" s="383">
        <v>254</v>
      </c>
      <c r="AO11" s="369">
        <v>0.876</v>
      </c>
      <c r="AP11" s="283">
        <v>30</v>
      </c>
      <c r="AQ11" s="350">
        <v>242</v>
      </c>
    </row>
    <row r="12" spans="1:43" x14ac:dyDescent="0.2">
      <c r="A12" s="37"/>
      <c r="B12" s="316"/>
      <c r="C12" s="412" t="s">
        <v>33</v>
      </c>
      <c r="D12" s="413" t="s">
        <v>162</v>
      </c>
      <c r="E12" s="414">
        <v>6</v>
      </c>
      <c r="F12" s="414">
        <v>67</v>
      </c>
      <c r="G12" s="415">
        <v>0.91039999999999999</v>
      </c>
      <c r="H12" s="37"/>
      <c r="I12" s="412" t="s">
        <v>33</v>
      </c>
      <c r="J12" s="413" t="s">
        <v>162</v>
      </c>
      <c r="K12" s="424">
        <v>10</v>
      </c>
      <c r="L12" s="424">
        <v>204</v>
      </c>
      <c r="M12" s="425">
        <v>0.95099999999999996</v>
      </c>
      <c r="N12" s="314"/>
      <c r="O12" s="37"/>
      <c r="P12" s="316"/>
      <c r="Q12" s="412" t="s">
        <v>33</v>
      </c>
      <c r="R12" s="413" t="s">
        <v>162</v>
      </c>
      <c r="S12" s="424">
        <v>25</v>
      </c>
      <c r="T12" s="424">
        <v>254</v>
      </c>
      <c r="U12" s="425">
        <v>0.90159999999999996</v>
      </c>
      <c r="V12" s="37"/>
      <c r="W12" s="412" t="s">
        <v>33</v>
      </c>
      <c r="X12" s="413" t="s">
        <v>162</v>
      </c>
      <c r="Y12" s="424">
        <v>30</v>
      </c>
      <c r="Z12" s="424">
        <v>242</v>
      </c>
      <c r="AA12" s="425">
        <v>0.876</v>
      </c>
      <c r="AB12" s="314"/>
      <c r="AC12" s="37"/>
      <c r="AD12" s="349" t="s">
        <v>51</v>
      </c>
      <c r="AE12" s="282" t="s">
        <v>175</v>
      </c>
      <c r="AF12" s="382">
        <v>0.96240000000000003</v>
      </c>
      <c r="AG12" s="283">
        <v>10</v>
      </c>
      <c r="AH12" s="383">
        <v>266</v>
      </c>
      <c r="AI12" s="369">
        <v>0.9375</v>
      </c>
      <c r="AJ12" s="283">
        <v>4</v>
      </c>
      <c r="AK12" s="396">
        <v>64</v>
      </c>
      <c r="AL12" s="382">
        <v>0.90869999999999995</v>
      </c>
      <c r="AM12" s="283">
        <v>23</v>
      </c>
      <c r="AN12" s="383">
        <v>252</v>
      </c>
      <c r="AO12" s="369">
        <v>0.9234</v>
      </c>
      <c r="AP12" s="283">
        <v>19</v>
      </c>
      <c r="AQ12" s="350">
        <v>248</v>
      </c>
    </row>
    <row r="13" spans="1:43" x14ac:dyDescent="0.2">
      <c r="A13" s="37"/>
      <c r="B13" s="316"/>
      <c r="C13" s="412" t="s">
        <v>58</v>
      </c>
      <c r="D13" s="413" t="s">
        <v>163</v>
      </c>
      <c r="E13" s="414">
        <v>2</v>
      </c>
      <c r="F13" s="414">
        <v>69</v>
      </c>
      <c r="G13" s="415">
        <v>0.97099999999999997</v>
      </c>
      <c r="H13" s="37"/>
      <c r="I13" s="412" t="s">
        <v>58</v>
      </c>
      <c r="J13" s="413" t="s">
        <v>163</v>
      </c>
      <c r="K13" s="424">
        <v>4</v>
      </c>
      <c r="L13" s="424">
        <v>250</v>
      </c>
      <c r="M13" s="425">
        <v>0.98399999999999999</v>
      </c>
      <c r="N13" s="314"/>
      <c r="O13" s="37"/>
      <c r="P13" s="316"/>
      <c r="Q13" s="412" t="s">
        <v>58</v>
      </c>
      <c r="R13" s="413" t="s">
        <v>163</v>
      </c>
      <c r="S13" s="424">
        <v>10</v>
      </c>
      <c r="T13" s="424">
        <v>256</v>
      </c>
      <c r="U13" s="425">
        <v>0.96089999999999998</v>
      </c>
      <c r="V13" s="37"/>
      <c r="W13" s="412" t="s">
        <v>58</v>
      </c>
      <c r="X13" s="413" t="s">
        <v>163</v>
      </c>
      <c r="Y13" s="424">
        <v>12</v>
      </c>
      <c r="Z13" s="424">
        <v>237</v>
      </c>
      <c r="AA13" s="425">
        <v>0.94940000000000002</v>
      </c>
      <c r="AB13" s="314"/>
      <c r="AC13" s="37"/>
      <c r="AD13" s="349" t="s">
        <v>55</v>
      </c>
      <c r="AE13" s="282" t="s">
        <v>179</v>
      </c>
      <c r="AF13" s="382">
        <v>0.90710000000000002</v>
      </c>
      <c r="AG13" s="283">
        <v>21</v>
      </c>
      <c r="AH13" s="383">
        <v>226</v>
      </c>
      <c r="AI13" s="369">
        <v>0.8841</v>
      </c>
      <c r="AJ13" s="283">
        <v>8</v>
      </c>
      <c r="AK13" s="396">
        <v>69</v>
      </c>
      <c r="AL13" s="382">
        <v>0.88719999999999999</v>
      </c>
      <c r="AM13" s="283">
        <v>29</v>
      </c>
      <c r="AN13" s="383">
        <v>257</v>
      </c>
      <c r="AO13" s="369">
        <v>0.9</v>
      </c>
      <c r="AP13" s="283">
        <v>25</v>
      </c>
      <c r="AQ13" s="350">
        <v>250</v>
      </c>
    </row>
    <row r="14" spans="1:43" x14ac:dyDescent="0.2">
      <c r="A14" s="37"/>
      <c r="B14" s="316"/>
      <c r="C14" s="412" t="s">
        <v>75</v>
      </c>
      <c r="D14" s="413" t="s">
        <v>164</v>
      </c>
      <c r="E14" s="414">
        <v>6</v>
      </c>
      <c r="F14" s="414">
        <v>59</v>
      </c>
      <c r="G14" s="415">
        <v>0.89829999999999999</v>
      </c>
      <c r="H14" s="37"/>
      <c r="I14" s="412" t="s">
        <v>75</v>
      </c>
      <c r="J14" s="413" t="s">
        <v>164</v>
      </c>
      <c r="K14" s="424">
        <v>15</v>
      </c>
      <c r="L14" s="424">
        <v>204</v>
      </c>
      <c r="M14" s="425">
        <v>0.92649999999999999</v>
      </c>
      <c r="N14" s="314"/>
      <c r="O14" s="37"/>
      <c r="P14" s="316"/>
      <c r="Q14" s="412" t="s">
        <v>75</v>
      </c>
      <c r="R14" s="413" t="s">
        <v>164</v>
      </c>
      <c r="S14" s="424">
        <v>44</v>
      </c>
      <c r="T14" s="424">
        <v>248</v>
      </c>
      <c r="U14" s="425">
        <v>0.8226</v>
      </c>
      <c r="V14" s="37"/>
      <c r="W14" s="412" t="s">
        <v>75</v>
      </c>
      <c r="X14" s="413" t="s">
        <v>164</v>
      </c>
      <c r="Y14" s="424">
        <v>42</v>
      </c>
      <c r="Z14" s="424">
        <v>247</v>
      </c>
      <c r="AA14" s="425">
        <v>0.83</v>
      </c>
      <c r="AB14" s="314"/>
      <c r="AC14" s="37"/>
      <c r="AD14" s="349" t="s">
        <v>58</v>
      </c>
      <c r="AE14" s="282" t="s">
        <v>163</v>
      </c>
      <c r="AF14" s="382">
        <v>0.98399999999999999</v>
      </c>
      <c r="AG14" s="283">
        <v>4</v>
      </c>
      <c r="AH14" s="383">
        <v>250</v>
      </c>
      <c r="AI14" s="369">
        <v>0.97099999999999997</v>
      </c>
      <c r="AJ14" s="283">
        <v>2</v>
      </c>
      <c r="AK14" s="396">
        <v>69</v>
      </c>
      <c r="AL14" s="382">
        <v>0.96089999999999998</v>
      </c>
      <c r="AM14" s="283">
        <v>10</v>
      </c>
      <c r="AN14" s="383">
        <v>256</v>
      </c>
      <c r="AO14" s="369">
        <v>0.94940000000000002</v>
      </c>
      <c r="AP14" s="283">
        <v>12</v>
      </c>
      <c r="AQ14" s="350">
        <v>237</v>
      </c>
    </row>
    <row r="15" spans="1:43" x14ac:dyDescent="0.2">
      <c r="A15" s="37"/>
      <c r="B15" s="316"/>
      <c r="C15" s="412" t="s">
        <v>77</v>
      </c>
      <c r="D15" s="413" t="s">
        <v>115</v>
      </c>
      <c r="E15" s="414">
        <v>4</v>
      </c>
      <c r="F15" s="414">
        <v>69</v>
      </c>
      <c r="G15" s="415">
        <v>0.94199999999999995</v>
      </c>
      <c r="H15" s="37"/>
      <c r="I15" s="412" t="s">
        <v>77</v>
      </c>
      <c r="J15" s="413" t="s">
        <v>115</v>
      </c>
      <c r="K15" s="424">
        <v>6</v>
      </c>
      <c r="L15" s="424">
        <v>266</v>
      </c>
      <c r="M15" s="425">
        <v>0.97740000000000005</v>
      </c>
      <c r="N15" s="314"/>
      <c r="O15" s="37"/>
      <c r="P15" s="316"/>
      <c r="Q15" s="412" t="s">
        <v>77</v>
      </c>
      <c r="R15" s="413" t="s">
        <v>115</v>
      </c>
      <c r="S15" s="424">
        <v>28</v>
      </c>
      <c r="T15" s="424">
        <v>253</v>
      </c>
      <c r="U15" s="425">
        <v>0.88929999999999998</v>
      </c>
      <c r="V15" s="37"/>
      <c r="W15" s="412" t="s">
        <v>77</v>
      </c>
      <c r="X15" s="413" t="s">
        <v>115</v>
      </c>
      <c r="Y15" s="424">
        <v>19</v>
      </c>
      <c r="Z15" s="424">
        <v>230</v>
      </c>
      <c r="AA15" s="425">
        <v>0.91739999999999999</v>
      </c>
      <c r="AB15" s="314"/>
      <c r="AC15" s="37"/>
      <c r="AD15" s="349" t="s">
        <v>62</v>
      </c>
      <c r="AE15" s="282" t="s">
        <v>176</v>
      </c>
      <c r="AF15" s="382">
        <v>0.94669999999999999</v>
      </c>
      <c r="AG15" s="283">
        <v>12</v>
      </c>
      <c r="AH15" s="383">
        <v>225</v>
      </c>
      <c r="AI15" s="369">
        <v>0.88890000000000002</v>
      </c>
      <c r="AJ15" s="283">
        <v>7</v>
      </c>
      <c r="AK15" s="396">
        <v>63</v>
      </c>
      <c r="AL15" s="382">
        <v>0.92</v>
      </c>
      <c r="AM15" s="283">
        <v>20</v>
      </c>
      <c r="AN15" s="383">
        <v>250</v>
      </c>
      <c r="AO15" s="369">
        <v>0.90720000000000001</v>
      </c>
      <c r="AP15" s="283">
        <v>22</v>
      </c>
      <c r="AQ15" s="350">
        <v>237</v>
      </c>
    </row>
    <row r="16" spans="1:43" x14ac:dyDescent="0.2">
      <c r="A16" s="37"/>
      <c r="B16" s="316"/>
      <c r="C16" s="412" t="s">
        <v>79</v>
      </c>
      <c r="D16" s="413" t="s">
        <v>165</v>
      </c>
      <c r="E16" s="414">
        <v>5</v>
      </c>
      <c r="F16" s="414">
        <v>60</v>
      </c>
      <c r="G16" s="415">
        <v>0.91669999999999996</v>
      </c>
      <c r="H16" s="37"/>
      <c r="I16" s="412" t="s">
        <v>79</v>
      </c>
      <c r="J16" s="413" t="s">
        <v>165</v>
      </c>
      <c r="K16" s="424">
        <v>10</v>
      </c>
      <c r="L16" s="424">
        <v>263</v>
      </c>
      <c r="M16" s="425">
        <v>0.96199999999999997</v>
      </c>
      <c r="N16" s="314"/>
      <c r="O16" s="37"/>
      <c r="P16" s="316"/>
      <c r="Q16" s="412" t="s">
        <v>79</v>
      </c>
      <c r="R16" s="413" t="s">
        <v>165</v>
      </c>
      <c r="S16" s="424">
        <v>29</v>
      </c>
      <c r="T16" s="424">
        <v>249</v>
      </c>
      <c r="U16" s="425">
        <v>0.88349999999999995</v>
      </c>
      <c r="V16" s="37"/>
      <c r="W16" s="412" t="s">
        <v>79</v>
      </c>
      <c r="X16" s="413" t="s">
        <v>165</v>
      </c>
      <c r="Y16" s="424">
        <v>21</v>
      </c>
      <c r="Z16" s="424">
        <v>241</v>
      </c>
      <c r="AA16" s="425">
        <v>0.91290000000000004</v>
      </c>
      <c r="AB16" s="314"/>
      <c r="AC16" s="37"/>
      <c r="AD16" s="349" t="s">
        <v>68</v>
      </c>
      <c r="AE16" s="282" t="s">
        <v>201</v>
      </c>
      <c r="AF16" s="382">
        <v>0.95850000000000002</v>
      </c>
      <c r="AG16" s="283">
        <v>8</v>
      </c>
      <c r="AH16" s="383">
        <v>193</v>
      </c>
      <c r="AI16" s="369">
        <v>0.92979999999999996</v>
      </c>
      <c r="AJ16" s="283">
        <v>4</v>
      </c>
      <c r="AK16" s="396">
        <v>57</v>
      </c>
      <c r="AL16" s="382">
        <v>0.9073</v>
      </c>
      <c r="AM16" s="283">
        <v>23</v>
      </c>
      <c r="AN16" s="383">
        <v>248</v>
      </c>
      <c r="AO16" s="369">
        <v>0.91320000000000001</v>
      </c>
      <c r="AP16" s="283">
        <v>21</v>
      </c>
      <c r="AQ16" s="350">
        <v>242</v>
      </c>
    </row>
    <row r="17" spans="1:43" x14ac:dyDescent="0.2">
      <c r="A17" s="37"/>
      <c r="B17" s="316"/>
      <c r="C17" s="412" t="s">
        <v>46</v>
      </c>
      <c r="D17" s="413" t="s">
        <v>166</v>
      </c>
      <c r="E17" s="414">
        <v>8</v>
      </c>
      <c r="F17" s="414">
        <v>55</v>
      </c>
      <c r="G17" s="415">
        <v>0.85450000000000004</v>
      </c>
      <c r="H17" s="37"/>
      <c r="I17" s="412" t="s">
        <v>46</v>
      </c>
      <c r="J17" s="413" t="s">
        <v>166</v>
      </c>
      <c r="K17" s="424">
        <v>17</v>
      </c>
      <c r="L17" s="424">
        <v>209</v>
      </c>
      <c r="M17" s="425">
        <v>0.91869999999999996</v>
      </c>
      <c r="N17" s="314"/>
      <c r="O17" s="37"/>
      <c r="P17" s="316"/>
      <c r="Q17" s="412" t="s">
        <v>46</v>
      </c>
      <c r="R17" s="413" t="s">
        <v>166</v>
      </c>
      <c r="S17" s="424">
        <v>44</v>
      </c>
      <c r="T17" s="424">
        <v>249</v>
      </c>
      <c r="U17" s="425">
        <v>0.82330000000000003</v>
      </c>
      <c r="V17" s="37"/>
      <c r="W17" s="412" t="s">
        <v>46</v>
      </c>
      <c r="X17" s="413" t="s">
        <v>166</v>
      </c>
      <c r="Y17" s="424">
        <v>31</v>
      </c>
      <c r="Z17" s="424">
        <v>224</v>
      </c>
      <c r="AA17" s="425">
        <v>0.86160000000000003</v>
      </c>
      <c r="AB17" s="314"/>
      <c r="AC17" s="37"/>
      <c r="AD17" s="349" t="s">
        <v>74</v>
      </c>
      <c r="AE17" s="282" t="s">
        <v>161</v>
      </c>
      <c r="AF17" s="382">
        <v>0.93940000000000001</v>
      </c>
      <c r="AG17" s="283">
        <v>14</v>
      </c>
      <c r="AH17" s="383">
        <v>231</v>
      </c>
      <c r="AI17" s="369">
        <v>0.93440000000000001</v>
      </c>
      <c r="AJ17" s="283">
        <v>4</v>
      </c>
      <c r="AK17" s="396">
        <v>61</v>
      </c>
      <c r="AL17" s="382">
        <v>0.92830000000000001</v>
      </c>
      <c r="AM17" s="283">
        <v>18</v>
      </c>
      <c r="AN17" s="383">
        <v>251</v>
      </c>
      <c r="AO17" s="369">
        <v>0.90380000000000005</v>
      </c>
      <c r="AP17" s="283">
        <v>23</v>
      </c>
      <c r="AQ17" s="350">
        <v>239</v>
      </c>
    </row>
    <row r="18" spans="1:43" x14ac:dyDescent="0.2">
      <c r="A18" s="37"/>
      <c r="B18" s="316"/>
      <c r="C18" s="412" t="s">
        <v>83</v>
      </c>
      <c r="D18" s="413" t="s">
        <v>121</v>
      </c>
      <c r="E18" s="414">
        <v>5</v>
      </c>
      <c r="F18" s="414">
        <v>63</v>
      </c>
      <c r="G18" s="415">
        <v>0.92059999999999997</v>
      </c>
      <c r="H18" s="37"/>
      <c r="I18" s="412" t="s">
        <v>83</v>
      </c>
      <c r="J18" s="413" t="s">
        <v>121</v>
      </c>
      <c r="K18" s="424">
        <v>7</v>
      </c>
      <c r="L18" s="424">
        <v>315</v>
      </c>
      <c r="M18" s="425">
        <v>0.9778</v>
      </c>
      <c r="N18" s="314"/>
      <c r="O18" s="37"/>
      <c r="P18" s="316"/>
      <c r="Q18" s="412" t="s">
        <v>83</v>
      </c>
      <c r="R18" s="413" t="s">
        <v>121</v>
      </c>
      <c r="S18" s="424">
        <v>19</v>
      </c>
      <c r="T18" s="424">
        <v>254</v>
      </c>
      <c r="U18" s="425">
        <v>0.92520000000000002</v>
      </c>
      <c r="V18" s="37"/>
      <c r="W18" s="412" t="s">
        <v>83</v>
      </c>
      <c r="X18" s="413" t="s">
        <v>121</v>
      </c>
      <c r="Y18" s="424">
        <v>7</v>
      </c>
      <c r="Z18" s="424">
        <v>250</v>
      </c>
      <c r="AA18" s="425">
        <v>0.97199999999999998</v>
      </c>
      <c r="AB18" s="314"/>
      <c r="AC18" s="37"/>
      <c r="AD18" s="349" t="s">
        <v>75</v>
      </c>
      <c r="AE18" s="282" t="s">
        <v>164</v>
      </c>
      <c r="AF18" s="382">
        <v>0.92649999999999999</v>
      </c>
      <c r="AG18" s="283">
        <v>15</v>
      </c>
      <c r="AH18" s="383">
        <v>204</v>
      </c>
      <c r="AI18" s="369">
        <v>0.89829999999999999</v>
      </c>
      <c r="AJ18" s="283">
        <v>6</v>
      </c>
      <c r="AK18" s="396">
        <v>59</v>
      </c>
      <c r="AL18" s="382">
        <v>0.8226</v>
      </c>
      <c r="AM18" s="283">
        <v>44</v>
      </c>
      <c r="AN18" s="383">
        <v>248</v>
      </c>
      <c r="AO18" s="369">
        <v>0.83</v>
      </c>
      <c r="AP18" s="283">
        <v>42</v>
      </c>
      <c r="AQ18" s="350">
        <v>247</v>
      </c>
    </row>
    <row r="19" spans="1:43" x14ac:dyDescent="0.2">
      <c r="A19" s="37"/>
      <c r="B19" s="316"/>
      <c r="C19" s="412" t="s">
        <v>61</v>
      </c>
      <c r="D19" s="413" t="s">
        <v>167</v>
      </c>
      <c r="E19" s="414">
        <v>6</v>
      </c>
      <c r="F19" s="414">
        <v>64</v>
      </c>
      <c r="G19" s="415">
        <v>0.90629999999999999</v>
      </c>
      <c r="H19" s="37"/>
      <c r="I19" s="412" t="s">
        <v>61</v>
      </c>
      <c r="J19" s="413" t="s">
        <v>167</v>
      </c>
      <c r="K19" s="424">
        <v>11</v>
      </c>
      <c r="L19" s="424">
        <v>262</v>
      </c>
      <c r="M19" s="425">
        <v>0.95799999999999996</v>
      </c>
      <c r="N19" s="314"/>
      <c r="O19" s="37"/>
      <c r="P19" s="316"/>
      <c r="Q19" s="412" t="s">
        <v>61</v>
      </c>
      <c r="R19" s="413" t="s">
        <v>167</v>
      </c>
      <c r="S19" s="424">
        <v>24</v>
      </c>
      <c r="T19" s="424">
        <v>265</v>
      </c>
      <c r="U19" s="425">
        <v>0.90939999999999999</v>
      </c>
      <c r="V19" s="37"/>
      <c r="W19" s="412" t="s">
        <v>61</v>
      </c>
      <c r="X19" s="413" t="s">
        <v>167</v>
      </c>
      <c r="Y19" s="424">
        <v>15</v>
      </c>
      <c r="Z19" s="424">
        <v>258</v>
      </c>
      <c r="AA19" s="425">
        <v>0.94189999999999996</v>
      </c>
      <c r="AB19" s="314"/>
      <c r="AC19" s="37"/>
      <c r="AD19" s="349" t="s">
        <v>244</v>
      </c>
      <c r="AE19" s="282" t="s">
        <v>115</v>
      </c>
      <c r="AF19" s="382">
        <v>0.97740000000000005</v>
      </c>
      <c r="AG19" s="283">
        <v>6</v>
      </c>
      <c r="AH19" s="383">
        <v>266</v>
      </c>
      <c r="AI19" s="369">
        <v>0.94199999999999995</v>
      </c>
      <c r="AJ19" s="283">
        <v>4</v>
      </c>
      <c r="AK19" s="396">
        <v>69</v>
      </c>
      <c r="AL19" s="382">
        <v>0.88929999999999998</v>
      </c>
      <c r="AM19" s="283">
        <v>28</v>
      </c>
      <c r="AN19" s="383">
        <v>253</v>
      </c>
      <c r="AO19" s="369">
        <v>0.91739999999999999</v>
      </c>
      <c r="AP19" s="283">
        <v>19</v>
      </c>
      <c r="AQ19" s="350">
        <v>230</v>
      </c>
    </row>
    <row r="20" spans="1:43" x14ac:dyDescent="0.2">
      <c r="A20" s="37"/>
      <c r="B20" s="316"/>
      <c r="C20" s="412" t="s">
        <v>34</v>
      </c>
      <c r="D20" s="413" t="s">
        <v>168</v>
      </c>
      <c r="E20" s="414">
        <v>5</v>
      </c>
      <c r="F20" s="414">
        <v>62</v>
      </c>
      <c r="G20" s="415">
        <v>0.9194</v>
      </c>
      <c r="H20" s="37"/>
      <c r="I20" s="412" t="s">
        <v>34</v>
      </c>
      <c r="J20" s="413" t="s">
        <v>168</v>
      </c>
      <c r="K20" s="426">
        <v>19</v>
      </c>
      <c r="L20" s="426">
        <v>249</v>
      </c>
      <c r="M20" s="427">
        <v>0.92369999999999997</v>
      </c>
      <c r="N20" s="311"/>
      <c r="O20" s="37"/>
      <c r="P20" s="316"/>
      <c r="Q20" s="412" t="s">
        <v>34</v>
      </c>
      <c r="R20" s="413" t="s">
        <v>168</v>
      </c>
      <c r="S20" s="426">
        <v>22</v>
      </c>
      <c r="T20" s="426">
        <v>252</v>
      </c>
      <c r="U20" s="427">
        <v>0.91269999999999996</v>
      </c>
      <c r="V20" s="37"/>
      <c r="W20" s="412" t="s">
        <v>34</v>
      </c>
      <c r="X20" s="413" t="s">
        <v>168</v>
      </c>
      <c r="Y20" s="426">
        <v>33</v>
      </c>
      <c r="Z20" s="426">
        <v>247</v>
      </c>
      <c r="AA20" s="427">
        <v>0.86639999999999995</v>
      </c>
      <c r="AB20" s="311"/>
      <c r="AC20" s="37"/>
      <c r="AD20" s="349" t="s">
        <v>79</v>
      </c>
      <c r="AE20" s="282" t="s">
        <v>165</v>
      </c>
      <c r="AF20" s="382">
        <v>0.96199999999999997</v>
      </c>
      <c r="AG20" s="283">
        <v>10</v>
      </c>
      <c r="AH20" s="383">
        <v>263</v>
      </c>
      <c r="AI20" s="369">
        <v>0.91669999999999996</v>
      </c>
      <c r="AJ20" s="283">
        <v>5</v>
      </c>
      <c r="AK20" s="396">
        <v>60</v>
      </c>
      <c r="AL20" s="382">
        <v>0.88349999999999995</v>
      </c>
      <c r="AM20" s="283">
        <v>29</v>
      </c>
      <c r="AN20" s="383">
        <v>249</v>
      </c>
      <c r="AO20" s="369">
        <v>0.91290000000000004</v>
      </c>
      <c r="AP20" s="283">
        <v>21</v>
      </c>
      <c r="AQ20" s="350">
        <v>241</v>
      </c>
    </row>
    <row r="21" spans="1:43" x14ac:dyDescent="0.2">
      <c r="A21" s="37"/>
      <c r="B21" s="316"/>
      <c r="C21" s="412" t="s">
        <v>91</v>
      </c>
      <c r="D21" s="413" t="s">
        <v>169</v>
      </c>
      <c r="E21" s="414">
        <v>6</v>
      </c>
      <c r="F21" s="414">
        <v>62</v>
      </c>
      <c r="G21" s="415">
        <v>0.9032</v>
      </c>
      <c r="H21" s="37"/>
      <c r="I21" s="412" t="s">
        <v>91</v>
      </c>
      <c r="J21" s="413" t="s">
        <v>169</v>
      </c>
      <c r="K21" s="424">
        <v>9</v>
      </c>
      <c r="L21" s="424">
        <v>245</v>
      </c>
      <c r="M21" s="425">
        <v>0.96330000000000005</v>
      </c>
      <c r="N21" s="314"/>
      <c r="O21" s="37"/>
      <c r="P21" s="316"/>
      <c r="Q21" s="412" t="s">
        <v>91</v>
      </c>
      <c r="R21" s="413" t="s">
        <v>169</v>
      </c>
      <c r="S21" s="424">
        <v>22</v>
      </c>
      <c r="T21" s="424">
        <v>247</v>
      </c>
      <c r="U21" s="425">
        <v>0.91090000000000004</v>
      </c>
      <c r="V21" s="37"/>
      <c r="W21" s="412" t="s">
        <v>91</v>
      </c>
      <c r="X21" s="413" t="s">
        <v>169</v>
      </c>
      <c r="Y21" s="424">
        <v>19</v>
      </c>
      <c r="Z21" s="424">
        <v>248</v>
      </c>
      <c r="AA21" s="425">
        <v>0.9234</v>
      </c>
      <c r="AB21" s="314"/>
      <c r="AC21" s="37"/>
      <c r="AD21" s="349" t="s">
        <v>81</v>
      </c>
      <c r="AE21" s="282" t="s">
        <v>160</v>
      </c>
      <c r="AF21" s="382">
        <v>0.96430000000000005</v>
      </c>
      <c r="AG21" s="283">
        <v>9</v>
      </c>
      <c r="AH21" s="383">
        <v>252</v>
      </c>
      <c r="AI21" s="369">
        <v>0.9385</v>
      </c>
      <c r="AJ21" s="283">
        <v>4</v>
      </c>
      <c r="AK21" s="396">
        <v>65</v>
      </c>
      <c r="AL21" s="382">
        <v>0.94510000000000005</v>
      </c>
      <c r="AM21" s="283">
        <v>15</v>
      </c>
      <c r="AN21" s="383">
        <v>273</v>
      </c>
      <c r="AO21" s="369">
        <v>0.90529999999999999</v>
      </c>
      <c r="AP21" s="283">
        <v>25</v>
      </c>
      <c r="AQ21" s="350">
        <v>264</v>
      </c>
    </row>
    <row r="22" spans="1:43" x14ac:dyDescent="0.2">
      <c r="A22" s="37"/>
      <c r="B22" s="316"/>
      <c r="C22" s="412" t="s">
        <v>97</v>
      </c>
      <c r="D22" s="413" t="s">
        <v>170</v>
      </c>
      <c r="E22" s="414">
        <v>7</v>
      </c>
      <c r="F22" s="414">
        <v>67</v>
      </c>
      <c r="G22" s="415">
        <v>0.89549999999999996</v>
      </c>
      <c r="H22" s="37"/>
      <c r="I22" s="412" t="s">
        <v>97</v>
      </c>
      <c r="J22" s="413" t="s">
        <v>170</v>
      </c>
      <c r="K22" s="424">
        <v>19</v>
      </c>
      <c r="L22" s="424">
        <v>544</v>
      </c>
      <c r="M22" s="425">
        <v>0.96509999999999996</v>
      </c>
      <c r="N22" s="314"/>
      <c r="O22" s="37"/>
      <c r="P22" s="316"/>
      <c r="Q22" s="412" t="s">
        <v>97</v>
      </c>
      <c r="R22" s="413" t="s">
        <v>170</v>
      </c>
      <c r="S22" s="424">
        <v>23</v>
      </c>
      <c r="T22" s="424">
        <v>252</v>
      </c>
      <c r="U22" s="425">
        <v>0.90869999999999995</v>
      </c>
      <c r="V22" s="37"/>
      <c r="W22" s="412" t="s">
        <v>97</v>
      </c>
      <c r="X22" s="413" t="s">
        <v>170</v>
      </c>
      <c r="Y22" s="424">
        <v>20</v>
      </c>
      <c r="Z22" s="424">
        <v>244</v>
      </c>
      <c r="AA22" s="425">
        <v>0.91800000000000004</v>
      </c>
      <c r="AB22" s="314"/>
      <c r="AC22" s="37"/>
      <c r="AD22" s="351" t="s">
        <v>92</v>
      </c>
      <c r="AE22" s="282" t="s">
        <v>203</v>
      </c>
      <c r="AF22" s="382">
        <v>0.97089999999999999</v>
      </c>
      <c r="AG22" s="283">
        <v>9</v>
      </c>
      <c r="AH22" s="383">
        <v>309</v>
      </c>
      <c r="AI22" s="369">
        <v>0.875</v>
      </c>
      <c r="AJ22" s="283">
        <v>8</v>
      </c>
      <c r="AK22" s="396">
        <v>64</v>
      </c>
      <c r="AL22" s="382">
        <v>0.93020000000000003</v>
      </c>
      <c r="AM22" s="283">
        <v>18</v>
      </c>
      <c r="AN22" s="383">
        <v>258</v>
      </c>
      <c r="AO22" s="369">
        <v>0.98019999999999996</v>
      </c>
      <c r="AP22" s="283">
        <v>5</v>
      </c>
      <c r="AQ22" s="350">
        <v>252</v>
      </c>
    </row>
    <row r="23" spans="1:43" x14ac:dyDescent="0.2">
      <c r="A23" s="37"/>
      <c r="B23" s="316"/>
      <c r="C23" s="412" t="s">
        <v>52</v>
      </c>
      <c r="D23" s="413" t="s">
        <v>171</v>
      </c>
      <c r="E23" s="414">
        <v>2</v>
      </c>
      <c r="F23" s="414">
        <v>63</v>
      </c>
      <c r="G23" s="415">
        <v>0.96830000000000005</v>
      </c>
      <c r="H23" s="37"/>
      <c r="I23" s="412" t="s">
        <v>52</v>
      </c>
      <c r="J23" s="413" t="s">
        <v>171</v>
      </c>
      <c r="K23" s="424">
        <v>8</v>
      </c>
      <c r="L23" s="424">
        <v>284</v>
      </c>
      <c r="M23" s="425">
        <v>0.9718</v>
      </c>
      <c r="N23" s="314"/>
      <c r="O23" s="37"/>
      <c r="P23" s="316"/>
      <c r="Q23" s="412" t="s">
        <v>52</v>
      </c>
      <c r="R23" s="413" t="s">
        <v>171</v>
      </c>
      <c r="S23" s="424">
        <v>15</v>
      </c>
      <c r="T23" s="424">
        <v>257</v>
      </c>
      <c r="U23" s="425">
        <v>0.94159999999999999</v>
      </c>
      <c r="V23" s="37"/>
      <c r="W23" s="412" t="s">
        <v>52</v>
      </c>
      <c r="X23" s="413" t="s">
        <v>171</v>
      </c>
      <c r="Y23" s="424">
        <v>12</v>
      </c>
      <c r="Z23" s="424">
        <v>246</v>
      </c>
      <c r="AA23" s="425">
        <v>0.95120000000000005</v>
      </c>
      <c r="AB23" s="314"/>
      <c r="AC23" s="37"/>
      <c r="AD23" s="349" t="s">
        <v>256</v>
      </c>
      <c r="AE23" s="282" t="s">
        <v>105</v>
      </c>
      <c r="AF23" s="382">
        <v>0.93530000000000002</v>
      </c>
      <c r="AG23" s="283">
        <v>11</v>
      </c>
      <c r="AH23" s="383">
        <v>170</v>
      </c>
      <c r="AI23" s="369">
        <v>0.89090000000000003</v>
      </c>
      <c r="AJ23" s="283">
        <v>6</v>
      </c>
      <c r="AK23" s="396">
        <v>55</v>
      </c>
      <c r="AL23" s="382">
        <v>0.86799999999999999</v>
      </c>
      <c r="AM23" s="283">
        <v>33</v>
      </c>
      <c r="AN23" s="383">
        <v>250</v>
      </c>
      <c r="AO23" s="369">
        <v>0.85250000000000004</v>
      </c>
      <c r="AP23" s="283">
        <v>36</v>
      </c>
      <c r="AQ23" s="350">
        <v>244</v>
      </c>
    </row>
    <row r="24" spans="1:43" ht="13.5" thickBot="1" x14ac:dyDescent="0.25">
      <c r="A24" s="37"/>
      <c r="B24" s="316"/>
      <c r="C24" s="412" t="s">
        <v>72</v>
      </c>
      <c r="D24" s="413" t="s">
        <v>107</v>
      </c>
      <c r="E24" s="414">
        <v>7</v>
      </c>
      <c r="F24" s="414">
        <v>62</v>
      </c>
      <c r="G24" s="415">
        <v>0.8871</v>
      </c>
      <c r="H24" s="37"/>
      <c r="I24" s="412" t="s">
        <v>72</v>
      </c>
      <c r="J24" s="413" t="s">
        <v>107</v>
      </c>
      <c r="K24" s="424">
        <v>11</v>
      </c>
      <c r="L24" s="424">
        <v>272</v>
      </c>
      <c r="M24" s="425">
        <v>0.95960000000000001</v>
      </c>
      <c r="N24" s="314"/>
      <c r="O24" s="37"/>
      <c r="P24" s="316"/>
      <c r="Q24" s="412" t="s">
        <v>72</v>
      </c>
      <c r="R24" s="413" t="s">
        <v>107</v>
      </c>
      <c r="S24" s="424">
        <v>26</v>
      </c>
      <c r="T24" s="424">
        <v>252</v>
      </c>
      <c r="U24" s="425">
        <v>0.89680000000000004</v>
      </c>
      <c r="V24" s="37"/>
      <c r="W24" s="412" t="s">
        <v>72</v>
      </c>
      <c r="X24" s="413" t="s">
        <v>107</v>
      </c>
      <c r="Y24" s="424">
        <v>12</v>
      </c>
      <c r="Z24" s="424">
        <v>242</v>
      </c>
      <c r="AA24" s="425">
        <v>0.95040000000000002</v>
      </c>
      <c r="AB24" s="314"/>
      <c r="AC24" s="37"/>
      <c r="AD24" s="352" t="s">
        <v>96</v>
      </c>
      <c r="AE24" s="284" t="s">
        <v>212</v>
      </c>
      <c r="AF24" s="384">
        <v>0.93220000000000003</v>
      </c>
      <c r="AG24" s="285">
        <v>16</v>
      </c>
      <c r="AH24" s="385">
        <v>236</v>
      </c>
      <c r="AI24" s="370">
        <v>0.86670000000000003</v>
      </c>
      <c r="AJ24" s="285">
        <v>8</v>
      </c>
      <c r="AK24" s="397">
        <v>60</v>
      </c>
      <c r="AL24" s="384">
        <v>0.87749999999999995</v>
      </c>
      <c r="AM24" s="285">
        <v>31</v>
      </c>
      <c r="AN24" s="385">
        <v>253</v>
      </c>
      <c r="AO24" s="370">
        <v>0.90090000000000003</v>
      </c>
      <c r="AP24" s="285">
        <v>22</v>
      </c>
      <c r="AQ24" s="353">
        <v>222</v>
      </c>
    </row>
    <row r="25" spans="1:43" x14ac:dyDescent="0.2">
      <c r="A25" s="37"/>
      <c r="B25" s="316"/>
      <c r="C25" s="412" t="s">
        <v>73</v>
      </c>
      <c r="D25" s="413" t="s">
        <v>172</v>
      </c>
      <c r="E25" s="414">
        <v>4</v>
      </c>
      <c r="F25" s="414">
        <v>60</v>
      </c>
      <c r="G25" s="415">
        <v>0.93330000000000002</v>
      </c>
      <c r="H25" s="37"/>
      <c r="I25" s="412" t="s">
        <v>73</v>
      </c>
      <c r="J25" s="413" t="s">
        <v>172</v>
      </c>
      <c r="K25" s="424">
        <v>7</v>
      </c>
      <c r="L25" s="424">
        <v>215</v>
      </c>
      <c r="M25" s="425">
        <v>0.96740000000000004</v>
      </c>
      <c r="N25" s="314"/>
      <c r="O25" s="37"/>
      <c r="P25" s="316"/>
      <c r="Q25" s="412" t="s">
        <v>73</v>
      </c>
      <c r="R25" s="413" t="s">
        <v>172</v>
      </c>
      <c r="S25" s="424">
        <v>24</v>
      </c>
      <c r="T25" s="424">
        <v>251</v>
      </c>
      <c r="U25" s="425">
        <v>0.90439999999999998</v>
      </c>
      <c r="V25" s="37"/>
      <c r="W25" s="412" t="s">
        <v>73</v>
      </c>
      <c r="X25" s="413" t="s">
        <v>172</v>
      </c>
      <c r="Y25" s="424">
        <v>19</v>
      </c>
      <c r="Z25" s="424">
        <v>252</v>
      </c>
      <c r="AA25" s="425">
        <v>0.92459999999999998</v>
      </c>
      <c r="AB25" s="314"/>
      <c r="AC25" s="37"/>
      <c r="AD25" s="347" t="s">
        <v>20</v>
      </c>
      <c r="AE25" s="280"/>
      <c r="AF25" s="380">
        <v>0.95585996955859964</v>
      </c>
      <c r="AG25" s="281">
        <v>145</v>
      </c>
      <c r="AH25" s="381">
        <v>3285</v>
      </c>
      <c r="AI25" s="368">
        <v>0.90620490620490624</v>
      </c>
      <c r="AJ25" s="281">
        <v>65</v>
      </c>
      <c r="AK25" s="395">
        <v>693</v>
      </c>
      <c r="AL25" s="380">
        <v>0.9097421203438395</v>
      </c>
      <c r="AM25" s="281">
        <v>252</v>
      </c>
      <c r="AN25" s="381">
        <v>2792</v>
      </c>
      <c r="AO25" s="368">
        <v>0.91980783444198078</v>
      </c>
      <c r="AP25" s="281">
        <v>217</v>
      </c>
      <c r="AQ25" s="348">
        <v>2706</v>
      </c>
    </row>
    <row r="26" spans="1:43" x14ac:dyDescent="0.2">
      <c r="A26" s="37"/>
      <c r="B26" s="316"/>
      <c r="C26" s="412" t="s">
        <v>71</v>
      </c>
      <c r="D26" s="413" t="s">
        <v>173</v>
      </c>
      <c r="E26" s="414">
        <v>8</v>
      </c>
      <c r="F26" s="414">
        <v>61</v>
      </c>
      <c r="G26" s="415">
        <v>0.86890000000000001</v>
      </c>
      <c r="H26" s="37"/>
      <c r="I26" s="412" t="s">
        <v>71</v>
      </c>
      <c r="J26" s="413" t="s">
        <v>173</v>
      </c>
      <c r="K26" s="424">
        <v>24</v>
      </c>
      <c r="L26" s="424">
        <v>310</v>
      </c>
      <c r="M26" s="425">
        <v>0.92259999999999998</v>
      </c>
      <c r="N26" s="314"/>
      <c r="O26" s="37"/>
      <c r="P26" s="316"/>
      <c r="Q26" s="412" t="s">
        <v>71</v>
      </c>
      <c r="R26" s="413" t="s">
        <v>173</v>
      </c>
      <c r="S26" s="424">
        <v>26</v>
      </c>
      <c r="T26" s="424">
        <v>249</v>
      </c>
      <c r="U26" s="425">
        <v>0.89559999999999995</v>
      </c>
      <c r="V26" s="37"/>
      <c r="W26" s="412" t="s">
        <v>71</v>
      </c>
      <c r="X26" s="413" t="s">
        <v>173</v>
      </c>
      <c r="Y26" s="424">
        <v>14</v>
      </c>
      <c r="Z26" s="424">
        <v>236</v>
      </c>
      <c r="AA26" s="425">
        <v>0.94069999999999998</v>
      </c>
      <c r="AB26" s="314"/>
      <c r="AC26" s="37"/>
      <c r="AD26" s="349" t="s">
        <v>34</v>
      </c>
      <c r="AE26" s="282" t="s">
        <v>168</v>
      </c>
      <c r="AF26" s="382">
        <v>0.92369999999999997</v>
      </c>
      <c r="AG26" s="283">
        <v>19</v>
      </c>
      <c r="AH26" s="383">
        <v>249</v>
      </c>
      <c r="AI26" s="369">
        <v>0.9194</v>
      </c>
      <c r="AJ26" s="283">
        <v>5</v>
      </c>
      <c r="AK26" s="396">
        <v>62</v>
      </c>
      <c r="AL26" s="382">
        <v>0.91269999999999996</v>
      </c>
      <c r="AM26" s="283">
        <v>22</v>
      </c>
      <c r="AN26" s="383">
        <v>252</v>
      </c>
      <c r="AO26" s="369">
        <v>0.86639999999999995</v>
      </c>
      <c r="AP26" s="283">
        <v>33</v>
      </c>
      <c r="AQ26" s="350">
        <v>247</v>
      </c>
    </row>
    <row r="27" spans="1:43" x14ac:dyDescent="0.2">
      <c r="A27" s="37"/>
      <c r="B27" s="316"/>
      <c r="C27" s="412" t="s">
        <v>63</v>
      </c>
      <c r="D27" s="413" t="s">
        <v>174</v>
      </c>
      <c r="E27" s="414">
        <v>8</v>
      </c>
      <c r="F27" s="414">
        <v>62</v>
      </c>
      <c r="G27" s="415">
        <v>0.871</v>
      </c>
      <c r="H27" s="37"/>
      <c r="I27" s="412" t="s">
        <v>63</v>
      </c>
      <c r="J27" s="413" t="s">
        <v>174</v>
      </c>
      <c r="K27" s="424">
        <v>19</v>
      </c>
      <c r="L27" s="424">
        <v>256</v>
      </c>
      <c r="M27" s="425">
        <v>0.92579999999999996</v>
      </c>
      <c r="N27" s="314"/>
      <c r="O27" s="37"/>
      <c r="P27" s="316"/>
      <c r="Q27" s="412" t="s">
        <v>63</v>
      </c>
      <c r="R27" s="413" t="s">
        <v>174</v>
      </c>
      <c r="S27" s="424">
        <v>17</v>
      </c>
      <c r="T27" s="424">
        <v>252</v>
      </c>
      <c r="U27" s="425">
        <v>0.9325</v>
      </c>
      <c r="V27" s="37"/>
      <c r="W27" s="412" t="s">
        <v>63</v>
      </c>
      <c r="X27" s="413" t="s">
        <v>174</v>
      </c>
      <c r="Y27" s="424">
        <v>33</v>
      </c>
      <c r="Z27" s="424">
        <v>254</v>
      </c>
      <c r="AA27" s="425">
        <v>0.87009999999999998</v>
      </c>
      <c r="AB27" s="314"/>
      <c r="AC27" s="37"/>
      <c r="AD27" s="349" t="s">
        <v>52</v>
      </c>
      <c r="AE27" s="282" t="s">
        <v>171</v>
      </c>
      <c r="AF27" s="382">
        <v>0.9718</v>
      </c>
      <c r="AG27" s="283">
        <v>8</v>
      </c>
      <c r="AH27" s="383">
        <v>284</v>
      </c>
      <c r="AI27" s="369">
        <v>0.96830000000000005</v>
      </c>
      <c r="AJ27" s="283">
        <v>2</v>
      </c>
      <c r="AK27" s="396">
        <v>63</v>
      </c>
      <c r="AL27" s="382">
        <v>0.94159999999999999</v>
      </c>
      <c r="AM27" s="283">
        <v>15</v>
      </c>
      <c r="AN27" s="383">
        <v>257</v>
      </c>
      <c r="AO27" s="369">
        <v>0.95120000000000005</v>
      </c>
      <c r="AP27" s="283">
        <v>12</v>
      </c>
      <c r="AQ27" s="350">
        <v>246</v>
      </c>
    </row>
    <row r="28" spans="1:43" x14ac:dyDescent="0.2">
      <c r="A28" s="37"/>
      <c r="B28" s="316"/>
      <c r="C28" s="412" t="s">
        <v>51</v>
      </c>
      <c r="D28" s="413" t="s">
        <v>175</v>
      </c>
      <c r="E28" s="414">
        <v>4</v>
      </c>
      <c r="F28" s="414">
        <v>64</v>
      </c>
      <c r="G28" s="415">
        <v>0.9375</v>
      </c>
      <c r="H28" s="37"/>
      <c r="I28" s="412" t="s">
        <v>51</v>
      </c>
      <c r="J28" s="413" t="s">
        <v>175</v>
      </c>
      <c r="K28" s="424">
        <v>10</v>
      </c>
      <c r="L28" s="424">
        <v>266</v>
      </c>
      <c r="M28" s="425">
        <v>0.96240000000000003</v>
      </c>
      <c r="N28" s="314"/>
      <c r="O28" s="37"/>
      <c r="P28" s="316"/>
      <c r="Q28" s="412" t="s">
        <v>51</v>
      </c>
      <c r="R28" s="413" t="s">
        <v>175</v>
      </c>
      <c r="S28" s="424">
        <v>23</v>
      </c>
      <c r="T28" s="424">
        <v>252</v>
      </c>
      <c r="U28" s="425">
        <v>0.90869999999999995</v>
      </c>
      <c r="V28" s="37"/>
      <c r="W28" s="412" t="s">
        <v>51</v>
      </c>
      <c r="X28" s="413" t="s">
        <v>175</v>
      </c>
      <c r="Y28" s="424">
        <v>19</v>
      </c>
      <c r="Z28" s="424">
        <v>248</v>
      </c>
      <c r="AA28" s="425">
        <v>0.9234</v>
      </c>
      <c r="AB28" s="314"/>
      <c r="AC28" s="37"/>
      <c r="AD28" s="349" t="s">
        <v>61</v>
      </c>
      <c r="AE28" s="282" t="s">
        <v>167</v>
      </c>
      <c r="AF28" s="382">
        <v>0.95799999999999996</v>
      </c>
      <c r="AG28" s="283">
        <v>11</v>
      </c>
      <c r="AH28" s="383">
        <v>262</v>
      </c>
      <c r="AI28" s="369">
        <v>0.90629999999999999</v>
      </c>
      <c r="AJ28" s="283">
        <v>6</v>
      </c>
      <c r="AK28" s="396">
        <v>64</v>
      </c>
      <c r="AL28" s="382">
        <v>0.90939999999999999</v>
      </c>
      <c r="AM28" s="283">
        <v>24</v>
      </c>
      <c r="AN28" s="383">
        <v>265</v>
      </c>
      <c r="AO28" s="369">
        <v>0.94189999999999996</v>
      </c>
      <c r="AP28" s="283">
        <v>15</v>
      </c>
      <c r="AQ28" s="350">
        <v>258</v>
      </c>
    </row>
    <row r="29" spans="1:43" x14ac:dyDescent="0.2">
      <c r="A29" s="37"/>
      <c r="B29" s="316"/>
      <c r="C29" s="412" t="s">
        <v>62</v>
      </c>
      <c r="D29" s="413" t="s">
        <v>176</v>
      </c>
      <c r="E29" s="414">
        <v>7</v>
      </c>
      <c r="F29" s="414">
        <v>63</v>
      </c>
      <c r="G29" s="415">
        <v>0.88890000000000002</v>
      </c>
      <c r="H29" s="37"/>
      <c r="I29" s="412" t="s">
        <v>62</v>
      </c>
      <c r="J29" s="413" t="s">
        <v>176</v>
      </c>
      <c r="K29" s="424">
        <v>12</v>
      </c>
      <c r="L29" s="424">
        <v>225</v>
      </c>
      <c r="M29" s="425">
        <v>0.94669999999999999</v>
      </c>
      <c r="N29" s="314"/>
      <c r="O29" s="37"/>
      <c r="P29" s="316"/>
      <c r="Q29" s="412" t="s">
        <v>62</v>
      </c>
      <c r="R29" s="413" t="s">
        <v>176</v>
      </c>
      <c r="S29" s="424">
        <v>20</v>
      </c>
      <c r="T29" s="424">
        <v>250</v>
      </c>
      <c r="U29" s="425">
        <v>0.92</v>
      </c>
      <c r="V29" s="37"/>
      <c r="W29" s="412" t="s">
        <v>62</v>
      </c>
      <c r="X29" s="413" t="s">
        <v>176</v>
      </c>
      <c r="Y29" s="424">
        <v>22</v>
      </c>
      <c r="Z29" s="424">
        <v>237</v>
      </c>
      <c r="AA29" s="425">
        <v>0.90720000000000001</v>
      </c>
      <c r="AB29" s="314"/>
      <c r="AC29" s="37"/>
      <c r="AD29" s="349" t="s">
        <v>63</v>
      </c>
      <c r="AE29" s="282" t="s">
        <v>174</v>
      </c>
      <c r="AF29" s="382">
        <v>0.92579999999999996</v>
      </c>
      <c r="AG29" s="283">
        <v>19</v>
      </c>
      <c r="AH29" s="383">
        <v>256</v>
      </c>
      <c r="AI29" s="369">
        <v>0.871</v>
      </c>
      <c r="AJ29" s="283">
        <v>8</v>
      </c>
      <c r="AK29" s="396">
        <v>62</v>
      </c>
      <c r="AL29" s="382">
        <v>0.9325</v>
      </c>
      <c r="AM29" s="283">
        <v>17</v>
      </c>
      <c r="AN29" s="383">
        <v>252</v>
      </c>
      <c r="AO29" s="369">
        <v>0.87009999999999998</v>
      </c>
      <c r="AP29" s="283">
        <v>33</v>
      </c>
      <c r="AQ29" s="350">
        <v>254</v>
      </c>
    </row>
    <row r="30" spans="1:43" x14ac:dyDescent="0.2">
      <c r="A30" s="37"/>
      <c r="B30" s="316"/>
      <c r="C30" s="412" t="s">
        <v>67</v>
      </c>
      <c r="D30" s="413" t="s">
        <v>177</v>
      </c>
      <c r="E30" s="414">
        <v>5</v>
      </c>
      <c r="F30" s="414">
        <v>63</v>
      </c>
      <c r="G30" s="415">
        <v>0.92059999999999997</v>
      </c>
      <c r="H30" s="37"/>
      <c r="I30" s="412" t="s">
        <v>67</v>
      </c>
      <c r="J30" s="413" t="s">
        <v>177</v>
      </c>
      <c r="K30" s="424">
        <v>11</v>
      </c>
      <c r="L30" s="424">
        <v>208</v>
      </c>
      <c r="M30" s="425">
        <v>0.94710000000000005</v>
      </c>
      <c r="N30" s="314"/>
      <c r="O30" s="37"/>
      <c r="P30" s="316"/>
      <c r="Q30" s="412" t="s">
        <v>67</v>
      </c>
      <c r="R30" s="413" t="s">
        <v>177</v>
      </c>
      <c r="S30" s="424">
        <v>28</v>
      </c>
      <c r="T30" s="424">
        <v>258</v>
      </c>
      <c r="U30" s="425">
        <v>0.89149999999999996</v>
      </c>
      <c r="V30" s="37"/>
      <c r="W30" s="412" t="s">
        <v>67</v>
      </c>
      <c r="X30" s="413" t="s">
        <v>177</v>
      </c>
      <c r="Y30" s="424">
        <v>28</v>
      </c>
      <c r="Z30" s="424">
        <v>230</v>
      </c>
      <c r="AA30" s="425">
        <v>0.87829999999999997</v>
      </c>
      <c r="AB30" s="314"/>
      <c r="AC30" s="37"/>
      <c r="AD30" s="349" t="s">
        <v>67</v>
      </c>
      <c r="AE30" s="282" t="s">
        <v>177</v>
      </c>
      <c r="AF30" s="382">
        <v>0.94710000000000005</v>
      </c>
      <c r="AG30" s="283">
        <v>11</v>
      </c>
      <c r="AH30" s="383">
        <v>208</v>
      </c>
      <c r="AI30" s="369">
        <v>0.92059999999999997</v>
      </c>
      <c r="AJ30" s="283">
        <v>5</v>
      </c>
      <c r="AK30" s="396">
        <v>63</v>
      </c>
      <c r="AL30" s="382">
        <v>0.89149999999999996</v>
      </c>
      <c r="AM30" s="283">
        <v>28</v>
      </c>
      <c r="AN30" s="383">
        <v>258</v>
      </c>
      <c r="AO30" s="369">
        <v>0.87829999999999997</v>
      </c>
      <c r="AP30" s="283">
        <v>28</v>
      </c>
      <c r="AQ30" s="350">
        <v>230</v>
      </c>
    </row>
    <row r="31" spans="1:43" x14ac:dyDescent="0.2">
      <c r="A31" s="37"/>
      <c r="B31" s="316"/>
      <c r="C31" s="412" t="s">
        <v>50</v>
      </c>
      <c r="D31" s="413" t="s">
        <v>178</v>
      </c>
      <c r="E31" s="414">
        <v>9</v>
      </c>
      <c r="F31" s="414">
        <v>58</v>
      </c>
      <c r="G31" s="415">
        <v>0.8448</v>
      </c>
      <c r="H31" s="37"/>
      <c r="I31" s="412" t="s">
        <v>50</v>
      </c>
      <c r="J31" s="413" t="s">
        <v>178</v>
      </c>
      <c r="K31" s="424">
        <v>20</v>
      </c>
      <c r="L31" s="424">
        <v>206</v>
      </c>
      <c r="M31" s="425">
        <v>0.90290000000000004</v>
      </c>
      <c r="N31" s="314"/>
      <c r="O31" s="37"/>
      <c r="P31" s="316"/>
      <c r="Q31" s="412" t="s">
        <v>50</v>
      </c>
      <c r="R31" s="413" t="s">
        <v>178</v>
      </c>
      <c r="S31" s="424">
        <v>24</v>
      </c>
      <c r="T31" s="424">
        <v>246</v>
      </c>
      <c r="U31" s="425">
        <v>0.90239999999999998</v>
      </c>
      <c r="V31" s="37"/>
      <c r="W31" s="412" t="s">
        <v>50</v>
      </c>
      <c r="X31" s="413" t="s">
        <v>178</v>
      </c>
      <c r="Y31" s="424">
        <v>26</v>
      </c>
      <c r="Z31" s="424">
        <v>230</v>
      </c>
      <c r="AA31" s="425">
        <v>0.88700000000000001</v>
      </c>
      <c r="AB31" s="314"/>
      <c r="AC31" s="37"/>
      <c r="AD31" s="349" t="s">
        <v>71</v>
      </c>
      <c r="AE31" s="282" t="s">
        <v>173</v>
      </c>
      <c r="AF31" s="382">
        <v>0.92259999999999998</v>
      </c>
      <c r="AG31" s="283">
        <v>24</v>
      </c>
      <c r="AH31" s="383">
        <v>310</v>
      </c>
      <c r="AI31" s="369">
        <v>0.86890000000000001</v>
      </c>
      <c r="AJ31" s="283">
        <v>8</v>
      </c>
      <c r="AK31" s="396">
        <v>61</v>
      </c>
      <c r="AL31" s="382">
        <v>0.89559999999999995</v>
      </c>
      <c r="AM31" s="283">
        <v>26</v>
      </c>
      <c r="AN31" s="383">
        <v>249</v>
      </c>
      <c r="AO31" s="369">
        <v>0.94069999999999998</v>
      </c>
      <c r="AP31" s="283">
        <v>14</v>
      </c>
      <c r="AQ31" s="350">
        <v>236</v>
      </c>
    </row>
    <row r="32" spans="1:43" x14ac:dyDescent="0.2">
      <c r="A32" s="37"/>
      <c r="B32" s="316"/>
      <c r="C32" s="412" t="s">
        <v>55</v>
      </c>
      <c r="D32" s="413" t="s">
        <v>179</v>
      </c>
      <c r="E32" s="414">
        <v>8</v>
      </c>
      <c r="F32" s="414">
        <v>69</v>
      </c>
      <c r="G32" s="415">
        <v>0.8841</v>
      </c>
      <c r="H32" s="37"/>
      <c r="I32" s="412" t="s">
        <v>55</v>
      </c>
      <c r="J32" s="413" t="s">
        <v>179</v>
      </c>
      <c r="K32" s="424">
        <v>21</v>
      </c>
      <c r="L32" s="424">
        <v>226</v>
      </c>
      <c r="M32" s="425">
        <v>0.90710000000000002</v>
      </c>
      <c r="N32" s="314"/>
      <c r="O32" s="37"/>
      <c r="P32" s="316"/>
      <c r="Q32" s="412" t="s">
        <v>55</v>
      </c>
      <c r="R32" s="413" t="s">
        <v>179</v>
      </c>
      <c r="S32" s="424">
        <v>29</v>
      </c>
      <c r="T32" s="424">
        <v>257</v>
      </c>
      <c r="U32" s="425">
        <v>0.88719999999999999</v>
      </c>
      <c r="V32" s="37"/>
      <c r="W32" s="412" t="s">
        <v>55</v>
      </c>
      <c r="X32" s="413" t="s">
        <v>179</v>
      </c>
      <c r="Y32" s="424">
        <v>25</v>
      </c>
      <c r="Z32" s="424">
        <v>250</v>
      </c>
      <c r="AA32" s="425">
        <v>0.9</v>
      </c>
      <c r="AB32" s="314"/>
      <c r="AC32" s="37"/>
      <c r="AD32" s="349" t="s">
        <v>72</v>
      </c>
      <c r="AE32" s="282" t="s">
        <v>107</v>
      </c>
      <c r="AF32" s="382">
        <v>0.95960000000000001</v>
      </c>
      <c r="AG32" s="283">
        <v>11</v>
      </c>
      <c r="AH32" s="383">
        <v>272</v>
      </c>
      <c r="AI32" s="369">
        <v>0.8871</v>
      </c>
      <c r="AJ32" s="283">
        <v>7</v>
      </c>
      <c r="AK32" s="396">
        <v>62</v>
      </c>
      <c r="AL32" s="382">
        <v>0.89680000000000004</v>
      </c>
      <c r="AM32" s="283">
        <v>26</v>
      </c>
      <c r="AN32" s="383">
        <v>252</v>
      </c>
      <c r="AO32" s="369">
        <v>0.95040000000000002</v>
      </c>
      <c r="AP32" s="283">
        <v>12</v>
      </c>
      <c r="AQ32" s="350">
        <v>242</v>
      </c>
    </row>
    <row r="33" spans="1:43" x14ac:dyDescent="0.2">
      <c r="A33" s="37"/>
      <c r="B33" s="316"/>
      <c r="C33" s="412" t="s">
        <v>70</v>
      </c>
      <c r="D33" s="413" t="s">
        <v>180</v>
      </c>
      <c r="E33" s="414">
        <v>4</v>
      </c>
      <c r="F33" s="414">
        <v>62</v>
      </c>
      <c r="G33" s="415">
        <v>0.9355</v>
      </c>
      <c r="H33" s="37"/>
      <c r="I33" s="412" t="s">
        <v>70</v>
      </c>
      <c r="J33" s="413" t="s">
        <v>180</v>
      </c>
      <c r="K33" s="424">
        <v>9</v>
      </c>
      <c r="L33" s="424">
        <v>254</v>
      </c>
      <c r="M33" s="425">
        <v>0.96460000000000001</v>
      </c>
      <c r="N33" s="314"/>
      <c r="O33" s="37"/>
      <c r="P33" s="316"/>
      <c r="Q33" s="412" t="s">
        <v>70</v>
      </c>
      <c r="R33" s="413" t="s">
        <v>180</v>
      </c>
      <c r="S33" s="424">
        <v>12</v>
      </c>
      <c r="T33" s="424">
        <v>256</v>
      </c>
      <c r="U33" s="425">
        <v>0.95309999999999995</v>
      </c>
      <c r="V33" s="37"/>
      <c r="W33" s="412" t="s">
        <v>70</v>
      </c>
      <c r="X33" s="413" t="s">
        <v>180</v>
      </c>
      <c r="Y33" s="424">
        <v>9</v>
      </c>
      <c r="Z33" s="424">
        <v>249</v>
      </c>
      <c r="AA33" s="425">
        <v>0.96389999999999998</v>
      </c>
      <c r="AB33" s="314"/>
      <c r="AC33" s="37"/>
      <c r="AD33" s="349" t="s">
        <v>83</v>
      </c>
      <c r="AE33" s="282" t="s">
        <v>121</v>
      </c>
      <c r="AF33" s="382">
        <v>0.9778</v>
      </c>
      <c r="AG33" s="283">
        <v>7</v>
      </c>
      <c r="AH33" s="383">
        <v>315</v>
      </c>
      <c r="AI33" s="369">
        <v>0.92059999999999997</v>
      </c>
      <c r="AJ33" s="283">
        <v>5</v>
      </c>
      <c r="AK33" s="396">
        <v>63</v>
      </c>
      <c r="AL33" s="382">
        <v>0.92520000000000002</v>
      </c>
      <c r="AM33" s="283">
        <v>19</v>
      </c>
      <c r="AN33" s="383">
        <v>254</v>
      </c>
      <c r="AO33" s="369">
        <v>0.97199999999999998</v>
      </c>
      <c r="AP33" s="283">
        <v>7</v>
      </c>
      <c r="AQ33" s="350">
        <v>250</v>
      </c>
    </row>
    <row r="34" spans="1:43" x14ac:dyDescent="0.2">
      <c r="A34" s="37"/>
      <c r="B34" s="316"/>
      <c r="C34" s="412" t="s">
        <v>89</v>
      </c>
      <c r="D34" s="413" t="s">
        <v>181</v>
      </c>
      <c r="E34" s="414">
        <v>3</v>
      </c>
      <c r="F34" s="414">
        <v>65</v>
      </c>
      <c r="G34" s="415">
        <v>0.95379999999999998</v>
      </c>
      <c r="H34" s="37"/>
      <c r="I34" s="412" t="s">
        <v>89</v>
      </c>
      <c r="J34" s="413" t="s">
        <v>181</v>
      </c>
      <c r="K34" s="424">
        <v>4</v>
      </c>
      <c r="L34" s="424">
        <v>219</v>
      </c>
      <c r="M34" s="425">
        <v>0.98170000000000002</v>
      </c>
      <c r="N34" s="314"/>
      <c r="O34" s="37"/>
      <c r="P34" s="316"/>
      <c r="Q34" s="412" t="s">
        <v>89</v>
      </c>
      <c r="R34" s="413" t="s">
        <v>181</v>
      </c>
      <c r="S34" s="424">
        <v>21</v>
      </c>
      <c r="T34" s="424">
        <v>251</v>
      </c>
      <c r="U34" s="425">
        <v>0.9163</v>
      </c>
      <c r="V34" s="37"/>
      <c r="W34" s="412" t="s">
        <v>89</v>
      </c>
      <c r="X34" s="413" t="s">
        <v>181</v>
      </c>
      <c r="Y34" s="424">
        <v>19</v>
      </c>
      <c r="Z34" s="424">
        <v>229</v>
      </c>
      <c r="AA34" s="425">
        <v>0.91700000000000004</v>
      </c>
      <c r="AB34" s="314"/>
      <c r="AC34" s="37"/>
      <c r="AD34" s="349" t="s">
        <v>86</v>
      </c>
      <c r="AE34" s="282" t="s">
        <v>198</v>
      </c>
      <c r="AF34" s="382">
        <v>0.97940000000000005</v>
      </c>
      <c r="AG34" s="283">
        <v>7</v>
      </c>
      <c r="AH34" s="383">
        <v>340</v>
      </c>
      <c r="AI34" s="369">
        <v>0.90629999999999999</v>
      </c>
      <c r="AJ34" s="283">
        <v>6</v>
      </c>
      <c r="AK34" s="396">
        <v>64</v>
      </c>
      <c r="AL34" s="382">
        <v>0.88190000000000002</v>
      </c>
      <c r="AM34" s="283">
        <v>30</v>
      </c>
      <c r="AN34" s="383">
        <v>254</v>
      </c>
      <c r="AO34" s="369">
        <v>0.90439999999999998</v>
      </c>
      <c r="AP34" s="283">
        <v>24</v>
      </c>
      <c r="AQ34" s="350">
        <v>251</v>
      </c>
    </row>
    <row r="35" spans="1:43" x14ac:dyDescent="0.2">
      <c r="A35" s="37"/>
      <c r="B35" s="316"/>
      <c r="C35" s="412" t="s">
        <v>54</v>
      </c>
      <c r="D35" s="413" t="s">
        <v>182</v>
      </c>
      <c r="E35" s="414">
        <v>3</v>
      </c>
      <c r="F35" s="414">
        <v>61</v>
      </c>
      <c r="G35" s="415">
        <v>0.95079999999999998</v>
      </c>
      <c r="H35" s="37"/>
      <c r="I35" s="412" t="s">
        <v>54</v>
      </c>
      <c r="J35" s="413" t="s">
        <v>182</v>
      </c>
      <c r="K35" s="424">
        <v>5</v>
      </c>
      <c r="L35" s="424">
        <v>268</v>
      </c>
      <c r="M35" s="425">
        <v>0.98129999999999995</v>
      </c>
      <c r="N35" s="314"/>
      <c r="O35" s="37"/>
      <c r="P35" s="316"/>
      <c r="Q35" s="412" t="s">
        <v>54</v>
      </c>
      <c r="R35" s="413" t="s">
        <v>182</v>
      </c>
      <c r="S35" s="424">
        <v>9</v>
      </c>
      <c r="T35" s="424">
        <v>250</v>
      </c>
      <c r="U35" s="425">
        <v>0.96399999999999997</v>
      </c>
      <c r="V35" s="37"/>
      <c r="W35" s="412" t="s">
        <v>54</v>
      </c>
      <c r="X35" s="413" t="s">
        <v>182</v>
      </c>
      <c r="Y35" s="424">
        <v>18</v>
      </c>
      <c r="Z35" s="424">
        <v>250</v>
      </c>
      <c r="AA35" s="425">
        <v>0.92800000000000005</v>
      </c>
      <c r="AB35" s="314"/>
      <c r="AC35" s="37"/>
      <c r="AD35" s="349" t="s">
        <v>91</v>
      </c>
      <c r="AE35" s="282" t="s">
        <v>169</v>
      </c>
      <c r="AF35" s="382">
        <v>0.96330000000000005</v>
      </c>
      <c r="AG35" s="283">
        <v>9</v>
      </c>
      <c r="AH35" s="386">
        <v>245</v>
      </c>
      <c r="AI35" s="369">
        <v>0.9032</v>
      </c>
      <c r="AJ35" s="283">
        <v>6</v>
      </c>
      <c r="AK35" s="398">
        <v>62</v>
      </c>
      <c r="AL35" s="382">
        <v>0.91090000000000004</v>
      </c>
      <c r="AM35" s="283">
        <v>22</v>
      </c>
      <c r="AN35" s="386">
        <v>247</v>
      </c>
      <c r="AO35" s="369">
        <v>0.9234</v>
      </c>
      <c r="AP35" s="283">
        <v>19</v>
      </c>
      <c r="AQ35" s="354">
        <v>248</v>
      </c>
    </row>
    <row r="36" spans="1:43" x14ac:dyDescent="0.2">
      <c r="A36" s="37"/>
      <c r="B36" s="316"/>
      <c r="C36" s="412" t="s">
        <v>64</v>
      </c>
      <c r="D36" s="413" t="s">
        <v>183</v>
      </c>
      <c r="E36" s="414">
        <v>2</v>
      </c>
      <c r="F36" s="414">
        <v>63</v>
      </c>
      <c r="G36" s="415">
        <v>0.96830000000000005</v>
      </c>
      <c r="H36" s="37"/>
      <c r="I36" s="412" t="s">
        <v>64</v>
      </c>
      <c r="J36" s="413" t="s">
        <v>183</v>
      </c>
      <c r="K36" s="424">
        <v>4</v>
      </c>
      <c r="L36" s="424">
        <v>226</v>
      </c>
      <c r="M36" s="425">
        <v>0.98229999999999995</v>
      </c>
      <c r="N36" s="314"/>
      <c r="O36" s="37"/>
      <c r="P36" s="316"/>
      <c r="Q36" s="412" t="s">
        <v>64</v>
      </c>
      <c r="R36" s="413" t="s">
        <v>183</v>
      </c>
      <c r="S36" s="424">
        <v>11</v>
      </c>
      <c r="T36" s="424">
        <v>251</v>
      </c>
      <c r="U36" s="425">
        <v>0.95620000000000005</v>
      </c>
      <c r="V36" s="37"/>
      <c r="W36" s="412" t="s">
        <v>64</v>
      </c>
      <c r="X36" s="413" t="s">
        <v>183</v>
      </c>
      <c r="Y36" s="424">
        <v>0</v>
      </c>
      <c r="Z36" s="424">
        <v>248</v>
      </c>
      <c r="AA36" s="425">
        <v>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7</v>
      </c>
      <c r="F37" s="414">
        <v>62</v>
      </c>
      <c r="G37" s="415">
        <v>0.8871</v>
      </c>
      <c r="H37" s="37"/>
      <c r="I37" s="412" t="s">
        <v>90</v>
      </c>
      <c r="J37" s="413" t="s">
        <v>184</v>
      </c>
      <c r="K37" s="424">
        <v>9</v>
      </c>
      <c r="L37" s="424">
        <v>203</v>
      </c>
      <c r="M37" s="425">
        <v>0.95569999999999999</v>
      </c>
      <c r="N37" s="314"/>
      <c r="O37" s="37"/>
      <c r="P37" s="316"/>
      <c r="Q37" s="412" t="s">
        <v>90</v>
      </c>
      <c r="R37" s="413" t="s">
        <v>184</v>
      </c>
      <c r="S37" s="424">
        <v>15</v>
      </c>
      <c r="T37" s="424">
        <v>256</v>
      </c>
      <c r="U37" s="425">
        <v>0.94140000000000001</v>
      </c>
      <c r="V37" s="37"/>
      <c r="W37" s="412" t="s">
        <v>90</v>
      </c>
      <c r="X37" s="413" t="s">
        <v>184</v>
      </c>
      <c r="Y37" s="424">
        <v>14</v>
      </c>
      <c r="Z37" s="424">
        <v>247</v>
      </c>
      <c r="AA37" s="425">
        <v>0.94330000000000003</v>
      </c>
      <c r="AB37" s="314"/>
      <c r="AC37" s="37"/>
      <c r="AD37" s="352" t="s">
        <v>257</v>
      </c>
      <c r="AE37" s="284" t="s">
        <v>170</v>
      </c>
      <c r="AF37" s="384">
        <v>0.96509999999999996</v>
      </c>
      <c r="AG37" s="285">
        <v>19</v>
      </c>
      <c r="AH37" s="385">
        <v>544</v>
      </c>
      <c r="AI37" s="370">
        <v>0.89549999999999996</v>
      </c>
      <c r="AJ37" s="285">
        <v>7</v>
      </c>
      <c r="AK37" s="397">
        <v>67</v>
      </c>
      <c r="AL37" s="384">
        <v>0.90869999999999995</v>
      </c>
      <c r="AM37" s="285">
        <v>23</v>
      </c>
      <c r="AN37" s="385">
        <v>252</v>
      </c>
      <c r="AO37" s="370">
        <v>0.91800000000000004</v>
      </c>
      <c r="AP37" s="285">
        <v>20</v>
      </c>
      <c r="AQ37" s="353">
        <v>244</v>
      </c>
    </row>
    <row r="38" spans="1:43" x14ac:dyDescent="0.2">
      <c r="A38" s="37"/>
      <c r="B38" s="316"/>
      <c r="C38" s="412" t="s">
        <v>53</v>
      </c>
      <c r="D38" s="413" t="s">
        <v>185</v>
      </c>
      <c r="E38" s="414">
        <v>5</v>
      </c>
      <c r="F38" s="414">
        <v>64</v>
      </c>
      <c r="G38" s="415">
        <v>0.92190000000000005</v>
      </c>
      <c r="H38" s="37"/>
      <c r="I38" s="412" t="s">
        <v>53</v>
      </c>
      <c r="J38" s="413" t="s">
        <v>185</v>
      </c>
      <c r="K38" s="424">
        <v>12</v>
      </c>
      <c r="L38" s="424">
        <v>278</v>
      </c>
      <c r="M38" s="425">
        <v>0.95679999999999998</v>
      </c>
      <c r="N38" s="314"/>
      <c r="O38" s="37"/>
      <c r="P38" s="316"/>
      <c r="Q38" s="412" t="s">
        <v>53</v>
      </c>
      <c r="R38" s="413" t="s">
        <v>185</v>
      </c>
      <c r="S38" s="424">
        <v>31</v>
      </c>
      <c r="T38" s="424">
        <v>252</v>
      </c>
      <c r="U38" s="425">
        <v>0.877</v>
      </c>
      <c r="V38" s="37"/>
      <c r="W38" s="412" t="s">
        <v>53</v>
      </c>
      <c r="X38" s="413" t="s">
        <v>185</v>
      </c>
      <c r="Y38" s="424">
        <v>24</v>
      </c>
      <c r="Z38" s="424">
        <v>245</v>
      </c>
      <c r="AA38" s="425">
        <v>0.90200000000000002</v>
      </c>
      <c r="AB38" s="314"/>
      <c r="AC38" s="37"/>
      <c r="AD38" s="347" t="s">
        <v>21</v>
      </c>
      <c r="AE38" s="280"/>
      <c r="AF38" s="380">
        <v>0.96391600118308196</v>
      </c>
      <c r="AG38" s="281">
        <v>122</v>
      </c>
      <c r="AH38" s="381">
        <v>3381</v>
      </c>
      <c r="AI38" s="368">
        <v>0.93103448275862066</v>
      </c>
      <c r="AJ38" s="281">
        <v>60</v>
      </c>
      <c r="AK38" s="395">
        <v>870</v>
      </c>
      <c r="AL38" s="380">
        <v>0.92303338992642892</v>
      </c>
      <c r="AM38" s="281">
        <v>272</v>
      </c>
      <c r="AN38" s="381">
        <v>3534</v>
      </c>
      <c r="AO38" s="368">
        <v>0.94368252115552964</v>
      </c>
      <c r="AP38" s="281">
        <v>193</v>
      </c>
      <c r="AQ38" s="348">
        <v>3427</v>
      </c>
    </row>
    <row r="39" spans="1:43" x14ac:dyDescent="0.2">
      <c r="A39" s="37"/>
      <c r="B39" s="316"/>
      <c r="C39" s="412" t="s">
        <v>44</v>
      </c>
      <c r="D39" s="413" t="s">
        <v>186</v>
      </c>
      <c r="E39" s="414">
        <v>3</v>
      </c>
      <c r="F39" s="414">
        <v>66</v>
      </c>
      <c r="G39" s="415">
        <v>0.95450000000000002</v>
      </c>
      <c r="H39" s="37"/>
      <c r="I39" s="412" t="s">
        <v>44</v>
      </c>
      <c r="J39" s="413" t="s">
        <v>186</v>
      </c>
      <c r="K39" s="424">
        <v>5</v>
      </c>
      <c r="L39" s="424">
        <v>287</v>
      </c>
      <c r="M39" s="425">
        <v>0.98260000000000003</v>
      </c>
      <c r="N39" s="314"/>
      <c r="O39" s="37"/>
      <c r="P39" s="316"/>
      <c r="Q39" s="412" t="s">
        <v>44</v>
      </c>
      <c r="R39" s="413" t="s">
        <v>186</v>
      </c>
      <c r="S39" s="424">
        <v>23</v>
      </c>
      <c r="T39" s="424">
        <v>252</v>
      </c>
      <c r="U39" s="425">
        <v>0.90869999999999995</v>
      </c>
      <c r="V39" s="37"/>
      <c r="W39" s="412" t="s">
        <v>44</v>
      </c>
      <c r="X39" s="413" t="s">
        <v>186</v>
      </c>
      <c r="Y39" s="424">
        <v>19</v>
      </c>
      <c r="Z39" s="424">
        <v>243</v>
      </c>
      <c r="AA39" s="425">
        <v>0.92179999999999995</v>
      </c>
      <c r="AB39" s="314"/>
      <c r="AC39" s="37"/>
      <c r="AD39" s="349" t="s">
        <v>50</v>
      </c>
      <c r="AE39" s="282" t="s">
        <v>178</v>
      </c>
      <c r="AF39" s="382">
        <v>0.90290000000000004</v>
      </c>
      <c r="AG39" s="283">
        <v>20</v>
      </c>
      <c r="AH39" s="383">
        <v>206</v>
      </c>
      <c r="AI39" s="369">
        <v>0.8448</v>
      </c>
      <c r="AJ39" s="283">
        <v>9</v>
      </c>
      <c r="AK39" s="396">
        <v>58</v>
      </c>
      <c r="AL39" s="382">
        <v>0.90239999999999998</v>
      </c>
      <c r="AM39" s="283">
        <v>24</v>
      </c>
      <c r="AN39" s="383">
        <v>246</v>
      </c>
      <c r="AO39" s="369">
        <v>0.88700000000000001</v>
      </c>
      <c r="AP39" s="283">
        <v>26</v>
      </c>
      <c r="AQ39" s="350">
        <v>230</v>
      </c>
    </row>
    <row r="40" spans="1:43" x14ac:dyDescent="0.2">
      <c r="A40" s="37"/>
      <c r="B40" s="316"/>
      <c r="C40" s="412" t="s">
        <v>84</v>
      </c>
      <c r="D40" s="413" t="s">
        <v>187</v>
      </c>
      <c r="E40" s="414">
        <v>10</v>
      </c>
      <c r="F40" s="414">
        <v>63</v>
      </c>
      <c r="G40" s="415">
        <v>0.84130000000000005</v>
      </c>
      <c r="H40" s="37"/>
      <c r="I40" s="412" t="s">
        <v>84</v>
      </c>
      <c r="J40" s="413" t="s">
        <v>187</v>
      </c>
      <c r="K40" s="424">
        <v>19</v>
      </c>
      <c r="L40" s="424">
        <v>717</v>
      </c>
      <c r="M40" s="425">
        <v>0.97350000000000003</v>
      </c>
      <c r="N40" s="314"/>
      <c r="O40" s="37"/>
      <c r="P40" s="316"/>
      <c r="Q40" s="412" t="s">
        <v>84</v>
      </c>
      <c r="R40" s="413" t="s">
        <v>187</v>
      </c>
      <c r="S40" s="424">
        <v>28</v>
      </c>
      <c r="T40" s="424">
        <v>253</v>
      </c>
      <c r="U40" s="425">
        <v>0.88929999999999998</v>
      </c>
      <c r="V40" s="37"/>
      <c r="W40" s="412" t="s">
        <v>84</v>
      </c>
      <c r="X40" s="413" t="s">
        <v>187</v>
      </c>
      <c r="Y40" s="424">
        <v>13</v>
      </c>
      <c r="Z40" s="424">
        <v>255</v>
      </c>
      <c r="AA40" s="425">
        <v>0.94899999999999995</v>
      </c>
      <c r="AB40" s="314"/>
      <c r="AC40" s="37"/>
      <c r="AD40" s="349" t="s">
        <v>54</v>
      </c>
      <c r="AE40" s="282" t="s">
        <v>182</v>
      </c>
      <c r="AF40" s="382">
        <v>0.98129999999999995</v>
      </c>
      <c r="AG40" s="283">
        <v>5</v>
      </c>
      <c r="AH40" s="383">
        <v>268</v>
      </c>
      <c r="AI40" s="369">
        <v>0.95079999999999998</v>
      </c>
      <c r="AJ40" s="283">
        <v>3</v>
      </c>
      <c r="AK40" s="396">
        <v>61</v>
      </c>
      <c r="AL40" s="382">
        <v>0.96399999999999997</v>
      </c>
      <c r="AM40" s="283">
        <v>9</v>
      </c>
      <c r="AN40" s="383">
        <v>250</v>
      </c>
      <c r="AO40" s="369">
        <v>0.92800000000000005</v>
      </c>
      <c r="AP40" s="283">
        <v>18</v>
      </c>
      <c r="AQ40" s="350">
        <v>250</v>
      </c>
    </row>
    <row r="41" spans="1:43" x14ac:dyDescent="0.2">
      <c r="A41" s="37"/>
      <c r="B41" s="316"/>
      <c r="C41" s="412" t="s">
        <v>76</v>
      </c>
      <c r="D41" s="413" t="s">
        <v>188</v>
      </c>
      <c r="E41" s="414">
        <v>11</v>
      </c>
      <c r="F41" s="414">
        <v>64</v>
      </c>
      <c r="G41" s="415">
        <v>0.82809999999999995</v>
      </c>
      <c r="H41" s="37"/>
      <c r="I41" s="412" t="s">
        <v>76</v>
      </c>
      <c r="J41" s="413" t="s">
        <v>188</v>
      </c>
      <c r="K41" s="424">
        <v>22</v>
      </c>
      <c r="L41" s="424">
        <v>210</v>
      </c>
      <c r="M41" s="425">
        <v>0.8952</v>
      </c>
      <c r="N41" s="314"/>
      <c r="O41" s="37"/>
      <c r="P41" s="316"/>
      <c r="Q41" s="412" t="s">
        <v>76</v>
      </c>
      <c r="R41" s="413" t="s">
        <v>188</v>
      </c>
      <c r="S41" s="424">
        <v>33</v>
      </c>
      <c r="T41" s="424">
        <v>258</v>
      </c>
      <c r="U41" s="425">
        <v>0.87209999999999999</v>
      </c>
      <c r="V41" s="37"/>
      <c r="W41" s="412" t="s">
        <v>76</v>
      </c>
      <c r="X41" s="413" t="s">
        <v>188</v>
      </c>
      <c r="Y41" s="424">
        <v>26</v>
      </c>
      <c r="Z41" s="424">
        <v>247</v>
      </c>
      <c r="AA41" s="425">
        <v>0.89470000000000005</v>
      </c>
      <c r="AB41" s="314"/>
      <c r="AC41" s="37"/>
      <c r="AD41" s="349" t="s">
        <v>56</v>
      </c>
      <c r="AE41" s="282" t="s">
        <v>207</v>
      </c>
      <c r="AF41" s="382">
        <v>0.97840000000000005</v>
      </c>
      <c r="AG41" s="283">
        <v>4</v>
      </c>
      <c r="AH41" s="383">
        <v>185</v>
      </c>
      <c r="AI41" s="369">
        <v>0.96719999999999995</v>
      </c>
      <c r="AJ41" s="283">
        <v>2</v>
      </c>
      <c r="AK41" s="396">
        <v>61</v>
      </c>
      <c r="AL41" s="382">
        <v>0.92969999999999997</v>
      </c>
      <c r="AM41" s="283">
        <v>18</v>
      </c>
      <c r="AN41" s="383">
        <v>256</v>
      </c>
      <c r="AO41" s="369">
        <v>0.96360000000000001</v>
      </c>
      <c r="AP41" s="283">
        <v>9</v>
      </c>
      <c r="AQ41" s="350">
        <v>247</v>
      </c>
    </row>
    <row r="42" spans="1:43" x14ac:dyDescent="0.2">
      <c r="A42" s="37"/>
      <c r="B42" s="316"/>
      <c r="C42" s="412" t="s">
        <v>66</v>
      </c>
      <c r="D42" s="413" t="s">
        <v>189</v>
      </c>
      <c r="E42" s="414">
        <v>6</v>
      </c>
      <c r="F42" s="414">
        <v>60</v>
      </c>
      <c r="G42" s="415">
        <v>0.9</v>
      </c>
      <c r="H42" s="37"/>
      <c r="I42" s="412" t="s">
        <v>66</v>
      </c>
      <c r="J42" s="413" t="s">
        <v>189</v>
      </c>
      <c r="K42" s="424">
        <v>15</v>
      </c>
      <c r="L42" s="424">
        <v>312</v>
      </c>
      <c r="M42" s="425">
        <v>0.95189999999999997</v>
      </c>
      <c r="N42" s="314"/>
      <c r="O42" s="37"/>
      <c r="P42" s="316"/>
      <c r="Q42" s="412" t="s">
        <v>66</v>
      </c>
      <c r="R42" s="413" t="s">
        <v>189</v>
      </c>
      <c r="S42" s="424">
        <v>30</v>
      </c>
      <c r="T42" s="424">
        <v>246</v>
      </c>
      <c r="U42" s="425">
        <v>0.878</v>
      </c>
      <c r="V42" s="37"/>
      <c r="W42" s="412" t="s">
        <v>66</v>
      </c>
      <c r="X42" s="413" t="s">
        <v>189</v>
      </c>
      <c r="Y42" s="424">
        <v>21</v>
      </c>
      <c r="Z42" s="424">
        <v>228</v>
      </c>
      <c r="AA42" s="425">
        <v>0.90790000000000004</v>
      </c>
      <c r="AB42" s="314"/>
      <c r="AC42" s="37"/>
      <c r="AD42" s="349" t="s">
        <v>60</v>
      </c>
      <c r="AE42" s="282" t="s">
        <v>200</v>
      </c>
      <c r="AF42" s="382">
        <v>0.9325</v>
      </c>
      <c r="AG42" s="283">
        <v>17</v>
      </c>
      <c r="AH42" s="383">
        <v>252</v>
      </c>
      <c r="AI42" s="369">
        <v>0.88139999999999996</v>
      </c>
      <c r="AJ42" s="283">
        <v>7</v>
      </c>
      <c r="AK42" s="396">
        <v>59</v>
      </c>
      <c r="AL42" s="382">
        <v>0.8548</v>
      </c>
      <c r="AM42" s="283">
        <v>36</v>
      </c>
      <c r="AN42" s="383">
        <v>248</v>
      </c>
      <c r="AO42" s="369">
        <v>0.91700000000000004</v>
      </c>
      <c r="AP42" s="283">
        <v>20</v>
      </c>
      <c r="AQ42" s="350">
        <v>241</v>
      </c>
    </row>
    <row r="43" spans="1:43" x14ac:dyDescent="0.2">
      <c r="A43" s="37"/>
      <c r="B43" s="316"/>
      <c r="C43" s="412" t="s">
        <v>78</v>
      </c>
      <c r="D43" s="413" t="s">
        <v>190</v>
      </c>
      <c r="E43" s="414">
        <v>5</v>
      </c>
      <c r="F43" s="414">
        <v>66</v>
      </c>
      <c r="G43" s="415">
        <v>0.92420000000000002</v>
      </c>
      <c r="H43" s="37"/>
      <c r="I43" s="412" t="s">
        <v>78</v>
      </c>
      <c r="J43" s="413" t="s">
        <v>190</v>
      </c>
      <c r="K43" s="424">
        <v>13</v>
      </c>
      <c r="L43" s="424">
        <v>273</v>
      </c>
      <c r="M43" s="425">
        <v>0.95240000000000002</v>
      </c>
      <c r="N43" s="314"/>
      <c r="O43" s="37"/>
      <c r="P43" s="316"/>
      <c r="Q43" s="412" t="s">
        <v>78</v>
      </c>
      <c r="R43" s="413" t="s">
        <v>190</v>
      </c>
      <c r="S43" s="424">
        <v>21</v>
      </c>
      <c r="T43" s="424">
        <v>257</v>
      </c>
      <c r="U43" s="425">
        <v>0.91830000000000001</v>
      </c>
      <c r="V43" s="37"/>
      <c r="W43" s="412" t="s">
        <v>78</v>
      </c>
      <c r="X43" s="413" t="s">
        <v>190</v>
      </c>
      <c r="Y43" s="424">
        <v>17</v>
      </c>
      <c r="Z43" s="424">
        <v>245</v>
      </c>
      <c r="AA43" s="425">
        <v>0.93059999999999998</v>
      </c>
      <c r="AB43" s="314"/>
      <c r="AC43" s="37"/>
      <c r="AD43" s="349" t="s">
        <v>64</v>
      </c>
      <c r="AE43" s="282" t="s">
        <v>183</v>
      </c>
      <c r="AF43" s="382">
        <v>0.98229999999999995</v>
      </c>
      <c r="AG43" s="283">
        <v>4</v>
      </c>
      <c r="AH43" s="383">
        <v>226</v>
      </c>
      <c r="AI43" s="369">
        <v>0.96830000000000005</v>
      </c>
      <c r="AJ43" s="283">
        <v>2</v>
      </c>
      <c r="AK43" s="396">
        <v>63</v>
      </c>
      <c r="AL43" s="382">
        <v>0.95620000000000005</v>
      </c>
      <c r="AM43" s="283">
        <v>11</v>
      </c>
      <c r="AN43" s="383">
        <v>251</v>
      </c>
      <c r="AO43" s="369">
        <v>1</v>
      </c>
      <c r="AP43" s="283">
        <v>0</v>
      </c>
      <c r="AQ43" s="350">
        <v>248</v>
      </c>
    </row>
    <row r="44" spans="1:43" x14ac:dyDescent="0.2">
      <c r="A44" s="37"/>
      <c r="B44" s="316"/>
      <c r="C44" s="412" t="s">
        <v>87</v>
      </c>
      <c r="D44" s="413" t="s">
        <v>191</v>
      </c>
      <c r="E44" s="414">
        <v>6</v>
      </c>
      <c r="F44" s="414">
        <v>69</v>
      </c>
      <c r="G44" s="415">
        <v>0.91300000000000003</v>
      </c>
      <c r="H44" s="37"/>
      <c r="I44" s="412" t="s">
        <v>87</v>
      </c>
      <c r="J44" s="413" t="s">
        <v>191</v>
      </c>
      <c r="K44" s="424">
        <v>12</v>
      </c>
      <c r="L44" s="424">
        <v>396</v>
      </c>
      <c r="M44" s="425">
        <v>0.96970000000000001</v>
      </c>
      <c r="N44" s="314"/>
      <c r="O44" s="37"/>
      <c r="P44" s="316"/>
      <c r="Q44" s="412" t="s">
        <v>87</v>
      </c>
      <c r="R44" s="413" t="s">
        <v>191</v>
      </c>
      <c r="S44" s="424">
        <v>28</v>
      </c>
      <c r="T44" s="424">
        <v>264</v>
      </c>
      <c r="U44" s="425">
        <v>0.89390000000000003</v>
      </c>
      <c r="V44" s="37"/>
      <c r="W44" s="412" t="s">
        <v>87</v>
      </c>
      <c r="X44" s="413" t="s">
        <v>191</v>
      </c>
      <c r="Y44" s="424">
        <v>15</v>
      </c>
      <c r="Z44" s="424">
        <v>246</v>
      </c>
      <c r="AA44" s="425">
        <v>0.93899999999999995</v>
      </c>
      <c r="AB44" s="314"/>
      <c r="AC44" s="37"/>
      <c r="AD44" s="349" t="s">
        <v>65</v>
      </c>
      <c r="AE44" s="282" t="s">
        <v>195</v>
      </c>
      <c r="AF44" s="382">
        <v>0.92200000000000004</v>
      </c>
      <c r="AG44" s="283">
        <v>22</v>
      </c>
      <c r="AH44" s="383">
        <v>282</v>
      </c>
      <c r="AI44" s="369">
        <v>0.871</v>
      </c>
      <c r="AJ44" s="283">
        <v>8</v>
      </c>
      <c r="AK44" s="396">
        <v>62</v>
      </c>
      <c r="AL44" s="382">
        <v>0.91569999999999996</v>
      </c>
      <c r="AM44" s="283">
        <v>21</v>
      </c>
      <c r="AN44" s="383">
        <v>249</v>
      </c>
      <c r="AO44" s="369">
        <v>0.94820000000000004</v>
      </c>
      <c r="AP44" s="283">
        <v>13</v>
      </c>
      <c r="AQ44" s="350">
        <v>251</v>
      </c>
    </row>
    <row r="45" spans="1:43" x14ac:dyDescent="0.2">
      <c r="A45" s="37"/>
      <c r="B45" s="316"/>
      <c r="C45" s="412" t="s">
        <v>47</v>
      </c>
      <c r="D45" s="413" t="s">
        <v>192</v>
      </c>
      <c r="E45" s="414">
        <v>6</v>
      </c>
      <c r="F45" s="414">
        <v>64</v>
      </c>
      <c r="G45" s="415">
        <v>0.90629999999999999</v>
      </c>
      <c r="H45" s="37"/>
      <c r="I45" s="412" t="s">
        <v>47</v>
      </c>
      <c r="J45" s="413" t="s">
        <v>192</v>
      </c>
      <c r="K45" s="424">
        <v>6</v>
      </c>
      <c r="L45" s="424">
        <v>221</v>
      </c>
      <c r="M45" s="425">
        <v>0.97289999999999999</v>
      </c>
      <c r="N45" s="314"/>
      <c r="O45" s="37"/>
      <c r="P45" s="316"/>
      <c r="Q45" s="412" t="s">
        <v>47</v>
      </c>
      <c r="R45" s="413" t="s">
        <v>192</v>
      </c>
      <c r="S45" s="424">
        <v>13</v>
      </c>
      <c r="T45" s="424">
        <v>257</v>
      </c>
      <c r="U45" s="425">
        <v>0.94940000000000002</v>
      </c>
      <c r="V45" s="37"/>
      <c r="W45" s="412" t="s">
        <v>47</v>
      </c>
      <c r="X45" s="413" t="s">
        <v>192</v>
      </c>
      <c r="Y45" s="424">
        <v>15</v>
      </c>
      <c r="Z45" s="424">
        <v>249</v>
      </c>
      <c r="AA45" s="425">
        <v>0.93979999999999997</v>
      </c>
      <c r="AB45" s="314"/>
      <c r="AC45" s="37"/>
      <c r="AD45" s="349" t="s">
        <v>242</v>
      </c>
      <c r="AE45" s="282" t="s">
        <v>180</v>
      </c>
      <c r="AF45" s="382">
        <v>0.96460000000000001</v>
      </c>
      <c r="AG45" s="283">
        <v>9</v>
      </c>
      <c r="AH45" s="383">
        <v>254</v>
      </c>
      <c r="AI45" s="369">
        <v>0.9355</v>
      </c>
      <c r="AJ45" s="283">
        <v>4</v>
      </c>
      <c r="AK45" s="396">
        <v>62</v>
      </c>
      <c r="AL45" s="382">
        <v>0.95309999999999995</v>
      </c>
      <c r="AM45" s="283">
        <v>12</v>
      </c>
      <c r="AN45" s="383">
        <v>256</v>
      </c>
      <c r="AO45" s="369">
        <v>0.96389999999999998</v>
      </c>
      <c r="AP45" s="283">
        <v>9</v>
      </c>
      <c r="AQ45" s="350">
        <v>249</v>
      </c>
    </row>
    <row r="46" spans="1:43" x14ac:dyDescent="0.2">
      <c r="A46" s="37"/>
      <c r="B46" s="316"/>
      <c r="C46" s="412" t="s">
        <v>80</v>
      </c>
      <c r="D46" s="413" t="s">
        <v>193</v>
      </c>
      <c r="E46" s="414">
        <v>4</v>
      </c>
      <c r="F46" s="414">
        <v>61</v>
      </c>
      <c r="G46" s="415">
        <v>0.93440000000000001</v>
      </c>
      <c r="H46" s="37"/>
      <c r="I46" s="412" t="s">
        <v>80</v>
      </c>
      <c r="J46" s="413" t="s">
        <v>193</v>
      </c>
      <c r="K46" s="424">
        <v>8</v>
      </c>
      <c r="L46" s="424">
        <v>210</v>
      </c>
      <c r="M46" s="425">
        <v>0.96189999999999998</v>
      </c>
      <c r="N46" s="314"/>
      <c r="O46" s="37"/>
      <c r="P46" s="316"/>
      <c r="Q46" s="412" t="s">
        <v>80</v>
      </c>
      <c r="R46" s="413" t="s">
        <v>193</v>
      </c>
      <c r="S46" s="424">
        <v>13</v>
      </c>
      <c r="T46" s="424">
        <v>250</v>
      </c>
      <c r="U46" s="425">
        <v>0.94799999999999995</v>
      </c>
      <c r="V46" s="37"/>
      <c r="W46" s="412" t="s">
        <v>80</v>
      </c>
      <c r="X46" s="413" t="s">
        <v>193</v>
      </c>
      <c r="Y46" s="424">
        <v>7</v>
      </c>
      <c r="Z46" s="424">
        <v>248</v>
      </c>
      <c r="AA46" s="425">
        <v>0.9718</v>
      </c>
      <c r="AB46" s="314"/>
      <c r="AC46" s="37"/>
      <c r="AD46" s="349" t="s">
        <v>36</v>
      </c>
      <c r="AE46" s="282" t="s">
        <v>196</v>
      </c>
      <c r="AF46" s="382">
        <v>0.98229999999999995</v>
      </c>
      <c r="AG46" s="283">
        <v>6</v>
      </c>
      <c r="AH46" s="383">
        <v>339</v>
      </c>
      <c r="AI46" s="369">
        <v>0.9385</v>
      </c>
      <c r="AJ46" s="283">
        <v>4</v>
      </c>
      <c r="AK46" s="396">
        <v>65</v>
      </c>
      <c r="AL46" s="382">
        <v>0.90269999999999995</v>
      </c>
      <c r="AM46" s="283">
        <v>25</v>
      </c>
      <c r="AN46" s="383">
        <v>257</v>
      </c>
      <c r="AO46" s="369">
        <v>0.96719999999999995</v>
      </c>
      <c r="AP46" s="283">
        <v>8</v>
      </c>
      <c r="AQ46" s="350">
        <v>244</v>
      </c>
    </row>
    <row r="47" spans="1:43" x14ac:dyDescent="0.2">
      <c r="A47" s="37"/>
      <c r="B47" s="316"/>
      <c r="C47" s="412" t="s">
        <v>93</v>
      </c>
      <c r="D47" s="413" t="s">
        <v>194</v>
      </c>
      <c r="E47" s="414">
        <v>3</v>
      </c>
      <c r="F47" s="414">
        <v>67</v>
      </c>
      <c r="G47" s="415">
        <v>0.95520000000000005</v>
      </c>
      <c r="H47" s="37"/>
      <c r="I47" s="412" t="s">
        <v>93</v>
      </c>
      <c r="J47" s="413" t="s">
        <v>194</v>
      </c>
      <c r="K47" s="424">
        <v>5</v>
      </c>
      <c r="L47" s="424">
        <v>215</v>
      </c>
      <c r="M47" s="425">
        <v>0.97670000000000001</v>
      </c>
      <c r="N47" s="314"/>
      <c r="O47" s="37"/>
      <c r="P47" s="316"/>
      <c r="Q47" s="412" t="s">
        <v>93</v>
      </c>
      <c r="R47" s="413" t="s">
        <v>194</v>
      </c>
      <c r="S47" s="424">
        <v>28</v>
      </c>
      <c r="T47" s="424">
        <v>251</v>
      </c>
      <c r="U47" s="425">
        <v>0.88839999999999997</v>
      </c>
      <c r="V47" s="37"/>
      <c r="W47" s="412" t="s">
        <v>93</v>
      </c>
      <c r="X47" s="413" t="s">
        <v>194</v>
      </c>
      <c r="Y47" s="424">
        <v>21</v>
      </c>
      <c r="Z47" s="424">
        <v>244</v>
      </c>
      <c r="AA47" s="425">
        <v>0.91390000000000005</v>
      </c>
      <c r="AB47" s="314"/>
      <c r="AC47" s="37"/>
      <c r="AD47" s="349" t="s">
        <v>73</v>
      </c>
      <c r="AE47" s="282" t="s">
        <v>172</v>
      </c>
      <c r="AF47" s="382">
        <v>0.96740000000000004</v>
      </c>
      <c r="AG47" s="283">
        <v>7</v>
      </c>
      <c r="AH47" s="383">
        <v>215</v>
      </c>
      <c r="AI47" s="369">
        <v>0.93330000000000002</v>
      </c>
      <c r="AJ47" s="283">
        <v>4</v>
      </c>
      <c r="AK47" s="396">
        <v>60</v>
      </c>
      <c r="AL47" s="382">
        <v>0.90439999999999998</v>
      </c>
      <c r="AM47" s="283">
        <v>24</v>
      </c>
      <c r="AN47" s="383">
        <v>251</v>
      </c>
      <c r="AO47" s="369">
        <v>0.92459999999999998</v>
      </c>
      <c r="AP47" s="283">
        <v>19</v>
      </c>
      <c r="AQ47" s="350">
        <v>252</v>
      </c>
    </row>
    <row r="48" spans="1:43" x14ac:dyDescent="0.2">
      <c r="A48" s="37"/>
      <c r="B48" s="316"/>
      <c r="C48" s="412" t="s">
        <v>65</v>
      </c>
      <c r="D48" s="413" t="s">
        <v>195</v>
      </c>
      <c r="E48" s="414">
        <v>8</v>
      </c>
      <c r="F48" s="414">
        <v>62</v>
      </c>
      <c r="G48" s="415">
        <v>0.871</v>
      </c>
      <c r="H48" s="37"/>
      <c r="I48" s="412" t="s">
        <v>65</v>
      </c>
      <c r="J48" s="413" t="s">
        <v>195</v>
      </c>
      <c r="K48" s="424">
        <v>22</v>
      </c>
      <c r="L48" s="424">
        <v>282</v>
      </c>
      <c r="M48" s="425">
        <v>0.92200000000000004</v>
      </c>
      <c r="N48" s="314"/>
      <c r="O48" s="37"/>
      <c r="P48" s="316"/>
      <c r="Q48" s="412" t="s">
        <v>65</v>
      </c>
      <c r="R48" s="413" t="s">
        <v>195</v>
      </c>
      <c r="S48" s="424">
        <v>21</v>
      </c>
      <c r="T48" s="424">
        <v>249</v>
      </c>
      <c r="U48" s="425">
        <v>0.91569999999999996</v>
      </c>
      <c r="V48" s="37"/>
      <c r="W48" s="412" t="s">
        <v>65</v>
      </c>
      <c r="X48" s="413" t="s">
        <v>195</v>
      </c>
      <c r="Y48" s="424">
        <v>13</v>
      </c>
      <c r="Z48" s="424">
        <v>251</v>
      </c>
      <c r="AA48" s="425">
        <v>0.94820000000000004</v>
      </c>
      <c r="AB48" s="314"/>
      <c r="AC48" s="37"/>
      <c r="AD48" s="349" t="s">
        <v>88</v>
      </c>
      <c r="AE48" s="282" t="s">
        <v>208</v>
      </c>
      <c r="AF48" s="382">
        <v>0.97909999999999997</v>
      </c>
      <c r="AG48" s="283">
        <v>6</v>
      </c>
      <c r="AH48" s="383">
        <v>287</v>
      </c>
      <c r="AI48" s="369">
        <v>0.96830000000000005</v>
      </c>
      <c r="AJ48" s="283">
        <v>2</v>
      </c>
      <c r="AK48" s="396">
        <v>63</v>
      </c>
      <c r="AL48" s="382">
        <v>0.95309999999999995</v>
      </c>
      <c r="AM48" s="283">
        <v>12</v>
      </c>
      <c r="AN48" s="383">
        <v>256</v>
      </c>
      <c r="AO48" s="369">
        <v>0.96399999999999997</v>
      </c>
      <c r="AP48" s="283">
        <v>9</v>
      </c>
      <c r="AQ48" s="350">
        <v>250</v>
      </c>
    </row>
    <row r="49" spans="1:43" x14ac:dyDescent="0.2">
      <c r="A49" s="37"/>
      <c r="B49" s="316"/>
      <c r="C49" s="412" t="s">
        <v>36</v>
      </c>
      <c r="D49" s="413" t="s">
        <v>196</v>
      </c>
      <c r="E49" s="414">
        <v>4</v>
      </c>
      <c r="F49" s="414">
        <v>65</v>
      </c>
      <c r="G49" s="415">
        <v>0.9385</v>
      </c>
      <c r="H49" s="37"/>
      <c r="I49" s="412" t="s">
        <v>36</v>
      </c>
      <c r="J49" s="413" t="s">
        <v>196</v>
      </c>
      <c r="K49" s="424">
        <v>6</v>
      </c>
      <c r="L49" s="424">
        <v>339</v>
      </c>
      <c r="M49" s="425">
        <v>0.98229999999999995</v>
      </c>
      <c r="N49" s="314"/>
      <c r="O49" s="37"/>
      <c r="P49" s="316"/>
      <c r="Q49" s="412" t="s">
        <v>36</v>
      </c>
      <c r="R49" s="413" t="s">
        <v>196</v>
      </c>
      <c r="S49" s="424">
        <v>25</v>
      </c>
      <c r="T49" s="424">
        <v>257</v>
      </c>
      <c r="U49" s="425">
        <v>0.90269999999999995</v>
      </c>
      <c r="V49" s="37"/>
      <c r="W49" s="412" t="s">
        <v>36</v>
      </c>
      <c r="X49" s="413" t="s">
        <v>196</v>
      </c>
      <c r="Y49" s="424">
        <v>8</v>
      </c>
      <c r="Z49" s="424">
        <v>244</v>
      </c>
      <c r="AA49" s="425">
        <v>0.96719999999999995</v>
      </c>
      <c r="AB49" s="314"/>
      <c r="AC49" s="37"/>
      <c r="AD49" s="349" t="s">
        <v>89</v>
      </c>
      <c r="AE49" s="282" t="s">
        <v>181</v>
      </c>
      <c r="AF49" s="382">
        <v>0.98170000000000002</v>
      </c>
      <c r="AG49" s="283">
        <v>4</v>
      </c>
      <c r="AH49" s="383">
        <v>219</v>
      </c>
      <c r="AI49" s="369">
        <v>0.95379999999999998</v>
      </c>
      <c r="AJ49" s="283">
        <v>3</v>
      </c>
      <c r="AK49" s="396">
        <v>65</v>
      </c>
      <c r="AL49" s="382">
        <v>0.9163</v>
      </c>
      <c r="AM49" s="283">
        <v>21</v>
      </c>
      <c r="AN49" s="383">
        <v>251</v>
      </c>
      <c r="AO49" s="369">
        <v>0.91700000000000004</v>
      </c>
      <c r="AP49" s="283">
        <v>19</v>
      </c>
      <c r="AQ49" s="350">
        <v>229</v>
      </c>
    </row>
    <row r="50" spans="1:43" x14ac:dyDescent="0.2">
      <c r="A50" s="37"/>
      <c r="B50" s="316"/>
      <c r="C50" s="412" t="s">
        <v>82</v>
      </c>
      <c r="D50" s="413" t="s">
        <v>197</v>
      </c>
      <c r="E50" s="414">
        <v>4</v>
      </c>
      <c r="F50" s="414">
        <v>68</v>
      </c>
      <c r="G50" s="415">
        <v>0.94120000000000004</v>
      </c>
      <c r="H50" s="37"/>
      <c r="I50" s="412" t="s">
        <v>82</v>
      </c>
      <c r="J50" s="413" t="s">
        <v>197</v>
      </c>
      <c r="K50" s="424">
        <v>5</v>
      </c>
      <c r="L50" s="424">
        <v>214</v>
      </c>
      <c r="M50" s="425">
        <v>0.97660000000000002</v>
      </c>
      <c r="N50" s="314"/>
      <c r="O50" s="37"/>
      <c r="P50" s="316"/>
      <c r="Q50" s="412" t="s">
        <v>82</v>
      </c>
      <c r="R50" s="413" t="s">
        <v>197</v>
      </c>
      <c r="S50" s="424">
        <v>19</v>
      </c>
      <c r="T50" s="424">
        <v>253</v>
      </c>
      <c r="U50" s="425">
        <v>0.92490000000000006</v>
      </c>
      <c r="V50" s="37"/>
      <c r="W50" s="412" t="s">
        <v>82</v>
      </c>
      <c r="X50" s="413" t="s">
        <v>197</v>
      </c>
      <c r="Y50" s="424">
        <v>24</v>
      </c>
      <c r="Z50" s="424">
        <v>226</v>
      </c>
      <c r="AA50" s="425">
        <v>0.89380000000000004</v>
      </c>
      <c r="AB50" s="314"/>
      <c r="AC50" s="37"/>
      <c r="AD50" s="349" t="s">
        <v>250</v>
      </c>
      <c r="AE50" s="282" t="s">
        <v>184</v>
      </c>
      <c r="AF50" s="382">
        <v>0.95569999999999999</v>
      </c>
      <c r="AG50" s="283">
        <v>9</v>
      </c>
      <c r="AH50" s="383">
        <v>203</v>
      </c>
      <c r="AI50" s="369">
        <v>0.8871</v>
      </c>
      <c r="AJ50" s="283">
        <v>7</v>
      </c>
      <c r="AK50" s="396">
        <v>62</v>
      </c>
      <c r="AL50" s="382">
        <v>0.94140000000000001</v>
      </c>
      <c r="AM50" s="283">
        <v>15</v>
      </c>
      <c r="AN50" s="383">
        <v>256</v>
      </c>
      <c r="AO50" s="369">
        <v>0.94330000000000003</v>
      </c>
      <c r="AP50" s="283">
        <v>14</v>
      </c>
      <c r="AQ50" s="350">
        <v>247</v>
      </c>
    </row>
    <row r="51" spans="1:43" x14ac:dyDescent="0.2">
      <c r="A51" s="37"/>
      <c r="B51" s="316"/>
      <c r="C51" s="412" t="s">
        <v>86</v>
      </c>
      <c r="D51" s="413" t="s">
        <v>198</v>
      </c>
      <c r="E51" s="414">
        <v>6</v>
      </c>
      <c r="F51" s="414">
        <v>64</v>
      </c>
      <c r="G51" s="415">
        <v>0.90629999999999999</v>
      </c>
      <c r="H51" s="37"/>
      <c r="I51" s="412" t="s">
        <v>86</v>
      </c>
      <c r="J51" s="413" t="s">
        <v>198</v>
      </c>
      <c r="K51" s="424">
        <v>7</v>
      </c>
      <c r="L51" s="424">
        <v>340</v>
      </c>
      <c r="M51" s="425">
        <v>0.97940000000000005</v>
      </c>
      <c r="N51" s="314"/>
      <c r="O51" s="37"/>
      <c r="P51" s="316"/>
      <c r="Q51" s="412" t="s">
        <v>86</v>
      </c>
      <c r="R51" s="413" t="s">
        <v>198</v>
      </c>
      <c r="S51" s="424">
        <v>30</v>
      </c>
      <c r="T51" s="424">
        <v>254</v>
      </c>
      <c r="U51" s="425">
        <v>0.88190000000000002</v>
      </c>
      <c r="V51" s="37"/>
      <c r="W51" s="412" t="s">
        <v>86</v>
      </c>
      <c r="X51" s="413" t="s">
        <v>198</v>
      </c>
      <c r="Y51" s="424">
        <v>24</v>
      </c>
      <c r="Z51" s="424">
        <v>251</v>
      </c>
      <c r="AA51" s="425">
        <v>0.90439999999999998</v>
      </c>
      <c r="AB51" s="314"/>
      <c r="AC51" s="37"/>
      <c r="AD51" s="349" t="s">
        <v>93</v>
      </c>
      <c r="AE51" s="282" t="s">
        <v>194</v>
      </c>
      <c r="AF51" s="382">
        <v>0.97670000000000001</v>
      </c>
      <c r="AG51" s="283">
        <v>5</v>
      </c>
      <c r="AH51" s="383">
        <v>215</v>
      </c>
      <c r="AI51" s="369">
        <v>0.95520000000000005</v>
      </c>
      <c r="AJ51" s="283">
        <v>3</v>
      </c>
      <c r="AK51" s="396">
        <v>67</v>
      </c>
      <c r="AL51" s="382">
        <v>0.88839999999999997</v>
      </c>
      <c r="AM51" s="283">
        <v>28</v>
      </c>
      <c r="AN51" s="383">
        <v>251</v>
      </c>
      <c r="AO51" s="369">
        <v>0.91390000000000005</v>
      </c>
      <c r="AP51" s="283">
        <v>21</v>
      </c>
      <c r="AQ51" s="350">
        <v>244</v>
      </c>
    </row>
    <row r="52" spans="1:43" ht="13.5" thickBot="1" x14ac:dyDescent="0.25">
      <c r="A52" s="37"/>
      <c r="B52" s="316"/>
      <c r="C52" s="412" t="s">
        <v>69</v>
      </c>
      <c r="D52" s="413" t="s">
        <v>199</v>
      </c>
      <c r="E52" s="414">
        <v>1</v>
      </c>
      <c r="F52" s="414">
        <v>63</v>
      </c>
      <c r="G52" s="415">
        <v>0.98409999999999997</v>
      </c>
      <c r="H52" s="37"/>
      <c r="I52" s="412" t="s">
        <v>69</v>
      </c>
      <c r="J52" s="413" t="s">
        <v>199</v>
      </c>
      <c r="K52" s="424">
        <v>3</v>
      </c>
      <c r="L52" s="424">
        <v>293</v>
      </c>
      <c r="M52" s="425">
        <v>0.98980000000000001</v>
      </c>
      <c r="N52" s="314"/>
      <c r="O52" s="37"/>
      <c r="P52" s="316"/>
      <c r="Q52" s="412" t="s">
        <v>69</v>
      </c>
      <c r="R52" s="413" t="s">
        <v>199</v>
      </c>
      <c r="S52" s="424">
        <v>11</v>
      </c>
      <c r="T52" s="424">
        <v>252</v>
      </c>
      <c r="U52" s="425">
        <v>0.95630000000000004</v>
      </c>
      <c r="V52" s="37"/>
      <c r="W52" s="412" t="s">
        <v>69</v>
      </c>
      <c r="X52" s="413" t="s">
        <v>199</v>
      </c>
      <c r="Y52" s="424">
        <v>14</v>
      </c>
      <c r="Z52" s="424">
        <v>240</v>
      </c>
      <c r="AA52" s="425">
        <v>0.94169999999999998</v>
      </c>
      <c r="AB52" s="314"/>
      <c r="AC52" s="37"/>
      <c r="AD52" s="352" t="s">
        <v>95</v>
      </c>
      <c r="AE52" s="284" t="s">
        <v>209</v>
      </c>
      <c r="AF52" s="384">
        <v>0.98260000000000003</v>
      </c>
      <c r="AG52" s="285">
        <v>4</v>
      </c>
      <c r="AH52" s="385">
        <v>230</v>
      </c>
      <c r="AI52" s="370">
        <v>0.9677</v>
      </c>
      <c r="AJ52" s="285">
        <v>2</v>
      </c>
      <c r="AK52" s="397">
        <v>62</v>
      </c>
      <c r="AL52" s="384">
        <v>0.9375</v>
      </c>
      <c r="AM52" s="285">
        <v>16</v>
      </c>
      <c r="AN52" s="385">
        <v>256</v>
      </c>
      <c r="AO52" s="370">
        <v>0.96730000000000005</v>
      </c>
      <c r="AP52" s="285">
        <v>8</v>
      </c>
      <c r="AQ52" s="353">
        <v>245</v>
      </c>
    </row>
    <row r="53" spans="1:43" x14ac:dyDescent="0.2">
      <c r="A53" s="37"/>
      <c r="B53" s="316"/>
      <c r="C53" s="412" t="s">
        <v>60</v>
      </c>
      <c r="D53" s="413" t="s">
        <v>200</v>
      </c>
      <c r="E53" s="414">
        <v>7</v>
      </c>
      <c r="F53" s="414">
        <v>59</v>
      </c>
      <c r="G53" s="415">
        <v>0.88139999999999996</v>
      </c>
      <c r="H53" s="37"/>
      <c r="I53" s="412" t="s">
        <v>60</v>
      </c>
      <c r="J53" s="413" t="s">
        <v>200</v>
      </c>
      <c r="K53" s="424">
        <v>17</v>
      </c>
      <c r="L53" s="424">
        <v>252</v>
      </c>
      <c r="M53" s="425">
        <v>0.9325</v>
      </c>
      <c r="N53" s="314"/>
      <c r="O53" s="37"/>
      <c r="P53" s="316"/>
      <c r="Q53" s="412" t="s">
        <v>60</v>
      </c>
      <c r="R53" s="413" t="s">
        <v>200</v>
      </c>
      <c r="S53" s="424">
        <v>36</v>
      </c>
      <c r="T53" s="424">
        <v>248</v>
      </c>
      <c r="U53" s="425">
        <v>0.8548</v>
      </c>
      <c r="V53" s="37"/>
      <c r="W53" s="412" t="s">
        <v>60</v>
      </c>
      <c r="X53" s="413" t="s">
        <v>200</v>
      </c>
      <c r="Y53" s="424">
        <v>20</v>
      </c>
      <c r="Z53" s="424">
        <v>241</v>
      </c>
      <c r="AA53" s="425">
        <v>0.91700000000000004</v>
      </c>
      <c r="AB53" s="314"/>
      <c r="AC53" s="37"/>
      <c r="AD53" s="347" t="s">
        <v>22</v>
      </c>
      <c r="AE53" s="280"/>
      <c r="AF53" s="380">
        <v>0.96698704554951942</v>
      </c>
      <c r="AG53" s="281">
        <v>158</v>
      </c>
      <c r="AH53" s="381">
        <v>4786</v>
      </c>
      <c r="AI53" s="368">
        <v>0.91330049261083746</v>
      </c>
      <c r="AJ53" s="281">
        <v>88</v>
      </c>
      <c r="AK53" s="395">
        <v>1015</v>
      </c>
      <c r="AL53" s="380">
        <v>0.90833128532809049</v>
      </c>
      <c r="AM53" s="281">
        <v>373</v>
      </c>
      <c r="AN53" s="381">
        <v>4069</v>
      </c>
      <c r="AO53" s="368">
        <v>0.92868137506413539</v>
      </c>
      <c r="AP53" s="281">
        <v>278</v>
      </c>
      <c r="AQ53" s="348">
        <v>3898</v>
      </c>
    </row>
    <row r="54" spans="1:43" x14ac:dyDescent="0.2">
      <c r="A54" s="37"/>
      <c r="B54" s="316"/>
      <c r="C54" s="412" t="s">
        <v>68</v>
      </c>
      <c r="D54" s="413" t="s">
        <v>201</v>
      </c>
      <c r="E54" s="414">
        <v>4</v>
      </c>
      <c r="F54" s="414">
        <v>57</v>
      </c>
      <c r="G54" s="415">
        <v>0.92979999999999996</v>
      </c>
      <c r="H54" s="37"/>
      <c r="I54" s="412" t="s">
        <v>68</v>
      </c>
      <c r="J54" s="413" t="s">
        <v>201</v>
      </c>
      <c r="K54" s="424">
        <v>8</v>
      </c>
      <c r="L54" s="424">
        <v>193</v>
      </c>
      <c r="M54" s="425">
        <v>0.95850000000000002</v>
      </c>
      <c r="N54" s="314"/>
      <c r="O54" s="37"/>
      <c r="P54" s="316"/>
      <c r="Q54" s="412" t="s">
        <v>68</v>
      </c>
      <c r="R54" s="413" t="s">
        <v>201</v>
      </c>
      <c r="S54" s="424">
        <v>23</v>
      </c>
      <c r="T54" s="424">
        <v>248</v>
      </c>
      <c r="U54" s="425">
        <v>0.9073</v>
      </c>
      <c r="V54" s="37"/>
      <c r="W54" s="412" t="s">
        <v>68</v>
      </c>
      <c r="X54" s="413" t="s">
        <v>201</v>
      </c>
      <c r="Y54" s="424">
        <v>21</v>
      </c>
      <c r="Z54" s="424">
        <v>242</v>
      </c>
      <c r="AA54" s="425">
        <v>0.91320000000000001</v>
      </c>
      <c r="AB54" s="314"/>
      <c r="AC54" s="37"/>
      <c r="AD54" s="349" t="s">
        <v>44</v>
      </c>
      <c r="AE54" s="282" t="s">
        <v>186</v>
      </c>
      <c r="AF54" s="382">
        <v>0.98260000000000003</v>
      </c>
      <c r="AG54" s="283">
        <v>5</v>
      </c>
      <c r="AH54" s="383">
        <v>287</v>
      </c>
      <c r="AI54" s="369">
        <v>0.95450000000000002</v>
      </c>
      <c r="AJ54" s="283">
        <v>3</v>
      </c>
      <c r="AK54" s="396">
        <v>66</v>
      </c>
      <c r="AL54" s="382">
        <v>0.90869999999999995</v>
      </c>
      <c r="AM54" s="283">
        <v>23</v>
      </c>
      <c r="AN54" s="383">
        <v>252</v>
      </c>
      <c r="AO54" s="369">
        <v>0.92179999999999995</v>
      </c>
      <c r="AP54" s="283">
        <v>19</v>
      </c>
      <c r="AQ54" s="350">
        <v>243</v>
      </c>
    </row>
    <row r="55" spans="1:43" x14ac:dyDescent="0.2">
      <c r="A55" s="37"/>
      <c r="B55" s="316"/>
      <c r="C55" s="412" t="s">
        <v>85</v>
      </c>
      <c r="D55" s="413" t="s">
        <v>202</v>
      </c>
      <c r="E55" s="414">
        <v>8</v>
      </c>
      <c r="F55" s="414">
        <v>61</v>
      </c>
      <c r="G55" s="415">
        <v>0.86890000000000001</v>
      </c>
      <c r="H55" s="37"/>
      <c r="I55" s="412" t="s">
        <v>85</v>
      </c>
      <c r="J55" s="413" t="s">
        <v>202</v>
      </c>
      <c r="K55" s="424">
        <v>10</v>
      </c>
      <c r="L55" s="424">
        <v>373</v>
      </c>
      <c r="M55" s="425">
        <v>0.97319999999999995</v>
      </c>
      <c r="N55" s="314"/>
      <c r="O55" s="37"/>
      <c r="P55" s="316"/>
      <c r="Q55" s="412" t="s">
        <v>85</v>
      </c>
      <c r="R55" s="413" t="s">
        <v>202</v>
      </c>
      <c r="S55" s="424">
        <v>40</v>
      </c>
      <c r="T55" s="424">
        <v>257</v>
      </c>
      <c r="U55" s="425">
        <v>0.84440000000000004</v>
      </c>
      <c r="V55" s="37"/>
      <c r="W55" s="412" t="s">
        <v>85</v>
      </c>
      <c r="X55" s="413" t="s">
        <v>202</v>
      </c>
      <c r="Y55" s="424">
        <v>23</v>
      </c>
      <c r="Z55" s="424">
        <v>249</v>
      </c>
      <c r="AA55" s="425">
        <v>0.90759999999999996</v>
      </c>
      <c r="AB55" s="314"/>
      <c r="AC55" s="37"/>
      <c r="AD55" s="349" t="s">
        <v>45</v>
      </c>
      <c r="AE55" s="282" t="s">
        <v>213</v>
      </c>
      <c r="AF55" s="382">
        <v>0.9677</v>
      </c>
      <c r="AG55" s="283">
        <v>9</v>
      </c>
      <c r="AH55" s="383">
        <v>279</v>
      </c>
      <c r="AI55" s="369">
        <v>0.93330000000000002</v>
      </c>
      <c r="AJ55" s="283">
        <v>4</v>
      </c>
      <c r="AK55" s="396">
        <v>60</v>
      </c>
      <c r="AL55" s="382">
        <v>0.89959999999999996</v>
      </c>
      <c r="AM55" s="283">
        <v>26</v>
      </c>
      <c r="AN55" s="383">
        <v>259</v>
      </c>
      <c r="AO55" s="369">
        <v>0.91759999999999997</v>
      </c>
      <c r="AP55" s="283">
        <v>21</v>
      </c>
      <c r="AQ55" s="350">
        <v>255</v>
      </c>
    </row>
    <row r="56" spans="1:43" x14ac:dyDescent="0.2">
      <c r="A56" s="37"/>
      <c r="B56" s="316"/>
      <c r="C56" s="412" t="s">
        <v>92</v>
      </c>
      <c r="D56" s="413" t="s">
        <v>203</v>
      </c>
      <c r="E56" s="414">
        <v>8</v>
      </c>
      <c r="F56" s="414">
        <v>64</v>
      </c>
      <c r="G56" s="415">
        <v>0.875</v>
      </c>
      <c r="H56" s="37"/>
      <c r="I56" s="412" t="s">
        <v>92</v>
      </c>
      <c r="J56" s="413" t="s">
        <v>203</v>
      </c>
      <c r="K56" s="424">
        <v>9</v>
      </c>
      <c r="L56" s="424">
        <v>309</v>
      </c>
      <c r="M56" s="425">
        <v>0.97089999999999999</v>
      </c>
      <c r="N56" s="314"/>
      <c r="O56" s="37"/>
      <c r="P56" s="316"/>
      <c r="Q56" s="412" t="s">
        <v>92</v>
      </c>
      <c r="R56" s="413" t="s">
        <v>203</v>
      </c>
      <c r="S56" s="424">
        <v>18</v>
      </c>
      <c r="T56" s="424">
        <v>258</v>
      </c>
      <c r="U56" s="425">
        <v>0.93020000000000003</v>
      </c>
      <c r="V56" s="37"/>
      <c r="W56" s="412" t="s">
        <v>92</v>
      </c>
      <c r="X56" s="413" t="s">
        <v>203</v>
      </c>
      <c r="Y56" s="424">
        <v>5</v>
      </c>
      <c r="Z56" s="424">
        <v>252</v>
      </c>
      <c r="AA56" s="425">
        <v>0.98019999999999996</v>
      </c>
      <c r="AB56" s="314"/>
      <c r="AC56" s="37"/>
      <c r="AD56" s="349" t="s">
        <v>47</v>
      </c>
      <c r="AE56" s="282" t="s">
        <v>192</v>
      </c>
      <c r="AF56" s="382">
        <v>0.97289999999999999</v>
      </c>
      <c r="AG56" s="283">
        <v>6</v>
      </c>
      <c r="AH56" s="383">
        <v>221</v>
      </c>
      <c r="AI56" s="369">
        <v>0.90629999999999999</v>
      </c>
      <c r="AJ56" s="283">
        <v>6</v>
      </c>
      <c r="AK56" s="396">
        <v>64</v>
      </c>
      <c r="AL56" s="382">
        <v>0.94940000000000002</v>
      </c>
      <c r="AM56" s="283">
        <v>13</v>
      </c>
      <c r="AN56" s="383">
        <v>257</v>
      </c>
      <c r="AO56" s="369">
        <v>0.93979999999999997</v>
      </c>
      <c r="AP56" s="283">
        <v>15</v>
      </c>
      <c r="AQ56" s="350">
        <v>249</v>
      </c>
    </row>
    <row r="57" spans="1:43" x14ac:dyDescent="0.2">
      <c r="A57" s="37"/>
      <c r="B57" s="316"/>
      <c r="C57" s="412" t="s">
        <v>204</v>
      </c>
      <c r="D57" s="413" t="s">
        <v>105</v>
      </c>
      <c r="E57" s="414">
        <v>6</v>
      </c>
      <c r="F57" s="414">
        <v>55</v>
      </c>
      <c r="G57" s="415">
        <v>0.89090000000000003</v>
      </c>
      <c r="H57" s="37"/>
      <c r="I57" s="412" t="s">
        <v>204</v>
      </c>
      <c r="J57" s="413" t="s">
        <v>105</v>
      </c>
      <c r="K57" s="424">
        <v>11</v>
      </c>
      <c r="L57" s="424">
        <v>170</v>
      </c>
      <c r="M57" s="425">
        <v>0.93530000000000002</v>
      </c>
      <c r="N57" s="314"/>
      <c r="O57" s="37"/>
      <c r="P57" s="316"/>
      <c r="Q57" s="412" t="s">
        <v>204</v>
      </c>
      <c r="R57" s="413" t="s">
        <v>105</v>
      </c>
      <c r="S57" s="424">
        <v>33</v>
      </c>
      <c r="T57" s="424">
        <v>250</v>
      </c>
      <c r="U57" s="425">
        <v>0.86799999999999999</v>
      </c>
      <c r="V57" s="37"/>
      <c r="W57" s="412" t="s">
        <v>204</v>
      </c>
      <c r="X57" s="413" t="s">
        <v>105</v>
      </c>
      <c r="Y57" s="424">
        <v>36</v>
      </c>
      <c r="Z57" s="424">
        <v>244</v>
      </c>
      <c r="AA57" s="425">
        <v>0.85250000000000004</v>
      </c>
      <c r="AB57" s="314"/>
      <c r="AC57" s="37"/>
      <c r="AD57" s="349" t="s">
        <v>53</v>
      </c>
      <c r="AE57" s="282" t="s">
        <v>185</v>
      </c>
      <c r="AF57" s="382">
        <v>0.95679999999999998</v>
      </c>
      <c r="AG57" s="283">
        <v>12</v>
      </c>
      <c r="AH57" s="383">
        <v>278</v>
      </c>
      <c r="AI57" s="369">
        <v>0.92190000000000005</v>
      </c>
      <c r="AJ57" s="283">
        <v>5</v>
      </c>
      <c r="AK57" s="396">
        <v>64</v>
      </c>
      <c r="AL57" s="382">
        <v>0.877</v>
      </c>
      <c r="AM57" s="283">
        <v>31</v>
      </c>
      <c r="AN57" s="383">
        <v>252</v>
      </c>
      <c r="AO57" s="369">
        <v>0.90200000000000002</v>
      </c>
      <c r="AP57" s="283">
        <v>24</v>
      </c>
      <c r="AQ57" s="350">
        <v>245</v>
      </c>
    </row>
    <row r="58" spans="1:43" x14ac:dyDescent="0.2">
      <c r="A58" s="37"/>
      <c r="B58" s="316"/>
      <c r="C58" s="412" t="s">
        <v>205</v>
      </c>
      <c r="D58" s="413" t="s">
        <v>206</v>
      </c>
      <c r="E58" s="414">
        <v>4</v>
      </c>
      <c r="F58" s="414">
        <v>61</v>
      </c>
      <c r="G58" s="415">
        <v>0.93440000000000001</v>
      </c>
      <c r="H58" s="37"/>
      <c r="I58" s="412" t="s">
        <v>205</v>
      </c>
      <c r="J58" s="413" t="s">
        <v>206</v>
      </c>
      <c r="K58" s="424">
        <v>4</v>
      </c>
      <c r="L58" s="424">
        <v>197</v>
      </c>
      <c r="M58" s="425">
        <v>0.97970000000000002</v>
      </c>
      <c r="N58" s="314"/>
      <c r="O58" s="37"/>
      <c r="P58" s="316"/>
      <c r="Q58" s="412" t="s">
        <v>205</v>
      </c>
      <c r="R58" s="413" t="s">
        <v>206</v>
      </c>
      <c r="S58" s="424">
        <v>9</v>
      </c>
      <c r="T58" s="424">
        <v>254</v>
      </c>
      <c r="U58" s="425">
        <v>0.96460000000000001</v>
      </c>
      <c r="V58" s="37"/>
      <c r="W58" s="412" t="s">
        <v>205</v>
      </c>
      <c r="X58" s="413" t="s">
        <v>206</v>
      </c>
      <c r="Y58" s="424">
        <v>9</v>
      </c>
      <c r="Z58" s="424">
        <v>244</v>
      </c>
      <c r="AA58" s="425">
        <v>0.96309999999999996</v>
      </c>
      <c r="AB58" s="314"/>
      <c r="AC58" s="37"/>
      <c r="AD58" s="349" t="s">
        <v>49</v>
      </c>
      <c r="AE58" s="282">
        <v>442</v>
      </c>
      <c r="AF58" s="382">
        <v>0.97670000000000001</v>
      </c>
      <c r="AG58" s="283">
        <v>5</v>
      </c>
      <c r="AH58" s="383">
        <v>215</v>
      </c>
      <c r="AI58" s="369">
        <v>0.9153</v>
      </c>
      <c r="AJ58" s="283">
        <v>5</v>
      </c>
      <c r="AK58" s="396">
        <v>59</v>
      </c>
      <c r="AL58" s="382">
        <v>0.90759999999999996</v>
      </c>
      <c r="AM58" s="283">
        <v>23</v>
      </c>
      <c r="AN58" s="383">
        <v>249</v>
      </c>
      <c r="AO58" s="369">
        <v>0.90910000000000002</v>
      </c>
      <c r="AP58" s="283">
        <v>21</v>
      </c>
      <c r="AQ58" s="350">
        <v>231</v>
      </c>
    </row>
    <row r="59" spans="1:43" x14ac:dyDescent="0.2">
      <c r="A59" s="37"/>
      <c r="B59" s="316"/>
      <c r="C59" s="412" t="s">
        <v>56</v>
      </c>
      <c r="D59" s="413" t="s">
        <v>207</v>
      </c>
      <c r="E59" s="414">
        <v>2</v>
      </c>
      <c r="F59" s="414">
        <v>61</v>
      </c>
      <c r="G59" s="415">
        <v>0.96719999999999995</v>
      </c>
      <c r="H59" s="37"/>
      <c r="I59" s="412" t="s">
        <v>56</v>
      </c>
      <c r="J59" s="413" t="s">
        <v>207</v>
      </c>
      <c r="K59" s="424">
        <v>4</v>
      </c>
      <c r="L59" s="424">
        <v>185</v>
      </c>
      <c r="M59" s="425">
        <v>0.97840000000000005</v>
      </c>
      <c r="N59" s="314"/>
      <c r="O59" s="37"/>
      <c r="P59" s="316"/>
      <c r="Q59" s="412" t="s">
        <v>56</v>
      </c>
      <c r="R59" s="413" t="s">
        <v>207</v>
      </c>
      <c r="S59" s="424">
        <v>18</v>
      </c>
      <c r="T59" s="424">
        <v>256</v>
      </c>
      <c r="U59" s="425">
        <v>0.92969999999999997</v>
      </c>
      <c r="V59" s="37"/>
      <c r="W59" s="412" t="s">
        <v>56</v>
      </c>
      <c r="X59" s="413" t="s">
        <v>207</v>
      </c>
      <c r="Y59" s="424">
        <v>9</v>
      </c>
      <c r="Z59" s="424">
        <v>247</v>
      </c>
      <c r="AA59" s="425">
        <v>0.96360000000000001</v>
      </c>
      <c r="AB59" s="314"/>
      <c r="AC59" s="37"/>
      <c r="AD59" s="349" t="s">
        <v>205</v>
      </c>
      <c r="AE59" s="282" t="s">
        <v>206</v>
      </c>
      <c r="AF59" s="382">
        <v>0.97970000000000002</v>
      </c>
      <c r="AG59" s="283">
        <v>4</v>
      </c>
      <c r="AH59" s="383">
        <v>197</v>
      </c>
      <c r="AI59" s="369">
        <v>0.93440000000000001</v>
      </c>
      <c r="AJ59" s="283">
        <v>4</v>
      </c>
      <c r="AK59" s="396">
        <v>61</v>
      </c>
      <c r="AL59" s="382">
        <v>0.96460000000000001</v>
      </c>
      <c r="AM59" s="283">
        <v>9</v>
      </c>
      <c r="AN59" s="383">
        <v>254</v>
      </c>
      <c r="AO59" s="369">
        <v>0.96309999999999996</v>
      </c>
      <c r="AP59" s="283">
        <v>9</v>
      </c>
      <c r="AQ59" s="350">
        <v>244</v>
      </c>
    </row>
    <row r="60" spans="1:43" x14ac:dyDescent="0.2">
      <c r="A60" s="37"/>
      <c r="B60" s="316"/>
      <c r="C60" s="412" t="s">
        <v>88</v>
      </c>
      <c r="D60" s="413" t="s">
        <v>208</v>
      </c>
      <c r="E60" s="414">
        <v>2</v>
      </c>
      <c r="F60" s="414">
        <v>63</v>
      </c>
      <c r="G60" s="415">
        <v>0.96830000000000005</v>
      </c>
      <c r="H60" s="37"/>
      <c r="I60" s="412" t="s">
        <v>88</v>
      </c>
      <c r="J60" s="413" t="s">
        <v>208</v>
      </c>
      <c r="K60" s="424">
        <v>6</v>
      </c>
      <c r="L60" s="424">
        <v>287</v>
      </c>
      <c r="M60" s="425">
        <v>0.97909999999999997</v>
      </c>
      <c r="N60" s="314"/>
      <c r="O60" s="37"/>
      <c r="P60" s="316"/>
      <c r="Q60" s="412" t="s">
        <v>88</v>
      </c>
      <c r="R60" s="413" t="s">
        <v>208</v>
      </c>
      <c r="S60" s="424">
        <v>12</v>
      </c>
      <c r="T60" s="424">
        <v>256</v>
      </c>
      <c r="U60" s="425">
        <v>0.95309999999999995</v>
      </c>
      <c r="V60" s="37"/>
      <c r="W60" s="412" t="s">
        <v>88</v>
      </c>
      <c r="X60" s="413" t="s">
        <v>208</v>
      </c>
      <c r="Y60" s="424">
        <v>9</v>
      </c>
      <c r="Z60" s="424">
        <v>250</v>
      </c>
      <c r="AA60" s="425">
        <v>0.96399999999999997</v>
      </c>
      <c r="AB60" s="314"/>
      <c r="AC60" s="37"/>
      <c r="AD60" s="349" t="s">
        <v>59</v>
      </c>
      <c r="AE60" s="282" t="s">
        <v>210</v>
      </c>
      <c r="AF60" s="382">
        <v>0.96779999999999999</v>
      </c>
      <c r="AG60" s="283">
        <v>10</v>
      </c>
      <c r="AH60" s="383">
        <v>311</v>
      </c>
      <c r="AI60" s="369">
        <v>0.90910000000000002</v>
      </c>
      <c r="AJ60" s="283">
        <v>6</v>
      </c>
      <c r="AK60" s="396">
        <v>66</v>
      </c>
      <c r="AL60" s="382">
        <v>0.90229999999999999</v>
      </c>
      <c r="AM60" s="283">
        <v>25</v>
      </c>
      <c r="AN60" s="383">
        <v>256</v>
      </c>
      <c r="AO60" s="369">
        <v>0.96360000000000001</v>
      </c>
      <c r="AP60" s="283">
        <v>9</v>
      </c>
      <c r="AQ60" s="350">
        <v>247</v>
      </c>
    </row>
    <row r="61" spans="1:43" x14ac:dyDescent="0.2">
      <c r="A61" s="37"/>
      <c r="B61" s="316"/>
      <c r="C61" s="412" t="s">
        <v>49</v>
      </c>
      <c r="D61" s="413">
        <v>442</v>
      </c>
      <c r="E61" s="414">
        <v>5</v>
      </c>
      <c r="F61" s="414">
        <v>59</v>
      </c>
      <c r="G61" s="415">
        <v>0.9153</v>
      </c>
      <c r="H61" s="37"/>
      <c r="I61" s="412" t="s">
        <v>49</v>
      </c>
      <c r="J61" s="413">
        <v>442</v>
      </c>
      <c r="K61" s="424">
        <v>5</v>
      </c>
      <c r="L61" s="424">
        <v>215</v>
      </c>
      <c r="M61" s="425">
        <v>0.97670000000000001</v>
      </c>
      <c r="N61" s="314"/>
      <c r="O61" s="37"/>
      <c r="P61" s="316"/>
      <c r="Q61" s="412" t="s">
        <v>49</v>
      </c>
      <c r="R61" s="413">
        <v>442</v>
      </c>
      <c r="S61" s="424">
        <v>23</v>
      </c>
      <c r="T61" s="424">
        <v>249</v>
      </c>
      <c r="U61" s="425">
        <v>0.90759999999999996</v>
      </c>
      <c r="V61" s="37"/>
      <c r="W61" s="412" t="s">
        <v>49</v>
      </c>
      <c r="X61" s="413">
        <v>442</v>
      </c>
      <c r="Y61" s="424">
        <v>21</v>
      </c>
      <c r="Z61" s="424">
        <v>231</v>
      </c>
      <c r="AA61" s="425">
        <v>0.90910000000000002</v>
      </c>
      <c r="AB61" s="314"/>
      <c r="AC61" s="37"/>
      <c r="AD61" s="351" t="s">
        <v>66</v>
      </c>
      <c r="AE61" s="282" t="s">
        <v>189</v>
      </c>
      <c r="AF61" s="382">
        <v>0.95189999999999997</v>
      </c>
      <c r="AG61" s="283">
        <v>15</v>
      </c>
      <c r="AH61" s="383">
        <v>312</v>
      </c>
      <c r="AI61" s="369">
        <v>0.9</v>
      </c>
      <c r="AJ61" s="283">
        <v>6</v>
      </c>
      <c r="AK61" s="396">
        <v>60</v>
      </c>
      <c r="AL61" s="382">
        <v>0.878</v>
      </c>
      <c r="AM61" s="283">
        <v>30</v>
      </c>
      <c r="AN61" s="383">
        <v>246</v>
      </c>
      <c r="AO61" s="369">
        <v>0.90790000000000004</v>
      </c>
      <c r="AP61" s="283">
        <v>21</v>
      </c>
      <c r="AQ61" s="350">
        <v>228</v>
      </c>
    </row>
    <row r="62" spans="1:43" x14ac:dyDescent="0.2">
      <c r="A62" s="37"/>
      <c r="B62" s="316"/>
      <c r="C62" s="412" t="s">
        <v>95</v>
      </c>
      <c r="D62" s="413" t="s">
        <v>209</v>
      </c>
      <c r="E62" s="414">
        <v>2</v>
      </c>
      <c r="F62" s="414">
        <v>62</v>
      </c>
      <c r="G62" s="415">
        <v>0.9677</v>
      </c>
      <c r="H62" s="37"/>
      <c r="I62" s="412" t="s">
        <v>95</v>
      </c>
      <c r="J62" s="413" t="s">
        <v>209</v>
      </c>
      <c r="K62" s="424">
        <v>4</v>
      </c>
      <c r="L62" s="424">
        <v>230</v>
      </c>
      <c r="M62" s="425">
        <v>0.98260000000000003</v>
      </c>
      <c r="N62" s="314"/>
      <c r="O62" s="37"/>
      <c r="P62" s="316"/>
      <c r="Q62" s="412" t="s">
        <v>95</v>
      </c>
      <c r="R62" s="413" t="s">
        <v>209</v>
      </c>
      <c r="S62" s="424">
        <v>16</v>
      </c>
      <c r="T62" s="424">
        <v>256</v>
      </c>
      <c r="U62" s="425">
        <v>0.9375</v>
      </c>
      <c r="V62" s="37"/>
      <c r="W62" s="412" t="s">
        <v>95</v>
      </c>
      <c r="X62" s="413" t="s">
        <v>209</v>
      </c>
      <c r="Y62" s="424">
        <v>8</v>
      </c>
      <c r="Z62" s="424">
        <v>245</v>
      </c>
      <c r="AA62" s="425">
        <v>0.96730000000000005</v>
      </c>
      <c r="AB62" s="314"/>
      <c r="AC62" s="37"/>
      <c r="AD62" s="349" t="s">
        <v>69</v>
      </c>
      <c r="AE62" s="282" t="s">
        <v>199</v>
      </c>
      <c r="AF62" s="382">
        <v>0.98980000000000001</v>
      </c>
      <c r="AG62" s="283">
        <v>3</v>
      </c>
      <c r="AH62" s="383">
        <v>293</v>
      </c>
      <c r="AI62" s="369">
        <v>0.98409999999999997</v>
      </c>
      <c r="AJ62" s="283">
        <v>1</v>
      </c>
      <c r="AK62" s="396">
        <v>63</v>
      </c>
      <c r="AL62" s="382">
        <v>0.95630000000000004</v>
      </c>
      <c r="AM62" s="283">
        <v>11</v>
      </c>
      <c r="AN62" s="383">
        <v>252</v>
      </c>
      <c r="AO62" s="369">
        <v>0.94169999999999998</v>
      </c>
      <c r="AP62" s="283">
        <v>14</v>
      </c>
      <c r="AQ62" s="350">
        <v>240</v>
      </c>
    </row>
    <row r="63" spans="1:43" x14ac:dyDescent="0.2">
      <c r="A63" s="37"/>
      <c r="B63" s="316"/>
      <c r="C63" s="412" t="s">
        <v>59</v>
      </c>
      <c r="D63" s="413" t="s">
        <v>210</v>
      </c>
      <c r="E63" s="414">
        <v>6</v>
      </c>
      <c r="F63" s="414">
        <v>66</v>
      </c>
      <c r="G63" s="415">
        <v>0.90910000000000002</v>
      </c>
      <c r="H63" s="37"/>
      <c r="I63" s="412" t="s">
        <v>59</v>
      </c>
      <c r="J63" s="413" t="s">
        <v>210</v>
      </c>
      <c r="K63" s="424">
        <v>10</v>
      </c>
      <c r="L63" s="424">
        <v>311</v>
      </c>
      <c r="M63" s="425">
        <v>0.96779999999999999</v>
      </c>
      <c r="N63" s="314"/>
      <c r="O63" s="37"/>
      <c r="P63" s="316"/>
      <c r="Q63" s="412" t="s">
        <v>59</v>
      </c>
      <c r="R63" s="413" t="s">
        <v>210</v>
      </c>
      <c r="S63" s="424">
        <v>25</v>
      </c>
      <c r="T63" s="424">
        <v>256</v>
      </c>
      <c r="U63" s="425">
        <v>0.90229999999999999</v>
      </c>
      <c r="V63" s="37"/>
      <c r="W63" s="412" t="s">
        <v>59</v>
      </c>
      <c r="X63" s="413" t="s">
        <v>210</v>
      </c>
      <c r="Y63" s="424">
        <v>9</v>
      </c>
      <c r="Z63" s="424">
        <v>247</v>
      </c>
      <c r="AA63" s="425">
        <v>0.96360000000000001</v>
      </c>
      <c r="AB63" s="314"/>
      <c r="AC63" s="37"/>
      <c r="AD63" s="349" t="s">
        <v>76</v>
      </c>
      <c r="AE63" s="282" t="s">
        <v>188</v>
      </c>
      <c r="AF63" s="382">
        <v>0.8952</v>
      </c>
      <c r="AG63" s="283">
        <v>22</v>
      </c>
      <c r="AH63" s="383">
        <v>210</v>
      </c>
      <c r="AI63" s="369">
        <v>0.82809999999999995</v>
      </c>
      <c r="AJ63" s="283">
        <v>11</v>
      </c>
      <c r="AK63" s="396">
        <v>64</v>
      </c>
      <c r="AL63" s="382">
        <v>0.87209999999999999</v>
      </c>
      <c r="AM63" s="283">
        <v>33</v>
      </c>
      <c r="AN63" s="383">
        <v>258</v>
      </c>
      <c r="AO63" s="369">
        <v>0.89470000000000005</v>
      </c>
      <c r="AP63" s="283">
        <v>26</v>
      </c>
      <c r="AQ63" s="350">
        <v>247</v>
      </c>
    </row>
    <row r="64" spans="1:43" x14ac:dyDescent="0.2">
      <c r="A64" s="37"/>
      <c r="B64" s="316"/>
      <c r="C64" s="412" t="s">
        <v>211</v>
      </c>
      <c r="D64" s="413" t="s">
        <v>212</v>
      </c>
      <c r="E64" s="414">
        <v>8</v>
      </c>
      <c r="F64" s="414">
        <v>60</v>
      </c>
      <c r="G64" s="415">
        <v>0.86670000000000003</v>
      </c>
      <c r="H64" s="37"/>
      <c r="I64" s="412" t="s">
        <v>211</v>
      </c>
      <c r="J64" s="413" t="s">
        <v>212</v>
      </c>
      <c r="K64" s="424">
        <v>16</v>
      </c>
      <c r="L64" s="424">
        <v>236</v>
      </c>
      <c r="M64" s="425">
        <v>0.93220000000000003</v>
      </c>
      <c r="N64" s="314"/>
      <c r="O64" s="37"/>
      <c r="P64" s="316"/>
      <c r="Q64" s="412" t="s">
        <v>211</v>
      </c>
      <c r="R64" s="413" t="s">
        <v>212</v>
      </c>
      <c r="S64" s="424">
        <v>31</v>
      </c>
      <c r="T64" s="424">
        <v>253</v>
      </c>
      <c r="U64" s="425">
        <v>0.87749999999999995</v>
      </c>
      <c r="V64" s="37"/>
      <c r="W64" s="412" t="s">
        <v>211</v>
      </c>
      <c r="X64" s="413" t="s">
        <v>212</v>
      </c>
      <c r="Y64" s="424">
        <v>22</v>
      </c>
      <c r="Z64" s="424">
        <v>222</v>
      </c>
      <c r="AA64" s="425">
        <v>0.90090000000000003</v>
      </c>
      <c r="AB64" s="314"/>
      <c r="AC64" s="37"/>
      <c r="AD64" s="349" t="s">
        <v>78</v>
      </c>
      <c r="AE64" s="282" t="s">
        <v>190</v>
      </c>
      <c r="AF64" s="382">
        <v>0.95240000000000002</v>
      </c>
      <c r="AG64" s="283">
        <v>13</v>
      </c>
      <c r="AH64" s="383">
        <v>273</v>
      </c>
      <c r="AI64" s="369">
        <v>0.92420000000000002</v>
      </c>
      <c r="AJ64" s="283">
        <v>5</v>
      </c>
      <c r="AK64" s="396">
        <v>66</v>
      </c>
      <c r="AL64" s="382">
        <v>0.91830000000000001</v>
      </c>
      <c r="AM64" s="283">
        <v>21</v>
      </c>
      <c r="AN64" s="383">
        <v>257</v>
      </c>
      <c r="AO64" s="369">
        <v>0.93059999999999998</v>
      </c>
      <c r="AP64" s="283">
        <v>17</v>
      </c>
      <c r="AQ64" s="350">
        <v>245</v>
      </c>
    </row>
    <row r="65" spans="1:43" x14ac:dyDescent="0.2">
      <c r="A65" s="37"/>
      <c r="B65" s="316"/>
      <c r="C65" s="412" t="s">
        <v>45</v>
      </c>
      <c r="D65" s="413" t="s">
        <v>213</v>
      </c>
      <c r="E65" s="414">
        <v>4</v>
      </c>
      <c r="F65" s="414">
        <v>60</v>
      </c>
      <c r="G65" s="415">
        <v>0.93330000000000002</v>
      </c>
      <c r="H65" s="37"/>
      <c r="I65" s="412" t="s">
        <v>45</v>
      </c>
      <c r="J65" s="413" t="s">
        <v>213</v>
      </c>
      <c r="K65" s="424">
        <v>9</v>
      </c>
      <c r="L65" s="424">
        <v>279</v>
      </c>
      <c r="M65" s="425">
        <v>0.9677</v>
      </c>
      <c r="N65" s="314"/>
      <c r="O65" s="37"/>
      <c r="P65" s="316"/>
      <c r="Q65" s="412" t="s">
        <v>45</v>
      </c>
      <c r="R65" s="413" t="s">
        <v>213</v>
      </c>
      <c r="S65" s="424">
        <v>26</v>
      </c>
      <c r="T65" s="424">
        <v>259</v>
      </c>
      <c r="U65" s="425">
        <v>0.89959999999999996</v>
      </c>
      <c r="V65" s="37"/>
      <c r="W65" s="412" t="s">
        <v>45</v>
      </c>
      <c r="X65" s="413" t="s">
        <v>213</v>
      </c>
      <c r="Y65" s="424">
        <v>21</v>
      </c>
      <c r="Z65" s="424">
        <v>255</v>
      </c>
      <c r="AA65" s="425">
        <v>0.91759999999999997</v>
      </c>
      <c r="AB65" s="314"/>
      <c r="AC65" s="37"/>
      <c r="AD65" s="349" t="s">
        <v>80</v>
      </c>
      <c r="AE65" s="282" t="s">
        <v>193</v>
      </c>
      <c r="AF65" s="382">
        <v>0.96189999999999998</v>
      </c>
      <c r="AG65" s="283">
        <v>8</v>
      </c>
      <c r="AH65" s="383">
        <v>210</v>
      </c>
      <c r="AI65" s="369">
        <v>0.93440000000000001</v>
      </c>
      <c r="AJ65" s="283">
        <v>4</v>
      </c>
      <c r="AK65" s="396">
        <v>61</v>
      </c>
      <c r="AL65" s="382">
        <v>0.94799999999999995</v>
      </c>
      <c r="AM65" s="283">
        <v>13</v>
      </c>
      <c r="AN65" s="383">
        <v>250</v>
      </c>
      <c r="AO65" s="369">
        <v>0.9718</v>
      </c>
      <c r="AP65" s="283">
        <v>7</v>
      </c>
      <c r="AQ65" s="350">
        <v>248</v>
      </c>
    </row>
    <row r="66" spans="1:43" ht="13.5" thickBot="1" x14ac:dyDescent="0.25">
      <c r="A66" s="37"/>
      <c r="B66" s="316"/>
      <c r="C66" s="416" t="s">
        <v>214</v>
      </c>
      <c r="D66" s="417"/>
      <c r="E66" s="418">
        <v>304</v>
      </c>
      <c r="F66" s="418">
        <v>3578</v>
      </c>
      <c r="G66" s="419">
        <v>0.91500000000000004</v>
      </c>
      <c r="H66" s="37"/>
      <c r="I66" s="416" t="s">
        <v>214</v>
      </c>
      <c r="J66" s="417"/>
      <c r="K66" s="428">
        <v>606</v>
      </c>
      <c r="L66" s="428">
        <v>15165</v>
      </c>
      <c r="M66" s="429">
        <v>0.96</v>
      </c>
      <c r="N66" s="315"/>
      <c r="O66" s="37"/>
      <c r="P66" s="316"/>
      <c r="Q66" s="416" t="s">
        <v>214</v>
      </c>
      <c r="R66" s="417"/>
      <c r="S66" s="428">
        <v>1302</v>
      </c>
      <c r="T66" s="428">
        <v>14448</v>
      </c>
      <c r="U66" s="429">
        <v>0.90990000000000004</v>
      </c>
      <c r="V66" s="37"/>
      <c r="W66" s="416" t="s">
        <v>214</v>
      </c>
      <c r="X66" s="417"/>
      <c r="Y66" s="428">
        <v>1066</v>
      </c>
      <c r="Z66" s="428">
        <v>13899</v>
      </c>
      <c r="AA66" s="429">
        <v>0.92330000000000001</v>
      </c>
      <c r="AB66" s="315"/>
      <c r="AC66" s="37"/>
      <c r="AD66" s="349" t="s">
        <v>82</v>
      </c>
      <c r="AE66" s="282" t="s">
        <v>197</v>
      </c>
      <c r="AF66" s="382">
        <v>0.97660000000000002</v>
      </c>
      <c r="AG66" s="283">
        <v>5</v>
      </c>
      <c r="AH66" s="383">
        <v>214</v>
      </c>
      <c r="AI66" s="369">
        <v>0.94120000000000004</v>
      </c>
      <c r="AJ66" s="283">
        <v>4</v>
      </c>
      <c r="AK66" s="396">
        <v>68</v>
      </c>
      <c r="AL66" s="382">
        <v>0.92490000000000006</v>
      </c>
      <c r="AM66" s="283">
        <v>19</v>
      </c>
      <c r="AN66" s="383">
        <v>253</v>
      </c>
      <c r="AO66" s="369">
        <v>0.89380000000000004</v>
      </c>
      <c r="AP66" s="283">
        <v>24</v>
      </c>
      <c r="AQ66" s="350">
        <v>226</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0.97350000000000003</v>
      </c>
      <c r="AG67" s="283">
        <v>19</v>
      </c>
      <c r="AH67" s="383">
        <v>717</v>
      </c>
      <c r="AI67" s="369">
        <v>0.84130000000000005</v>
      </c>
      <c r="AJ67" s="283">
        <v>10</v>
      </c>
      <c r="AK67" s="396">
        <v>63</v>
      </c>
      <c r="AL67" s="382">
        <v>0.88929999999999998</v>
      </c>
      <c r="AM67" s="283">
        <v>28</v>
      </c>
      <c r="AN67" s="383">
        <v>253</v>
      </c>
      <c r="AO67" s="369">
        <v>0.94899999999999995</v>
      </c>
      <c r="AP67" s="283">
        <v>13</v>
      </c>
      <c r="AQ67" s="350">
        <v>255</v>
      </c>
    </row>
    <row r="68" spans="1:43" x14ac:dyDescent="0.2">
      <c r="A68" s="37"/>
      <c r="AD68" s="355" t="s">
        <v>248</v>
      </c>
      <c r="AE68" s="282" t="s">
        <v>202</v>
      </c>
      <c r="AF68" s="382">
        <v>0.97319999999999995</v>
      </c>
      <c r="AG68" s="287">
        <v>10</v>
      </c>
      <c r="AH68" s="387">
        <v>373</v>
      </c>
      <c r="AI68" s="369">
        <v>0.86890000000000001</v>
      </c>
      <c r="AJ68" s="287">
        <v>8</v>
      </c>
      <c r="AK68" s="286">
        <v>61</v>
      </c>
      <c r="AL68" s="382">
        <v>0.84440000000000004</v>
      </c>
      <c r="AM68" s="287">
        <v>40</v>
      </c>
      <c r="AN68" s="387">
        <v>257</v>
      </c>
      <c r="AO68" s="369">
        <v>0.90759999999999996</v>
      </c>
      <c r="AP68" s="287">
        <v>23</v>
      </c>
      <c r="AQ68" s="356">
        <v>249</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0.96970000000000001</v>
      </c>
      <c r="AG69" s="288">
        <v>12</v>
      </c>
      <c r="AH69" s="388">
        <v>396</v>
      </c>
      <c r="AI69" s="369">
        <v>0.91300000000000003</v>
      </c>
      <c r="AJ69" s="288">
        <v>6</v>
      </c>
      <c r="AK69" s="399">
        <v>69</v>
      </c>
      <c r="AL69" s="382">
        <v>0.89390000000000003</v>
      </c>
      <c r="AM69" s="288">
        <v>28</v>
      </c>
      <c r="AN69" s="388">
        <v>264</v>
      </c>
      <c r="AO69" s="369">
        <v>0.93899999999999995</v>
      </c>
      <c r="AP69" s="288">
        <v>15</v>
      </c>
      <c r="AQ69" s="357">
        <v>246</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1</v>
      </c>
      <c r="AJ70" s="281">
        <v>0</v>
      </c>
      <c r="AK70" s="395">
        <v>187</v>
      </c>
      <c r="AL70" s="402">
        <v>0.996</v>
      </c>
      <c r="AM70" s="281">
        <v>3</v>
      </c>
      <c r="AN70" s="381">
        <v>747</v>
      </c>
      <c r="AO70" s="371">
        <v>0.99070000000000003</v>
      </c>
      <c r="AP70" s="281">
        <v>7</v>
      </c>
      <c r="AQ70" s="348">
        <v>749</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1</v>
      </c>
      <c r="AM71" s="305">
        <v>0</v>
      </c>
      <c r="AN71" s="404">
        <v>253</v>
      </c>
      <c r="AO71" s="372">
        <v>0.996</v>
      </c>
      <c r="AP71" s="305">
        <v>1</v>
      </c>
      <c r="AQ71" s="360">
        <v>251</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64</v>
      </c>
      <c r="AL72" s="403">
        <v>0.99590000000000001</v>
      </c>
      <c r="AM72" s="305">
        <v>1</v>
      </c>
      <c r="AN72" s="404">
        <v>246</v>
      </c>
      <c r="AO72" s="372">
        <v>0.99199999999999999</v>
      </c>
      <c r="AP72" s="305">
        <v>2</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0</v>
      </c>
      <c r="F79" s="434">
        <v>63</v>
      </c>
      <c r="G79" s="435">
        <v>1</v>
      </c>
      <c r="H79" s="36"/>
      <c r="I79" s="336"/>
      <c r="J79" s="336"/>
      <c r="K79" s="336"/>
      <c r="L79" s="336"/>
      <c r="M79" s="336"/>
      <c r="N79" s="310"/>
      <c r="P79" s="309"/>
      <c r="Q79" s="433" t="s">
        <v>90</v>
      </c>
      <c r="R79" s="434">
        <v>110</v>
      </c>
      <c r="S79" s="434">
        <v>0</v>
      </c>
      <c r="T79" s="434">
        <v>253</v>
      </c>
      <c r="U79" s="435">
        <v>1</v>
      </c>
      <c r="V79" s="36"/>
      <c r="W79" s="433" t="s">
        <v>90</v>
      </c>
      <c r="X79" s="434">
        <v>110</v>
      </c>
      <c r="Y79" s="434">
        <v>1</v>
      </c>
      <c r="Z79" s="434">
        <v>251</v>
      </c>
      <c r="AA79" s="435">
        <v>0.996</v>
      </c>
      <c r="AB79" s="312"/>
      <c r="AC79" s="306"/>
    </row>
    <row r="80" spans="1:43" x14ac:dyDescent="0.2">
      <c r="B80" s="309"/>
      <c r="C80" s="433" t="s">
        <v>70</v>
      </c>
      <c r="D80" s="434">
        <v>111</v>
      </c>
      <c r="E80" s="434">
        <v>0</v>
      </c>
      <c r="F80" s="434">
        <v>64</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249</v>
      </c>
      <c r="AA81" s="435">
        <v>0.9839</v>
      </c>
      <c r="AB81" s="312"/>
      <c r="AC81" s="306"/>
    </row>
    <row r="82" spans="2:29" ht="13.5" thickBot="1" x14ac:dyDescent="0.25">
      <c r="B82" s="309"/>
      <c r="C82" s="436" t="s">
        <v>214</v>
      </c>
      <c r="D82" s="437">
        <v>1</v>
      </c>
      <c r="E82" s="437">
        <v>0</v>
      </c>
      <c r="F82" s="437">
        <v>187</v>
      </c>
      <c r="G82" s="438">
        <v>1</v>
      </c>
      <c r="H82" s="36"/>
      <c r="I82" s="336"/>
      <c r="J82" s="336"/>
      <c r="K82" s="336"/>
      <c r="L82" s="336"/>
      <c r="M82" s="336"/>
      <c r="N82" s="310"/>
      <c r="P82" s="309"/>
      <c r="Q82" s="436" t="s">
        <v>214</v>
      </c>
      <c r="R82" s="437">
        <v>1</v>
      </c>
      <c r="S82" s="437">
        <v>3</v>
      </c>
      <c r="T82" s="437">
        <v>747</v>
      </c>
      <c r="U82" s="438">
        <v>0.996</v>
      </c>
      <c r="V82" s="36"/>
      <c r="W82" s="436" t="s">
        <v>214</v>
      </c>
      <c r="X82" s="437">
        <v>1</v>
      </c>
      <c r="Y82" s="437">
        <v>7</v>
      </c>
      <c r="Z82" s="437">
        <v>749</v>
      </c>
      <c r="AA82" s="438">
        <v>0.99070000000000003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520258</CP_Inventory>
    <Fiscal_Year xmlns="c9744be7-b815-40bc-84fa-afc9c406d9bc">2015</Fiscal_Year>
    <CP_Backlog xmlns="c9744be7-b815-40bc-84fa-afc9c406d9bc">250883</CP_Backlog>
    <Creation_date xmlns="c9744be7-b815-40bc-84fa-afc9c406d9bc">2015-01-12T00:00:00</Creation_date>
    <Data_date xmlns="c9744be7-b815-40bc-84fa-afc9c406d9bc">2014-01-10T00:00:00-05:00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microsoft.com/office/2006/documentManagement/types"/>
    <ds:schemaRef ds:uri="c9744be7-b815-40bc-84fa-afc9c406d9b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fef9c9dc-374b-4157-9e06-089f148416e5"/>
    <ds:schemaRef ds:uri="http://purl.org/dc/dcmitype/"/>
    <ds:schemaRef ds:uri="http://purl.org/dc/te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12,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2014-03-10T18:13:07Z</cp:lastPrinted>
  <dcterms:created xsi:type="dcterms:W3CDTF">2009-08-25T18:46:26Z</dcterms:created>
  <dcterms:modified xsi:type="dcterms:W3CDTF">2015-01-12T14:40:02Z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20150105</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