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<sst xmlns="http://schemas.openxmlformats.org/spreadsheetml/2006/main" count="4089" uniqueCount="1064">
  <si>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</si>
  <si>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</si>
  <si>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</si>
  <si>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</si>
  <si>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</si>
  <si>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</si>
  <si>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</si>
  <si>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</si>
  <si>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</si>
  <si>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</si>
  <si>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</si>
  <si>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</si>
  <si>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</si>
  <si>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</si>
  <si>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</si>
  <si>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</si>
  <si>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</si>
  <si>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</si>
  <si>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</si>
  <si>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</si>
  <si>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</si>
  <si>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</si>
  <si>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</si>
  <si>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</si>
  <si>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</si>
  <si>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</si>
  <si>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</si>
  <si>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</si>
  <si>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</si>
  <si>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</si>
  <si>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</si>
  <si>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</si>
  <si>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</si>
  <si>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</si>
  <si>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</si>
  <si>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</si>
  <si>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</si>
  <si>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</si>
  <si>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</si>
  <si>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</si>
  <si>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</si>
  <si>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</si>
  <si>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</si>
  <si>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</si>
  <si>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</si>
  <si>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</si>
  <si>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</si>
  <si>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</si>
  <si>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</si>
  <si>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</si>
  <si>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</si>
  <si>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</si>
  <si>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</si>
  <si>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</si>
  <si>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</si>
  <si>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</si>
  <si>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</si>
  <si>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</si>
  <si>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</si>
  <si>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</si>
  <si>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</si>
  <si>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</si>
  <si>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</si>
  <si>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</si>
  <si>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</si>
  <si>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</si>
  <si>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</si>
  <si>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</si>
  <si>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</si>
  <si>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</si>
  <si>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</si>
  <si>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</si>
  <si>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</si>
  <si>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</si>
  <si>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</si>
  <si>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</si>
  <si>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</si>
  <si>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</si>
  <si>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</si>
  <si>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</si>
  <si>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</si>
  <si>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</si>
  <si>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</si>
  <si>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</si>
  <si>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</si>
  <si>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</si>
  <si>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</si>
  <si>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</si>
  <si>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</si>
  <si>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</si>
  <si>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</si>
  <si>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</si>
  <si>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</si>
  <si>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</si>
  <si>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</si>
  <si>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</si>
  <si>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</si>
  <si>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</si>
  <si>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</si>
  <si>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</si>
  <si>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</si>
  <si>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</si>
  <si>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</si>
  <si>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</si>
  <si>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</si>
  <si>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</si>
  <si>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</si>
  <si>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</si>
  <si>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</si>
  <si>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</si>
  <si>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</si>
  <si>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</si>
  <si>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</si>
  <si>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</si>
  <si>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</si>
  <si>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</si>
  <si>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</si>
  <si>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</si>
  <si>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</si>
  <si>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</si>
  <si>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</si>
  <si>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</si>
  <si>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</si>
  <si>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</si>
  <si>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</si>
  <si>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</si>
  <si>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</si>
  <si>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</si>
  <si>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</si>
  <si>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</si>
  <si>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</si>
  <si>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</si>
  <si>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</si>
  <si>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</si>
  <si>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</si>
  <si>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</si>
  <si>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</si>
  <si>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</si>
  <si>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</si>
  <si>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</si>
  <si>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</si>
  <si>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</si>
  <si>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</si>
  <si>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</si>
  <si>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</si>
  <si>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</si>
  <si>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</si>
  <si>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</si>
  <si>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</si>
  <si>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</si>
  <si>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</si>
  <si>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</si>
  <si>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</si>
  <si>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</si>
  <si>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</si>
  <si>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</si>
  <si>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</si>
  <si>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</si>
  <si>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</si>
  <si>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</si>
  <si>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</si>
  <si>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</si>
  <si>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</si>
  <si>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</si>
  <si>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</si>
  <si>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</si>
  <si>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</si>
  <si>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</si>
  <si>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</si>
  <si>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</si>
  <si>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</si>
  <si>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</si>
  <si>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</si>
  <si>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</si>
  <si>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</si>
  <si>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</si>
  <si>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</si>
  <si>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</si>
  <si>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</si>
  <si>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</si>
  <si>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</si>
  <si>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</si>
  <si>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</si>
  <si>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</si>
  <si>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</si>
  <si>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</si>
  <si>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</si>
  <si>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</si>
  <si>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</si>
  <si>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</si>
  <si>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</si>
  <si>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</si>
  <si>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</si>
  <si>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</si>
  <si>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</si>
  <si>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</si>
  <si>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</si>
  <si>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</si>
  <si>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</si>
  <si>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</si>
  <si>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</si>
  <si>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</si>
  <si>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</si>
  <si>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</si>
  <si>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</si>
  <si>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</si>
  <si>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</si>
  <si>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</si>
  <si>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</si>
  <si>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</si>
  <si>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</si>
  <si>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</si>
  <si>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</si>
  <si>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</si>
  <si>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</si>
  <si>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</si>
  <si>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</si>
  <si>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</si>
  <si>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</si>
  <si>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</si>
  <si>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</si>
  <si>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</si>
  <si>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</si>
  <si>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</si>
  <si>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</si>
  <si>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</si>
  <si>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</si>
  <si>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</si>
  <si>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</si>
  <si>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</si>
  <si>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</si>
  <si>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</si>
  <si>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</si>
  <si>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</si>
  <si>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</si>
  <si>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</si>
  <si>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</si>
  <si>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</si>
  <si>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</si>
  <si>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</si>
  <si>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</si>
  <si>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</si>
  <si>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</si>
  <si>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</si>
  <si>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</si>
  <si>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</si>
  <si>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</si>
  <si>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</si>
  <si>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</si>
  <si>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</si>
  <si>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</si>
  <si>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</si>
  <si>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</si>
  <si>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</si>
  <si>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</si>
  <si>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</si>
  <si>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</si>
  <si>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</si>
  <si>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</si>
  <si>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</si>
  <si>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</si>
  <si>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</si>
  <si>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</si>
  <si>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</si>
  <si>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</si>
  <si>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</si>
  <si>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</si>
  <si>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</si>
  <si>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</si>
  <si>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</si>
  <si>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</si>
  <si>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</si>
  <si>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</si>
  <si>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</si>
  <si>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</si>
  <si>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</si>
  <si>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</si>
  <si>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</si>
  <si>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</si>
  <si>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</si>
  <si>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</si>
  <si>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</si>
  <si>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</si>
  <si>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</si>
  <si>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</si>
  <si>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</si>
  <si>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</si>
  <si>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</si>
  <si>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</si>
  <si>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</si>
  <si>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</si>
  <si>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</si>
  <si>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</si>
  <si>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</si>
  <si>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</si>
  <si>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</si>
  <si>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</si>
  <si>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</si>
  <si>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</si>
  <si>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</si>
  <si>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</si>
  <si>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</si>
  <si>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</si>
  <si>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</si>
  <si>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</si>
  <si>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</si>
  <si>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</si>
  <si>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</si>
  <si>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</si>
  <si>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</si>
  <si>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</si>
  <si>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</si>
  <si>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</si>
  <si>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</si>
  <si>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</si>
  <si>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</si>
  <si>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</si>
  <si>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</si>
  <si>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</si>
  <si>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</si>
  <si>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</si>
  <si>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</si>
  <si>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</si>
  <si>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</si>
  <si>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</si>
  <si>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</si>
  <si>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</si>
  <si>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</si>
  <si>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</si>
  <si>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</si>
  <si>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</si>
  <si>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</si>
  <si>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</si>
  <si>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</si>
  <si>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</si>
  <si>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</si>
  <si>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</si>
  <si>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</si>
  <si>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</si>
  <si>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</si>
  <si>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</si>
  <si>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</si>
  <si>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</si>
  <si>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</si>
  <si>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</si>
  <si>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</si>
  <si>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</si>
  <si>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</si>
  <si>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</si>
  <si>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</si>
  <si>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</si>
  <si>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</si>
  <si>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</si>
  <si>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</si>
  <si>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</si>
  <si>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</si>
  <si>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</si>
  <si>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</si>
  <si>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</si>
  <si>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</si>
  <si>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</si>
  <si>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</si>
  <si>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</si>
  <si>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</si>
  <si>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</si>
  <si>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</si>
  <si>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</si>
  <si>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</si>
  <si>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</si>
  <si>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</si>
  <si>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</si>
  <si>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</si>
  <si>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</si>
  <si>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</si>
  <si>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</si>
  <si>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</si>
  <si>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</si>
  <si>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</si>
  <si>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</si>
  <si>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</si>
  <si>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</si>
  <si>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</si>
  <si>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</si>
  <si>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</si>
  <si>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</si>
  <si>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</si>
  <si>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</si>
  <si>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</si>
  <si>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</si>
  <si>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</si>
  <si>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</si>
  <si>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</si>
  <si>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</si>
  <si>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</si>
  <si>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</si>
  <si>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</si>
  <si>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</si>
  <si>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</si>
  <si>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</si>
  <si>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</si>
  <si>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</si>
  <si>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</si>
  <si>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</si>
  <si>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</si>
  <si>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</si>
  <si>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</si>
  <si>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</si>
  <si>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</si>
  <si>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</si>
  <si>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</si>
  <si>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</si>
  <si>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</si>
  <si>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</si>
  <si>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</si>
  <si>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</si>
  <si>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</si>
  <si>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</si>
  <si>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</si>
  <si>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</si>
  <si>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</si>
  <si>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</si>
  <si>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</si>
  <si>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</si>
  <si>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</si>
  <si>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</si>
  <si>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</si>
  <si>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</si>
  <si>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</si>
  <si>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</si>
  <si>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</si>
  <si>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</si>
  <si>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</si>
  <si>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</si>
  <si>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</si>
  <si>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</si>
  <si>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</si>
  <si>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</si>
  <si>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</si>
  <si>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</si>
  <si>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</si>
  <si>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</si>
  <si>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</si>
  <si>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</si>
  <si>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</si>
  <si>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</si>
  <si>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</si>
  <si>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</si>
  <si>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</si>
  <si>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</si>
  <si>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</si>
  <si>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</si>
  <si>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</si>
  <si>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</si>
  <si>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</si>
  <si>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</si>
  <si>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</si>
  <si>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</si>
  <si>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</si>
  <si>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</si>
  <si>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</si>
  <si>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</si>
  <si>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</si>
  <si>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</si>
  <si>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</si>
  <si>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</si>
  <si>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</si>
  <si>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</si>
  <si>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</si>
  <si>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</si>
  <si>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</si>
  <si>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</si>
  <si>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</si>
  <si>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</si>
  <si>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</si>
  <si>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</si>
  <si>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</si>
  <si>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</si>
  <si>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</si>
  <si>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</si>
  <si>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</si>
  <si>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</si>
  <si>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</si>
  <si>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</si>
  <si>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</si>
  <si>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</si>
  <si>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</si>
  <si>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</si>
  <si>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</si>
  <si>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</si>
  <si>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</si>
  <si>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</si>
  <si>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</si>
  <si>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</si>
  <si>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</si>
  <si>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</si>
  <si>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</si>
  <si>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</si>
  <si>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</si>
  <si>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</si>
  <si>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</si>
  <si>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</si>
  <si>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</si>
  <si>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</si>
  <si>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</si>
  <si>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</si>
  <si>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</si>
  <si>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</si>
  <si>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</si>
  <si>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</si>
  <si>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</si>
  <si>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</si>
  <si>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</si>
  <si>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</si>
  <si>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</si>
  <si>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</si>
  <si>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</si>
  <si>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</si>
  <si>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</si>
  <si>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</si>
  <si>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</si>
  <si>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</si>
  <si>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</si>
  <si>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</si>
  <si>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</si>
  <si>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</si>
  <si>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</si>
  <si>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</si>
  <si>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</si>
  <si>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</si>
  <si>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</si>
  <si>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</si>
  <si>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</si>
  <si>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</si>
  <si>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</si>
  <si>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</si>
  <si>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</si>
  <si>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</si>
  <si>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</si>
  <si>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</si>
  <si>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</si>
  <si>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</si>
  <si>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</si>
  <si>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</si>
  <si>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</si>
  <si>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</si>
  <si>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</si>
  <si>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</si>
  <si>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</si>
  <si>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</si>
  <si>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</si>
  <si>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</si>
  <si>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</si>
  <si>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</si>
  <si>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</si>
  <si>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</si>
  <si>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</si>
  <si>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</si>
  <si>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</si>
  <si>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</si>
  <si>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</si>
  <si>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</si>
  <si>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</si>
  <si>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</si>
  <si>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</si>
  <si>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</si>
  <si>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</si>
  <si>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</si>
  <si>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</si>
  <si>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</si>
  <si>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</si>
  <si>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</si>
  <si>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</si>
  <si>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</si>
  <si>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</si>
  <si>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</si>
  <si>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</si>
  <si>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</si>
  <si>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</si>
  <si>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</si>
  <si>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</si>
  <si>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</si>
  <si>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</si>
  <si>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</si>
  <si>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</si>
  <si>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</si>
  <si>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</si>
  <si>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</si>
  <si>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</si>
  <si>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</si>
  <si>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</si>
  <si>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</si>
  <si>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</si>
  <si>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</si>
  <si>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</si>
  <si>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</si>
  <si>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</si>
  <si>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</si>
  <si>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</si>
  <si>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</si>
  <si>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</si>
  <si>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</si>
  <si>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</si>
  <si>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</si>
  <si>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</si>
  <si>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</si>
  <si>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</si>
  <si>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</si>
  <si>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</si>
  <si>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</si>
  <si>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</si>
  <si>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</si>
  <si>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</si>
  <si>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</si>
  <si>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</si>
  <si>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</si>
  <si>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</si>
  <si>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</si>
  <si>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</si>
  <si>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</si>
  <si>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</si>
  <si>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</si>
  <si>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</si>
  <si>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</si>
  <si>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</si>
  <si>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</si>
  <si>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</si>
  <si>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</si>
  <si>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</si>
  <si>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</si>
  <si>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</si>
  <si>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</si>
  <si>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</si>
  <si>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</si>
  <si>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</si>
  <si>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</si>
  <si>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</si>
  <si>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</si>
  <si>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</si>
  <si>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</si>
  <si>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</si>
  <si>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</si>
  <si>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</si>
  <si>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</si>
  <si>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</si>
  <si>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</si>
  <si>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</si>
  <si>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</si>
  <si>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</si>
  <si>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</si>
  <si>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</si>
  <si>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</si>
  <si>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</si>
  <si>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</si>
  <si>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</si>
  <si>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</si>
  <si>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</si>
  <si>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</si>
  <si>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</si>
  <si>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</si>
  <si>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</si>
  <si>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</si>
  <si>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</si>
  <si>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</si>
  <si>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</si>
  <si>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</si>
  <si>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</si>
  <si>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</si>
  <si>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</si>
  <si>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</si>
  <si>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</si>
  <si>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</si>
  <si>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</si>
  <si>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</si>
  <si>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</si>
  <si>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</si>
  <si>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</si>
  <si>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</si>
  <si>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</si>
  <si>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</si>
  <si>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</si>
  <si>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</si>
  <si>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</si>
  <si>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</si>
  <si>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</si>
  <si>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</si>
  <si>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</si>
  <si>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</si>
  <si>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</si>
  <si>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</si>
  <si>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</si>
  <si>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</si>
  <si>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</si>
  <si>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</si>
  <si>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</si>
  <si>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</si>
  <si>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</si>
  <si>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</si>
  <si>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</si>
  <si>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</si>
  <si>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</si>
  <si>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</si>
  <si>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</si>
  <si>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</si>
  <si>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</si>
  <si>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</si>
  <si>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</si>
  <si>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</si>
  <si>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</si>
  <si>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</si>
  <si>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</si>
  <si>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</si>
  <si>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</si>
  <si>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</si>
  <si>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</si>
  <si>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</si>
  <si>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</si>
  <si>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</si>
  <si>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</si>
  <si>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</si>
  <si>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</si>
  <si>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</si>
  <si>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</si>
  <si>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</si>
  <si>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</si>
  <si>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</si>
  <si>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</si>
  <si>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</si>
  <si>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</si>
  <si>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</si>
  <si>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</si>
  <si>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</si>
  <si>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</si>
  <si>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</si>
  <si>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</si>
  <si>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</si>
  <si>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</si>
  <si>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</si>
  <si>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</si>
  <si>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</si>
  <si>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</si>
  <si>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</si>
  <si>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</si>
  <si>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</si>
  <si>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</si>
  <si>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</si>
  <si>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</si>
  <si>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</si>
  <si>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</si>
  <si>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</si>
  <si>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</si>
  <si>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</si>
  <si>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</si>
  <si>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</si>
  <si>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</si>
  <si>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</si>
  <si>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</si>
  <si>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</si>
  <si>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</si>
  <si>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</si>
  <si>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</si>
  <si>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</si>
  <si>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</si>
  <si>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</si>
  <si>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</si>
  <si>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</si>
  <si>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</si>
  <si>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</si>
  <si>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</si>
  <si>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</si>
  <si>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</si>
  <si>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</si>
  <si>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</si>
  <si>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</si>
  <si>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</si>
  <si>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</si>
  <si>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</si>
  <si>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</si>
  <si>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</si>
  <si>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</si>
  <si>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</si>
  <si>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</si>
  <si>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</si>
  <si>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</si>
  <si>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</si>
  <si>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</si>
  <si>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</si>
  <si>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</si>
  <si>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</si>
  <si>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</si>
  <si>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</si>
  <si>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</si>
  <si>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</si>
  <si>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</si>
  <si>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</si>
  <si>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</si>
  <si>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</si>
  <si>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</si>
  <si>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</si>
  <si>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</si>
  <si>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</si>
  <si>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</si>
  <si>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</si>
  <si>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</si>
  <si>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</si>
  <si>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</si>
  <si>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</si>
  <si>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</si>
  <si>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</si>
  <si>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</si>
  <si>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</si>
  <si>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</si>
  <si>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</si>
  <si>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</si>
  <si>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</si>
  <si>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</si>
  <si>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</si>
  <si>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</si>
  <si>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</si>
  <si>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</si>
  <si>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</si>
  <si>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</si>
  <si>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</si>
  <si>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</si>
  <si>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</si>
  <si>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</si>
  <si>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</si>
  <si>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</si>
  <si>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</si>
  <si>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</si>
  <si>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</si>
  <si>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</si>
  <si>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</si>
  <si>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</si>
  <si>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</si>
  <si>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</si>
  <si>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</si>
  <si>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</si>
  <si>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</si>
  <si>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</si>
  <si>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</si>
  <si>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</si>
  <si>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</si>
  <si>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</si>
  <si>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</si>
  <si>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</si>
  <si>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</si>
  <si>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</si>
  <si>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</si>
  <si>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</si>
  <si>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</si>
  <si>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</si>
  <si>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</si>
  <si>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</si>
  <si>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</si>
  <si>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</si>
  <si>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</si>
  <si>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</si>
  <si>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</si>
  <si>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</si>
  <si>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</si>
  <si>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</si>
  <si>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</si>
  <si>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</si>
  <si>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</si>
  <si>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</si>
  <si>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</si>
  <si>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</si>
  <si>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</si>
  <si>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</si>
  <si>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</si>
  <si>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</si>
  <si>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</si>
  <si>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</si>
  <si>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</si>
  <si>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</si>
  <si>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</si>
  <si>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</si>
  <si>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</si>
  <si>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</si>
  <si>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</si>
  <si>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</si>
  <si>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</si>
  <si>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</si>
  <si>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</si>
  <si>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</si>
  <si>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</si>
  <si>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</si>
  <si>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</si>
  <si>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</si>
  <si>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</si>
  <si>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</si>
  <si>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</si>
  <si>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</si>
  <si>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</si>
  <si>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</si>
  <si>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</si>
  <si>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</si>
  <si>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</si>
  <si>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</si>
  <si>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</si>
  <si>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</si>
  <si>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</si>
  <si>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</si>
  <si>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</si>
  <si>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</si>
  <si>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</si>
  <si>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</si>
  <si>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</si>
  <si>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</si>
  <si>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</si>
  <si>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</si>
  <si>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</si>
  <si>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</si>
  <si>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</si>
  <si>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</si>
  <si>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</si>
  <si>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</si>
  <si>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</si>
  <si>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</si>
  <si>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</si>
  <si>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</si>
  <si>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</si>
  <si>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</si>
  <si>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</si>
  <si>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</si>
  <si>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</si>
  <si>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</si>
  <si>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</si>
  <si>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</si>
  <si>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</si>
  <si>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</si>
  <si>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</si>
  <si>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</si>
  <si>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</si>
  <si>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</si>
  <si>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</si>
  <si>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</si>
  <si>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</si>
  <si>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</si>
  <si>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</si>
  <si>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</si>
  <si>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</si>
  <si>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</si>
  <si>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</si>
  <si>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</si>
  <si>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</si>
  <si>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</si>
  <si>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</si>
  <si>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</si>
  <si>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</si>
  <si>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</si>
  <si>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</si>
  <si>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</si>
  <si>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</si>
  <si>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</si>
  <si>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</si>
  <si>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</si>
  <si>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</si>
  <si>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</si>
  <si>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</si>
  <si>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</si>
  <si>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</si>
  <si>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</si>
  <si>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</si>
  <si>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</si>
  <si>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</si>
  <si>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</si>
  <si>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</si>
  <si>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</si>
  <si>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</si>
  <si>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</si>
  <si>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</si>
  <si>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</si>
  <si>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</si>
  <si>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</si>
  <si>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</si>
  <si>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</si>
  <si>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</si>
  <si>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</si>
  <si>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</si>
  <si>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</si>
  <si>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</si>
  <si>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</si>
  <si>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</si>
  <si>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</si>
  <si>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</si>
  <si>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</si>
  <si>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</si>
  <si>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</si>
  <si>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</si>
  <si>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</si>
  <si>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</si>
  <si>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</si>
  <si>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</si>
  <si>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</si>
  <si>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</si>
  <si>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</si>
  <si>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</si>
  <si>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</si>
  <si>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</si>
  <si>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</si>
  <si>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</si>
  <si>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</si>
  <si>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</si>
  <si>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</si>
  <si>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</si>
  <si>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</si>
  <si>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</si>
  <si>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</si>
  <si>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</si>
  <si>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</si>
  <si>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</si>
  <si>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</si>
  <si>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</si>
  <si>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</si>
  <si>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</si>
  <si>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</si>
  <si>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</si>
  <si>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</si>
  <si>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</si>
  <si>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</si>
  <si>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</si>
  <si>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</si>
  <si>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</si>
  <si>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</si>
  <si>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</si>
  <si>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</si>
  <si>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</si>
  <si>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</si>
  <si>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</si>
  <si>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</si>
  <si>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</si>
  <si>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</si>
  <si>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</si>
  <si>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</si>
  <si>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</si>
  <si>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</si>
  <si>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</si>
  <si>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</si>
  <si>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</si>
  <si>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</si>
  <si>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</si>
  <si>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</si>
  <si>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</si>
  <si>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</si>
  <si>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</si>
  <si>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</si>
  <si>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</si>
  <si>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</si>
  <si>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</si>
  <si>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</si>
  <si>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</si>
  <si>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</si>
  <si>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</si>
  <si>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</si>
  <si>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</si>
  <si>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</si>
  <si>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</si>
  <si>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</si>
  <si>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</si>
  <si>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</si>
  <si>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</si>
  <si>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Current Pending on 02/27/2016</t>
  </si>
  <si>
    <t>Prior Pending on 02/20/2016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</si>
</sst>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42402.792557870373</v>
      </c>
      <c r="E3" t="s">
        <v>163</v>
      </c>
      <c r="F3" s="19">
        <v>0.99021257719037603</v>
      </c>
      <c r="G3" s="19">
        <v>0.98229750382068259</v>
      </c>
      <c r="H3" s="19">
        <v>0.92386557307200678</v>
      </c>
      <c r="I3" s="19">
        <v>4.4702571638478329E-2</v>
      </c>
      <c r="J3" s="19">
        <v>0.90872643939115538</v>
      </c>
      <c r="K3" s="19">
        <v>4.9032565706370053E-2</v>
      </c>
      <c r="L3" s="19"/>
      <c r="M3" s="19"/>
      <c r="N3" s="19"/>
      <c r="O3" s="19"/>
      <c r="P3" s="19"/>
    </row>
    <row r="4" spans="2:16" x14ac:dyDescent="0.2">
      <c r="B4" t="s">
        <v>646</v>
      </c>
      <c r="C4" t="s">
        <v>405</v>
      </c>
      <c r="D4" s="18">
        <v>42402.792557870373</v>
      </c>
      <c r="E4" t="s">
        <v>188</v>
      </c>
      <c r="F4" s="19">
        <v>0.98909882056567033</v>
      </c>
      <c r="G4" s="19">
        <v>0.96676514032496319</v>
      </c>
      <c r="H4" s="19">
        <v>0.8929422000597349</v>
      </c>
      <c r="I4" s="19">
        <v>4.4598008524262482E-2</v>
      </c>
      <c r="J4" s="19">
        <v>0.94163413191363499</v>
      </c>
      <c r="K4" s="19">
        <v>4.3932684132348569E-2</v>
      </c>
      <c r="L4" s="19"/>
      <c r="M4" s="19"/>
      <c r="N4" s="19"/>
      <c r="O4" s="19"/>
      <c r="P4" s="19"/>
    </row>
    <row r="5" spans="2:16" x14ac:dyDescent="0.2">
      <c r="B5" t="s">
        <v>540</v>
      </c>
      <c r="C5" t="s">
        <v>381</v>
      </c>
      <c r="D5" s="18">
        <v>42402.792557870373</v>
      </c>
      <c r="E5" t="s">
        <v>145</v>
      </c>
      <c r="F5" s="19">
        <v>0.94457178007158704</v>
      </c>
      <c r="G5" s="19">
        <v>0.85597397425354405</v>
      </c>
      <c r="H5" s="19">
        <v>0.88032852600260514</v>
      </c>
      <c r="I5" s="19">
        <v>4.8600403971410841E-2</v>
      </c>
      <c r="J5" s="19">
        <v>0.86614596291708057</v>
      </c>
      <c r="K5" s="19">
        <v>5.0205853138540278E-2</v>
      </c>
      <c r="L5" s="19"/>
      <c r="M5" s="19"/>
      <c r="N5" s="19"/>
      <c r="O5" s="19"/>
      <c r="P5" s="19"/>
    </row>
    <row r="6" spans="2:16" x14ac:dyDescent="0.2">
      <c r="B6" t="s">
        <v>534</v>
      </c>
      <c r="C6" t="s">
        <v>370</v>
      </c>
      <c r="D6" s="18">
        <v>42402.792557870373</v>
      </c>
      <c r="E6" t="s">
        <v>143</v>
      </c>
      <c r="F6" s="19">
        <v>0.9522162611490943</v>
      </c>
      <c r="G6" s="19">
        <v>0.82786855283839611</v>
      </c>
      <c r="H6" s="19">
        <v>0.842203026026212</v>
      </c>
      <c r="I6" s="19">
        <v>4.38819383870198E-2</v>
      </c>
      <c r="J6" s="19">
        <v>0.89718885478540555</v>
      </c>
      <c r="K6" s="19">
        <v>4.6466325855455043E-2</v>
      </c>
      <c r="L6" s="19"/>
      <c r="M6" s="19"/>
      <c r="N6" s="19"/>
      <c r="O6" s="19"/>
      <c r="P6" s="19"/>
    </row>
    <row r="7" spans="2:16" x14ac:dyDescent="0.2">
      <c r="B7" t="s">
        <v>602</v>
      </c>
      <c r="C7" t="s">
        <v>405</v>
      </c>
      <c r="D7" s="18">
        <v>42402.792557870373</v>
      </c>
      <c r="E7" t="s">
        <v>169</v>
      </c>
      <c r="F7" s="19">
        <v>0.99026854282351851</v>
      </c>
      <c r="G7" s="19">
        <v>0.9609375</v>
      </c>
      <c r="H7" s="19">
        <v>0.94417611647767041</v>
      </c>
      <c r="I7" s="19">
        <v>4.5377108513082194E-2</v>
      </c>
      <c r="J7" s="19">
        <v>0.96052981361169898</v>
      </c>
      <c r="K7" s="19">
        <v>2.9626253054451154E-2</v>
      </c>
      <c r="L7" s="19"/>
      <c r="M7" s="19"/>
      <c r="N7" s="19"/>
      <c r="O7" s="19"/>
      <c r="P7" s="19"/>
    </row>
    <row r="8" spans="2:16" x14ac:dyDescent="0.2">
      <c r="B8" t="s">
        <v>513</v>
      </c>
      <c r="C8" t="s">
        <v>370</v>
      </c>
      <c r="D8" s="18">
        <v>42402.792557870373</v>
      </c>
      <c r="E8" t="s">
        <v>136</v>
      </c>
      <c r="F8" s="19">
        <v>0.92003092401083031</v>
      </c>
      <c r="G8" s="19">
        <v>0.82912793271359009</v>
      </c>
      <c r="H8" s="19">
        <v>0.8224097713256715</v>
      </c>
      <c r="I8" s="19">
        <v>5.8539885663012187E-2</v>
      </c>
      <c r="J8" s="19">
        <v>0.91285424560278361</v>
      </c>
      <c r="K8" s="19">
        <v>5.6891988498294598E-2</v>
      </c>
      <c r="L8" s="19"/>
      <c r="M8" s="19"/>
      <c r="N8" s="19"/>
      <c r="O8" s="19"/>
      <c r="P8" s="19"/>
    </row>
    <row r="9" spans="2:16" x14ac:dyDescent="0.2">
      <c r="B9" t="s">
        <v>521</v>
      </c>
      <c r="C9" t="s">
        <v>370</v>
      </c>
      <c r="D9" s="18">
        <v>42402.792557870373</v>
      </c>
      <c r="E9" t="s">
        <v>139</v>
      </c>
      <c r="F9" s="19">
        <v>0.94734487088812225</v>
      </c>
      <c r="G9" s="19">
        <v>0.91250149826201588</v>
      </c>
      <c r="H9" s="19">
        <v>0.88085529288821096</v>
      </c>
      <c r="I9" s="19">
        <v>5.1265236134882243E-2</v>
      </c>
      <c r="J9" s="19">
        <v>0.87298312137742362</v>
      </c>
      <c r="K9" s="19">
        <v>4.8714812917729021E-2</v>
      </c>
      <c r="L9" s="19"/>
      <c r="M9" s="19"/>
      <c r="N9" s="19"/>
      <c r="O9" s="19"/>
      <c r="P9" s="19"/>
    </row>
    <row r="10" spans="2:16" x14ac:dyDescent="0.2">
      <c r="B10" t="s">
        <v>638</v>
      </c>
      <c r="C10" t="s">
        <v>386</v>
      </c>
      <c r="D10" s="18">
        <v>42402.792557870373</v>
      </c>
      <c r="E10" t="s">
        <v>674</v>
      </c>
      <c r="F10" s="19">
        <v>0.95627859234941748</v>
      </c>
      <c r="G10" s="19">
        <v>0.91538461538461535</v>
      </c>
      <c r="H10" s="19">
        <v>0.87379115915701289</v>
      </c>
      <c r="I10" s="19">
        <v>5.4125456874918425E-2</v>
      </c>
      <c r="J10" s="19">
        <v>0.88011518781566589</v>
      </c>
      <c r="K10" s="19">
        <v>5.7671836319839895E-2</v>
      </c>
      <c r="L10" s="19"/>
      <c r="M10" s="19"/>
      <c r="N10" s="19"/>
      <c r="O10" s="19"/>
      <c r="P10" s="19"/>
    </row>
    <row r="11" spans="2:16" x14ac:dyDescent="0.2">
      <c r="B11" t="s">
        <v>568</v>
      </c>
      <c r="C11" t="s">
        <v>391</v>
      </c>
      <c r="D11" s="18">
        <v>42402.792557870373</v>
      </c>
      <c r="E11" t="s">
        <v>155</v>
      </c>
      <c r="F11" s="19">
        <v>0.92786852923383256</v>
      </c>
      <c r="G11" s="19">
        <v>0.83343613435892483</v>
      </c>
      <c r="H11" s="19">
        <v>0.89533340032093134</v>
      </c>
      <c r="I11" s="19">
        <v>4.5621680266297912E-2</v>
      </c>
      <c r="J11" s="19">
        <v>0.87116229207732476</v>
      </c>
      <c r="K11" s="19">
        <v>4.9192003057344211E-2</v>
      </c>
      <c r="L11" s="252"/>
      <c r="M11" s="252"/>
      <c r="N11" s="252"/>
      <c r="O11" s="252"/>
      <c r="P11" s="252"/>
    </row>
    <row r="12" spans="2:16" x14ac:dyDescent="0.2">
      <c r="B12" t="s">
        <v>560</v>
      </c>
      <c r="C12" t="s">
        <v>391</v>
      </c>
      <c r="D12" s="18">
        <v>42402.792557870373</v>
      </c>
      <c r="E12" t="s">
        <v>152</v>
      </c>
      <c r="F12" s="19">
        <v>0.98130619800575092</v>
      </c>
      <c r="G12" s="19">
        <v>0.90968935883532154</v>
      </c>
      <c r="H12" s="19">
        <v>0.92193247716030458</v>
      </c>
      <c r="I12" s="19">
        <v>4.1420701289907241E-2</v>
      </c>
      <c r="J12" s="19">
        <v>0.86279036764797001</v>
      </c>
      <c r="K12" s="19">
        <v>5.9175225691739969E-2</v>
      </c>
      <c r="L12" s="19"/>
      <c r="M12" s="19"/>
      <c r="N12" s="19"/>
      <c r="O12" s="19"/>
      <c r="P12" s="19"/>
    </row>
    <row r="13" spans="2:16" x14ac:dyDescent="0.2">
      <c r="B13" t="s">
        <v>548</v>
      </c>
      <c r="C13" t="s">
        <v>381</v>
      </c>
      <c r="D13" s="18">
        <v>42402.792557870373</v>
      </c>
      <c r="E13" t="s">
        <v>148</v>
      </c>
      <c r="F13" s="19">
        <v>0.9742299327494397</v>
      </c>
      <c r="G13" s="19">
        <v>0.91804427898134577</v>
      </c>
      <c r="H13" s="19">
        <v>0.94060298179653867</v>
      </c>
      <c r="I13" s="19">
        <v>4.6325147759908279E-2</v>
      </c>
      <c r="J13" s="19">
        <v>0.90254791306439397</v>
      </c>
      <c r="K13" s="19">
        <v>5.7514173835959283E-2</v>
      </c>
      <c r="L13" s="19"/>
      <c r="M13" s="19"/>
      <c r="N13" s="19"/>
      <c r="O13" s="19"/>
      <c r="P13" s="19"/>
    </row>
    <row r="14" spans="2:16" x14ac:dyDescent="0.2">
      <c r="B14" t="s">
        <v>386</v>
      </c>
      <c r="C14" t="s">
        <v>386</v>
      </c>
      <c r="D14" s="18">
        <v>42402.792557870373</v>
      </c>
      <c r="E14" t="s">
        <v>665</v>
      </c>
      <c r="F14" s="19">
        <v>0.96385830894499491</v>
      </c>
      <c r="G14" s="19">
        <v>0.89832405666373194</v>
      </c>
      <c r="H14" s="19">
        <v>0.90693090678591337</v>
      </c>
      <c r="I14" s="19">
        <v>1.6899784172818285E-2</v>
      </c>
      <c r="J14" s="19">
        <v>0.92669655812967577</v>
      </c>
      <c r="K14" s="19">
        <v>1.6435234493496723E-2</v>
      </c>
      <c r="L14" s="19"/>
      <c r="M14" s="19"/>
      <c r="N14" s="19"/>
      <c r="O14" s="19"/>
      <c r="P14" s="19"/>
    </row>
    <row r="15" spans="2:16" x14ac:dyDescent="0.2">
      <c r="B15" t="s">
        <v>585</v>
      </c>
      <c r="C15" t="s">
        <v>386</v>
      </c>
      <c r="D15" s="18">
        <v>42402.792557870373</v>
      </c>
      <c r="E15" t="s">
        <v>162</v>
      </c>
      <c r="F15" s="19">
        <v>0.99358005638977287</v>
      </c>
      <c r="G15" s="19">
        <v>0.96201901813356927</v>
      </c>
      <c r="H15" s="19">
        <v>0.9303037937613321</v>
      </c>
      <c r="I15" s="19">
        <v>4.0995542416165168E-2</v>
      </c>
      <c r="J15" s="19">
        <v>0.89831627321759144</v>
      </c>
      <c r="K15" s="19">
        <v>4.8364845836913875E-2</v>
      </c>
      <c r="L15" s="19"/>
      <c r="M15" s="19"/>
      <c r="N15" s="19"/>
      <c r="O15" s="19"/>
      <c r="P15" s="19"/>
    </row>
    <row r="16" spans="2:16" x14ac:dyDescent="0.2">
      <c r="B16" t="s">
        <v>577</v>
      </c>
      <c r="C16" t="s">
        <v>391</v>
      </c>
      <c r="D16" s="18">
        <v>42402.792557870373</v>
      </c>
      <c r="E16" t="s">
        <v>159</v>
      </c>
      <c r="F16" s="19">
        <v>0.92810210956899997</v>
      </c>
      <c r="G16" s="19">
        <v>0.91901779500944425</v>
      </c>
      <c r="H16" s="19">
        <v>0.97493066328209455</v>
      </c>
      <c r="I16" s="19">
        <v>2.7563920207492387E-2</v>
      </c>
      <c r="J16" s="19">
        <v>0.97754531193891614</v>
      </c>
      <c r="K16" s="19">
        <v>2.2121885807232147E-2</v>
      </c>
      <c r="L16" s="252"/>
      <c r="M16" s="252"/>
      <c r="N16" s="252"/>
      <c r="O16" s="252"/>
      <c r="P16" s="252"/>
    </row>
    <row r="17" spans="2:16" x14ac:dyDescent="0.2">
      <c r="B17" t="s">
        <v>570</v>
      </c>
      <c r="C17" t="s">
        <v>391</v>
      </c>
      <c r="D17" s="18">
        <v>42402.792557870373</v>
      </c>
      <c r="E17" t="s">
        <v>156</v>
      </c>
      <c r="F17" s="19">
        <v>0.96092343745443665</v>
      </c>
      <c r="G17" s="19">
        <v>0.93576303239598746</v>
      </c>
      <c r="H17" s="19">
        <v>0.90173179529156078</v>
      </c>
      <c r="I17" s="19">
        <v>4.4586971947892164E-2</v>
      </c>
      <c r="J17" s="19">
        <v>0.90434008944486888</v>
      </c>
      <c r="K17" s="19">
        <v>4.8270521665829375E-2</v>
      </c>
      <c r="L17" s="19"/>
      <c r="M17" s="19"/>
      <c r="N17" s="19"/>
      <c r="O17" s="19"/>
      <c r="P17" s="19"/>
    </row>
    <row r="18" spans="2:16" x14ac:dyDescent="0.2">
      <c r="B18" t="s">
        <v>634</v>
      </c>
      <c r="C18" t="s">
        <v>391</v>
      </c>
      <c r="D18" s="18">
        <v>42402.792557870373</v>
      </c>
      <c r="E18" t="s">
        <v>183</v>
      </c>
      <c r="F18" s="19">
        <v>0.91959858177129838</v>
      </c>
      <c r="G18" s="19">
        <v>0.88588474232038583</v>
      </c>
      <c r="H18" s="19">
        <v>0.93298881157047342</v>
      </c>
      <c r="I18" s="19">
        <v>4.1028432257753093E-2</v>
      </c>
      <c r="J18" s="19">
        <v>0.96429435512764439</v>
      </c>
      <c r="K18" s="19">
        <v>3.1242122640087331E-2</v>
      </c>
      <c r="L18" s="19"/>
      <c r="M18" s="19"/>
      <c r="N18" s="19"/>
      <c r="O18" s="19"/>
      <c r="P18" s="19"/>
    </row>
    <row r="19" spans="2:16" x14ac:dyDescent="0.2">
      <c r="B19" t="s">
        <v>632</v>
      </c>
      <c r="C19" t="s">
        <v>386</v>
      </c>
      <c r="D19" s="18">
        <v>42402.792557870373</v>
      </c>
      <c r="E19" t="s">
        <v>182</v>
      </c>
      <c r="F19" s="19">
        <v>1</v>
      </c>
      <c r="G19" s="19">
        <v>1</v>
      </c>
      <c r="H19" s="19">
        <v>0.95049704259655077</v>
      </c>
      <c r="I19" s="19">
        <v>3.8901834799351533E-2</v>
      </c>
      <c r="J19" s="19">
        <v>0.95833722493455042</v>
      </c>
      <c r="K19" s="19">
        <v>3.182887260554651E-2</v>
      </c>
      <c r="L19" s="19"/>
      <c r="M19" s="19"/>
      <c r="N19" s="19"/>
      <c r="O19" s="19"/>
      <c r="P19" s="19"/>
    </row>
    <row r="20" spans="2:16" x14ac:dyDescent="0.2">
      <c r="B20" t="s">
        <v>523</v>
      </c>
      <c r="C20" t="s">
        <v>370</v>
      </c>
      <c r="D20" s="18">
        <v>42402.792557870373</v>
      </c>
      <c r="E20" t="s">
        <v>140</v>
      </c>
      <c r="F20" s="19">
        <v>0.98993004258277562</v>
      </c>
      <c r="G20" s="19">
        <v>0.98201187565490722</v>
      </c>
      <c r="H20" s="19">
        <v>0.91856880779742667</v>
      </c>
      <c r="I20" s="19">
        <v>4.4166390999585019E-2</v>
      </c>
      <c r="J20" s="19">
        <v>0.97189620044649627</v>
      </c>
      <c r="K20" s="19">
        <v>2.8646577881709233E-2</v>
      </c>
      <c r="L20" s="19"/>
      <c r="M20" s="19"/>
      <c r="N20" s="19"/>
      <c r="O20" s="19"/>
      <c r="P20" s="19"/>
    </row>
    <row r="21" spans="2:16" x14ac:dyDescent="0.2">
      <c r="B21" t="s">
        <v>642</v>
      </c>
      <c r="C21" t="s">
        <v>405</v>
      </c>
      <c r="D21" s="18">
        <v>42402.792557870373</v>
      </c>
      <c r="E21" t="s">
        <v>186</v>
      </c>
      <c r="F21" s="19">
        <v>0.9495042068983468</v>
      </c>
      <c r="G21" s="19">
        <v>0.91495578016424506</v>
      </c>
      <c r="H21" s="19">
        <v>0.88919333979954762</v>
      </c>
      <c r="I21" s="19">
        <v>4.591444878848968E-2</v>
      </c>
      <c r="J21" s="19">
        <v>0.96366085459851836</v>
      </c>
      <c r="K21" s="19">
        <v>2.9708351548735051E-2</v>
      </c>
      <c r="L21" s="19"/>
      <c r="M21" s="19"/>
      <c r="N21" s="19"/>
      <c r="O21" s="19"/>
      <c r="P21" s="19"/>
    </row>
    <row r="22" spans="2:16" x14ac:dyDescent="0.2">
      <c r="B22" t="s">
        <v>620</v>
      </c>
      <c r="C22" t="s">
        <v>386</v>
      </c>
      <c r="D22" s="18">
        <v>42402.792557870373</v>
      </c>
      <c r="E22" t="s">
        <v>177</v>
      </c>
      <c r="F22" s="19">
        <v>0.93263306936421397</v>
      </c>
      <c r="G22" s="19">
        <v>0.76488137561623049</v>
      </c>
      <c r="H22" s="19">
        <v>0.85649054881211739</v>
      </c>
      <c r="I22" s="19">
        <v>4.7083109080858637E-2</v>
      </c>
      <c r="J22" s="19">
        <v>0.897273540950976</v>
      </c>
      <c r="K22" s="19">
        <v>4.7670647730583153E-2</v>
      </c>
      <c r="L22" s="19"/>
      <c r="M22" s="19"/>
      <c r="N22" s="19"/>
      <c r="O22" s="19"/>
      <c r="P22" s="19"/>
    </row>
    <row r="23" spans="2:16" x14ac:dyDescent="0.2">
      <c r="B23" t="s">
        <v>538</v>
      </c>
      <c r="C23" t="s">
        <v>370</v>
      </c>
      <c r="D23" s="18">
        <v>42402.792557870373</v>
      </c>
      <c r="E23" t="s">
        <v>144</v>
      </c>
      <c r="F23" s="19">
        <v>0.95520986394348695</v>
      </c>
      <c r="G23" s="19">
        <v>0.8990246406570841</v>
      </c>
      <c r="H23" s="19">
        <v>0.89846693280810053</v>
      </c>
      <c r="I23" s="19">
        <v>4.4677437236061268E-2</v>
      </c>
      <c r="J23" s="19">
        <v>0.8798455168020386</v>
      </c>
      <c r="K23" s="19">
        <v>5.406313262750892E-2</v>
      </c>
      <c r="L23" s="19"/>
      <c r="M23" s="19"/>
      <c r="N23" s="19"/>
      <c r="O23" s="19"/>
      <c r="P23" s="19"/>
    </row>
    <row r="24" spans="2:16" x14ac:dyDescent="0.2">
      <c r="B24" t="s">
        <v>562</v>
      </c>
      <c r="C24" t="s">
        <v>391</v>
      </c>
      <c r="D24" s="18">
        <v>42402.792557870373</v>
      </c>
      <c r="E24" t="s">
        <v>153</v>
      </c>
      <c r="F24" s="19">
        <v>0.96955401407551856</v>
      </c>
      <c r="G24" s="19">
        <v>0.93647607461476068</v>
      </c>
      <c r="H24" s="19">
        <v>0.91864561176467907</v>
      </c>
      <c r="I24" s="19">
        <v>4.5358079478069226E-2</v>
      </c>
      <c r="J24" s="19">
        <v>0.94995618077013422</v>
      </c>
      <c r="K24" s="19">
        <v>3.176495137067107E-2</v>
      </c>
      <c r="L24" s="19"/>
      <c r="M24" s="19"/>
      <c r="N24" s="19"/>
      <c r="O24" s="19"/>
      <c r="P24" s="19"/>
    </row>
    <row r="25" spans="2:16" x14ac:dyDescent="0.2">
      <c r="B25" t="s">
        <v>556</v>
      </c>
      <c r="C25" t="s">
        <v>386</v>
      </c>
      <c r="D25" s="18">
        <v>42402.792557870373</v>
      </c>
      <c r="E25" t="s">
        <v>151</v>
      </c>
      <c r="F25" s="19">
        <v>0.93464424154020975</v>
      </c>
      <c r="G25" s="19">
        <v>0.85293821931288238</v>
      </c>
      <c r="H25" s="19">
        <v>0.90171597660623126</v>
      </c>
      <c r="I25" s="19">
        <v>4.1754556805369984E-2</v>
      </c>
      <c r="J25" s="19">
        <v>0.88765514428503201</v>
      </c>
      <c r="K25" s="19">
        <v>5.2662266913355536E-2</v>
      </c>
      <c r="L25" s="19"/>
      <c r="M25" s="19"/>
      <c r="N25" s="19"/>
      <c r="O25" s="19"/>
      <c r="P25" s="19"/>
    </row>
    <row r="26" spans="2:16" x14ac:dyDescent="0.2">
      <c r="B26" t="s">
        <v>579</v>
      </c>
      <c r="C26" t="s">
        <v>391</v>
      </c>
      <c r="D26" s="18">
        <v>42402.792557870373</v>
      </c>
      <c r="E26" t="s">
        <v>160</v>
      </c>
      <c r="F26" s="19">
        <v>0.94408368475064464</v>
      </c>
      <c r="G26" s="19">
        <v>0.82149858561936728</v>
      </c>
      <c r="H26" s="19">
        <v>0.94280739099584399</v>
      </c>
      <c r="I26" s="19">
        <v>4.0941982349522732E-2</v>
      </c>
      <c r="J26" s="19">
        <v>0.98282962681366026</v>
      </c>
      <c r="K26" s="19">
        <v>2.0997937551773944E-2</v>
      </c>
      <c r="L26" s="19"/>
      <c r="M26" s="19"/>
      <c r="N26" s="19"/>
      <c r="O26" s="19"/>
      <c r="P26" s="19"/>
    </row>
    <row r="27" spans="2:16" x14ac:dyDescent="0.2">
      <c r="B27" t="s">
        <v>608</v>
      </c>
      <c r="C27" t="s">
        <v>386</v>
      </c>
      <c r="D27" s="18">
        <v>42402.792557870373</v>
      </c>
      <c r="E27" t="s">
        <v>172</v>
      </c>
      <c r="F27" s="19">
        <v>0.93944228355647597</v>
      </c>
      <c r="G27" s="19">
        <v>0.84470554105018858</v>
      </c>
      <c r="H27" s="19">
        <v>0.89016887853807003</v>
      </c>
      <c r="I27" s="19">
        <v>5.2218716912599064E-2</v>
      </c>
      <c r="J27" s="19">
        <v>0.93720768377588071</v>
      </c>
      <c r="K27" s="19">
        <v>4.298039800169505E-2</v>
      </c>
      <c r="L27" s="19"/>
      <c r="M27" s="19"/>
      <c r="N27" s="19"/>
      <c r="O27" s="19"/>
      <c r="P27" s="19"/>
    </row>
    <row r="28" spans="2:16" x14ac:dyDescent="0.2">
      <c r="B28" t="s">
        <v>594</v>
      </c>
      <c r="C28" t="s">
        <v>405</v>
      </c>
      <c r="D28" s="18">
        <v>42402.792557870373</v>
      </c>
      <c r="E28" t="s">
        <v>166</v>
      </c>
      <c r="F28" s="19">
        <v>0.89326907729976479</v>
      </c>
      <c r="G28" s="19">
        <v>0.8751943024541895</v>
      </c>
      <c r="H28" s="19">
        <v>0.87883883632687643</v>
      </c>
      <c r="I28" s="19">
        <v>4.6543643046770174E-2</v>
      </c>
      <c r="J28" s="19">
        <v>0.89139772142951879</v>
      </c>
      <c r="K28" s="19">
        <v>4.9515158506126582E-2</v>
      </c>
      <c r="L28" s="19"/>
      <c r="M28" s="19"/>
      <c r="N28" s="19"/>
      <c r="O28" s="19"/>
      <c r="P28" s="19"/>
    </row>
    <row r="29" spans="2:16" x14ac:dyDescent="0.2">
      <c r="B29" t="s">
        <v>564</v>
      </c>
      <c r="C29" t="s">
        <v>381</v>
      </c>
      <c r="D29" s="18">
        <v>42402.792557870373</v>
      </c>
      <c r="E29" t="s">
        <v>154</v>
      </c>
      <c r="F29" s="19">
        <v>0.97932943894426017</v>
      </c>
      <c r="G29" s="19">
        <v>0.9162293545417235</v>
      </c>
      <c r="H29" s="19">
        <v>0.91881713362202855</v>
      </c>
      <c r="I29" s="19">
        <v>4.4440201418607189E-2</v>
      </c>
      <c r="J29" s="19">
        <v>0.90707189397400168</v>
      </c>
      <c r="K29" s="19">
        <v>4.6703027555203253E-2</v>
      </c>
      <c r="L29" s="19"/>
      <c r="M29" s="19"/>
      <c r="N29" s="19"/>
      <c r="O29" s="19"/>
      <c r="P29" s="19"/>
    </row>
    <row r="30" spans="2:16" x14ac:dyDescent="0.2">
      <c r="B30" t="s">
        <v>623</v>
      </c>
      <c r="C30" t="s">
        <v>370</v>
      </c>
      <c r="D30" s="18">
        <v>42402.792557870373</v>
      </c>
      <c r="E30" t="s">
        <v>178</v>
      </c>
      <c r="F30" s="19">
        <v>0.9225344833944219</v>
      </c>
      <c r="G30" s="19">
        <v>0.87495107632093938</v>
      </c>
      <c r="H30" s="19">
        <v>0.91155899939943086</v>
      </c>
      <c r="I30" s="19">
        <v>4.248226071937445E-2</v>
      </c>
      <c r="J30" s="19">
        <v>0.90746375865221363</v>
      </c>
      <c r="K30" s="19">
        <v>4.8376078880169475E-2</v>
      </c>
      <c r="L30" s="19"/>
      <c r="M30" s="19"/>
      <c r="N30" s="19"/>
      <c r="O30" s="19"/>
      <c r="P30" s="19"/>
    </row>
    <row r="31" spans="2:16" x14ac:dyDescent="0.2">
      <c r="B31" t="s">
        <v>616</v>
      </c>
      <c r="C31" t="s">
        <v>405</v>
      </c>
      <c r="D31" s="18">
        <v>42402.792557870373</v>
      </c>
      <c r="E31" t="s">
        <v>176</v>
      </c>
      <c r="F31" s="19">
        <v>0.93786895456104569</v>
      </c>
      <c r="G31" s="19">
        <v>0.85092421441774491</v>
      </c>
      <c r="H31" s="19">
        <v>0.92198482494131651</v>
      </c>
      <c r="I31" s="19">
        <v>4.6643039070142792E-2</v>
      </c>
      <c r="J31" s="19">
        <v>0.97874008221011366</v>
      </c>
      <c r="K31" s="19">
        <v>2.2704340495750017E-2</v>
      </c>
      <c r="L31" s="19"/>
      <c r="M31" s="19"/>
      <c r="N31" s="19"/>
      <c r="O31" s="19"/>
      <c r="P31" s="19"/>
    </row>
    <row r="32" spans="2:16" x14ac:dyDescent="0.2">
      <c r="B32" t="s">
        <v>391</v>
      </c>
      <c r="C32" t="s">
        <v>391</v>
      </c>
      <c r="D32" s="18">
        <v>42402.792557870373</v>
      </c>
      <c r="E32" t="s">
        <v>664</v>
      </c>
      <c r="F32" s="19">
        <v>0.96069504266336359</v>
      </c>
      <c r="G32" s="19">
        <v>0.91998299165750519</v>
      </c>
      <c r="H32" s="19">
        <v>0.93274408586577651</v>
      </c>
      <c r="I32" s="19">
        <v>1.2962535302318515E-2</v>
      </c>
      <c r="J32" s="19">
        <v>0.90450873283650812</v>
      </c>
      <c r="K32" s="19">
        <v>2.0217744940316251E-2</v>
      </c>
      <c r="L32" s="19"/>
      <c r="M32" s="19"/>
      <c r="N32" s="19"/>
      <c r="O32" s="19"/>
      <c r="P32" s="19"/>
    </row>
    <row r="33" spans="2:16" x14ac:dyDescent="0.2">
      <c r="B33" t="s">
        <v>209</v>
      </c>
      <c r="C33" t="s">
        <v>391</v>
      </c>
      <c r="D33" s="18">
        <v>42402.792557870373</v>
      </c>
      <c r="E33" t="s">
        <v>157</v>
      </c>
      <c r="F33" s="19">
        <v>1</v>
      </c>
      <c r="G33" s="19">
        <v>1</v>
      </c>
      <c r="H33" s="19">
        <v>0.97024033102774343</v>
      </c>
      <c r="I33" s="19">
        <v>3.2569503735522642E-2</v>
      </c>
      <c r="J33" s="19">
        <v>0.90559044392784016</v>
      </c>
      <c r="K33" s="19">
        <v>5.1611680850660237E-2</v>
      </c>
      <c r="L33" s="19">
        <v>1</v>
      </c>
      <c r="M33" s="19">
        <v>0.95704848542894139</v>
      </c>
      <c r="N33" s="19">
        <v>3.3782744105177114E-2</v>
      </c>
      <c r="O33" s="19">
        <v>0.98013116774505915</v>
      </c>
      <c r="P33" s="19">
        <v>2.0651495188656527E-2</v>
      </c>
    </row>
    <row r="34" spans="2:16" x14ac:dyDescent="0.2">
      <c r="B34" t="s">
        <v>572</v>
      </c>
      <c r="C34" t="s">
        <v>391</v>
      </c>
      <c r="D34" s="18">
        <v>42402.792557870373</v>
      </c>
      <c r="E34" t="s">
        <v>157</v>
      </c>
      <c r="F34" s="19">
        <v>1</v>
      </c>
      <c r="G34" s="19">
        <v>1</v>
      </c>
      <c r="H34" s="19">
        <v>0.97024033102774343</v>
      </c>
      <c r="I34" s="19">
        <v>3.2569503735522642E-2</v>
      </c>
      <c r="J34" s="19">
        <v>0.90559044392784016</v>
      </c>
      <c r="K34" s="19">
        <v>5.1611680850660237E-2</v>
      </c>
      <c r="L34" s="19">
        <v>1</v>
      </c>
      <c r="M34" s="19">
        <v>0.95704848542894139</v>
      </c>
      <c r="N34" s="19">
        <v>3.3782744105177114E-2</v>
      </c>
      <c r="O34" s="19">
        <v>0.98013116774505915</v>
      </c>
      <c r="P34" s="19">
        <v>2.0651495188656527E-2</v>
      </c>
    </row>
    <row r="35" spans="2:16" x14ac:dyDescent="0.2">
      <c r="B35" t="s">
        <v>554</v>
      </c>
      <c r="C35" t="s">
        <v>381</v>
      </c>
      <c r="D35" s="18">
        <v>42402.792557870373</v>
      </c>
      <c r="E35" t="s">
        <v>150</v>
      </c>
      <c r="F35" s="19">
        <v>0.88554670062240204</v>
      </c>
      <c r="G35" s="19">
        <v>0.85741808662337904</v>
      </c>
      <c r="H35" s="19">
        <v>0.91149482243486379</v>
      </c>
      <c r="I35" s="19">
        <v>4.19390239845071E-2</v>
      </c>
      <c r="J35" s="19">
        <v>0.93555163866055802</v>
      </c>
      <c r="K35" s="19">
        <v>3.8161796524960677E-2</v>
      </c>
      <c r="L35" s="19"/>
      <c r="M35" s="19"/>
      <c r="N35" s="19"/>
      <c r="O35" s="19"/>
      <c r="P35" s="19"/>
    </row>
    <row r="36" spans="2:16" x14ac:dyDescent="0.2">
      <c r="B36" t="s">
        <v>610</v>
      </c>
      <c r="C36" t="s">
        <v>386</v>
      </c>
      <c r="D36" s="18">
        <v>42402.792557870373</v>
      </c>
      <c r="E36" t="s">
        <v>173</v>
      </c>
      <c r="F36" s="19">
        <v>0.97083422013069431</v>
      </c>
      <c r="G36" s="19">
        <v>0.93651120491437601</v>
      </c>
      <c r="H36" s="19">
        <v>0.93058725544370491</v>
      </c>
      <c r="I36" s="19">
        <v>4.4592152108633626E-2</v>
      </c>
      <c r="J36" s="19">
        <v>0.93236830491634104</v>
      </c>
      <c r="K36" s="19">
        <v>4.9416540512729125E-2</v>
      </c>
      <c r="L36" s="19"/>
      <c r="M36" s="19"/>
      <c r="N36" s="19"/>
      <c r="O36" s="19"/>
      <c r="P36" s="19"/>
    </row>
    <row r="37" spans="2:16" x14ac:dyDescent="0.2">
      <c r="B37" t="s">
        <v>550</v>
      </c>
      <c r="C37" t="s">
        <v>381</v>
      </c>
      <c r="D37" s="18">
        <v>42402.792557870373</v>
      </c>
      <c r="E37" t="s">
        <v>91</v>
      </c>
      <c r="F37" s="19">
        <v>0.9512168387527079</v>
      </c>
      <c r="G37" s="19">
        <v>0.94444706808343182</v>
      </c>
      <c r="H37" s="19">
        <v>0.94161034412323064</v>
      </c>
      <c r="I37" s="19">
        <v>3.6520600797546904E-2</v>
      </c>
      <c r="J37" s="19">
        <v>0.94699861910129357</v>
      </c>
      <c r="K37" s="19">
        <v>3.6091367627528258E-2</v>
      </c>
      <c r="L37" s="19"/>
      <c r="M37" s="19"/>
      <c r="N37" s="19"/>
      <c r="O37" s="19"/>
      <c r="P37" s="19"/>
    </row>
    <row r="38" spans="2:16" x14ac:dyDescent="0.2">
      <c r="B38" t="s">
        <v>552</v>
      </c>
      <c r="C38" t="s">
        <v>386</v>
      </c>
      <c r="D38" s="18">
        <v>42402.792557870373</v>
      </c>
      <c r="E38" t="s">
        <v>149</v>
      </c>
      <c r="F38" s="19">
        <v>0.95369416580983546</v>
      </c>
      <c r="G38" s="19">
        <v>0.95236875800256082</v>
      </c>
      <c r="H38" s="19">
        <v>0.93075943578109166</v>
      </c>
      <c r="I38" s="19">
        <v>4.0838302058497436E-2</v>
      </c>
      <c r="J38" s="19">
        <v>0.93927354812821884</v>
      </c>
      <c r="K38" s="19">
        <v>3.8567106306674363E-2</v>
      </c>
      <c r="L38" s="19"/>
      <c r="M38" s="19"/>
      <c r="N38" s="19"/>
      <c r="O38" s="19"/>
      <c r="P38" s="19"/>
    </row>
    <row r="39" spans="2:16" x14ac:dyDescent="0.2">
      <c r="B39" t="s">
        <v>519</v>
      </c>
      <c r="C39" t="s">
        <v>370</v>
      </c>
      <c r="D39" s="18">
        <v>42402.792557870373</v>
      </c>
      <c r="E39" t="s">
        <v>138</v>
      </c>
      <c r="F39" s="19">
        <v>0.88952171488590737</v>
      </c>
      <c r="G39" s="19">
        <v>0.83282529113340265</v>
      </c>
      <c r="H39" s="19">
        <v>0.88424799257486897</v>
      </c>
      <c r="I39" s="19">
        <v>5.0536325462534393E-2</v>
      </c>
      <c r="J39" s="19">
        <v>0.92408633871721113</v>
      </c>
      <c r="K39" s="19">
        <v>4.2544668366328295E-2</v>
      </c>
      <c r="L39" s="19"/>
      <c r="M39" s="19"/>
      <c r="N39" s="19"/>
      <c r="O39" s="19"/>
      <c r="P39" s="19"/>
    </row>
    <row r="40" spans="2:16" x14ac:dyDescent="0.2">
      <c r="B40" t="s">
        <v>525</v>
      </c>
      <c r="C40" t="s">
        <v>370</v>
      </c>
      <c r="D40" s="18">
        <v>42402.792557870373</v>
      </c>
      <c r="E40" t="s">
        <v>141</v>
      </c>
      <c r="F40" s="19">
        <v>0.95354711421527771</v>
      </c>
      <c r="G40" s="19">
        <v>0.91015948021264037</v>
      </c>
      <c r="H40" s="19">
        <v>0.88299603417964745</v>
      </c>
      <c r="I40" s="19">
        <v>4.4161345626278742E-2</v>
      </c>
      <c r="J40" s="19">
        <v>0.86248768091456884</v>
      </c>
      <c r="K40" s="19">
        <v>4.8970754203361368E-2</v>
      </c>
      <c r="L40" s="19"/>
      <c r="M40" s="19"/>
      <c r="N40" s="19"/>
      <c r="O40" s="19"/>
      <c r="P40" s="19"/>
    </row>
    <row r="41" spans="2:16" x14ac:dyDescent="0.2">
      <c r="B41" t="s">
        <v>370</v>
      </c>
      <c r="C41" t="s">
        <v>370</v>
      </c>
      <c r="D41" s="18">
        <v>42402.792557870373</v>
      </c>
      <c r="E41" t="s">
        <v>663</v>
      </c>
      <c r="F41" s="19">
        <v>0.95757339174388845</v>
      </c>
      <c r="G41" s="19">
        <v>0.88451958322366298</v>
      </c>
      <c r="H41" s="19">
        <v>0.87102005553659012</v>
      </c>
      <c r="I41" s="19">
        <v>1.6779937109791945E-2</v>
      </c>
      <c r="J41" s="19">
        <v>0.88779000950336173</v>
      </c>
      <c r="K41" s="19">
        <v>1.6398674127541639E-2</v>
      </c>
      <c r="L41" s="19"/>
      <c r="M41" s="19"/>
      <c r="N41" s="19"/>
      <c r="O41" s="19"/>
      <c r="P41" s="19"/>
    </row>
    <row r="42" spans="2:16" x14ac:dyDescent="0.2">
      <c r="B42" t="s">
        <v>592</v>
      </c>
      <c r="C42" t="s">
        <v>405</v>
      </c>
      <c r="D42" s="18">
        <v>42402.792557870373</v>
      </c>
      <c r="E42" t="s">
        <v>165</v>
      </c>
      <c r="F42" s="19">
        <v>0.9511999543340518</v>
      </c>
      <c r="G42" s="19">
        <v>0.88320356351285223</v>
      </c>
      <c r="H42" s="19">
        <v>0.93320076882911129</v>
      </c>
      <c r="I42" s="19">
        <v>3.7236070038179747E-2</v>
      </c>
      <c r="J42" s="19">
        <v>0.90908549174824882</v>
      </c>
      <c r="K42" s="19">
        <v>4.8477228639203104E-2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42402.792557870373</v>
      </c>
      <c r="E44" t="s">
        <v>666</v>
      </c>
      <c r="F44" s="19">
        <v>0.95091248007184537</v>
      </c>
      <c r="G44" s="19">
        <v>0.87059993889652698</v>
      </c>
      <c r="H44" s="19">
        <v>0.90082882892466642</v>
      </c>
      <c r="I44" s="19">
        <v>1.6731572431743159E-2</v>
      </c>
      <c r="J44" s="19">
        <v>0.93225376419541728</v>
      </c>
      <c r="K44" s="19">
        <v>1.5504671358880699E-2</v>
      </c>
      <c r="L44" s="19"/>
      <c r="M44" s="19"/>
      <c r="N44" s="19"/>
      <c r="O44" s="19"/>
      <c r="P44" s="19"/>
    </row>
    <row r="45" spans="2:16" x14ac:dyDescent="0.2">
      <c r="B45" t="s">
        <v>210</v>
      </c>
      <c r="C45" t="s">
        <v>370</v>
      </c>
      <c r="D45" s="18">
        <v>42402.792557870373</v>
      </c>
      <c r="E45" t="s">
        <v>99</v>
      </c>
      <c r="F45" s="19">
        <v>0.96983043474868014</v>
      </c>
      <c r="G45" s="19">
        <v>0.95262104841936779</v>
      </c>
      <c r="H45" s="19">
        <v>0.87100740304885416</v>
      </c>
      <c r="I45" s="19">
        <v>5.0069275114879373E-2</v>
      </c>
      <c r="J45" s="19">
        <v>0.88783491475028098</v>
      </c>
      <c r="K45" s="19">
        <v>5.2746539175090777E-2</v>
      </c>
      <c r="L45" s="19">
        <v>0.91136788048552764</v>
      </c>
      <c r="M45" s="19">
        <v>0.93459371679464298</v>
      </c>
      <c r="N45" s="19">
        <v>4.2261878047708451E-2</v>
      </c>
      <c r="O45" s="19">
        <v>0.92155775825621267</v>
      </c>
      <c r="P45" s="19">
        <v>5.0714243158281887E-2</v>
      </c>
    </row>
    <row r="46" spans="2:16" x14ac:dyDescent="0.2">
      <c r="B46" t="s">
        <v>527</v>
      </c>
      <c r="C46" t="s">
        <v>370</v>
      </c>
      <c r="D46" s="18">
        <v>42402.792557870373</v>
      </c>
      <c r="E46" t="s">
        <v>99</v>
      </c>
      <c r="F46" s="19">
        <v>0.96983043474868014</v>
      </c>
      <c r="G46" s="19">
        <v>0.95262104841936779</v>
      </c>
      <c r="H46" s="19">
        <v>0.87100740304885416</v>
      </c>
      <c r="I46" s="19">
        <v>5.0069275114879373E-2</v>
      </c>
      <c r="J46" s="19">
        <v>0.88783491475028098</v>
      </c>
      <c r="K46" s="19">
        <v>5.2746539175090777E-2</v>
      </c>
      <c r="L46" s="19">
        <v>0.91136788048552764</v>
      </c>
      <c r="M46" s="19">
        <v>0.93459371679464298</v>
      </c>
      <c r="N46" s="19">
        <v>4.2261878047708451E-2</v>
      </c>
      <c r="O46" s="19">
        <v>0.92155775825621267</v>
      </c>
      <c r="P46" s="19">
        <v>5.0714243158281887E-2</v>
      </c>
    </row>
    <row r="47" spans="2:16" x14ac:dyDescent="0.2">
      <c r="B47" t="s">
        <v>596</v>
      </c>
      <c r="C47" t="s">
        <v>405</v>
      </c>
      <c r="D47" s="18">
        <v>42402.792557870373</v>
      </c>
      <c r="E47" t="s">
        <v>167</v>
      </c>
      <c r="F47" s="19">
        <v>0.97265204598921262</v>
      </c>
      <c r="G47" s="19">
        <v>0.87517063698063879</v>
      </c>
      <c r="H47" s="19">
        <v>0.89218377265116833</v>
      </c>
      <c r="I47" s="19">
        <v>5.1810838271822417E-2</v>
      </c>
      <c r="J47" s="19">
        <v>0.92430392962543739</v>
      </c>
      <c r="K47" s="19">
        <v>4.5480489635469114E-2</v>
      </c>
      <c r="L47" s="19"/>
      <c r="M47" s="19"/>
      <c r="N47" s="19"/>
      <c r="O47" s="19"/>
      <c r="P47" s="19"/>
    </row>
    <row r="48" spans="2:16" x14ac:dyDescent="0.2">
      <c r="B48" t="s">
        <v>530</v>
      </c>
      <c r="C48" t="s">
        <v>370</v>
      </c>
      <c r="D48" s="18">
        <v>42402.792557870373</v>
      </c>
      <c r="E48" t="s">
        <v>142</v>
      </c>
      <c r="F48" s="19">
        <v>0.93799862424031832</v>
      </c>
      <c r="G48" s="19">
        <v>0.89850958126330749</v>
      </c>
      <c r="H48" s="19">
        <v>0.90169103094867309</v>
      </c>
      <c r="I48" s="19">
        <v>4.7082646149322185E-2</v>
      </c>
      <c r="J48" s="19">
        <v>0.86885072585735335</v>
      </c>
      <c r="K48" s="19">
        <v>6.4142498818594407E-2</v>
      </c>
      <c r="L48" s="19"/>
      <c r="M48" s="19"/>
      <c r="N48" s="19"/>
      <c r="O48" s="19"/>
      <c r="P48" s="19"/>
    </row>
    <row r="49" spans="2:16" x14ac:dyDescent="0.2">
      <c r="B49" t="s">
        <v>604</v>
      </c>
      <c r="C49" t="s">
        <v>405</v>
      </c>
      <c r="D49" s="18">
        <v>42402.792557870373</v>
      </c>
      <c r="E49" t="s">
        <v>170</v>
      </c>
      <c r="F49" s="19">
        <v>0.90487665826153918</v>
      </c>
      <c r="G49" s="19">
        <v>0.85402702887174931</v>
      </c>
      <c r="H49" s="19">
        <v>0.90344693081011473</v>
      </c>
      <c r="I49" s="19">
        <v>4.9583924989371794E-2</v>
      </c>
      <c r="J49" s="19">
        <v>0.94688624777347807</v>
      </c>
      <c r="K49" s="19">
        <v>3.6917605481218703E-2</v>
      </c>
      <c r="L49" s="19"/>
      <c r="M49" s="19"/>
      <c r="N49" s="19"/>
      <c r="O49" s="19"/>
      <c r="P49" s="19"/>
    </row>
    <row r="50" spans="2:16" x14ac:dyDescent="0.2">
      <c r="B50" t="s">
        <v>515</v>
      </c>
      <c r="C50" t="s">
        <v>370</v>
      </c>
      <c r="D50" s="18">
        <v>42402.792557870373</v>
      </c>
      <c r="E50" t="s">
        <v>137</v>
      </c>
      <c r="F50" s="19">
        <v>0.95403590393920756</v>
      </c>
      <c r="G50" s="19">
        <v>0.91120550016198121</v>
      </c>
      <c r="H50" s="19">
        <v>0.85700166900714037</v>
      </c>
      <c r="I50" s="19">
        <v>6.239579409000285E-2</v>
      </c>
      <c r="J50" s="19">
        <v>0.94730565810244738</v>
      </c>
      <c r="K50" s="19">
        <v>3.9028748484039609E-2</v>
      </c>
      <c r="L50" s="19"/>
      <c r="M50" s="19"/>
      <c r="N50" s="19"/>
      <c r="O50" s="19"/>
      <c r="P50" s="19"/>
    </row>
    <row r="51" spans="2:16" x14ac:dyDescent="0.2">
      <c r="B51" t="s">
        <v>612</v>
      </c>
      <c r="C51" t="s">
        <v>405</v>
      </c>
      <c r="D51" s="18">
        <v>42402.792557870373</v>
      </c>
      <c r="E51" t="s">
        <v>174</v>
      </c>
      <c r="F51" s="19">
        <v>0.93606805140841598</v>
      </c>
      <c r="G51" s="19">
        <v>0.90032062952623715</v>
      </c>
      <c r="H51" s="19">
        <v>0.89390537174154416</v>
      </c>
      <c r="I51" s="19">
        <v>5.0963464107201588E-2</v>
      </c>
      <c r="J51" s="19">
        <v>0.93322644016138834</v>
      </c>
      <c r="K51" s="19">
        <v>4.7041991674280366E-2</v>
      </c>
      <c r="L51" s="19"/>
      <c r="M51" s="19"/>
      <c r="N51" s="19"/>
      <c r="O51" s="19"/>
      <c r="P51" s="19"/>
    </row>
    <row r="52" spans="2:16" x14ac:dyDescent="0.2">
      <c r="B52" t="s">
        <v>536</v>
      </c>
      <c r="C52" t="s">
        <v>370</v>
      </c>
      <c r="D52" s="18">
        <v>42402.792557870373</v>
      </c>
      <c r="E52" t="s">
        <v>103</v>
      </c>
      <c r="F52" s="19">
        <v>0.96462301783285598</v>
      </c>
      <c r="G52" s="19">
        <v>0.84775253745770907</v>
      </c>
      <c r="H52" s="19">
        <v>0.90270774976657331</v>
      </c>
      <c r="I52" s="19">
        <v>4.9104041771363856E-2</v>
      </c>
      <c r="J52" s="19">
        <v>0.90813818095777743</v>
      </c>
      <c r="K52" s="19">
        <v>4.5930490841287079E-2</v>
      </c>
      <c r="L52" s="19"/>
      <c r="M52" s="19"/>
      <c r="N52" s="19"/>
      <c r="O52" s="19"/>
      <c r="P52" s="19"/>
    </row>
    <row r="53" spans="2:16" x14ac:dyDescent="0.2">
      <c r="B53" t="s">
        <v>589</v>
      </c>
      <c r="C53" t="s">
        <v>386</v>
      </c>
      <c r="D53" s="18">
        <v>42402.792557870373</v>
      </c>
      <c r="E53" t="s">
        <v>164</v>
      </c>
      <c r="F53" s="19">
        <v>0.97093573968339297</v>
      </c>
      <c r="G53" s="19">
        <v>0.91699368708411522</v>
      </c>
      <c r="H53" s="19">
        <v>0.91995036059274715</v>
      </c>
      <c r="I53" s="19">
        <v>4.1806825532778688E-2</v>
      </c>
      <c r="J53" s="19">
        <v>0.96085201077483051</v>
      </c>
      <c r="K53" s="19">
        <v>3.0732842229228369E-2</v>
      </c>
      <c r="L53" s="252"/>
      <c r="M53" s="252"/>
      <c r="N53" s="252"/>
      <c r="O53" s="252"/>
      <c r="P53" s="252"/>
    </row>
    <row r="54" spans="2:16" x14ac:dyDescent="0.2">
      <c r="B54" t="s">
        <v>625</v>
      </c>
      <c r="C54" t="s">
        <v>405</v>
      </c>
      <c r="D54" s="18">
        <v>42402.792557870373</v>
      </c>
      <c r="E54" t="s">
        <v>179</v>
      </c>
      <c r="F54" s="19">
        <v>0.97267888359946175</v>
      </c>
      <c r="G54" s="19">
        <v>0.81957527808562181</v>
      </c>
      <c r="H54" s="19">
        <v>0.8747351783338988</v>
      </c>
      <c r="I54" s="19">
        <v>4.4920823423744378E-2</v>
      </c>
      <c r="J54" s="19">
        <v>0.93401734259708091</v>
      </c>
      <c r="K54" s="19">
        <v>4.1153618499221806E-2</v>
      </c>
      <c r="L54" s="19"/>
      <c r="M54" s="19"/>
      <c r="N54" s="19"/>
      <c r="O54" s="19"/>
      <c r="P54" s="19"/>
    </row>
    <row r="55" spans="2:16" x14ac:dyDescent="0.2">
      <c r="B55" t="s">
        <v>614</v>
      </c>
      <c r="C55" t="s">
        <v>381</v>
      </c>
      <c r="D55" s="18">
        <v>42402.792557870373</v>
      </c>
      <c r="E55" t="s">
        <v>175</v>
      </c>
      <c r="F55" s="19">
        <v>0.94091938832361088</v>
      </c>
      <c r="G55" s="19">
        <v>0.89865552760809697</v>
      </c>
      <c r="H55" s="19">
        <v>0.86108257554476819</v>
      </c>
      <c r="I55" s="19">
        <v>5.1576093785307787E-2</v>
      </c>
      <c r="J55" s="19">
        <v>0.84396393101002032</v>
      </c>
      <c r="K55" s="19">
        <v>5.8887028450742493E-2</v>
      </c>
      <c r="L55" s="19"/>
      <c r="M55" s="19"/>
      <c r="N55" s="19"/>
      <c r="O55" s="19"/>
      <c r="P55" s="19"/>
    </row>
    <row r="56" spans="2:16" x14ac:dyDescent="0.2">
      <c r="B56" t="s">
        <v>598</v>
      </c>
      <c r="C56" t="s">
        <v>405</v>
      </c>
      <c r="D56" s="18">
        <v>42402.792557870373</v>
      </c>
      <c r="E56" t="s">
        <v>168</v>
      </c>
      <c r="F56" s="19">
        <v>0.9526163113588153</v>
      </c>
      <c r="G56" s="19">
        <v>0.86859184476202966</v>
      </c>
      <c r="H56" s="19">
        <v>0.91417097258314695</v>
      </c>
      <c r="I56" s="19">
        <v>4.1688607192402499E-2</v>
      </c>
      <c r="J56" s="19">
        <v>0.94901451799278203</v>
      </c>
      <c r="K56" s="19">
        <v>3.6092080078209535E-2</v>
      </c>
      <c r="L56" s="19"/>
      <c r="M56" s="19"/>
      <c r="N56" s="19"/>
      <c r="O56" s="19"/>
      <c r="P56" s="19"/>
    </row>
    <row r="57" spans="2:16" x14ac:dyDescent="0.2">
      <c r="B57" t="s">
        <v>636</v>
      </c>
      <c r="C57" t="s">
        <v>391</v>
      </c>
      <c r="D57" s="18">
        <v>42402.792557870373</v>
      </c>
      <c r="E57" t="s">
        <v>184</v>
      </c>
      <c r="F57" s="19">
        <v>0.95610576715696816</v>
      </c>
      <c r="G57" s="19">
        <v>0.96147789218655366</v>
      </c>
      <c r="H57" s="19">
        <v>0.94407724738202092</v>
      </c>
      <c r="I57" s="19">
        <v>3.7696104611010244E-2</v>
      </c>
      <c r="J57" s="19">
        <v>0.93535379963951404</v>
      </c>
      <c r="K57" s="19">
        <v>3.866493813454433E-2</v>
      </c>
      <c r="L57" s="19"/>
      <c r="M57" s="19"/>
      <c r="N57" s="19"/>
      <c r="O57" s="19"/>
      <c r="P57" s="19"/>
    </row>
    <row r="58" spans="2:16" x14ac:dyDescent="0.2">
      <c r="B58" t="s">
        <v>381</v>
      </c>
      <c r="C58" t="s">
        <v>381</v>
      </c>
      <c r="D58" s="18">
        <v>42402.792557870373</v>
      </c>
      <c r="E58" t="s">
        <v>662</v>
      </c>
      <c r="F58" s="19">
        <v>0.93370662958414119</v>
      </c>
      <c r="G58" s="19">
        <v>0.88971006798547725</v>
      </c>
      <c r="H58" s="19">
        <v>0.89601095127896169</v>
      </c>
      <c r="I58" s="19">
        <v>2.1608141535586895E-2</v>
      </c>
      <c r="J58" s="19">
        <v>0.88980819445518344</v>
      </c>
      <c r="K58" s="19">
        <v>2.6709645963988251E-2</v>
      </c>
      <c r="L58" s="19"/>
      <c r="M58" s="19"/>
      <c r="N58" s="19"/>
      <c r="O58" s="19"/>
      <c r="P58" s="19"/>
    </row>
    <row r="59" spans="2:16" x14ac:dyDescent="0.2">
      <c r="B59" t="s">
        <v>575</v>
      </c>
      <c r="C59" t="s">
        <v>391</v>
      </c>
      <c r="D59" s="18">
        <v>42402.792557870373</v>
      </c>
      <c r="E59" t="s">
        <v>158</v>
      </c>
      <c r="F59" s="19">
        <v>0.92872188132824673</v>
      </c>
      <c r="G59" s="19">
        <v>0.94149561130693216</v>
      </c>
      <c r="H59" s="19">
        <v>0.91759667900002095</v>
      </c>
      <c r="I59" s="19">
        <v>4.1870510558278513E-2</v>
      </c>
      <c r="J59" s="19">
        <v>0.87590974808953648</v>
      </c>
      <c r="K59" s="19">
        <v>5.2352628836894725E-2</v>
      </c>
      <c r="L59" s="19"/>
      <c r="M59" s="19"/>
      <c r="N59" s="19"/>
      <c r="O59" s="19"/>
      <c r="P59" s="19"/>
    </row>
    <row r="60" spans="2:16" x14ac:dyDescent="0.2">
      <c r="B60" t="s">
        <v>212</v>
      </c>
      <c r="C60" t="s">
        <v>391</v>
      </c>
      <c r="D60" s="18">
        <v>42402.792557870373</v>
      </c>
      <c r="E60" t="s">
        <v>161</v>
      </c>
      <c r="F60" s="19">
        <v>0.9783971930021349</v>
      </c>
      <c r="G60" s="19">
        <v>0.93732946859903377</v>
      </c>
      <c r="H60" s="19">
        <v>0.95762070183218773</v>
      </c>
      <c r="I60" s="19">
        <v>3.4354336701004441E-2</v>
      </c>
      <c r="J60" s="19">
        <v>0.87665682618486718</v>
      </c>
      <c r="K60" s="19">
        <v>5.4449177398107194E-2</v>
      </c>
      <c r="L60" s="19">
        <v>1</v>
      </c>
      <c r="M60" s="19">
        <v>1</v>
      </c>
      <c r="N60" s="19">
        <v>0</v>
      </c>
      <c r="O60" s="19">
        <v>0.99067946088732484</v>
      </c>
      <c r="P60" s="19">
        <v>1.389452691707369E-2</v>
      </c>
    </row>
    <row r="61" spans="2:16" x14ac:dyDescent="0.2">
      <c r="B61" t="s">
        <v>581</v>
      </c>
      <c r="C61" t="s">
        <v>391</v>
      </c>
      <c r="D61" s="18">
        <v>42402.792557870373</v>
      </c>
      <c r="E61" t="s">
        <v>161</v>
      </c>
      <c r="F61" s="19">
        <v>0.9783971930021349</v>
      </c>
      <c r="G61" s="19">
        <v>0.93732946859903377</v>
      </c>
      <c r="H61" s="19">
        <v>0.95762070183218773</v>
      </c>
      <c r="I61" s="19">
        <v>3.4354336701004441E-2</v>
      </c>
      <c r="J61" s="19">
        <v>0.87665682618486718</v>
      </c>
      <c r="K61" s="19">
        <v>5.4449177398107194E-2</v>
      </c>
      <c r="L61" s="19">
        <v>1</v>
      </c>
      <c r="M61" s="19">
        <v>1</v>
      </c>
      <c r="N61" s="19">
        <v>0</v>
      </c>
      <c r="O61" s="19">
        <v>0.99067946088732484</v>
      </c>
      <c r="P61" s="19">
        <v>1.389452691707369E-2</v>
      </c>
    </row>
    <row r="62" spans="2:16" x14ac:dyDescent="0.2">
      <c r="B62" t="s">
        <v>542</v>
      </c>
      <c r="C62" t="s">
        <v>381</v>
      </c>
      <c r="D62" s="18">
        <v>42402.792557870373</v>
      </c>
      <c r="E62" t="s">
        <v>146</v>
      </c>
      <c r="F62" s="19">
        <v>0.88272116463669792</v>
      </c>
      <c r="G62" s="19">
        <v>0.86958418634017032</v>
      </c>
      <c r="H62" s="19">
        <v>0.85547639285164678</v>
      </c>
      <c r="I62" s="19">
        <v>5.810087084719498E-2</v>
      </c>
      <c r="J62" s="19">
        <v>0.86861864788594056</v>
      </c>
      <c r="K62" s="19">
        <v>5.8529750197890779E-2</v>
      </c>
      <c r="L62" s="19"/>
      <c r="M62" s="19"/>
      <c r="N62" s="19"/>
      <c r="O62" s="19"/>
      <c r="P62" s="19"/>
    </row>
    <row r="63" spans="2:16" x14ac:dyDescent="0.2">
      <c r="B63" t="s">
        <v>628</v>
      </c>
      <c r="C63" t="s">
        <v>370</v>
      </c>
      <c r="D63" s="18">
        <v>42402.792557870373</v>
      </c>
      <c r="E63" t="s">
        <v>180</v>
      </c>
      <c r="F63" s="19">
        <v>0.98553645310298277</v>
      </c>
      <c r="G63" s="19">
        <v>0.9533347630280935</v>
      </c>
      <c r="H63" s="19">
        <v>0.87306950737491573</v>
      </c>
      <c r="I63" s="19">
        <v>5.9091365831284007E-2</v>
      </c>
      <c r="J63" s="19">
        <v>0.95094492314857926</v>
      </c>
      <c r="K63" s="19">
        <v>3.9694218061758518E-2</v>
      </c>
      <c r="L63" s="19"/>
      <c r="M63" s="19"/>
      <c r="N63" s="19"/>
      <c r="O63" s="19"/>
      <c r="P63" s="19"/>
    </row>
    <row r="64" spans="2:16" x14ac:dyDescent="0.2">
      <c r="B64" t="s">
        <v>697</v>
      </c>
      <c r="C64" t="s">
        <v>6</v>
      </c>
      <c r="D64" s="18">
        <v>42402.792557870373</v>
      </c>
      <c r="E64" t="s">
        <v>438</v>
      </c>
      <c r="F64" s="19"/>
      <c r="G64" s="19"/>
      <c r="H64" s="19"/>
      <c r="I64" s="19"/>
      <c r="J64" s="19"/>
      <c r="K64" s="19"/>
      <c r="L64" s="19">
        <v>0.9711446755960863</v>
      </c>
      <c r="M64" s="19">
        <v>0.96570592799830079</v>
      </c>
      <c r="N64" s="19">
        <v>1.7053791268045515E-2</v>
      </c>
      <c r="O64" s="19">
        <v>0.96388619008919263</v>
      </c>
      <c r="P64" s="19">
        <v>1.9360568793987624E-2</v>
      </c>
    </row>
    <row r="65" spans="2:16" x14ac:dyDescent="0.2">
      <c r="B65" t="s">
        <v>699</v>
      </c>
      <c r="C65" t="s">
        <v>6</v>
      </c>
      <c r="D65" s="18">
        <v>42402.792557870373</v>
      </c>
      <c r="E65" t="s">
        <v>438</v>
      </c>
      <c r="F65" s="19">
        <v>0.95422851559641386</v>
      </c>
      <c r="G65" s="19">
        <v>0.89217828476173011</v>
      </c>
      <c r="H65" s="19">
        <v>0.90031803464973736</v>
      </c>
      <c r="I65" s="19">
        <v>7.7183743553186444E-3</v>
      </c>
      <c r="J65" s="19">
        <v>0.90575421880437812</v>
      </c>
      <c r="K65" s="19">
        <v>8.8378441050331706E-3</v>
      </c>
      <c r="L65" s="19">
        <v>0.9711446755960863</v>
      </c>
      <c r="M65" s="19">
        <v>0.96570592799830079</v>
      </c>
      <c r="N65" s="19">
        <v>1.7053791268045515E-2</v>
      </c>
      <c r="O65" s="19">
        <v>0.96388619008919263</v>
      </c>
      <c r="P65" s="19">
        <v>1.9360568793987624E-2</v>
      </c>
    </row>
    <row r="66" spans="2:16" x14ac:dyDescent="0.2">
      <c r="B66" t="s">
        <v>606</v>
      </c>
      <c r="C66" t="s">
        <v>386</v>
      </c>
      <c r="D66" s="18">
        <v>42402.792557870373</v>
      </c>
      <c r="E66" t="s">
        <v>171</v>
      </c>
      <c r="F66" s="19">
        <v>0.97258266529556636</v>
      </c>
      <c r="G66" s="19">
        <v>0.93032200756151151</v>
      </c>
      <c r="H66" s="19">
        <v>0.90570169676241019</v>
      </c>
      <c r="I66" s="19">
        <v>4.4208248820713864E-2</v>
      </c>
      <c r="J66" s="19">
        <v>0.90772004227319869</v>
      </c>
      <c r="K66" s="19">
        <v>4.7943769822090303E-2</v>
      </c>
      <c r="L66" s="19"/>
      <c r="M66" s="19"/>
      <c r="N66" s="19"/>
      <c r="O66" s="19"/>
      <c r="P66" s="19"/>
    </row>
    <row r="67" spans="2:16" x14ac:dyDescent="0.2">
      <c r="B67" t="s">
        <v>671</v>
      </c>
      <c r="C67" t="s">
        <v>370</v>
      </c>
      <c r="D67" s="18">
        <v>42402.792557870373</v>
      </c>
      <c r="E67" t="s">
        <v>670</v>
      </c>
      <c r="F67" s="152">
        <v>0.92475683495231864</v>
      </c>
      <c r="G67" s="152">
        <v>0.89866209641751438</v>
      </c>
      <c r="H67" s="152">
        <v>0.90146484051538556</v>
      </c>
      <c r="I67" s="152">
        <v>0.10254957345666249</v>
      </c>
      <c r="J67" s="152">
        <v>0.81585299685723489</v>
      </c>
      <c r="K67" s="152">
        <v>3.9054668872034452E-2</v>
      </c>
      <c r="L67" s="152"/>
      <c r="M67" s="152"/>
      <c r="N67" s="152"/>
      <c r="O67" s="152"/>
      <c r="P67" s="152"/>
    </row>
    <row r="68" spans="2:16" x14ac:dyDescent="0.2">
      <c r="B68" t="s">
        <v>630</v>
      </c>
      <c r="C68" t="s">
        <v>370</v>
      </c>
      <c r="D68" s="18">
        <v>42402.792557870373</v>
      </c>
      <c r="E68" t="s">
        <v>89</v>
      </c>
      <c r="F68" s="152">
        <v>0.90064306247072845</v>
      </c>
      <c r="G68" s="152">
        <v>0.77753343310964129</v>
      </c>
      <c r="H68" s="152">
        <v>0.82786762886633225</v>
      </c>
      <c r="I68" s="152">
        <v>5.3760968353088433E-2</v>
      </c>
      <c r="J68" s="152">
        <v>0.89402069989789279</v>
      </c>
      <c r="K68" s="152">
        <v>3.9991870818219727E-2</v>
      </c>
      <c r="L68" s="152"/>
      <c r="M68" s="152"/>
      <c r="N68" s="152"/>
      <c r="O68" s="152"/>
      <c r="P68" s="152"/>
    </row>
    <row r="69" spans="2:16" x14ac:dyDescent="0.2">
      <c r="B69" t="s">
        <v>640</v>
      </c>
      <c r="C69" t="s">
        <v>391</v>
      </c>
      <c r="D69" s="18">
        <v>42402.792557870373</v>
      </c>
      <c r="E69" t="s">
        <v>185</v>
      </c>
      <c r="F69" s="152">
        <v>0.96384291546673162</v>
      </c>
      <c r="G69" s="152">
        <v>0.92170453086895132</v>
      </c>
      <c r="H69" s="152">
        <v>0.92700956950220914</v>
      </c>
      <c r="I69" s="152">
        <v>4.1403141636690177E-2</v>
      </c>
      <c r="J69" s="152">
        <v>0.90248105965581249</v>
      </c>
      <c r="K69" s="152">
        <v>6.077168311919081E-2</v>
      </c>
      <c r="L69" s="152"/>
      <c r="M69" s="152"/>
      <c r="N69" s="152"/>
      <c r="O69" s="152"/>
      <c r="P69" s="152"/>
    </row>
    <row r="70" spans="2:16" x14ac:dyDescent="0.2">
      <c r="B70" t="s">
        <v>644</v>
      </c>
      <c r="C70" t="s">
        <v>370</v>
      </c>
      <c r="D70" s="18">
        <v>42402.792557870373</v>
      </c>
      <c r="E70" t="s">
        <v>187</v>
      </c>
      <c r="F70" s="152">
        <v>0.92589855291765899</v>
      </c>
      <c r="G70" s="152">
        <v>0.81636345852895142</v>
      </c>
      <c r="H70" s="152">
        <v>0.87410464368295715</v>
      </c>
      <c r="I70" s="152">
        <v>4.7224326417964806E-2</v>
      </c>
      <c r="J70" s="152">
        <v>0.89126167613821938</v>
      </c>
      <c r="K70" s="152">
        <v>5.0360055410220851E-2</v>
      </c>
      <c r="L70" s="152"/>
      <c r="M70" s="152"/>
      <c r="N70" s="152"/>
      <c r="O70" s="152"/>
      <c r="P70" s="152"/>
    </row>
    <row r="71" spans="2:16" x14ac:dyDescent="0.2">
      <c r="B71" t="s">
        <v>544</v>
      </c>
      <c r="C71" t="s">
        <v>370</v>
      </c>
      <c r="D71" s="18">
        <v>42402.792557870373</v>
      </c>
      <c r="E71" t="s">
        <v>147</v>
      </c>
      <c r="F71" s="152">
        <v>0.96731833501782438</v>
      </c>
      <c r="G71" s="152">
        <v>0.84046100756427677</v>
      </c>
      <c r="H71" s="152">
        <v>0.83662619612724343</v>
      </c>
      <c r="I71" s="152">
        <v>5.3468016413209654E-2</v>
      </c>
      <c r="J71" s="152">
        <v>0.93547537910290268</v>
      </c>
      <c r="K71" s="152">
        <v>3.9996947951909403E-2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401244</v>
      </c>
      <c r="D3">
        <v>421.1191066998</v>
      </c>
      <c r="F3" t="s">
        <v>8</v>
      </c>
      <c r="G3">
        <v>10955</v>
      </c>
      <c r="P3">
        <v>10955</v>
      </c>
      <c r="Q3">
        <v>179.63991600470001</v>
      </c>
      <c r="V3" t="s">
        <v>309</v>
      </c>
      <c r="W3">
        <v>430</v>
      </c>
      <c r="X3">
        <v>301</v>
      </c>
      <c r="Y3">
        <v>344.87707641200001</v>
      </c>
      <c r="Z3">
        <v>30</v>
      </c>
      <c r="AA3">
        <v>696.16666666670005</v>
      </c>
      <c r="AB3">
        <v>78</v>
      </c>
      <c r="AC3">
        <v>585.23076923079998</v>
      </c>
      <c r="AD3">
        <v>32</v>
      </c>
      <c r="AE3">
        <v>673.3125</v>
      </c>
      <c r="AF3">
        <v>17</v>
      </c>
      <c r="AG3">
        <v>232.5294117647</v>
      </c>
      <c r="AH3">
        <v>2</v>
      </c>
      <c r="AI3">
        <v>134</v>
      </c>
      <c r="AL3" t="s">
        <v>309</v>
      </c>
      <c r="AM3">
        <v>6</v>
      </c>
      <c r="AN3">
        <v>4</v>
      </c>
      <c r="AO3">
        <v>554.25</v>
      </c>
      <c r="AP3">
        <v>1</v>
      </c>
      <c r="AQ3">
        <v>324</v>
      </c>
      <c r="AR3">
        <v>2</v>
      </c>
      <c r="AS3">
        <v>399</v>
      </c>
    </row>
    <row r="4" spans="2:51" x14ac:dyDescent="0.2">
      <c r="B4" t="s">
        <v>953</v>
      </c>
      <c r="C4">
        <v>36278</v>
      </c>
      <c r="D4">
        <v>421.1191066998</v>
      </c>
      <c r="F4" t="s">
        <v>8</v>
      </c>
      <c r="G4">
        <v>10955</v>
      </c>
      <c r="P4">
        <v>10955</v>
      </c>
      <c r="Q4">
        <v>179.63991600470001</v>
      </c>
      <c r="V4" t="s">
        <v>8</v>
      </c>
      <c r="W4">
        <v>4626</v>
      </c>
      <c r="X4">
        <v>3449</v>
      </c>
      <c r="Y4">
        <v>467.43706496520002</v>
      </c>
      <c r="Z4">
        <v>454</v>
      </c>
      <c r="AA4">
        <v>452.22026431720002</v>
      </c>
      <c r="AB4">
        <v>439</v>
      </c>
      <c r="AC4">
        <v>522.91116173119997</v>
      </c>
      <c r="AD4">
        <v>700</v>
      </c>
      <c r="AE4">
        <v>859.04285714289995</v>
      </c>
      <c r="AF4">
        <v>31</v>
      </c>
      <c r="AG4">
        <v>327.87096774190002</v>
      </c>
      <c r="AH4">
        <v>7</v>
      </c>
      <c r="AI4">
        <v>392.57142857140002</v>
      </c>
      <c r="AL4" t="s">
        <v>8</v>
      </c>
      <c r="AM4">
        <v>63</v>
      </c>
      <c r="AN4">
        <v>54</v>
      </c>
      <c r="AO4">
        <v>211.5925925926</v>
      </c>
      <c r="AP4">
        <v>7</v>
      </c>
      <c r="AQ4">
        <v>354.42857142859998</v>
      </c>
      <c r="AR4">
        <v>9</v>
      </c>
      <c r="AS4">
        <v>324.8888888889</v>
      </c>
    </row>
    <row r="5" spans="2:51" x14ac:dyDescent="0.2">
      <c r="B5" t="s">
        <v>965</v>
      </c>
      <c r="C5">
        <v>25252</v>
      </c>
      <c r="D5">
        <v>573.64600823700005</v>
      </c>
      <c r="F5" t="s">
        <v>43</v>
      </c>
      <c r="G5">
        <v>608</v>
      </c>
      <c r="H5">
        <v>506</v>
      </c>
      <c r="I5">
        <v>262.33794466400002</v>
      </c>
      <c r="J5">
        <v>29</v>
      </c>
      <c r="K5">
        <v>547.89655172410005</v>
      </c>
      <c r="L5">
        <v>76</v>
      </c>
      <c r="M5">
        <v>244.02631578949999</v>
      </c>
      <c r="N5">
        <v>25</v>
      </c>
      <c r="O5">
        <v>280.95999999999998</v>
      </c>
      <c r="R5">
        <v>1</v>
      </c>
      <c r="S5">
        <v>225</v>
      </c>
      <c r="V5" t="s">
        <v>8</v>
      </c>
      <c r="W5">
        <v>5056</v>
      </c>
      <c r="X5">
        <v>3750</v>
      </c>
      <c r="Y5">
        <v>457.59695918910001</v>
      </c>
      <c r="Z5">
        <v>484</v>
      </c>
      <c r="AA5">
        <v>467.34090909090003</v>
      </c>
      <c r="AB5">
        <v>517</v>
      </c>
      <c r="AC5">
        <v>532.31334622819998</v>
      </c>
      <c r="AD5">
        <v>732</v>
      </c>
      <c r="AE5">
        <v>850.92349726780003</v>
      </c>
      <c r="AF5">
        <v>48</v>
      </c>
      <c r="AG5">
        <v>294.1041666667</v>
      </c>
      <c r="AH5">
        <v>9</v>
      </c>
      <c r="AI5">
        <v>335.1111111111</v>
      </c>
      <c r="AL5" t="s">
        <v>8</v>
      </c>
      <c r="AM5">
        <v>69</v>
      </c>
      <c r="AN5">
        <v>58</v>
      </c>
      <c r="AO5">
        <v>235.224137931</v>
      </c>
      <c r="AP5">
        <v>8</v>
      </c>
      <c r="AQ5">
        <v>350.625</v>
      </c>
      <c r="AR5">
        <v>11</v>
      </c>
      <c r="AS5">
        <v>338.36363636359999</v>
      </c>
    </row>
    <row r="6" spans="2:51" x14ac:dyDescent="0.2">
      <c r="B6" t="s">
        <v>241</v>
      </c>
      <c r="C6">
        <v>53662</v>
      </c>
      <c r="D6">
        <v>598.97819686180003</v>
      </c>
      <c r="F6" t="s">
        <v>37</v>
      </c>
      <c r="G6">
        <v>8241</v>
      </c>
      <c r="H6">
        <v>6464</v>
      </c>
      <c r="I6">
        <v>454.03186881189998</v>
      </c>
      <c r="J6">
        <v>307</v>
      </c>
      <c r="K6">
        <v>828.53420195440003</v>
      </c>
      <c r="L6">
        <v>1202</v>
      </c>
      <c r="M6">
        <v>619.84193011649995</v>
      </c>
      <c r="N6">
        <v>553</v>
      </c>
      <c r="O6">
        <v>614.13381555149999</v>
      </c>
      <c r="R6">
        <v>22</v>
      </c>
      <c r="S6">
        <v>654.13636363640001</v>
      </c>
      <c r="V6" t="s">
        <v>400</v>
      </c>
      <c r="W6">
        <v>1364</v>
      </c>
      <c r="X6">
        <v>703</v>
      </c>
      <c r="Y6">
        <v>187.17496443810001</v>
      </c>
      <c r="Z6">
        <v>187</v>
      </c>
      <c r="AA6">
        <v>296.36898395719999</v>
      </c>
      <c r="AB6">
        <v>460</v>
      </c>
      <c r="AC6">
        <v>286.85869565220003</v>
      </c>
      <c r="AD6">
        <v>119</v>
      </c>
      <c r="AE6">
        <v>278.48739495799998</v>
      </c>
      <c r="AF6">
        <v>81</v>
      </c>
      <c r="AG6">
        <v>174.2962962963</v>
      </c>
      <c r="AH6">
        <v>1</v>
      </c>
      <c r="AI6">
        <v>235</v>
      </c>
      <c r="AL6" t="s">
        <v>400</v>
      </c>
      <c r="AM6">
        <v>24</v>
      </c>
      <c r="AN6">
        <v>16</v>
      </c>
      <c r="AO6">
        <v>122.375</v>
      </c>
      <c r="AP6">
        <v>17</v>
      </c>
      <c r="AQ6">
        <v>262.70588235290001</v>
      </c>
      <c r="AR6">
        <v>8</v>
      </c>
      <c r="AS6">
        <v>164.875</v>
      </c>
    </row>
    <row r="7" spans="2:51" x14ac:dyDescent="0.2">
      <c r="B7" t="s">
        <v>240</v>
      </c>
      <c r="C7">
        <v>236819</v>
      </c>
      <c r="D7">
        <v>406.77227446820001</v>
      </c>
      <c r="F7" t="s">
        <v>42</v>
      </c>
      <c r="G7">
        <v>5276</v>
      </c>
      <c r="H7">
        <v>3672</v>
      </c>
      <c r="I7">
        <v>407.7197712418</v>
      </c>
      <c r="J7">
        <v>938</v>
      </c>
      <c r="K7">
        <v>484.71215351810002</v>
      </c>
      <c r="L7">
        <v>1013</v>
      </c>
      <c r="M7">
        <v>615.95656465939999</v>
      </c>
      <c r="N7">
        <v>574</v>
      </c>
      <c r="O7">
        <v>416.9442508711</v>
      </c>
      <c r="R7">
        <v>17</v>
      </c>
      <c r="S7">
        <v>511.0588235294</v>
      </c>
      <c r="V7" t="s">
        <v>392</v>
      </c>
      <c r="W7">
        <v>13480</v>
      </c>
      <c r="X7">
        <v>9921</v>
      </c>
      <c r="Y7">
        <v>639.21953432110001</v>
      </c>
      <c r="Z7">
        <v>607</v>
      </c>
      <c r="AA7">
        <v>1182.8846787478999</v>
      </c>
      <c r="AB7">
        <v>2489</v>
      </c>
      <c r="AC7">
        <v>1300.9859381278</v>
      </c>
      <c r="AD7">
        <v>877</v>
      </c>
      <c r="AE7">
        <v>892.90307867729996</v>
      </c>
      <c r="AF7">
        <v>173</v>
      </c>
      <c r="AG7">
        <v>226.32947976880001</v>
      </c>
      <c r="AH7">
        <v>20</v>
      </c>
      <c r="AI7">
        <v>845.35</v>
      </c>
      <c r="AL7" t="s">
        <v>392</v>
      </c>
      <c r="AM7">
        <v>352</v>
      </c>
      <c r="AN7">
        <v>274</v>
      </c>
      <c r="AO7">
        <v>510.04379562039998</v>
      </c>
      <c r="AP7">
        <v>50</v>
      </c>
      <c r="AQ7">
        <v>942.9</v>
      </c>
      <c r="AR7">
        <v>75</v>
      </c>
      <c r="AS7">
        <v>478.70666666670002</v>
      </c>
      <c r="AT7">
        <v>3</v>
      </c>
      <c r="AU7">
        <v>140.6666666667</v>
      </c>
    </row>
    <row r="8" spans="2:51" x14ac:dyDescent="0.2">
      <c r="B8" t="s">
        <v>242</v>
      </c>
      <c r="C8">
        <v>24807</v>
      </c>
      <c r="D8">
        <v>527.16813838149994</v>
      </c>
      <c r="F8" t="s">
        <v>50</v>
      </c>
      <c r="G8">
        <v>1025</v>
      </c>
      <c r="H8">
        <v>324</v>
      </c>
      <c r="I8">
        <v>89.925925925900003</v>
      </c>
      <c r="J8">
        <v>386</v>
      </c>
      <c r="K8">
        <v>207.17357512949999</v>
      </c>
      <c r="L8">
        <v>488</v>
      </c>
      <c r="M8">
        <v>215.09836065569999</v>
      </c>
      <c r="N8">
        <v>210</v>
      </c>
      <c r="O8">
        <v>216.70952380950001</v>
      </c>
      <c r="R8">
        <v>3</v>
      </c>
      <c r="S8">
        <v>365.3333333333</v>
      </c>
      <c r="V8" t="s">
        <v>423</v>
      </c>
      <c r="W8">
        <v>1310</v>
      </c>
      <c r="X8">
        <v>837</v>
      </c>
      <c r="Y8">
        <v>210.4814814815</v>
      </c>
      <c r="Z8">
        <v>256</v>
      </c>
      <c r="AA8">
        <v>335.515625</v>
      </c>
      <c r="AB8">
        <v>178</v>
      </c>
      <c r="AC8">
        <v>136.14044943819999</v>
      </c>
      <c r="AD8">
        <v>201</v>
      </c>
      <c r="AE8">
        <v>387.61194029849997</v>
      </c>
      <c r="AF8">
        <v>90</v>
      </c>
      <c r="AG8">
        <v>161.07777777780001</v>
      </c>
      <c r="AH8">
        <v>4</v>
      </c>
      <c r="AI8">
        <v>349.25</v>
      </c>
      <c r="AL8" t="s">
        <v>423</v>
      </c>
      <c r="AM8">
        <v>35</v>
      </c>
      <c r="AN8">
        <v>28</v>
      </c>
      <c r="AO8">
        <v>122.42857142859999</v>
      </c>
      <c r="AP8">
        <v>7</v>
      </c>
      <c r="AQ8">
        <v>254</v>
      </c>
      <c r="AR8">
        <v>6</v>
      </c>
      <c r="AS8">
        <v>242.5</v>
      </c>
      <c r="AT8">
        <v>1</v>
      </c>
      <c r="AU8">
        <v>73</v>
      </c>
    </row>
    <row r="9" spans="2:51" x14ac:dyDescent="0.2">
      <c r="B9" t="s">
        <v>243</v>
      </c>
      <c r="C9">
        <v>10955</v>
      </c>
      <c r="D9">
        <v>179.63991600470001</v>
      </c>
      <c r="F9" t="s">
        <v>81</v>
      </c>
      <c r="G9">
        <v>1170</v>
      </c>
      <c r="H9">
        <v>785</v>
      </c>
      <c r="I9">
        <v>199.1885350318</v>
      </c>
      <c r="J9">
        <v>256</v>
      </c>
      <c r="K9">
        <v>335.71875</v>
      </c>
      <c r="L9">
        <v>167</v>
      </c>
      <c r="M9">
        <v>113.3413173653</v>
      </c>
      <c r="N9">
        <v>214</v>
      </c>
      <c r="O9">
        <v>383.77570093460002</v>
      </c>
      <c r="R9">
        <v>4</v>
      </c>
      <c r="S9">
        <v>349.25</v>
      </c>
      <c r="V9" t="s">
        <v>393</v>
      </c>
      <c r="W9">
        <v>8192</v>
      </c>
      <c r="X9">
        <v>6345</v>
      </c>
      <c r="Y9">
        <v>511.8282111899</v>
      </c>
      <c r="Z9">
        <v>345</v>
      </c>
      <c r="AA9">
        <v>813.0550724638</v>
      </c>
      <c r="AB9">
        <v>1289</v>
      </c>
      <c r="AC9">
        <v>984.45151280059997</v>
      </c>
      <c r="AD9">
        <v>415</v>
      </c>
      <c r="AE9">
        <v>711.51807228919995</v>
      </c>
      <c r="AF9">
        <v>141</v>
      </c>
      <c r="AG9">
        <v>173.37588652479999</v>
      </c>
      <c r="AH9">
        <v>2</v>
      </c>
      <c r="AI9">
        <v>159.5</v>
      </c>
      <c r="AL9" t="s">
        <v>393</v>
      </c>
      <c r="AM9">
        <v>157</v>
      </c>
      <c r="AN9">
        <v>137</v>
      </c>
      <c r="AO9">
        <v>489.06569343069998</v>
      </c>
      <c r="AP9">
        <v>27</v>
      </c>
      <c r="AQ9">
        <v>825.88888888890006</v>
      </c>
      <c r="AR9">
        <v>18</v>
      </c>
      <c r="AS9">
        <v>240.6666666667</v>
      </c>
      <c r="AT9">
        <v>2</v>
      </c>
      <c r="AU9">
        <v>215</v>
      </c>
    </row>
    <row r="10" spans="2:51" x14ac:dyDescent="0.2">
      <c r="B10" t="s">
        <v>949</v>
      </c>
      <c r="C10">
        <v>516</v>
      </c>
      <c r="D10">
        <v>449.80038759690001</v>
      </c>
      <c r="F10" t="s">
        <v>76</v>
      </c>
      <c r="G10">
        <v>1789</v>
      </c>
      <c r="H10">
        <v>736</v>
      </c>
      <c r="I10">
        <v>119.63043478260001</v>
      </c>
      <c r="J10">
        <v>597</v>
      </c>
      <c r="K10">
        <v>211.2814070352</v>
      </c>
      <c r="L10">
        <v>969</v>
      </c>
      <c r="M10">
        <v>281.62435500520002</v>
      </c>
      <c r="N10">
        <v>84</v>
      </c>
      <c r="O10">
        <v>176.3928571429</v>
      </c>
      <c r="V10" t="s">
        <v>395</v>
      </c>
      <c r="W10">
        <v>8406</v>
      </c>
      <c r="X10">
        <v>6395</v>
      </c>
      <c r="Y10">
        <v>450.56278342460001</v>
      </c>
      <c r="Z10">
        <v>313</v>
      </c>
      <c r="AA10">
        <v>811.31629392970001</v>
      </c>
      <c r="AB10">
        <v>1192</v>
      </c>
      <c r="AC10">
        <v>622.48993288589998</v>
      </c>
      <c r="AD10">
        <v>548</v>
      </c>
      <c r="AE10">
        <v>607.33576642339995</v>
      </c>
      <c r="AF10">
        <v>249</v>
      </c>
      <c r="AG10">
        <v>183.02008032129999</v>
      </c>
      <c r="AH10">
        <v>22</v>
      </c>
      <c r="AI10">
        <v>654.13636363640001</v>
      </c>
      <c r="AL10" t="s">
        <v>395</v>
      </c>
      <c r="AM10">
        <v>348</v>
      </c>
      <c r="AN10">
        <v>247</v>
      </c>
      <c r="AO10">
        <v>397.9352226721</v>
      </c>
      <c r="AP10">
        <v>22</v>
      </c>
      <c r="AQ10">
        <v>613</v>
      </c>
      <c r="AR10">
        <v>88</v>
      </c>
      <c r="AS10">
        <v>398.9318181818</v>
      </c>
      <c r="AT10">
        <v>13</v>
      </c>
      <c r="AU10">
        <v>198.69230769230001</v>
      </c>
    </row>
    <row r="11" spans="2:51" x14ac:dyDescent="0.2">
      <c r="F11" t="s">
        <v>38</v>
      </c>
      <c r="G11">
        <v>13503</v>
      </c>
      <c r="H11">
        <v>10086</v>
      </c>
      <c r="I11">
        <v>645.919591513</v>
      </c>
      <c r="J11">
        <v>596</v>
      </c>
      <c r="K11">
        <v>1220.3859060402999</v>
      </c>
      <c r="L11">
        <v>2534</v>
      </c>
      <c r="M11">
        <v>1314.3634569850001</v>
      </c>
      <c r="N11">
        <v>863</v>
      </c>
      <c r="O11">
        <v>906.36268829660003</v>
      </c>
      <c r="R11">
        <v>20</v>
      </c>
      <c r="S11">
        <v>845.35</v>
      </c>
      <c r="V11" t="s">
        <v>396</v>
      </c>
      <c r="W11">
        <v>5577</v>
      </c>
      <c r="X11">
        <v>3682</v>
      </c>
      <c r="Y11">
        <v>411.29114611620003</v>
      </c>
      <c r="Z11">
        <v>919</v>
      </c>
      <c r="AA11">
        <v>484.86507072910001</v>
      </c>
      <c r="AB11">
        <v>1024</v>
      </c>
      <c r="AC11">
        <v>624.3388671875</v>
      </c>
      <c r="AD11">
        <v>585</v>
      </c>
      <c r="AE11">
        <v>425.33846153849998</v>
      </c>
      <c r="AF11">
        <v>269</v>
      </c>
      <c r="AG11">
        <v>180.9776951673</v>
      </c>
      <c r="AH11">
        <v>17</v>
      </c>
      <c r="AI11">
        <v>511.0588235294</v>
      </c>
      <c r="AL11" t="s">
        <v>396</v>
      </c>
      <c r="AM11">
        <v>254</v>
      </c>
      <c r="AN11">
        <v>203</v>
      </c>
      <c r="AO11">
        <v>378.42364532020002</v>
      </c>
      <c r="AP11">
        <v>16</v>
      </c>
      <c r="AQ11">
        <v>672.1875</v>
      </c>
      <c r="AR11">
        <v>44</v>
      </c>
      <c r="AS11">
        <v>357.5681818182</v>
      </c>
      <c r="AT11">
        <v>7</v>
      </c>
      <c r="AU11">
        <v>488.28571428570001</v>
      </c>
    </row>
    <row r="12" spans="2:51" x14ac:dyDescent="0.2">
      <c r="F12" t="s">
        <v>56</v>
      </c>
      <c r="G12">
        <v>3247</v>
      </c>
      <c r="H12">
        <v>2756</v>
      </c>
      <c r="I12">
        <v>295.3087808418</v>
      </c>
      <c r="J12">
        <v>397</v>
      </c>
      <c r="K12">
        <v>456.02770780859998</v>
      </c>
      <c r="L12">
        <v>447</v>
      </c>
      <c r="M12">
        <v>313.07158836690002</v>
      </c>
      <c r="N12">
        <v>44</v>
      </c>
      <c r="O12">
        <v>160.20454545449999</v>
      </c>
      <c r="V12" t="s">
        <v>398</v>
      </c>
      <c r="W12">
        <v>6766</v>
      </c>
      <c r="X12">
        <v>5665</v>
      </c>
      <c r="Y12">
        <v>301.92162400709998</v>
      </c>
      <c r="Z12">
        <v>475</v>
      </c>
      <c r="AA12">
        <v>613.63789473680004</v>
      </c>
      <c r="AB12">
        <v>339</v>
      </c>
      <c r="AC12">
        <v>204.31268436580001</v>
      </c>
      <c r="AD12">
        <v>479</v>
      </c>
      <c r="AE12">
        <v>359.92275574109999</v>
      </c>
      <c r="AF12">
        <v>266</v>
      </c>
      <c r="AG12">
        <v>171.5827067669</v>
      </c>
      <c r="AH12">
        <v>17</v>
      </c>
      <c r="AI12">
        <v>364.8235294118</v>
      </c>
      <c r="AL12" t="s">
        <v>398</v>
      </c>
      <c r="AM12">
        <v>226</v>
      </c>
      <c r="AN12">
        <v>184</v>
      </c>
      <c r="AO12">
        <v>397.95108695649998</v>
      </c>
      <c r="AP12">
        <v>8</v>
      </c>
      <c r="AQ12">
        <v>523.5</v>
      </c>
      <c r="AR12">
        <v>36</v>
      </c>
      <c r="AS12">
        <v>224.8888888889</v>
      </c>
      <c r="AT12">
        <v>6</v>
      </c>
      <c r="AU12">
        <v>331.8333333333</v>
      </c>
    </row>
    <row r="13" spans="2:51" x14ac:dyDescent="0.2">
      <c r="F13" t="s">
        <v>75</v>
      </c>
      <c r="G13">
        <v>6428</v>
      </c>
      <c r="H13">
        <v>5638</v>
      </c>
      <c r="I13">
        <v>296.81677899959999</v>
      </c>
      <c r="J13">
        <v>482</v>
      </c>
      <c r="K13">
        <v>611.59751037340004</v>
      </c>
      <c r="L13">
        <v>301</v>
      </c>
      <c r="M13">
        <v>162.47840531560001</v>
      </c>
      <c r="N13">
        <v>473</v>
      </c>
      <c r="O13">
        <v>353.62790697669999</v>
      </c>
      <c r="R13">
        <v>16</v>
      </c>
      <c r="S13">
        <v>362</v>
      </c>
      <c r="V13" t="s">
        <v>401</v>
      </c>
      <c r="W13">
        <v>1154</v>
      </c>
      <c r="X13">
        <v>347</v>
      </c>
      <c r="Y13">
        <v>122.7060518732</v>
      </c>
      <c r="Z13">
        <v>383</v>
      </c>
      <c r="AA13">
        <v>212.2845953003</v>
      </c>
      <c r="AB13">
        <v>482</v>
      </c>
      <c r="AC13">
        <v>220.86099585060001</v>
      </c>
      <c r="AD13">
        <v>206</v>
      </c>
      <c r="AE13">
        <v>213.66504854370001</v>
      </c>
      <c r="AF13">
        <v>117</v>
      </c>
      <c r="AG13">
        <v>197.91452991450001</v>
      </c>
      <c r="AH13">
        <v>2</v>
      </c>
      <c r="AI13">
        <v>343</v>
      </c>
      <c r="AL13" t="s">
        <v>401</v>
      </c>
      <c r="AM13">
        <v>26</v>
      </c>
      <c r="AN13">
        <v>15</v>
      </c>
      <c r="AO13">
        <v>155.13333333329999</v>
      </c>
      <c r="AP13">
        <v>6</v>
      </c>
      <c r="AQ13">
        <v>259.3333333333</v>
      </c>
      <c r="AR13">
        <v>8</v>
      </c>
      <c r="AS13">
        <v>170.625</v>
      </c>
      <c r="AT13">
        <v>3</v>
      </c>
      <c r="AU13">
        <v>124.3333333333</v>
      </c>
    </row>
    <row r="14" spans="2:51" x14ac:dyDescent="0.2">
      <c r="F14" t="s">
        <v>41</v>
      </c>
      <c r="G14">
        <v>1257</v>
      </c>
      <c r="H14">
        <v>671</v>
      </c>
      <c r="I14">
        <v>159.85991058120001</v>
      </c>
      <c r="J14">
        <v>189</v>
      </c>
      <c r="K14">
        <v>297.25396825399997</v>
      </c>
      <c r="L14">
        <v>465</v>
      </c>
      <c r="M14">
        <v>278.647311828</v>
      </c>
      <c r="N14">
        <v>120</v>
      </c>
      <c r="O14">
        <v>279.875</v>
      </c>
      <c r="R14">
        <v>1</v>
      </c>
      <c r="S14">
        <v>235</v>
      </c>
      <c r="V14" t="s">
        <v>402</v>
      </c>
      <c r="W14">
        <v>2182</v>
      </c>
      <c r="X14">
        <v>947</v>
      </c>
      <c r="Y14">
        <v>170.7856388596</v>
      </c>
      <c r="Z14">
        <v>594</v>
      </c>
      <c r="AA14">
        <v>217.14646464649999</v>
      </c>
      <c r="AB14">
        <v>987</v>
      </c>
      <c r="AC14">
        <v>290.17021276600002</v>
      </c>
      <c r="AD14">
        <v>96</v>
      </c>
      <c r="AE14">
        <v>250.5625</v>
      </c>
      <c r="AF14">
        <v>152</v>
      </c>
      <c r="AG14">
        <v>186.54605263159999</v>
      </c>
      <c r="AL14" t="s">
        <v>402</v>
      </c>
      <c r="AM14">
        <v>37</v>
      </c>
      <c r="AN14">
        <v>27</v>
      </c>
      <c r="AO14">
        <v>85.888888888899999</v>
      </c>
      <c r="AP14">
        <v>15</v>
      </c>
      <c r="AQ14">
        <v>361.2</v>
      </c>
      <c r="AR14">
        <v>4</v>
      </c>
      <c r="AS14">
        <v>62</v>
      </c>
      <c r="AT14">
        <v>6</v>
      </c>
      <c r="AU14">
        <v>139</v>
      </c>
    </row>
    <row r="15" spans="2:51" x14ac:dyDescent="0.2">
      <c r="F15" t="s">
        <v>74</v>
      </c>
      <c r="G15">
        <v>208</v>
      </c>
      <c r="H15">
        <v>70</v>
      </c>
      <c r="I15">
        <v>122.9571428571</v>
      </c>
      <c r="J15">
        <v>117</v>
      </c>
      <c r="K15">
        <v>188.63247863250001</v>
      </c>
      <c r="L15">
        <v>86</v>
      </c>
      <c r="M15">
        <v>210.22093023260001</v>
      </c>
      <c r="N15">
        <v>42</v>
      </c>
      <c r="O15">
        <v>213.11904761900001</v>
      </c>
      <c r="R15">
        <v>10</v>
      </c>
      <c r="S15">
        <v>236.8</v>
      </c>
      <c r="V15" t="s">
        <v>397</v>
      </c>
      <c r="W15">
        <v>3348</v>
      </c>
      <c r="X15">
        <v>2730</v>
      </c>
      <c r="Y15">
        <v>302.11062271060001</v>
      </c>
      <c r="Z15">
        <v>398</v>
      </c>
      <c r="AA15">
        <v>467.26130653270002</v>
      </c>
      <c r="AB15">
        <v>448</v>
      </c>
      <c r="AC15">
        <v>330.38616071429999</v>
      </c>
      <c r="AD15">
        <v>62</v>
      </c>
      <c r="AE15">
        <v>265.12903225809998</v>
      </c>
      <c r="AF15">
        <v>107</v>
      </c>
      <c r="AG15">
        <v>143.4859813084</v>
      </c>
      <c r="AH15">
        <v>1</v>
      </c>
      <c r="AI15">
        <v>109</v>
      </c>
      <c r="AL15" t="s">
        <v>397</v>
      </c>
      <c r="AM15">
        <v>102</v>
      </c>
      <c r="AN15">
        <v>76</v>
      </c>
      <c r="AO15">
        <v>302.67105263159999</v>
      </c>
      <c r="AP15">
        <v>1</v>
      </c>
      <c r="AQ15">
        <v>383</v>
      </c>
      <c r="AR15">
        <v>22</v>
      </c>
      <c r="AS15">
        <v>385.77272727270002</v>
      </c>
      <c r="AT15">
        <v>3</v>
      </c>
      <c r="AU15">
        <v>214</v>
      </c>
      <c r="AV15">
        <v>1</v>
      </c>
      <c r="AW15">
        <v>855</v>
      </c>
    </row>
    <row r="16" spans="2:51" x14ac:dyDescent="0.2">
      <c r="F16" t="s">
        <v>48</v>
      </c>
      <c r="G16">
        <v>8311</v>
      </c>
      <c r="H16">
        <v>6578</v>
      </c>
      <c r="I16">
        <v>514.21480693219996</v>
      </c>
      <c r="J16">
        <v>353</v>
      </c>
      <c r="K16">
        <v>820.97167138810005</v>
      </c>
      <c r="L16">
        <v>1321</v>
      </c>
      <c r="M16">
        <v>985.38380015140001</v>
      </c>
      <c r="N16">
        <v>410</v>
      </c>
      <c r="O16">
        <v>713.79024390239999</v>
      </c>
      <c r="R16">
        <v>2</v>
      </c>
      <c r="S16">
        <v>159.5</v>
      </c>
      <c r="V16" t="s">
        <v>420</v>
      </c>
      <c r="W16">
        <v>474</v>
      </c>
      <c r="X16">
        <v>373</v>
      </c>
      <c r="Y16">
        <v>261.79088471850002</v>
      </c>
      <c r="Z16">
        <v>22</v>
      </c>
      <c r="AA16">
        <v>580.54545454549998</v>
      </c>
      <c r="AB16">
        <v>64</v>
      </c>
      <c r="AC16">
        <v>320.75</v>
      </c>
      <c r="AD16">
        <v>15</v>
      </c>
      <c r="AE16">
        <v>270.13333333330002</v>
      </c>
      <c r="AF16">
        <v>21</v>
      </c>
      <c r="AG16">
        <v>131.80952380950001</v>
      </c>
      <c r="AH16">
        <v>1</v>
      </c>
      <c r="AI16">
        <v>225</v>
      </c>
      <c r="AL16" t="s">
        <v>420</v>
      </c>
      <c r="AM16">
        <v>7</v>
      </c>
      <c r="AN16">
        <v>6</v>
      </c>
      <c r="AO16">
        <v>177.3333333333</v>
      </c>
      <c r="AP16">
        <v>4</v>
      </c>
      <c r="AQ16">
        <v>374.75</v>
      </c>
      <c r="AR16">
        <v>1</v>
      </c>
      <c r="AS16">
        <v>150</v>
      </c>
    </row>
    <row r="17" spans="6:51" x14ac:dyDescent="0.2">
      <c r="F17" t="s">
        <v>391</v>
      </c>
      <c r="G17">
        <v>51063</v>
      </c>
      <c r="H17">
        <v>38286</v>
      </c>
      <c r="I17">
        <v>452.87431437079999</v>
      </c>
      <c r="J17">
        <v>4647</v>
      </c>
      <c r="K17">
        <v>556.96018936949997</v>
      </c>
      <c r="L17">
        <v>9069</v>
      </c>
      <c r="M17">
        <v>744.63976182600004</v>
      </c>
      <c r="N17">
        <v>3612</v>
      </c>
      <c r="O17">
        <v>559.27906976739996</v>
      </c>
      <c r="R17">
        <v>96</v>
      </c>
      <c r="S17">
        <v>535.60416666670005</v>
      </c>
      <c r="V17" t="s">
        <v>421</v>
      </c>
      <c r="W17">
        <v>197</v>
      </c>
      <c r="X17">
        <v>52</v>
      </c>
      <c r="Y17">
        <v>251</v>
      </c>
      <c r="Z17">
        <v>27</v>
      </c>
      <c r="AA17">
        <v>285.0740740741</v>
      </c>
      <c r="AB17">
        <v>46</v>
      </c>
      <c r="AC17">
        <v>276.91304347829998</v>
      </c>
      <c r="AD17">
        <v>45</v>
      </c>
      <c r="AE17">
        <v>240.8</v>
      </c>
      <c r="AF17">
        <v>44</v>
      </c>
      <c r="AG17">
        <v>255.88636363640001</v>
      </c>
      <c r="AH17">
        <v>10</v>
      </c>
      <c r="AI17">
        <v>236.8</v>
      </c>
      <c r="AL17" t="s">
        <v>421</v>
      </c>
      <c r="AM17">
        <v>7</v>
      </c>
      <c r="AN17">
        <v>6</v>
      </c>
      <c r="AO17">
        <v>151.3333333333</v>
      </c>
      <c r="AP17">
        <v>6</v>
      </c>
      <c r="AQ17">
        <v>195.8333333333</v>
      </c>
      <c r="AR17">
        <v>1</v>
      </c>
      <c r="AS17">
        <v>360</v>
      </c>
    </row>
    <row r="18" spans="6:51" x14ac:dyDescent="0.2">
      <c r="F18" t="s">
        <v>68</v>
      </c>
      <c r="G18">
        <v>3101</v>
      </c>
      <c r="H18">
        <v>2457</v>
      </c>
      <c r="I18">
        <v>282.20187220190002</v>
      </c>
      <c r="J18">
        <v>260</v>
      </c>
      <c r="K18">
        <v>453.6115384615</v>
      </c>
      <c r="L18">
        <v>400</v>
      </c>
      <c r="M18">
        <v>307.95249999999999</v>
      </c>
      <c r="N18">
        <v>235</v>
      </c>
      <c r="O18">
        <v>520.58297872339995</v>
      </c>
      <c r="R18">
        <v>9</v>
      </c>
      <c r="S18">
        <v>560.55555555559999</v>
      </c>
      <c r="V18" t="s">
        <v>391</v>
      </c>
      <c r="W18">
        <v>52450</v>
      </c>
      <c r="X18">
        <v>37997</v>
      </c>
      <c r="Y18">
        <v>451.16424980919999</v>
      </c>
      <c r="Z18">
        <v>4526</v>
      </c>
      <c r="AA18">
        <v>562.87406098099996</v>
      </c>
      <c r="AB18">
        <v>8998</v>
      </c>
      <c r="AC18">
        <v>743.27906201379994</v>
      </c>
      <c r="AD18">
        <v>3648</v>
      </c>
      <c r="AE18">
        <v>559.99095394740004</v>
      </c>
      <c r="AF18">
        <v>1710</v>
      </c>
      <c r="AG18">
        <v>183.0426900585</v>
      </c>
      <c r="AH18">
        <v>97</v>
      </c>
      <c r="AI18">
        <v>531.20618556700003</v>
      </c>
      <c r="AL18" t="s">
        <v>391</v>
      </c>
      <c r="AM18">
        <v>1575</v>
      </c>
      <c r="AN18">
        <v>1219</v>
      </c>
      <c r="AO18">
        <v>402.04593929449999</v>
      </c>
      <c r="AP18">
        <v>179</v>
      </c>
      <c r="AQ18">
        <v>637.69832402229997</v>
      </c>
      <c r="AR18">
        <v>311</v>
      </c>
      <c r="AS18">
        <v>361.90996784570001</v>
      </c>
      <c r="AT18">
        <v>44</v>
      </c>
      <c r="AU18">
        <v>244.6818181818</v>
      </c>
      <c r="AV18">
        <v>1</v>
      </c>
      <c r="AW18">
        <v>855</v>
      </c>
    </row>
    <row r="19" spans="6:51" x14ac:dyDescent="0.2">
      <c r="F19" t="s">
        <v>34</v>
      </c>
      <c r="G19">
        <v>943</v>
      </c>
      <c r="H19">
        <v>600</v>
      </c>
      <c r="I19">
        <v>250.97499999999999</v>
      </c>
      <c r="J19">
        <v>95</v>
      </c>
      <c r="K19">
        <v>519.41052631579998</v>
      </c>
      <c r="L19">
        <v>175</v>
      </c>
      <c r="M19">
        <v>220.2514285714</v>
      </c>
      <c r="N19">
        <v>161</v>
      </c>
      <c r="O19">
        <v>585.78881987579996</v>
      </c>
      <c r="R19">
        <v>7</v>
      </c>
      <c r="S19">
        <v>248.71428571429999</v>
      </c>
      <c r="V19" t="s">
        <v>409</v>
      </c>
      <c r="W19">
        <v>1021</v>
      </c>
      <c r="X19">
        <v>613</v>
      </c>
      <c r="Y19">
        <v>262.8172920065</v>
      </c>
      <c r="Z19">
        <v>103</v>
      </c>
      <c r="AA19">
        <v>528.24271844659995</v>
      </c>
      <c r="AB19">
        <v>180</v>
      </c>
      <c r="AC19">
        <v>232.2</v>
      </c>
      <c r="AD19">
        <v>153</v>
      </c>
      <c r="AE19">
        <v>587.7777777778</v>
      </c>
      <c r="AF19">
        <v>68</v>
      </c>
      <c r="AG19">
        <v>154.3970588235</v>
      </c>
      <c r="AH19">
        <v>7</v>
      </c>
      <c r="AI19">
        <v>248.71428571429999</v>
      </c>
      <c r="AL19" t="s">
        <v>409</v>
      </c>
      <c r="AM19">
        <v>9</v>
      </c>
      <c r="AN19">
        <v>9</v>
      </c>
      <c r="AO19">
        <v>117</v>
      </c>
      <c r="AP19">
        <v>8</v>
      </c>
      <c r="AQ19">
        <v>309.75</v>
      </c>
    </row>
    <row r="20" spans="6:51" x14ac:dyDescent="0.2">
      <c r="F20" t="s">
        <v>55</v>
      </c>
      <c r="G20">
        <v>947</v>
      </c>
      <c r="H20">
        <v>449</v>
      </c>
      <c r="I20">
        <v>206.0846325167</v>
      </c>
      <c r="J20">
        <v>201</v>
      </c>
      <c r="K20">
        <v>340.80597014929998</v>
      </c>
      <c r="L20">
        <v>141</v>
      </c>
      <c r="M20">
        <v>328.17730496450002</v>
      </c>
      <c r="N20">
        <v>349</v>
      </c>
      <c r="O20">
        <v>610.00859598850002</v>
      </c>
      <c r="R20">
        <v>8</v>
      </c>
      <c r="S20">
        <v>370.25</v>
      </c>
      <c r="V20" t="s">
        <v>425</v>
      </c>
      <c r="W20">
        <v>289</v>
      </c>
      <c r="X20">
        <v>125</v>
      </c>
      <c r="Y20">
        <v>201.24799999999999</v>
      </c>
      <c r="Z20">
        <v>112</v>
      </c>
      <c r="AA20">
        <v>254.4375</v>
      </c>
      <c r="AB20">
        <v>70</v>
      </c>
      <c r="AC20">
        <v>203.75714285710001</v>
      </c>
      <c r="AD20">
        <v>61</v>
      </c>
      <c r="AE20">
        <v>477.8360655738</v>
      </c>
      <c r="AF20">
        <v>33</v>
      </c>
      <c r="AG20">
        <v>131.03030303029999</v>
      </c>
      <c r="AL20" t="s">
        <v>425</v>
      </c>
      <c r="AM20">
        <v>3</v>
      </c>
      <c r="AN20">
        <v>2</v>
      </c>
      <c r="AO20">
        <v>33.5</v>
      </c>
      <c r="AP20">
        <v>2</v>
      </c>
      <c r="AQ20">
        <v>177.5</v>
      </c>
      <c r="AR20">
        <v>1</v>
      </c>
      <c r="AS20">
        <v>52</v>
      </c>
    </row>
    <row r="21" spans="6:51" x14ac:dyDescent="0.2">
      <c r="F21" t="s">
        <v>62</v>
      </c>
      <c r="G21">
        <v>8617</v>
      </c>
      <c r="H21">
        <v>7077</v>
      </c>
      <c r="I21">
        <v>395.76670905750001</v>
      </c>
      <c r="J21">
        <v>752</v>
      </c>
      <c r="K21">
        <v>597.97872340430001</v>
      </c>
      <c r="L21">
        <v>1139</v>
      </c>
      <c r="M21">
        <v>605.68568920109999</v>
      </c>
      <c r="N21">
        <v>397</v>
      </c>
      <c r="O21">
        <v>600.13098236780002</v>
      </c>
      <c r="R21">
        <v>4</v>
      </c>
      <c r="S21">
        <v>592.25</v>
      </c>
      <c r="V21" t="s">
        <v>429</v>
      </c>
      <c r="W21">
        <v>1220</v>
      </c>
      <c r="X21">
        <v>919</v>
      </c>
      <c r="Y21">
        <v>304.6996735582</v>
      </c>
      <c r="Z21">
        <v>64</v>
      </c>
      <c r="AA21">
        <v>583.0625</v>
      </c>
      <c r="AB21">
        <v>180</v>
      </c>
      <c r="AC21">
        <v>405.61666666669998</v>
      </c>
      <c r="AD21">
        <v>62</v>
      </c>
      <c r="AE21">
        <v>504.8387096774</v>
      </c>
      <c r="AF21">
        <v>58</v>
      </c>
      <c r="AG21">
        <v>164.62068965520001</v>
      </c>
      <c r="AH21">
        <v>1</v>
      </c>
      <c r="AI21">
        <v>368</v>
      </c>
      <c r="AL21" t="s">
        <v>429</v>
      </c>
      <c r="AM21">
        <v>10</v>
      </c>
      <c r="AN21">
        <v>8</v>
      </c>
      <c r="AO21">
        <v>177.125</v>
      </c>
      <c r="AP21">
        <v>6</v>
      </c>
      <c r="AQ21">
        <v>294.3333333333</v>
      </c>
      <c r="AR21">
        <v>2</v>
      </c>
      <c r="AS21">
        <v>164.5</v>
      </c>
    </row>
    <row r="22" spans="6:51" x14ac:dyDescent="0.2">
      <c r="F22" t="s">
        <v>64</v>
      </c>
      <c r="G22">
        <v>7220</v>
      </c>
      <c r="H22">
        <v>5411</v>
      </c>
      <c r="I22">
        <v>393.91295509150001</v>
      </c>
      <c r="J22">
        <v>399</v>
      </c>
      <c r="K22">
        <v>574.55137844609999</v>
      </c>
      <c r="L22">
        <v>1401</v>
      </c>
      <c r="M22">
        <v>751.12276945040003</v>
      </c>
      <c r="N22">
        <v>388</v>
      </c>
      <c r="O22">
        <v>593.91237113399995</v>
      </c>
      <c r="R22">
        <v>20</v>
      </c>
      <c r="S22">
        <v>454.65</v>
      </c>
      <c r="V22" t="s">
        <v>414</v>
      </c>
      <c r="W22">
        <v>3184</v>
      </c>
      <c r="X22">
        <v>2439</v>
      </c>
      <c r="Y22">
        <v>290.9409594096</v>
      </c>
      <c r="Z22">
        <v>258</v>
      </c>
      <c r="AA22">
        <v>458.26356589149998</v>
      </c>
      <c r="AB22">
        <v>403</v>
      </c>
      <c r="AC22">
        <v>334.78163771710001</v>
      </c>
      <c r="AD22">
        <v>240</v>
      </c>
      <c r="AE22">
        <v>514.04583333330004</v>
      </c>
      <c r="AF22">
        <v>93</v>
      </c>
      <c r="AG22">
        <v>255.5591397849</v>
      </c>
      <c r="AH22">
        <v>9</v>
      </c>
      <c r="AI22">
        <v>560.55555555559999</v>
      </c>
      <c r="AL22" t="s">
        <v>414</v>
      </c>
      <c r="AM22">
        <v>43</v>
      </c>
      <c r="AN22">
        <v>26</v>
      </c>
      <c r="AO22">
        <v>166.92307692310001</v>
      </c>
      <c r="AP22">
        <v>18</v>
      </c>
      <c r="AQ22">
        <v>231.8888888889</v>
      </c>
      <c r="AR22">
        <v>9</v>
      </c>
      <c r="AS22">
        <v>128.1111111111</v>
      </c>
      <c r="AT22">
        <v>8</v>
      </c>
      <c r="AU22">
        <v>275.5</v>
      </c>
    </row>
    <row r="23" spans="6:51" x14ac:dyDescent="0.2">
      <c r="F23" t="s">
        <v>73</v>
      </c>
      <c r="G23">
        <v>5183</v>
      </c>
      <c r="H23">
        <v>4144</v>
      </c>
      <c r="I23">
        <v>271.01230694980001</v>
      </c>
      <c r="J23">
        <v>559</v>
      </c>
      <c r="K23">
        <v>457.11985688729999</v>
      </c>
      <c r="L23">
        <v>742</v>
      </c>
      <c r="M23">
        <v>372.97439353099998</v>
      </c>
      <c r="N23">
        <v>287</v>
      </c>
      <c r="O23">
        <v>454.118466899</v>
      </c>
      <c r="R23">
        <v>10</v>
      </c>
      <c r="S23">
        <v>318</v>
      </c>
      <c r="V23" t="s">
        <v>410</v>
      </c>
      <c r="W23">
        <v>5462</v>
      </c>
      <c r="X23">
        <v>3651</v>
      </c>
      <c r="Y23">
        <v>377.37332237739997</v>
      </c>
      <c r="Z23">
        <v>396</v>
      </c>
      <c r="AA23">
        <v>565.66666666670005</v>
      </c>
      <c r="AB23">
        <v>1422</v>
      </c>
      <c r="AC23">
        <v>553.00914205339996</v>
      </c>
      <c r="AD23">
        <v>248</v>
      </c>
      <c r="AE23">
        <v>481.14919354839998</v>
      </c>
      <c r="AF23">
        <v>130</v>
      </c>
      <c r="AG23">
        <v>138.02307692310001</v>
      </c>
      <c r="AH23">
        <v>11</v>
      </c>
      <c r="AI23">
        <v>259</v>
      </c>
      <c r="AL23" t="s">
        <v>410</v>
      </c>
      <c r="AM23">
        <v>47</v>
      </c>
      <c r="AN23">
        <v>37</v>
      </c>
      <c r="AO23">
        <v>276.67567567570001</v>
      </c>
      <c r="AP23">
        <v>17</v>
      </c>
      <c r="AQ23">
        <v>386.70588235290001</v>
      </c>
      <c r="AR23">
        <v>10</v>
      </c>
      <c r="AS23">
        <v>190.1</v>
      </c>
    </row>
    <row r="24" spans="6:51" x14ac:dyDescent="0.2">
      <c r="F24" t="s">
        <v>45</v>
      </c>
      <c r="G24">
        <v>1476</v>
      </c>
      <c r="H24">
        <v>1154</v>
      </c>
      <c r="I24">
        <v>302.00953206240001</v>
      </c>
      <c r="J24">
        <v>84</v>
      </c>
      <c r="K24">
        <v>598.72619047620003</v>
      </c>
      <c r="L24">
        <v>248</v>
      </c>
      <c r="M24">
        <v>455.875</v>
      </c>
      <c r="N24">
        <v>72</v>
      </c>
      <c r="O24">
        <v>509.9861111111</v>
      </c>
      <c r="R24">
        <v>2</v>
      </c>
      <c r="S24">
        <v>298.5</v>
      </c>
      <c r="V24" t="s">
        <v>427</v>
      </c>
      <c r="W24">
        <v>7346</v>
      </c>
      <c r="X24">
        <v>5403</v>
      </c>
      <c r="Y24">
        <v>394.27965944850001</v>
      </c>
      <c r="Z24">
        <v>408</v>
      </c>
      <c r="AA24">
        <v>569.60539215690005</v>
      </c>
      <c r="AB24">
        <v>1368</v>
      </c>
      <c r="AC24">
        <v>726.30116959060001</v>
      </c>
      <c r="AD24">
        <v>402</v>
      </c>
      <c r="AE24">
        <v>595.86318407960005</v>
      </c>
      <c r="AF24">
        <v>152</v>
      </c>
      <c r="AG24">
        <v>203.86184210530001</v>
      </c>
      <c r="AH24">
        <v>21</v>
      </c>
      <c r="AI24">
        <v>471.09523809519999</v>
      </c>
      <c r="AL24" t="s">
        <v>427</v>
      </c>
      <c r="AM24">
        <v>110</v>
      </c>
      <c r="AN24">
        <v>73</v>
      </c>
      <c r="AO24">
        <v>227.97260273969999</v>
      </c>
      <c r="AP24">
        <v>45</v>
      </c>
      <c r="AQ24">
        <v>347.31111111109999</v>
      </c>
      <c r="AR24">
        <v>34</v>
      </c>
      <c r="AS24">
        <v>302.79411764709999</v>
      </c>
      <c r="AT24">
        <v>3</v>
      </c>
      <c r="AU24">
        <v>195.6666666667</v>
      </c>
    </row>
    <row r="25" spans="6:51" x14ac:dyDescent="0.2">
      <c r="F25" t="s">
        <v>66</v>
      </c>
      <c r="G25">
        <v>5425</v>
      </c>
      <c r="H25">
        <v>3696</v>
      </c>
      <c r="I25">
        <v>379.89312770560002</v>
      </c>
      <c r="J25">
        <v>396</v>
      </c>
      <c r="K25">
        <v>569.47474747470005</v>
      </c>
      <c r="L25">
        <v>1472</v>
      </c>
      <c r="M25">
        <v>559.81861413039996</v>
      </c>
      <c r="N25">
        <v>245</v>
      </c>
      <c r="O25">
        <v>494.5755102041</v>
      </c>
      <c r="R25">
        <v>12</v>
      </c>
      <c r="S25">
        <v>282.1666666667</v>
      </c>
      <c r="V25" t="s">
        <v>408</v>
      </c>
      <c r="W25">
        <v>18612</v>
      </c>
      <c r="X25">
        <v>14790</v>
      </c>
      <c r="Y25">
        <v>333.97369844489998</v>
      </c>
      <c r="Z25">
        <v>2001</v>
      </c>
      <c r="AA25">
        <v>505.28835582210002</v>
      </c>
      <c r="AB25">
        <v>2200</v>
      </c>
      <c r="AC25">
        <v>440.49272727269999</v>
      </c>
      <c r="AD25">
        <v>900</v>
      </c>
      <c r="AE25">
        <v>457.55555555559999</v>
      </c>
      <c r="AF25">
        <v>706</v>
      </c>
      <c r="AG25">
        <v>166.51983002829999</v>
      </c>
      <c r="AH25">
        <v>16</v>
      </c>
      <c r="AI25">
        <v>285.75</v>
      </c>
      <c r="AL25" t="s">
        <v>408</v>
      </c>
      <c r="AM25">
        <v>412</v>
      </c>
      <c r="AN25">
        <v>299</v>
      </c>
      <c r="AO25">
        <v>271.2474916388</v>
      </c>
      <c r="AP25">
        <v>165</v>
      </c>
      <c r="AQ25">
        <v>390.60606060610002</v>
      </c>
      <c r="AR25">
        <v>97</v>
      </c>
      <c r="AS25">
        <v>207.24742268040001</v>
      </c>
      <c r="AT25">
        <v>15</v>
      </c>
      <c r="AU25">
        <v>149.6</v>
      </c>
      <c r="AV25">
        <v>1</v>
      </c>
      <c r="AW25">
        <v>10</v>
      </c>
    </row>
    <row r="26" spans="6:51" x14ac:dyDescent="0.2">
      <c r="F26" t="s">
        <v>32</v>
      </c>
      <c r="G26">
        <v>211</v>
      </c>
      <c r="H26">
        <v>88</v>
      </c>
      <c r="I26">
        <v>109.1818181818</v>
      </c>
      <c r="J26">
        <v>110</v>
      </c>
      <c r="K26">
        <v>234.45454545449999</v>
      </c>
      <c r="L26">
        <v>62</v>
      </c>
      <c r="M26">
        <v>146.3548387097</v>
      </c>
      <c r="N26">
        <v>61</v>
      </c>
      <c r="O26">
        <v>457.5573770492</v>
      </c>
      <c r="V26" t="s">
        <v>406</v>
      </c>
      <c r="W26">
        <v>1907</v>
      </c>
      <c r="X26">
        <v>1395</v>
      </c>
      <c r="Y26">
        <v>300.81290322580003</v>
      </c>
      <c r="Z26">
        <v>224</v>
      </c>
      <c r="AA26">
        <v>469.86160714290003</v>
      </c>
      <c r="AB26">
        <v>346</v>
      </c>
      <c r="AC26">
        <v>276.38150289020001</v>
      </c>
      <c r="AD26">
        <v>96</v>
      </c>
      <c r="AE26">
        <v>373.6354166667</v>
      </c>
      <c r="AF26">
        <v>70</v>
      </c>
      <c r="AG26">
        <v>196.75714285710001</v>
      </c>
      <c r="AL26" t="s">
        <v>406</v>
      </c>
      <c r="AM26">
        <v>27</v>
      </c>
      <c r="AN26">
        <v>19</v>
      </c>
      <c r="AO26">
        <v>361.05263157889999</v>
      </c>
      <c r="AP26">
        <v>16</v>
      </c>
      <c r="AQ26">
        <v>271.625</v>
      </c>
      <c r="AR26">
        <v>8</v>
      </c>
      <c r="AS26">
        <v>123.25</v>
      </c>
    </row>
    <row r="27" spans="6:51" x14ac:dyDescent="0.2">
      <c r="F27" t="s">
        <v>71</v>
      </c>
      <c r="G27">
        <v>4344</v>
      </c>
      <c r="H27">
        <v>3947</v>
      </c>
      <c r="I27">
        <v>229.2865467444</v>
      </c>
      <c r="J27">
        <v>600</v>
      </c>
      <c r="K27">
        <v>420.49666666669998</v>
      </c>
      <c r="L27">
        <v>193</v>
      </c>
      <c r="M27">
        <v>146.88082901550001</v>
      </c>
      <c r="N27">
        <v>195</v>
      </c>
      <c r="O27">
        <v>247.06153846149999</v>
      </c>
      <c r="R27">
        <v>9</v>
      </c>
      <c r="S27">
        <v>159.6666666667</v>
      </c>
      <c r="V27" t="s">
        <v>80</v>
      </c>
      <c r="W27">
        <v>5389</v>
      </c>
      <c r="X27">
        <v>4156</v>
      </c>
      <c r="Y27">
        <v>278.68695861409998</v>
      </c>
      <c r="Z27">
        <v>568</v>
      </c>
      <c r="AA27">
        <v>467.85915492959998</v>
      </c>
      <c r="AB27">
        <v>767</v>
      </c>
      <c r="AC27">
        <v>401.50977835719999</v>
      </c>
      <c r="AD27">
        <v>298</v>
      </c>
      <c r="AE27">
        <v>470.01006711410002</v>
      </c>
      <c r="AF27">
        <v>159</v>
      </c>
      <c r="AG27">
        <v>149.8238993711</v>
      </c>
      <c r="AH27">
        <v>9</v>
      </c>
      <c r="AI27">
        <v>264.44444444440001</v>
      </c>
      <c r="AL27" t="s">
        <v>80</v>
      </c>
      <c r="AM27">
        <v>93</v>
      </c>
      <c r="AN27">
        <v>69</v>
      </c>
      <c r="AO27">
        <v>187.20289855070001</v>
      </c>
      <c r="AP27">
        <v>24</v>
      </c>
      <c r="AQ27">
        <v>354</v>
      </c>
      <c r="AR27">
        <v>22</v>
      </c>
      <c r="AS27">
        <v>107.45454545450001</v>
      </c>
      <c r="AT27">
        <v>2</v>
      </c>
      <c r="AU27">
        <v>146.5</v>
      </c>
    </row>
    <row r="28" spans="6:51" x14ac:dyDescent="0.2">
      <c r="F28" t="s">
        <v>31</v>
      </c>
      <c r="G28">
        <v>1731</v>
      </c>
      <c r="H28">
        <v>1302</v>
      </c>
      <c r="I28">
        <v>295.53379416280001</v>
      </c>
      <c r="J28">
        <v>217</v>
      </c>
      <c r="K28">
        <v>462.92626728110002</v>
      </c>
      <c r="L28">
        <v>339</v>
      </c>
      <c r="M28">
        <v>262.28023598819999</v>
      </c>
      <c r="N28">
        <v>90</v>
      </c>
      <c r="O28">
        <v>342.1666666667</v>
      </c>
      <c r="V28" t="s">
        <v>405</v>
      </c>
      <c r="W28">
        <v>44430</v>
      </c>
      <c r="X28">
        <v>33491</v>
      </c>
      <c r="Y28">
        <v>334.4569585859</v>
      </c>
      <c r="Z28">
        <v>4134</v>
      </c>
      <c r="AA28">
        <v>502.40251572329998</v>
      </c>
      <c r="AB28">
        <v>6936</v>
      </c>
      <c r="AC28">
        <v>492.59169550169997</v>
      </c>
      <c r="AD28">
        <v>2460</v>
      </c>
      <c r="AE28">
        <v>496.07439024389998</v>
      </c>
      <c r="AF28">
        <v>1469</v>
      </c>
      <c r="AG28">
        <v>171.6991150442</v>
      </c>
      <c r="AH28">
        <v>74</v>
      </c>
      <c r="AI28">
        <v>362.81081081079998</v>
      </c>
      <c r="AL28" t="s">
        <v>405</v>
      </c>
      <c r="AM28">
        <v>754</v>
      </c>
      <c r="AN28">
        <v>542</v>
      </c>
      <c r="AO28">
        <v>248.40590405899999</v>
      </c>
      <c r="AP28">
        <v>301</v>
      </c>
      <c r="AQ28">
        <v>359.6943521595</v>
      </c>
      <c r="AR28">
        <v>183</v>
      </c>
      <c r="AS28">
        <v>203.18579234969999</v>
      </c>
      <c r="AT28">
        <v>28</v>
      </c>
      <c r="AU28">
        <v>190.28571428570001</v>
      </c>
      <c r="AV28">
        <v>1</v>
      </c>
      <c r="AW28">
        <v>10</v>
      </c>
    </row>
    <row r="29" spans="6:51" x14ac:dyDescent="0.2">
      <c r="F29" t="s">
        <v>52</v>
      </c>
      <c r="G29">
        <v>4867</v>
      </c>
      <c r="H29">
        <v>3762</v>
      </c>
      <c r="I29">
        <v>322.30622009569998</v>
      </c>
      <c r="J29">
        <v>664</v>
      </c>
      <c r="K29">
        <v>463.20632530120002</v>
      </c>
      <c r="L29">
        <v>842</v>
      </c>
      <c r="M29">
        <v>273.27315914489998</v>
      </c>
      <c r="N29">
        <v>262</v>
      </c>
      <c r="O29">
        <v>357.22137404580002</v>
      </c>
      <c r="R29">
        <v>1</v>
      </c>
      <c r="S29">
        <v>15</v>
      </c>
      <c r="V29" t="s">
        <v>389</v>
      </c>
      <c r="W29">
        <v>10690</v>
      </c>
      <c r="X29">
        <v>5198</v>
      </c>
      <c r="Y29">
        <v>277.84006928410003</v>
      </c>
      <c r="Z29">
        <v>712</v>
      </c>
      <c r="AA29">
        <v>603.66292134829996</v>
      </c>
      <c r="AB29">
        <v>3684</v>
      </c>
      <c r="AC29">
        <v>754.6319218241</v>
      </c>
      <c r="AD29">
        <v>1276</v>
      </c>
      <c r="AE29">
        <v>492.92941176469998</v>
      </c>
      <c r="AF29">
        <v>508</v>
      </c>
      <c r="AG29">
        <v>173.33661417319999</v>
      </c>
      <c r="AH29">
        <v>24</v>
      </c>
      <c r="AI29">
        <v>470.7083333333</v>
      </c>
      <c r="AL29" t="s">
        <v>389</v>
      </c>
      <c r="AM29">
        <v>286</v>
      </c>
      <c r="AN29">
        <v>207</v>
      </c>
      <c r="AO29">
        <v>366.35265700479999</v>
      </c>
      <c r="AP29">
        <v>18</v>
      </c>
      <c r="AQ29">
        <v>504.44444444440001</v>
      </c>
      <c r="AR29">
        <v>70</v>
      </c>
      <c r="AS29">
        <v>447.1</v>
      </c>
      <c r="AT29">
        <v>9</v>
      </c>
      <c r="AU29">
        <v>122.55555555559999</v>
      </c>
    </row>
    <row r="30" spans="6:51" x14ac:dyDescent="0.2">
      <c r="F30" t="s">
        <v>405</v>
      </c>
      <c r="G30">
        <v>44065</v>
      </c>
      <c r="H30">
        <v>34087</v>
      </c>
      <c r="I30">
        <v>330.22480711119999</v>
      </c>
      <c r="J30">
        <v>4337</v>
      </c>
      <c r="K30">
        <v>491.62047498269999</v>
      </c>
      <c r="L30">
        <v>7154</v>
      </c>
      <c r="M30">
        <v>492.10022365110001</v>
      </c>
      <c r="N30">
        <v>2742</v>
      </c>
      <c r="O30">
        <v>505.80926331149999</v>
      </c>
      <c r="R30">
        <v>82</v>
      </c>
      <c r="S30">
        <v>363.71951219509998</v>
      </c>
      <c r="V30" t="s">
        <v>426</v>
      </c>
      <c r="W30">
        <v>31248</v>
      </c>
      <c r="X30">
        <v>27039</v>
      </c>
      <c r="Y30">
        <v>462.27824832639999</v>
      </c>
      <c r="Z30">
        <v>1558</v>
      </c>
      <c r="AA30">
        <v>733.86585365849999</v>
      </c>
      <c r="AB30">
        <v>1028</v>
      </c>
      <c r="AC30">
        <v>373.94066147860002</v>
      </c>
      <c r="AD30">
        <v>2190</v>
      </c>
      <c r="AE30">
        <v>339.90502283109998</v>
      </c>
      <c r="AF30">
        <v>975</v>
      </c>
      <c r="AG30">
        <v>178.93948717949999</v>
      </c>
      <c r="AH30">
        <v>16</v>
      </c>
      <c r="AI30">
        <v>308.4375</v>
      </c>
      <c r="AL30" t="s">
        <v>426</v>
      </c>
      <c r="AM30">
        <v>590</v>
      </c>
      <c r="AN30">
        <v>489</v>
      </c>
      <c r="AO30">
        <v>308.56237218810003</v>
      </c>
      <c r="AP30">
        <v>126</v>
      </c>
      <c r="AQ30">
        <v>459.29365079370001</v>
      </c>
      <c r="AR30">
        <v>94</v>
      </c>
      <c r="AS30">
        <v>160.3936170213</v>
      </c>
      <c r="AT30">
        <v>7</v>
      </c>
      <c r="AU30">
        <v>345.85714285709997</v>
      </c>
    </row>
    <row r="31" spans="6:51" x14ac:dyDescent="0.2">
      <c r="F31" t="s">
        <v>25</v>
      </c>
      <c r="G31">
        <v>17914</v>
      </c>
      <c r="H31">
        <v>15685</v>
      </c>
      <c r="I31">
        <v>548.88886054960005</v>
      </c>
      <c r="J31">
        <v>1112</v>
      </c>
      <c r="K31">
        <v>823.95773381289996</v>
      </c>
      <c r="L31">
        <v>1233</v>
      </c>
      <c r="M31">
        <v>507.58475263579999</v>
      </c>
      <c r="N31">
        <v>970</v>
      </c>
      <c r="O31">
        <v>370.5718717684</v>
      </c>
      <c r="R31">
        <v>26</v>
      </c>
      <c r="S31">
        <v>330.57692307690002</v>
      </c>
      <c r="V31" t="s">
        <v>382</v>
      </c>
      <c r="W31">
        <v>18545</v>
      </c>
      <c r="X31">
        <v>15635</v>
      </c>
      <c r="Y31">
        <v>547.22695579859999</v>
      </c>
      <c r="Z31">
        <v>1138</v>
      </c>
      <c r="AA31">
        <v>812.30140597540003</v>
      </c>
      <c r="AB31">
        <v>1322</v>
      </c>
      <c r="AC31">
        <v>531.55295007560005</v>
      </c>
      <c r="AD31">
        <v>1025</v>
      </c>
      <c r="AE31">
        <v>371.96379647750001</v>
      </c>
      <c r="AF31">
        <v>537</v>
      </c>
      <c r="AG31">
        <v>173.473880597</v>
      </c>
      <c r="AH31">
        <v>26</v>
      </c>
      <c r="AI31">
        <v>330.57692307690002</v>
      </c>
      <c r="AL31" t="s">
        <v>382</v>
      </c>
      <c r="AM31">
        <v>366</v>
      </c>
      <c r="AN31">
        <v>265</v>
      </c>
      <c r="AO31">
        <v>337.90188679250002</v>
      </c>
      <c r="AP31">
        <v>76</v>
      </c>
      <c r="AQ31">
        <v>581.97368421049998</v>
      </c>
      <c r="AR31">
        <v>78</v>
      </c>
      <c r="AS31">
        <v>193.07692307689999</v>
      </c>
      <c r="AT31">
        <v>22</v>
      </c>
      <c r="AU31">
        <v>215.0909090909</v>
      </c>
      <c r="AX31">
        <v>1</v>
      </c>
      <c r="AY31">
        <v>184</v>
      </c>
    </row>
    <row r="32" spans="6:51" x14ac:dyDescent="0.2">
      <c r="F32" t="s">
        <v>39</v>
      </c>
      <c r="G32">
        <v>13090</v>
      </c>
      <c r="H32">
        <v>10416</v>
      </c>
      <c r="I32">
        <v>374.9303888622</v>
      </c>
      <c r="J32">
        <v>432</v>
      </c>
      <c r="K32">
        <v>686.52083333329995</v>
      </c>
      <c r="L32">
        <v>1736</v>
      </c>
      <c r="M32">
        <v>511.2534562212</v>
      </c>
      <c r="N32">
        <v>909</v>
      </c>
      <c r="O32">
        <v>573.74147414740003</v>
      </c>
      <c r="R32">
        <v>29</v>
      </c>
      <c r="S32">
        <v>537</v>
      </c>
      <c r="V32" t="s">
        <v>394</v>
      </c>
      <c r="W32">
        <v>3367</v>
      </c>
      <c r="X32">
        <v>2162</v>
      </c>
      <c r="Y32">
        <v>468.90518038850001</v>
      </c>
      <c r="Z32">
        <v>399</v>
      </c>
      <c r="AA32">
        <v>437.32581453630002</v>
      </c>
      <c r="AB32">
        <v>573</v>
      </c>
      <c r="AC32">
        <v>585.38743455500003</v>
      </c>
      <c r="AD32">
        <v>498</v>
      </c>
      <c r="AE32">
        <v>613.71686746989997</v>
      </c>
      <c r="AF32">
        <v>131</v>
      </c>
      <c r="AG32">
        <v>157.0076335878</v>
      </c>
      <c r="AH32">
        <v>3</v>
      </c>
      <c r="AI32">
        <v>604.33333333329995</v>
      </c>
      <c r="AL32" t="s">
        <v>394</v>
      </c>
      <c r="AM32">
        <v>127</v>
      </c>
      <c r="AN32">
        <v>98</v>
      </c>
      <c r="AO32">
        <v>450.24489795919999</v>
      </c>
      <c r="AP32">
        <v>9</v>
      </c>
      <c r="AQ32">
        <v>665.2222222222</v>
      </c>
      <c r="AR32">
        <v>25</v>
      </c>
      <c r="AS32">
        <v>299.72000000000003</v>
      </c>
      <c r="AT32">
        <v>3</v>
      </c>
      <c r="AU32">
        <v>374.3333333333</v>
      </c>
      <c r="AV32">
        <v>1</v>
      </c>
      <c r="AW32">
        <v>675</v>
      </c>
    </row>
    <row r="33" spans="6:51" x14ac:dyDescent="0.2">
      <c r="F33" t="s">
        <v>72</v>
      </c>
      <c r="G33">
        <v>5867</v>
      </c>
      <c r="H33">
        <v>2868</v>
      </c>
      <c r="I33">
        <v>365.83885594700001</v>
      </c>
      <c r="J33">
        <v>439</v>
      </c>
      <c r="K33">
        <v>632.64009111619998</v>
      </c>
      <c r="L33">
        <v>1967</v>
      </c>
      <c r="M33">
        <v>707.25876970009995</v>
      </c>
      <c r="N33">
        <v>1025</v>
      </c>
      <c r="O33">
        <v>970.97170731710003</v>
      </c>
      <c r="R33">
        <v>7</v>
      </c>
      <c r="S33">
        <v>559.14285714289997</v>
      </c>
      <c r="V33" t="s">
        <v>385</v>
      </c>
      <c r="W33">
        <v>7208</v>
      </c>
      <c r="X33">
        <v>4502</v>
      </c>
      <c r="Y33">
        <v>285.328371473</v>
      </c>
      <c r="Z33">
        <v>461</v>
      </c>
      <c r="AA33">
        <v>620.90238611710004</v>
      </c>
      <c r="AB33">
        <v>1548</v>
      </c>
      <c r="AC33">
        <v>367.02906976740002</v>
      </c>
      <c r="AD33">
        <v>760</v>
      </c>
      <c r="AE33">
        <v>463.2105263158</v>
      </c>
      <c r="AF33">
        <v>382</v>
      </c>
      <c r="AG33">
        <v>185.87172774870001</v>
      </c>
      <c r="AH33">
        <v>16</v>
      </c>
      <c r="AI33">
        <v>503.25</v>
      </c>
      <c r="AL33" t="s">
        <v>385</v>
      </c>
      <c r="AM33">
        <v>255</v>
      </c>
      <c r="AN33">
        <v>196</v>
      </c>
      <c r="AO33">
        <v>308.29591836729998</v>
      </c>
      <c r="AP33">
        <v>12</v>
      </c>
      <c r="AQ33">
        <v>484.6666666667</v>
      </c>
      <c r="AR33">
        <v>51</v>
      </c>
      <c r="AS33">
        <v>295.7450980392</v>
      </c>
      <c r="AT33">
        <v>8</v>
      </c>
      <c r="AU33">
        <v>311.5</v>
      </c>
    </row>
    <row r="34" spans="6:51" x14ac:dyDescent="0.2">
      <c r="F34" t="s">
        <v>58</v>
      </c>
      <c r="G34">
        <v>6629</v>
      </c>
      <c r="H34">
        <v>4369</v>
      </c>
      <c r="I34">
        <v>268.05929487179998</v>
      </c>
      <c r="J34">
        <v>455</v>
      </c>
      <c r="K34">
        <v>605.31208791209997</v>
      </c>
      <c r="L34">
        <v>1487</v>
      </c>
      <c r="M34">
        <v>334.25218560859997</v>
      </c>
      <c r="N34">
        <v>757</v>
      </c>
      <c r="O34">
        <v>453.8190224571</v>
      </c>
      <c r="R34">
        <v>16</v>
      </c>
      <c r="S34">
        <v>503.25</v>
      </c>
      <c r="V34" t="s">
        <v>428</v>
      </c>
      <c r="W34">
        <v>5986</v>
      </c>
      <c r="X34">
        <v>2789</v>
      </c>
      <c r="Y34">
        <v>365.17898134860002</v>
      </c>
      <c r="Z34">
        <v>417</v>
      </c>
      <c r="AA34">
        <v>628.95443645080002</v>
      </c>
      <c r="AB34">
        <v>1911</v>
      </c>
      <c r="AC34">
        <v>707.04552590269998</v>
      </c>
      <c r="AD34">
        <v>1000</v>
      </c>
      <c r="AE34">
        <v>967.94299999999998</v>
      </c>
      <c r="AF34">
        <v>280</v>
      </c>
      <c r="AG34">
        <v>170.07499999999999</v>
      </c>
      <c r="AH34">
        <v>6</v>
      </c>
      <c r="AI34">
        <v>645.83333333329995</v>
      </c>
      <c r="AL34" t="s">
        <v>428</v>
      </c>
      <c r="AM34">
        <v>117</v>
      </c>
      <c r="AN34">
        <v>79</v>
      </c>
      <c r="AO34">
        <v>314</v>
      </c>
      <c r="AP34">
        <v>18</v>
      </c>
      <c r="AQ34">
        <v>393.55555555559999</v>
      </c>
      <c r="AR34">
        <v>27</v>
      </c>
      <c r="AS34">
        <v>207.44444444440001</v>
      </c>
      <c r="AT34">
        <v>11</v>
      </c>
      <c r="AU34">
        <v>317.8181818182</v>
      </c>
    </row>
    <row r="35" spans="6:51" x14ac:dyDescent="0.2">
      <c r="F35" t="s">
        <v>53</v>
      </c>
      <c r="G35">
        <v>4859</v>
      </c>
      <c r="H35">
        <v>3244</v>
      </c>
      <c r="I35">
        <v>505.65505548710001</v>
      </c>
      <c r="J35">
        <v>563</v>
      </c>
      <c r="K35">
        <v>465.95204262879997</v>
      </c>
      <c r="L35">
        <v>899</v>
      </c>
      <c r="M35">
        <v>569.8220244716</v>
      </c>
      <c r="N35">
        <v>713</v>
      </c>
      <c r="O35">
        <v>616.85413744740003</v>
      </c>
      <c r="R35">
        <v>3</v>
      </c>
      <c r="S35">
        <v>604.33333333329995</v>
      </c>
      <c r="V35" t="s">
        <v>384</v>
      </c>
      <c r="W35">
        <v>13317</v>
      </c>
      <c r="X35">
        <v>10302</v>
      </c>
      <c r="Y35">
        <v>376.98359382580003</v>
      </c>
      <c r="Z35">
        <v>444</v>
      </c>
      <c r="AA35">
        <v>678.09459459460004</v>
      </c>
      <c r="AB35">
        <v>1728</v>
      </c>
      <c r="AC35">
        <v>514.0746527778</v>
      </c>
      <c r="AD35">
        <v>914</v>
      </c>
      <c r="AE35">
        <v>566.55470459519995</v>
      </c>
      <c r="AF35">
        <v>344</v>
      </c>
      <c r="AG35">
        <v>182.74635568510001</v>
      </c>
      <c r="AH35">
        <v>29</v>
      </c>
      <c r="AI35">
        <v>537</v>
      </c>
      <c r="AL35" t="s">
        <v>384</v>
      </c>
      <c r="AM35">
        <v>177</v>
      </c>
      <c r="AN35">
        <v>141</v>
      </c>
      <c r="AO35">
        <v>284.50354609930002</v>
      </c>
      <c r="AP35">
        <v>35</v>
      </c>
      <c r="AQ35">
        <v>358.65714285709998</v>
      </c>
      <c r="AR35">
        <v>29</v>
      </c>
      <c r="AS35">
        <v>219.5172413793</v>
      </c>
      <c r="AT35">
        <v>7</v>
      </c>
      <c r="AU35">
        <v>265.85714285709997</v>
      </c>
    </row>
    <row r="36" spans="6:51" x14ac:dyDescent="0.2">
      <c r="F36" t="s">
        <v>57</v>
      </c>
      <c r="G36">
        <v>10214</v>
      </c>
      <c r="H36">
        <v>5136</v>
      </c>
      <c r="I36">
        <v>269.1005064277</v>
      </c>
      <c r="J36">
        <v>721</v>
      </c>
      <c r="K36">
        <v>601.13592233010002</v>
      </c>
      <c r="L36">
        <v>3767</v>
      </c>
      <c r="M36">
        <v>756.81391027339998</v>
      </c>
      <c r="N36">
        <v>1286</v>
      </c>
      <c r="O36">
        <v>488.17042801560001</v>
      </c>
      <c r="R36">
        <v>25</v>
      </c>
      <c r="S36">
        <v>454.28</v>
      </c>
      <c r="V36" t="s">
        <v>381</v>
      </c>
      <c r="W36">
        <v>90361</v>
      </c>
      <c r="X36">
        <v>67627</v>
      </c>
      <c r="Y36">
        <v>439.18092815519998</v>
      </c>
      <c r="Z36">
        <v>5129</v>
      </c>
      <c r="AA36">
        <v>686.61473971529995</v>
      </c>
      <c r="AB36">
        <v>11794</v>
      </c>
      <c r="AC36">
        <v>594.39214855010005</v>
      </c>
      <c r="AD36">
        <v>7663</v>
      </c>
      <c r="AE36">
        <v>508.7438307873</v>
      </c>
      <c r="AF36">
        <v>3157</v>
      </c>
      <c r="AG36">
        <v>176.664659271</v>
      </c>
      <c r="AH36">
        <v>120</v>
      </c>
      <c r="AI36">
        <v>451.1666666667</v>
      </c>
      <c r="AL36" t="s">
        <v>381</v>
      </c>
      <c r="AM36">
        <v>1918</v>
      </c>
      <c r="AN36">
        <v>1475</v>
      </c>
      <c r="AO36">
        <v>329.313220339</v>
      </c>
      <c r="AP36">
        <v>294</v>
      </c>
      <c r="AQ36">
        <v>485.1054421769</v>
      </c>
      <c r="AR36">
        <v>374</v>
      </c>
      <c r="AS36">
        <v>256.6229946524</v>
      </c>
      <c r="AT36">
        <v>67</v>
      </c>
      <c r="AU36">
        <v>257.13432835819998</v>
      </c>
      <c r="AV36">
        <v>1</v>
      </c>
      <c r="AW36">
        <v>675</v>
      </c>
      <c r="AX36">
        <v>1</v>
      </c>
      <c r="AY36">
        <v>184</v>
      </c>
    </row>
    <row r="37" spans="6:51" x14ac:dyDescent="0.2">
      <c r="F37" t="s">
        <v>77</v>
      </c>
      <c r="G37">
        <v>30426</v>
      </c>
      <c r="H37">
        <v>27451</v>
      </c>
      <c r="I37">
        <v>462.18619986160002</v>
      </c>
      <c r="J37">
        <v>1505</v>
      </c>
      <c r="K37">
        <v>734.40730897009996</v>
      </c>
      <c r="L37">
        <v>831</v>
      </c>
      <c r="M37">
        <v>280.61131167270003</v>
      </c>
      <c r="N37">
        <v>2132</v>
      </c>
      <c r="O37">
        <v>325.09427767350002</v>
      </c>
      <c r="R37">
        <v>12</v>
      </c>
      <c r="S37">
        <v>290</v>
      </c>
      <c r="V37" t="s">
        <v>407</v>
      </c>
      <c r="W37">
        <v>505</v>
      </c>
      <c r="X37">
        <v>263</v>
      </c>
      <c r="Y37">
        <v>138.86311787069999</v>
      </c>
      <c r="Z37">
        <v>263</v>
      </c>
      <c r="AA37">
        <v>203.52471482889999</v>
      </c>
      <c r="AB37">
        <v>89</v>
      </c>
      <c r="AC37">
        <v>166.22471910109999</v>
      </c>
      <c r="AD37">
        <v>98</v>
      </c>
      <c r="AE37">
        <v>224.10204081629999</v>
      </c>
      <c r="AF37">
        <v>51</v>
      </c>
      <c r="AG37">
        <v>165.7254901961</v>
      </c>
      <c r="AH37">
        <v>4</v>
      </c>
      <c r="AI37">
        <v>386.5</v>
      </c>
      <c r="AL37" t="s">
        <v>407</v>
      </c>
      <c r="AM37">
        <v>18</v>
      </c>
      <c r="AN37">
        <v>10</v>
      </c>
      <c r="AO37">
        <v>106.5</v>
      </c>
      <c r="AP37">
        <v>12</v>
      </c>
      <c r="AQ37">
        <v>218.75</v>
      </c>
      <c r="AR37">
        <v>7</v>
      </c>
      <c r="AS37">
        <v>250.42857142860001</v>
      </c>
      <c r="AT37">
        <v>1</v>
      </c>
      <c r="AU37">
        <v>75</v>
      </c>
    </row>
    <row r="38" spans="6:51" x14ac:dyDescent="0.2">
      <c r="F38" t="s">
        <v>381</v>
      </c>
      <c r="G38">
        <v>88999</v>
      </c>
      <c r="H38">
        <v>69169</v>
      </c>
      <c r="I38">
        <v>440.15793811449998</v>
      </c>
      <c r="J38">
        <v>5227</v>
      </c>
      <c r="K38">
        <v>682.4176391812</v>
      </c>
      <c r="L38">
        <v>11920</v>
      </c>
      <c r="M38">
        <v>587.07843959729996</v>
      </c>
      <c r="N38">
        <v>7792</v>
      </c>
      <c r="O38">
        <v>510.89856189009998</v>
      </c>
      <c r="R38">
        <v>118</v>
      </c>
      <c r="S38">
        <v>447.32203389829999</v>
      </c>
      <c r="V38" t="s">
        <v>411</v>
      </c>
      <c r="W38">
        <v>41576</v>
      </c>
      <c r="X38">
        <v>29704</v>
      </c>
      <c r="Y38">
        <v>459.42896579590001</v>
      </c>
      <c r="Z38">
        <v>2371</v>
      </c>
      <c r="AA38">
        <v>712.61071277940005</v>
      </c>
      <c r="AB38">
        <v>8464</v>
      </c>
      <c r="AC38">
        <v>726.87878071830005</v>
      </c>
      <c r="AD38">
        <v>2196</v>
      </c>
      <c r="AE38">
        <v>546.97766636280005</v>
      </c>
      <c r="AF38">
        <v>1158</v>
      </c>
      <c r="AG38">
        <v>180.83419689120001</v>
      </c>
      <c r="AH38">
        <v>54</v>
      </c>
      <c r="AI38">
        <v>565.11111111109994</v>
      </c>
      <c r="AL38" t="s">
        <v>411</v>
      </c>
      <c r="AM38">
        <v>567</v>
      </c>
      <c r="AN38">
        <v>398</v>
      </c>
      <c r="AO38">
        <v>333.48743718589998</v>
      </c>
      <c r="AP38">
        <v>225</v>
      </c>
      <c r="AQ38">
        <v>534.17333333329998</v>
      </c>
      <c r="AR38">
        <v>149</v>
      </c>
      <c r="AS38">
        <v>301.55033557050001</v>
      </c>
      <c r="AT38">
        <v>19</v>
      </c>
      <c r="AU38">
        <v>351.10526315790003</v>
      </c>
      <c r="AV38">
        <v>1</v>
      </c>
      <c r="AW38">
        <v>10</v>
      </c>
    </row>
    <row r="39" spans="6:51" x14ac:dyDescent="0.2">
      <c r="F39" t="s">
        <v>79</v>
      </c>
      <c r="G39">
        <v>19500</v>
      </c>
      <c r="H39">
        <v>14825</v>
      </c>
      <c r="I39">
        <v>412.1732883642</v>
      </c>
      <c r="J39">
        <v>1191</v>
      </c>
      <c r="K39">
        <v>681.45088161210003</v>
      </c>
      <c r="L39">
        <v>3715</v>
      </c>
      <c r="M39">
        <v>770.68802153429999</v>
      </c>
      <c r="N39">
        <v>930</v>
      </c>
      <c r="O39">
        <v>478.35053763439998</v>
      </c>
      <c r="R39">
        <v>30</v>
      </c>
      <c r="S39">
        <v>596.46666666670001</v>
      </c>
      <c r="V39" t="s">
        <v>419</v>
      </c>
      <c r="W39">
        <v>453</v>
      </c>
      <c r="X39">
        <v>237</v>
      </c>
      <c r="Y39">
        <v>172.13080168779999</v>
      </c>
      <c r="Z39">
        <v>83</v>
      </c>
      <c r="AA39">
        <v>255.32530120480001</v>
      </c>
      <c r="AB39">
        <v>127</v>
      </c>
      <c r="AC39">
        <v>329.77165354329998</v>
      </c>
      <c r="AD39">
        <v>63</v>
      </c>
      <c r="AE39">
        <v>445.85714285709997</v>
      </c>
      <c r="AF39">
        <v>24</v>
      </c>
      <c r="AG39">
        <v>289.1666666667</v>
      </c>
      <c r="AH39">
        <v>2</v>
      </c>
      <c r="AI39">
        <v>562.5</v>
      </c>
      <c r="AL39" t="s">
        <v>419</v>
      </c>
      <c r="AM39">
        <v>6</v>
      </c>
      <c r="AN39">
        <v>5</v>
      </c>
      <c r="AO39">
        <v>250</v>
      </c>
      <c r="AP39">
        <v>4</v>
      </c>
      <c r="AQ39">
        <v>213.5</v>
      </c>
      <c r="AR39">
        <v>1</v>
      </c>
      <c r="AS39">
        <v>180</v>
      </c>
    </row>
    <row r="40" spans="6:51" x14ac:dyDescent="0.2">
      <c r="F40" t="s">
        <v>40</v>
      </c>
      <c r="G40">
        <v>6407</v>
      </c>
      <c r="H40">
        <v>3659</v>
      </c>
      <c r="I40">
        <v>269.5009565455</v>
      </c>
      <c r="J40">
        <v>204</v>
      </c>
      <c r="K40">
        <v>538.03921568630005</v>
      </c>
      <c r="L40">
        <v>2371</v>
      </c>
      <c r="M40">
        <v>746.22648671449997</v>
      </c>
      <c r="N40">
        <v>359</v>
      </c>
      <c r="O40">
        <v>413.49860724230001</v>
      </c>
      <c r="R40">
        <v>18</v>
      </c>
      <c r="S40">
        <v>337.8888888889</v>
      </c>
      <c r="V40" t="s">
        <v>422</v>
      </c>
      <c r="W40">
        <v>302</v>
      </c>
      <c r="X40">
        <v>198</v>
      </c>
      <c r="Y40">
        <v>273.65151515150001</v>
      </c>
      <c r="Z40">
        <v>69</v>
      </c>
      <c r="AA40">
        <v>436.9855072464</v>
      </c>
      <c r="AB40">
        <v>51</v>
      </c>
      <c r="AC40">
        <v>411.3137254902</v>
      </c>
      <c r="AD40">
        <v>29</v>
      </c>
      <c r="AE40">
        <v>338.75862068970002</v>
      </c>
      <c r="AF40">
        <v>24</v>
      </c>
      <c r="AG40">
        <v>192.0416666667</v>
      </c>
      <c r="AL40" t="s">
        <v>422</v>
      </c>
      <c r="AM40">
        <v>6</v>
      </c>
      <c r="AN40">
        <v>2</v>
      </c>
      <c r="AO40">
        <v>530.5</v>
      </c>
      <c r="AR40">
        <v>4</v>
      </c>
      <c r="AS40">
        <v>170</v>
      </c>
    </row>
    <row r="41" spans="6:51" x14ac:dyDescent="0.2">
      <c r="F41" t="s">
        <v>46</v>
      </c>
      <c r="G41">
        <v>20371</v>
      </c>
      <c r="H41">
        <v>14334</v>
      </c>
      <c r="I41">
        <v>522.38219493480005</v>
      </c>
      <c r="J41">
        <v>1189</v>
      </c>
      <c r="K41">
        <v>755.14129520610004</v>
      </c>
      <c r="L41">
        <v>4786</v>
      </c>
      <c r="M41">
        <v>700.16506477229996</v>
      </c>
      <c r="N41">
        <v>1227</v>
      </c>
      <c r="O41">
        <v>615.89551020409999</v>
      </c>
      <c r="R41">
        <v>24</v>
      </c>
      <c r="S41">
        <v>511.5</v>
      </c>
      <c r="V41" t="s">
        <v>412</v>
      </c>
      <c r="W41">
        <v>5355</v>
      </c>
      <c r="X41">
        <v>4110</v>
      </c>
      <c r="Y41">
        <v>485.98077858879998</v>
      </c>
      <c r="Z41">
        <v>259</v>
      </c>
      <c r="AA41">
        <v>898.32432432430005</v>
      </c>
      <c r="AB41">
        <v>580</v>
      </c>
      <c r="AC41">
        <v>276.1620689655</v>
      </c>
      <c r="AD41">
        <v>466</v>
      </c>
      <c r="AE41">
        <v>564.1909871245</v>
      </c>
      <c r="AF41">
        <v>195</v>
      </c>
      <c r="AG41">
        <v>200.95384615379999</v>
      </c>
      <c r="AH41">
        <v>4</v>
      </c>
      <c r="AI41">
        <v>218</v>
      </c>
      <c r="AL41" t="s">
        <v>412</v>
      </c>
      <c r="AM41">
        <v>172</v>
      </c>
      <c r="AN41">
        <v>131</v>
      </c>
      <c r="AO41">
        <v>399.8549618321</v>
      </c>
      <c r="AP41">
        <v>13</v>
      </c>
      <c r="AQ41">
        <v>821.07692307690002</v>
      </c>
      <c r="AR41">
        <v>38</v>
      </c>
      <c r="AS41">
        <v>315.7105263158</v>
      </c>
      <c r="AT41">
        <v>3</v>
      </c>
      <c r="AU41">
        <v>668.66666666670005</v>
      </c>
    </row>
    <row r="42" spans="6:51" x14ac:dyDescent="0.2">
      <c r="F42" t="s">
        <v>49</v>
      </c>
      <c r="G42">
        <v>4634</v>
      </c>
      <c r="H42">
        <v>3090</v>
      </c>
      <c r="I42">
        <v>316.07799352749998</v>
      </c>
      <c r="J42">
        <v>335</v>
      </c>
      <c r="K42">
        <v>583.79104477609997</v>
      </c>
      <c r="L42">
        <v>1026</v>
      </c>
      <c r="M42">
        <v>391.08479532159998</v>
      </c>
      <c r="N42">
        <v>507</v>
      </c>
      <c r="O42">
        <v>582.88362919129997</v>
      </c>
      <c r="R42">
        <v>11</v>
      </c>
      <c r="S42">
        <v>527.18181818180005</v>
      </c>
      <c r="V42" t="s">
        <v>404</v>
      </c>
      <c r="W42">
        <v>6513</v>
      </c>
      <c r="X42">
        <v>3643</v>
      </c>
      <c r="Y42">
        <v>277.06505627230001</v>
      </c>
      <c r="Z42">
        <v>211</v>
      </c>
      <c r="AA42">
        <v>544.3127962085</v>
      </c>
      <c r="AB42">
        <v>2259</v>
      </c>
      <c r="AC42">
        <v>733.38689685700001</v>
      </c>
      <c r="AD42">
        <v>352</v>
      </c>
      <c r="AE42">
        <v>431.55113636359999</v>
      </c>
      <c r="AF42">
        <v>241</v>
      </c>
      <c r="AG42">
        <v>192.36099585060001</v>
      </c>
      <c r="AH42">
        <v>18</v>
      </c>
      <c r="AI42">
        <v>337.8888888889</v>
      </c>
      <c r="AL42" t="s">
        <v>404</v>
      </c>
      <c r="AM42">
        <v>85</v>
      </c>
      <c r="AN42">
        <v>57</v>
      </c>
      <c r="AO42">
        <v>258.05263157889999</v>
      </c>
      <c r="AP42">
        <v>22</v>
      </c>
      <c r="AQ42">
        <v>263.3181818182</v>
      </c>
      <c r="AR42">
        <v>25</v>
      </c>
      <c r="AS42">
        <v>520.76</v>
      </c>
      <c r="AT42">
        <v>3</v>
      </c>
      <c r="AU42">
        <v>167</v>
      </c>
    </row>
    <row r="43" spans="6:51" x14ac:dyDescent="0.2">
      <c r="F43" t="s">
        <v>36</v>
      </c>
      <c r="G43">
        <v>244</v>
      </c>
      <c r="H43">
        <v>174</v>
      </c>
      <c r="I43">
        <v>275.35632183910002</v>
      </c>
      <c r="J43">
        <v>76</v>
      </c>
      <c r="K43">
        <v>452.80263157889999</v>
      </c>
      <c r="L43">
        <v>40</v>
      </c>
      <c r="M43">
        <v>299.57499999999999</v>
      </c>
      <c r="N43">
        <v>30</v>
      </c>
      <c r="O43">
        <v>323.26666666670002</v>
      </c>
      <c r="V43" t="s">
        <v>413</v>
      </c>
      <c r="W43">
        <v>4707</v>
      </c>
      <c r="X43">
        <v>2962</v>
      </c>
      <c r="Y43">
        <v>205.36563133019999</v>
      </c>
      <c r="Z43">
        <v>497</v>
      </c>
      <c r="AA43">
        <v>352.08853118709999</v>
      </c>
      <c r="AB43">
        <v>975</v>
      </c>
      <c r="AC43">
        <v>255.5723076923</v>
      </c>
      <c r="AD43">
        <v>467</v>
      </c>
      <c r="AE43">
        <v>314.9207708779</v>
      </c>
      <c r="AF43">
        <v>296</v>
      </c>
      <c r="AG43">
        <v>176.91216216219999</v>
      </c>
      <c r="AH43">
        <v>7</v>
      </c>
      <c r="AI43">
        <v>111.1428571429</v>
      </c>
      <c r="AL43" t="s">
        <v>413</v>
      </c>
      <c r="AM43">
        <v>101</v>
      </c>
      <c r="AN43">
        <v>71</v>
      </c>
      <c r="AO43">
        <v>158.14084507039999</v>
      </c>
      <c r="AP43">
        <v>46</v>
      </c>
      <c r="AQ43">
        <v>231.23913043479999</v>
      </c>
      <c r="AR43">
        <v>23</v>
      </c>
      <c r="AS43">
        <v>166.34782608699999</v>
      </c>
      <c r="AT43">
        <v>6</v>
      </c>
      <c r="AU43">
        <v>302.8333333333</v>
      </c>
      <c r="AV43">
        <v>1</v>
      </c>
      <c r="AW43">
        <v>206</v>
      </c>
    </row>
    <row r="44" spans="6:51" x14ac:dyDescent="0.2">
      <c r="F44" t="s">
        <v>27</v>
      </c>
      <c r="G44">
        <v>4364</v>
      </c>
      <c r="H44">
        <v>2913</v>
      </c>
      <c r="I44">
        <v>196.56436663229999</v>
      </c>
      <c r="J44">
        <v>490</v>
      </c>
      <c r="K44">
        <v>341.55102040819997</v>
      </c>
      <c r="L44">
        <v>967</v>
      </c>
      <c r="M44">
        <v>245.84074457080001</v>
      </c>
      <c r="N44">
        <v>476</v>
      </c>
      <c r="O44">
        <v>307.51050420169997</v>
      </c>
      <c r="R44">
        <v>8</v>
      </c>
      <c r="S44">
        <v>136.25</v>
      </c>
      <c r="V44" t="s">
        <v>388</v>
      </c>
      <c r="W44">
        <v>5932</v>
      </c>
      <c r="X44">
        <v>4812</v>
      </c>
      <c r="Y44">
        <v>447.8333333333</v>
      </c>
      <c r="Z44">
        <v>413</v>
      </c>
      <c r="AA44">
        <v>678.42857142859998</v>
      </c>
      <c r="AB44">
        <v>535</v>
      </c>
      <c r="AC44">
        <v>414.58317757010002</v>
      </c>
      <c r="AD44">
        <v>382</v>
      </c>
      <c r="AE44">
        <v>450</v>
      </c>
      <c r="AF44">
        <v>184</v>
      </c>
      <c r="AG44">
        <v>179.78804347830001</v>
      </c>
      <c r="AH44">
        <v>19</v>
      </c>
      <c r="AI44">
        <v>388.05263157889999</v>
      </c>
      <c r="AL44" t="s">
        <v>388</v>
      </c>
      <c r="AM44">
        <v>197</v>
      </c>
      <c r="AN44">
        <v>154</v>
      </c>
      <c r="AO44">
        <v>387.90909090909997</v>
      </c>
      <c r="AP44">
        <v>11</v>
      </c>
      <c r="AQ44">
        <v>830.90909090909997</v>
      </c>
      <c r="AR44">
        <v>42</v>
      </c>
      <c r="AS44">
        <v>256.90476190480001</v>
      </c>
      <c r="AT44">
        <v>1</v>
      </c>
      <c r="AU44">
        <v>180</v>
      </c>
    </row>
    <row r="45" spans="6:51" x14ac:dyDescent="0.2">
      <c r="F45" t="s">
        <v>51</v>
      </c>
      <c r="G45">
        <v>5309</v>
      </c>
      <c r="H45">
        <v>4246</v>
      </c>
      <c r="I45">
        <v>487.96632124349998</v>
      </c>
      <c r="J45">
        <v>264</v>
      </c>
      <c r="K45">
        <v>914.49242424240003</v>
      </c>
      <c r="L45">
        <v>583</v>
      </c>
      <c r="M45">
        <v>260.7993138937</v>
      </c>
      <c r="N45">
        <v>475</v>
      </c>
      <c r="O45">
        <v>584.31789473679999</v>
      </c>
      <c r="R45">
        <v>5</v>
      </c>
      <c r="S45">
        <v>270.60000000000002</v>
      </c>
      <c r="V45" t="s">
        <v>390</v>
      </c>
      <c r="W45">
        <v>4863</v>
      </c>
      <c r="X45">
        <v>3140</v>
      </c>
      <c r="Y45">
        <v>324.48025477710001</v>
      </c>
      <c r="Z45">
        <v>342</v>
      </c>
      <c r="AA45">
        <v>588.55263157889999</v>
      </c>
      <c r="AB45">
        <v>1044</v>
      </c>
      <c r="AC45">
        <v>402.70019157090002</v>
      </c>
      <c r="AD45">
        <v>506</v>
      </c>
      <c r="AE45">
        <v>588.28063241109999</v>
      </c>
      <c r="AF45">
        <v>162</v>
      </c>
      <c r="AG45">
        <v>236</v>
      </c>
      <c r="AH45">
        <v>11</v>
      </c>
      <c r="AI45">
        <v>527.18181818180005</v>
      </c>
      <c r="AL45" t="s">
        <v>390</v>
      </c>
      <c r="AM45">
        <v>173</v>
      </c>
      <c r="AN45">
        <v>125</v>
      </c>
      <c r="AO45">
        <v>332.78399999999999</v>
      </c>
      <c r="AP45">
        <v>7</v>
      </c>
      <c r="AQ45">
        <v>362.42857142859998</v>
      </c>
      <c r="AR45">
        <v>46</v>
      </c>
      <c r="AS45">
        <v>412.84782608699999</v>
      </c>
      <c r="AT45">
        <v>2</v>
      </c>
      <c r="AU45">
        <v>457.5</v>
      </c>
    </row>
    <row r="46" spans="6:51" x14ac:dyDescent="0.2">
      <c r="F46" t="s">
        <v>59</v>
      </c>
      <c r="G46">
        <v>5772</v>
      </c>
      <c r="H46">
        <v>4837</v>
      </c>
      <c r="I46">
        <v>450.32871614639998</v>
      </c>
      <c r="J46">
        <v>408</v>
      </c>
      <c r="K46">
        <v>679.39950980389995</v>
      </c>
      <c r="L46">
        <v>533</v>
      </c>
      <c r="M46">
        <v>385.63227016889999</v>
      </c>
      <c r="N46">
        <v>384</v>
      </c>
      <c r="O46">
        <v>459.4505208333</v>
      </c>
      <c r="R46">
        <v>18</v>
      </c>
      <c r="S46">
        <v>402.1111111111</v>
      </c>
      <c r="V46" t="s">
        <v>386</v>
      </c>
      <c r="W46">
        <v>70206</v>
      </c>
      <c r="X46">
        <v>49069</v>
      </c>
      <c r="Y46">
        <v>419.14938148319999</v>
      </c>
      <c r="Z46">
        <v>4508</v>
      </c>
      <c r="AA46">
        <v>620.77440106480003</v>
      </c>
      <c r="AB46">
        <v>14124</v>
      </c>
      <c r="AC46">
        <v>632.84147550269995</v>
      </c>
      <c r="AD46">
        <v>4559</v>
      </c>
      <c r="AE46">
        <v>502.83102918589998</v>
      </c>
      <c r="AF46">
        <v>2335</v>
      </c>
      <c r="AG46">
        <v>187.85053533190001</v>
      </c>
      <c r="AH46">
        <v>119</v>
      </c>
      <c r="AI46">
        <v>454.54621848739998</v>
      </c>
      <c r="AL46" t="s">
        <v>386</v>
      </c>
      <c r="AM46">
        <v>1325</v>
      </c>
      <c r="AN46">
        <v>953</v>
      </c>
      <c r="AO46">
        <v>331.33053515220001</v>
      </c>
      <c r="AP46">
        <v>340</v>
      </c>
      <c r="AQ46">
        <v>477.79117647060002</v>
      </c>
      <c r="AR46">
        <v>335</v>
      </c>
      <c r="AS46">
        <v>316.91641791040001</v>
      </c>
      <c r="AT46">
        <v>35</v>
      </c>
      <c r="AU46">
        <v>347.57142857140002</v>
      </c>
      <c r="AV46">
        <v>2</v>
      </c>
      <c r="AW46">
        <v>108</v>
      </c>
    </row>
    <row r="47" spans="6:51" x14ac:dyDescent="0.2">
      <c r="F47" t="s">
        <v>181</v>
      </c>
      <c r="G47">
        <v>366</v>
      </c>
      <c r="H47">
        <v>189</v>
      </c>
      <c r="I47">
        <v>98.317460317499993</v>
      </c>
      <c r="J47">
        <v>80</v>
      </c>
      <c r="K47">
        <v>250.625</v>
      </c>
      <c r="L47">
        <v>114</v>
      </c>
      <c r="M47">
        <v>296.94736842110001</v>
      </c>
      <c r="N47">
        <v>61</v>
      </c>
      <c r="O47">
        <v>435.29508196720002</v>
      </c>
      <c r="R47">
        <v>2</v>
      </c>
      <c r="S47">
        <v>562.5</v>
      </c>
      <c r="V47" t="s">
        <v>417</v>
      </c>
      <c r="W47">
        <v>447</v>
      </c>
      <c r="X47">
        <v>306</v>
      </c>
      <c r="Y47">
        <v>270.091503268</v>
      </c>
      <c r="Z47">
        <v>42</v>
      </c>
      <c r="AA47">
        <v>409.88095238099999</v>
      </c>
      <c r="AB47">
        <v>39</v>
      </c>
      <c r="AC47">
        <v>414.07692307690002</v>
      </c>
      <c r="AD47">
        <v>78</v>
      </c>
      <c r="AE47">
        <v>254.8205128205</v>
      </c>
      <c r="AF47">
        <v>21</v>
      </c>
      <c r="AG47">
        <v>230.8571428571</v>
      </c>
      <c r="AH47">
        <v>3</v>
      </c>
      <c r="AI47">
        <v>194.6666666667</v>
      </c>
      <c r="AL47" t="s">
        <v>417</v>
      </c>
      <c r="AM47">
        <v>25</v>
      </c>
      <c r="AN47">
        <v>24</v>
      </c>
      <c r="AO47">
        <v>185.9166666667</v>
      </c>
      <c r="AP47">
        <v>4</v>
      </c>
      <c r="AQ47">
        <v>304.5</v>
      </c>
      <c r="AR47">
        <v>1</v>
      </c>
      <c r="AS47">
        <v>15</v>
      </c>
    </row>
    <row r="48" spans="6:51" x14ac:dyDescent="0.2">
      <c r="F48" t="s">
        <v>70</v>
      </c>
      <c r="G48">
        <v>1231</v>
      </c>
      <c r="H48">
        <v>1034</v>
      </c>
      <c r="I48">
        <v>227.75435203090001</v>
      </c>
      <c r="J48">
        <v>277</v>
      </c>
      <c r="K48">
        <v>202.76895306860001</v>
      </c>
      <c r="L48">
        <v>90</v>
      </c>
      <c r="M48">
        <v>144.3333333333</v>
      </c>
      <c r="N48">
        <v>104</v>
      </c>
      <c r="O48">
        <v>198.86538461539999</v>
      </c>
      <c r="R48">
        <v>3</v>
      </c>
      <c r="S48">
        <v>247.6666666667</v>
      </c>
      <c r="V48" t="s">
        <v>418</v>
      </c>
      <c r="W48">
        <v>116</v>
      </c>
      <c r="X48">
        <v>78</v>
      </c>
      <c r="Y48">
        <v>147.87179487180001</v>
      </c>
      <c r="Z48">
        <v>52</v>
      </c>
      <c r="AA48">
        <v>268.09615384620002</v>
      </c>
      <c r="AB48">
        <v>6</v>
      </c>
      <c r="AC48">
        <v>285.1666666667</v>
      </c>
      <c r="AD48">
        <v>20</v>
      </c>
      <c r="AE48">
        <v>378.85</v>
      </c>
      <c r="AF48">
        <v>11</v>
      </c>
      <c r="AG48">
        <v>152.9090909091</v>
      </c>
      <c r="AH48">
        <v>1</v>
      </c>
      <c r="AI48">
        <v>192</v>
      </c>
      <c r="AL48" t="s">
        <v>418</v>
      </c>
      <c r="AM48">
        <v>9</v>
      </c>
      <c r="AN48">
        <v>8</v>
      </c>
      <c r="AO48">
        <v>191.5</v>
      </c>
      <c r="AP48">
        <v>4</v>
      </c>
      <c r="AQ48">
        <v>269.25</v>
      </c>
      <c r="AT48">
        <v>1</v>
      </c>
      <c r="AU48">
        <v>632</v>
      </c>
    </row>
    <row r="49" spans="6:51" x14ac:dyDescent="0.2">
      <c r="F49" t="s">
        <v>386</v>
      </c>
      <c r="G49">
        <v>68198</v>
      </c>
      <c r="H49">
        <v>49301</v>
      </c>
      <c r="I49">
        <v>419.57985801220002</v>
      </c>
      <c r="J49">
        <v>4514</v>
      </c>
      <c r="K49">
        <v>622.82055826320004</v>
      </c>
      <c r="L49">
        <v>14225</v>
      </c>
      <c r="M49">
        <v>635.41602811949997</v>
      </c>
      <c r="N49">
        <v>4553</v>
      </c>
      <c r="O49">
        <v>505.51395297739998</v>
      </c>
      <c r="R49">
        <v>119</v>
      </c>
      <c r="S49">
        <v>450.4201680672</v>
      </c>
      <c r="V49" t="s">
        <v>424</v>
      </c>
      <c r="W49">
        <v>608</v>
      </c>
      <c r="X49">
        <v>360</v>
      </c>
      <c r="Y49">
        <v>363.39722222220001</v>
      </c>
      <c r="Z49">
        <v>53</v>
      </c>
      <c r="AA49">
        <v>546.37735849060005</v>
      </c>
      <c r="AB49">
        <v>141</v>
      </c>
      <c r="AC49">
        <v>438.17021276600002</v>
      </c>
      <c r="AD49">
        <v>80</v>
      </c>
      <c r="AE49">
        <v>577.4375</v>
      </c>
      <c r="AF49">
        <v>27</v>
      </c>
      <c r="AG49">
        <v>156.8148148148</v>
      </c>
      <c r="AL49" t="s">
        <v>424</v>
      </c>
      <c r="AM49">
        <v>16</v>
      </c>
      <c r="AN49">
        <v>15</v>
      </c>
      <c r="AO49">
        <v>274.2</v>
      </c>
      <c r="AP49">
        <v>1</v>
      </c>
      <c r="AQ49">
        <v>498</v>
      </c>
      <c r="AV49">
        <v>1</v>
      </c>
      <c r="AW49">
        <v>491</v>
      </c>
    </row>
    <row r="50" spans="6:51" x14ac:dyDescent="0.2">
      <c r="F50" t="s">
        <v>212</v>
      </c>
      <c r="G50">
        <v>1665</v>
      </c>
      <c r="H50">
        <v>1178</v>
      </c>
      <c r="I50">
        <v>263.1256366723</v>
      </c>
      <c r="J50">
        <v>658</v>
      </c>
      <c r="K50">
        <v>395.66717325230002</v>
      </c>
      <c r="L50">
        <v>422</v>
      </c>
      <c r="M50">
        <v>254.47867298579999</v>
      </c>
      <c r="N50">
        <v>65</v>
      </c>
      <c r="O50">
        <v>238.03076923079999</v>
      </c>
      <c r="V50" t="s">
        <v>377</v>
      </c>
      <c r="W50">
        <v>5715</v>
      </c>
      <c r="X50">
        <v>4527</v>
      </c>
      <c r="Y50">
        <v>564.44444444440001</v>
      </c>
      <c r="Z50">
        <v>225</v>
      </c>
      <c r="AA50">
        <v>896.14222222219996</v>
      </c>
      <c r="AB50">
        <v>813</v>
      </c>
      <c r="AC50">
        <v>798.73554735549999</v>
      </c>
      <c r="AD50">
        <v>282</v>
      </c>
      <c r="AE50">
        <v>628.43262411349997</v>
      </c>
      <c r="AF50">
        <v>90</v>
      </c>
      <c r="AG50">
        <v>139.35555555560001</v>
      </c>
      <c r="AH50">
        <v>3</v>
      </c>
      <c r="AI50">
        <v>729</v>
      </c>
      <c r="AL50" t="s">
        <v>377</v>
      </c>
      <c r="AM50">
        <v>83</v>
      </c>
      <c r="AN50">
        <v>72</v>
      </c>
      <c r="AO50">
        <v>254.55555555559999</v>
      </c>
      <c r="AP50">
        <v>16</v>
      </c>
      <c r="AQ50">
        <v>398.8125</v>
      </c>
      <c r="AR50">
        <v>8</v>
      </c>
      <c r="AS50">
        <v>268.375</v>
      </c>
      <c r="AT50">
        <v>2</v>
      </c>
      <c r="AU50">
        <v>533</v>
      </c>
      <c r="AV50">
        <v>1</v>
      </c>
      <c r="AW50">
        <v>4</v>
      </c>
    </row>
    <row r="51" spans="6:51" x14ac:dyDescent="0.2">
      <c r="F51" t="s">
        <v>209</v>
      </c>
      <c r="G51">
        <v>2656</v>
      </c>
      <c r="H51">
        <v>2039</v>
      </c>
      <c r="I51">
        <v>399.04217753799998</v>
      </c>
      <c r="J51">
        <v>194</v>
      </c>
      <c r="K51">
        <v>730.00515463919999</v>
      </c>
      <c r="L51">
        <v>558</v>
      </c>
      <c r="M51">
        <v>366.40501792110001</v>
      </c>
      <c r="N51">
        <v>59</v>
      </c>
      <c r="O51">
        <v>291.2542372881</v>
      </c>
      <c r="V51" t="s">
        <v>60</v>
      </c>
      <c r="W51">
        <v>5347</v>
      </c>
      <c r="X51">
        <v>3546</v>
      </c>
      <c r="Y51">
        <v>251.6328257191</v>
      </c>
      <c r="Z51">
        <v>795</v>
      </c>
      <c r="AA51">
        <v>421.97735849060001</v>
      </c>
      <c r="AB51">
        <v>894</v>
      </c>
      <c r="AC51">
        <v>290.11297539150002</v>
      </c>
      <c r="AD51">
        <v>632</v>
      </c>
      <c r="AE51">
        <v>612.7911392405</v>
      </c>
      <c r="AF51">
        <v>257</v>
      </c>
      <c r="AG51">
        <v>166.3307392996</v>
      </c>
      <c r="AH51">
        <v>18</v>
      </c>
      <c r="AI51">
        <v>746.2777777778</v>
      </c>
      <c r="AL51" t="s">
        <v>60</v>
      </c>
      <c r="AM51">
        <v>257</v>
      </c>
      <c r="AN51">
        <v>216</v>
      </c>
      <c r="AO51">
        <v>257.1435185185</v>
      </c>
      <c r="AP51">
        <v>35</v>
      </c>
      <c r="AQ51">
        <v>375.6</v>
      </c>
      <c r="AR51">
        <v>33</v>
      </c>
      <c r="AS51">
        <v>227.1818181818</v>
      </c>
      <c r="AT51">
        <v>8</v>
      </c>
      <c r="AU51">
        <v>165.625</v>
      </c>
    </row>
    <row r="52" spans="6:51" x14ac:dyDescent="0.2">
      <c r="F52" t="s">
        <v>210</v>
      </c>
      <c r="G52">
        <v>2727</v>
      </c>
      <c r="H52">
        <v>2189</v>
      </c>
      <c r="I52">
        <v>281.58245774329998</v>
      </c>
      <c r="J52">
        <v>516</v>
      </c>
      <c r="K52">
        <v>418.22674418600002</v>
      </c>
      <c r="L52">
        <v>431</v>
      </c>
      <c r="M52">
        <v>195.7401392111</v>
      </c>
      <c r="N52">
        <v>106</v>
      </c>
      <c r="O52">
        <v>273.9811320755</v>
      </c>
      <c r="R52">
        <v>1</v>
      </c>
      <c r="S52">
        <v>184</v>
      </c>
      <c r="V52" t="s">
        <v>379</v>
      </c>
      <c r="W52">
        <v>15184</v>
      </c>
      <c r="X52">
        <v>10433</v>
      </c>
      <c r="Y52">
        <v>371.6767638037</v>
      </c>
      <c r="Z52">
        <v>742</v>
      </c>
      <c r="AA52">
        <v>780.60107816710001</v>
      </c>
      <c r="AB52">
        <v>3669</v>
      </c>
      <c r="AC52">
        <v>789.09948214769997</v>
      </c>
      <c r="AD52">
        <v>746</v>
      </c>
      <c r="AE52">
        <v>550.6930294906</v>
      </c>
      <c r="AF52">
        <v>332</v>
      </c>
      <c r="AG52">
        <v>166.3734939759</v>
      </c>
      <c r="AH52">
        <v>4</v>
      </c>
      <c r="AI52">
        <v>380.75</v>
      </c>
      <c r="AL52" t="s">
        <v>379</v>
      </c>
      <c r="AM52">
        <v>166</v>
      </c>
      <c r="AN52">
        <v>137</v>
      </c>
      <c r="AO52">
        <v>248.27007299269999</v>
      </c>
      <c r="AP52">
        <v>26</v>
      </c>
      <c r="AQ52">
        <v>306.96153846150003</v>
      </c>
      <c r="AR52">
        <v>18</v>
      </c>
      <c r="AS52">
        <v>189.94444444440001</v>
      </c>
      <c r="AT52">
        <v>10</v>
      </c>
      <c r="AU52">
        <v>256.60000000000002</v>
      </c>
      <c r="AV52">
        <v>1</v>
      </c>
      <c r="AW52">
        <v>-2</v>
      </c>
    </row>
    <row r="53" spans="6:51" x14ac:dyDescent="0.2">
      <c r="F53" t="s">
        <v>463</v>
      </c>
      <c r="G53">
        <v>7048</v>
      </c>
      <c r="H53">
        <v>5406</v>
      </c>
      <c r="I53">
        <v>321.86330003699999</v>
      </c>
      <c r="J53">
        <v>1368</v>
      </c>
      <c r="K53">
        <v>451.58991228069999</v>
      </c>
      <c r="L53">
        <v>1411</v>
      </c>
      <c r="M53">
        <v>280.79943302620001</v>
      </c>
      <c r="N53">
        <v>230</v>
      </c>
      <c r="O53">
        <v>268.25217391299998</v>
      </c>
      <c r="R53">
        <v>1</v>
      </c>
      <c r="S53">
        <v>184</v>
      </c>
      <c r="V53" t="s">
        <v>375</v>
      </c>
      <c r="W53">
        <v>4075</v>
      </c>
      <c r="X53">
        <v>2800</v>
      </c>
      <c r="Y53">
        <v>329.30678571430002</v>
      </c>
      <c r="Z53">
        <v>455</v>
      </c>
      <c r="AA53">
        <v>499.08791208790001</v>
      </c>
      <c r="AB53">
        <v>553</v>
      </c>
      <c r="AC53">
        <v>274.3363471971</v>
      </c>
      <c r="AD53">
        <v>557</v>
      </c>
      <c r="AE53">
        <v>519.6983842011</v>
      </c>
      <c r="AF53">
        <v>158</v>
      </c>
      <c r="AG53">
        <v>214.45569620250001</v>
      </c>
      <c r="AH53">
        <v>7</v>
      </c>
      <c r="AI53">
        <v>750.57142857140002</v>
      </c>
      <c r="AL53" t="s">
        <v>375</v>
      </c>
      <c r="AM53">
        <v>174</v>
      </c>
      <c r="AN53">
        <v>132</v>
      </c>
      <c r="AO53">
        <v>251.20454545449999</v>
      </c>
      <c r="AP53">
        <v>24</v>
      </c>
      <c r="AQ53">
        <v>265.375</v>
      </c>
      <c r="AR53">
        <v>34</v>
      </c>
      <c r="AS53">
        <v>191.3529411765</v>
      </c>
      <c r="AT53">
        <v>7</v>
      </c>
      <c r="AU53">
        <v>312.85714285709997</v>
      </c>
      <c r="AV53">
        <v>1</v>
      </c>
      <c r="AW53">
        <v>360</v>
      </c>
    </row>
    <row r="54" spans="6:51" x14ac:dyDescent="0.2">
      <c r="F54" t="s">
        <v>78</v>
      </c>
      <c r="G54">
        <v>416</v>
      </c>
      <c r="H54">
        <v>308</v>
      </c>
      <c r="I54">
        <v>223.47077922080001</v>
      </c>
      <c r="J54">
        <v>49</v>
      </c>
      <c r="K54">
        <v>391</v>
      </c>
      <c r="L54">
        <v>30</v>
      </c>
      <c r="M54">
        <v>315.23333333329998</v>
      </c>
      <c r="N54">
        <v>75</v>
      </c>
      <c r="O54">
        <v>230.68</v>
      </c>
      <c r="R54">
        <v>3</v>
      </c>
      <c r="S54">
        <v>194.6666666667</v>
      </c>
      <c r="V54" t="s">
        <v>374</v>
      </c>
      <c r="W54">
        <v>1202</v>
      </c>
      <c r="X54">
        <v>772</v>
      </c>
      <c r="Y54">
        <v>208.6981865285</v>
      </c>
      <c r="Z54">
        <v>126</v>
      </c>
      <c r="AA54">
        <v>330.00793650790001</v>
      </c>
      <c r="AB54">
        <v>196</v>
      </c>
      <c r="AC54">
        <v>227.8928571429</v>
      </c>
      <c r="AD54">
        <v>148</v>
      </c>
      <c r="AE54">
        <v>329.6418918919</v>
      </c>
      <c r="AF54">
        <v>78</v>
      </c>
      <c r="AG54">
        <v>165.28205128210001</v>
      </c>
      <c r="AH54">
        <v>8</v>
      </c>
      <c r="AI54">
        <v>135.25</v>
      </c>
      <c r="AL54" t="s">
        <v>374</v>
      </c>
      <c r="AM54">
        <v>53</v>
      </c>
      <c r="AN54">
        <v>46</v>
      </c>
      <c r="AO54">
        <v>239.9347826087</v>
      </c>
      <c r="AP54">
        <v>7</v>
      </c>
      <c r="AQ54">
        <v>311.71428571429999</v>
      </c>
      <c r="AR54">
        <v>7</v>
      </c>
      <c r="AS54">
        <v>161.71428571429999</v>
      </c>
    </row>
    <row r="55" spans="6:51" x14ac:dyDescent="0.2">
      <c r="F55" t="s">
        <v>35</v>
      </c>
      <c r="G55">
        <v>3279</v>
      </c>
      <c r="H55">
        <v>2088</v>
      </c>
      <c r="I55">
        <v>462.82894106369997</v>
      </c>
      <c r="J55">
        <v>301</v>
      </c>
      <c r="K55">
        <v>511.06976744190001</v>
      </c>
      <c r="L55">
        <v>859</v>
      </c>
      <c r="M55">
        <v>540.70896391149995</v>
      </c>
      <c r="N55">
        <v>321</v>
      </c>
      <c r="O55">
        <v>651.19937694700002</v>
      </c>
      <c r="R55">
        <v>11</v>
      </c>
      <c r="S55">
        <v>260.8181818182</v>
      </c>
      <c r="V55" t="s">
        <v>376</v>
      </c>
      <c r="W55">
        <v>7169</v>
      </c>
      <c r="X55">
        <v>4949</v>
      </c>
      <c r="Y55">
        <v>399.8415841584</v>
      </c>
      <c r="Z55">
        <v>543</v>
      </c>
      <c r="AA55">
        <v>518.28176795579998</v>
      </c>
      <c r="AB55">
        <v>948</v>
      </c>
      <c r="AC55">
        <v>434.80168776369999</v>
      </c>
      <c r="AD55">
        <v>974</v>
      </c>
      <c r="AE55">
        <v>672.95379876799996</v>
      </c>
      <c r="AF55">
        <v>288</v>
      </c>
      <c r="AG55">
        <v>193.4548611111</v>
      </c>
      <c r="AH55">
        <v>10</v>
      </c>
      <c r="AI55">
        <v>501.5</v>
      </c>
      <c r="AL55" t="s">
        <v>376</v>
      </c>
      <c r="AM55">
        <v>239</v>
      </c>
      <c r="AN55">
        <v>191</v>
      </c>
      <c r="AO55">
        <v>284.8848167539</v>
      </c>
      <c r="AP55">
        <v>46</v>
      </c>
      <c r="AQ55">
        <v>334.80434782610001</v>
      </c>
      <c r="AR55">
        <v>35</v>
      </c>
      <c r="AS55">
        <v>203.6285714286</v>
      </c>
      <c r="AT55">
        <v>11</v>
      </c>
      <c r="AU55">
        <v>389.36363636359999</v>
      </c>
      <c r="AV55">
        <v>2</v>
      </c>
      <c r="AW55">
        <v>37</v>
      </c>
    </row>
    <row r="56" spans="6:51" x14ac:dyDescent="0.2">
      <c r="F56" t="s">
        <v>61</v>
      </c>
      <c r="G56">
        <v>2537</v>
      </c>
      <c r="H56">
        <v>1896</v>
      </c>
      <c r="I56">
        <v>336.86286919830002</v>
      </c>
      <c r="J56">
        <v>298</v>
      </c>
      <c r="K56">
        <v>579.45637583890004</v>
      </c>
      <c r="L56">
        <v>256</v>
      </c>
      <c r="M56">
        <v>76.6328125</v>
      </c>
      <c r="N56">
        <v>383</v>
      </c>
      <c r="O56">
        <v>461.25848563969998</v>
      </c>
      <c r="R56">
        <v>2</v>
      </c>
      <c r="S56">
        <v>517</v>
      </c>
      <c r="V56" t="s">
        <v>373</v>
      </c>
      <c r="W56">
        <v>270</v>
      </c>
      <c r="X56">
        <v>131</v>
      </c>
      <c r="Y56">
        <v>157.70992366409999</v>
      </c>
      <c r="Z56">
        <v>114</v>
      </c>
      <c r="AA56">
        <v>167.48245614039999</v>
      </c>
      <c r="AB56">
        <v>65</v>
      </c>
      <c r="AC56">
        <v>192.50769230770001</v>
      </c>
      <c r="AD56">
        <v>36</v>
      </c>
      <c r="AE56">
        <v>262.5</v>
      </c>
      <c r="AF56">
        <v>34</v>
      </c>
      <c r="AG56">
        <v>205.8823529412</v>
      </c>
      <c r="AH56">
        <v>4</v>
      </c>
      <c r="AI56">
        <v>171.5</v>
      </c>
      <c r="AL56" t="s">
        <v>373</v>
      </c>
      <c r="AM56">
        <v>18</v>
      </c>
      <c r="AN56">
        <v>13</v>
      </c>
      <c r="AO56">
        <v>289.38461538460001</v>
      </c>
      <c r="AP56">
        <v>7</v>
      </c>
      <c r="AQ56">
        <v>343.28571428570001</v>
      </c>
      <c r="AR56">
        <v>3</v>
      </c>
      <c r="AS56">
        <v>381.3333333333</v>
      </c>
      <c r="AT56">
        <v>2</v>
      </c>
      <c r="AU56">
        <v>174</v>
      </c>
    </row>
    <row r="57" spans="6:51" x14ac:dyDescent="0.2">
      <c r="F57" t="s">
        <v>24</v>
      </c>
      <c r="G57">
        <v>1881</v>
      </c>
      <c r="H57">
        <v>1136</v>
      </c>
      <c r="I57">
        <v>194.74911971829999</v>
      </c>
      <c r="J57">
        <v>359</v>
      </c>
      <c r="K57">
        <v>269.40947075209999</v>
      </c>
      <c r="L57">
        <v>526</v>
      </c>
      <c r="M57">
        <v>323.30798479089998</v>
      </c>
      <c r="N57">
        <v>206</v>
      </c>
      <c r="O57">
        <v>532.30582524270005</v>
      </c>
      <c r="R57">
        <v>13</v>
      </c>
      <c r="S57">
        <v>744.30769230769999</v>
      </c>
      <c r="V57" t="s">
        <v>372</v>
      </c>
      <c r="W57">
        <v>3391</v>
      </c>
      <c r="X57">
        <v>1993</v>
      </c>
      <c r="Y57">
        <v>451.11395582329999</v>
      </c>
      <c r="Z57">
        <v>378</v>
      </c>
      <c r="AA57">
        <v>433.7222222222</v>
      </c>
      <c r="AB57">
        <v>878</v>
      </c>
      <c r="AC57">
        <v>507.47949886100002</v>
      </c>
      <c r="AD57">
        <v>350</v>
      </c>
      <c r="AE57">
        <v>607.96571428569996</v>
      </c>
      <c r="AF57">
        <v>157</v>
      </c>
      <c r="AG57">
        <v>148.85987261150001</v>
      </c>
      <c r="AH57">
        <v>13</v>
      </c>
      <c r="AI57">
        <v>234.4615384615</v>
      </c>
      <c r="AL57" t="s">
        <v>372</v>
      </c>
      <c r="AM57">
        <v>98</v>
      </c>
      <c r="AN57">
        <v>80</v>
      </c>
      <c r="AO57">
        <v>251.875</v>
      </c>
      <c r="AP57">
        <v>23</v>
      </c>
      <c r="AQ57">
        <v>443.69565217389999</v>
      </c>
      <c r="AR57">
        <v>15</v>
      </c>
      <c r="AS57">
        <v>264.39999999999998</v>
      </c>
      <c r="AT57">
        <v>2</v>
      </c>
      <c r="AU57">
        <v>427.5</v>
      </c>
      <c r="AV57">
        <v>1</v>
      </c>
      <c r="AW57">
        <v>8</v>
      </c>
    </row>
    <row r="58" spans="6:51" x14ac:dyDescent="0.2">
      <c r="F58" t="s">
        <v>69</v>
      </c>
      <c r="G58">
        <v>15407</v>
      </c>
      <c r="H58">
        <v>10771</v>
      </c>
      <c r="I58">
        <v>363.46796657380003</v>
      </c>
      <c r="J58">
        <v>751</v>
      </c>
      <c r="K58">
        <v>779.30359520640002</v>
      </c>
      <c r="L58">
        <v>3887</v>
      </c>
      <c r="M58">
        <v>799.06740416770003</v>
      </c>
      <c r="N58">
        <v>745</v>
      </c>
      <c r="O58">
        <v>541.944966443</v>
      </c>
      <c r="R58">
        <v>4</v>
      </c>
      <c r="S58">
        <v>380.75</v>
      </c>
      <c r="V58" t="s">
        <v>416</v>
      </c>
      <c r="W58">
        <v>620</v>
      </c>
      <c r="X58">
        <v>476</v>
      </c>
      <c r="Y58">
        <v>271.61344537820003</v>
      </c>
      <c r="Z58">
        <v>78</v>
      </c>
      <c r="AA58">
        <v>586.37179487180003</v>
      </c>
      <c r="AB58">
        <v>69</v>
      </c>
      <c r="AC58">
        <v>235.4492753623</v>
      </c>
      <c r="AD58">
        <v>42</v>
      </c>
      <c r="AE58">
        <v>361.88095238099999</v>
      </c>
      <c r="AF58">
        <v>33</v>
      </c>
      <c r="AG58">
        <v>237.87878787880001</v>
      </c>
      <c r="AL58" t="s">
        <v>416</v>
      </c>
      <c r="AM58">
        <v>17</v>
      </c>
      <c r="AN58">
        <v>14</v>
      </c>
      <c r="AO58">
        <v>308.85714285709997</v>
      </c>
      <c r="AP58">
        <v>2</v>
      </c>
      <c r="AQ58">
        <v>282.5</v>
      </c>
      <c r="AR58">
        <v>3</v>
      </c>
      <c r="AS58">
        <v>192</v>
      </c>
    </row>
    <row r="59" spans="6:51" x14ac:dyDescent="0.2">
      <c r="F59" t="s">
        <v>44</v>
      </c>
      <c r="G59">
        <v>1079</v>
      </c>
      <c r="H59">
        <v>744</v>
      </c>
      <c r="I59">
        <v>193.47311827959999</v>
      </c>
      <c r="J59">
        <v>125</v>
      </c>
      <c r="K59">
        <v>314.40800000000002</v>
      </c>
      <c r="L59">
        <v>193</v>
      </c>
      <c r="M59">
        <v>187.80829015539999</v>
      </c>
      <c r="N59">
        <v>134</v>
      </c>
      <c r="O59">
        <v>293.276119403</v>
      </c>
      <c r="R59">
        <v>8</v>
      </c>
      <c r="S59">
        <v>135.25</v>
      </c>
      <c r="V59" t="s">
        <v>380</v>
      </c>
      <c r="W59">
        <v>2300</v>
      </c>
      <c r="X59">
        <v>1486</v>
      </c>
      <c r="Y59">
        <v>371.89098250339998</v>
      </c>
      <c r="Z59">
        <v>312</v>
      </c>
      <c r="AA59">
        <v>421.50641025639999</v>
      </c>
      <c r="AB59">
        <v>133</v>
      </c>
      <c r="AC59">
        <v>341.4586466165</v>
      </c>
      <c r="AD59">
        <v>535</v>
      </c>
      <c r="AE59">
        <v>503.37570093459999</v>
      </c>
      <c r="AF59">
        <v>140</v>
      </c>
      <c r="AG59">
        <v>181.9571428571</v>
      </c>
      <c r="AH59">
        <v>6</v>
      </c>
      <c r="AI59">
        <v>701.16666666670005</v>
      </c>
      <c r="AL59" t="s">
        <v>380</v>
      </c>
      <c r="AM59">
        <v>45</v>
      </c>
      <c r="AN59">
        <v>33</v>
      </c>
      <c r="AO59">
        <v>250.87878787880001</v>
      </c>
      <c r="AP59">
        <v>8</v>
      </c>
      <c r="AQ59">
        <v>372.75</v>
      </c>
      <c r="AR59">
        <v>12</v>
      </c>
      <c r="AS59">
        <v>206.5833333333</v>
      </c>
    </row>
    <row r="60" spans="6:51" x14ac:dyDescent="0.2">
      <c r="F60" t="s">
        <v>60</v>
      </c>
      <c r="G60">
        <v>3057</v>
      </c>
      <c r="H60">
        <v>2275</v>
      </c>
      <c r="I60">
        <v>256.11516483520001</v>
      </c>
      <c r="J60">
        <v>452</v>
      </c>
      <c r="K60">
        <v>541.58628318579997</v>
      </c>
      <c r="L60">
        <v>347</v>
      </c>
      <c r="M60">
        <v>212.39481268009999</v>
      </c>
      <c r="N60">
        <v>428</v>
      </c>
      <c r="O60">
        <v>662.85981308409998</v>
      </c>
      <c r="R60">
        <v>7</v>
      </c>
      <c r="S60">
        <v>691.42857142859998</v>
      </c>
      <c r="V60" t="s">
        <v>383</v>
      </c>
      <c r="W60">
        <v>10163</v>
      </c>
      <c r="X60">
        <v>7237</v>
      </c>
      <c r="Y60">
        <v>261.13928423380003</v>
      </c>
      <c r="Z60">
        <v>1159</v>
      </c>
      <c r="AA60">
        <v>507.33218291629998</v>
      </c>
      <c r="AB60">
        <v>1328</v>
      </c>
      <c r="AC60">
        <v>213.03915662649999</v>
      </c>
      <c r="AD60">
        <v>995</v>
      </c>
      <c r="AE60">
        <v>369.66231155780002</v>
      </c>
      <c r="AF60">
        <v>584</v>
      </c>
      <c r="AG60">
        <v>171.39041095889999</v>
      </c>
      <c r="AH60">
        <v>19</v>
      </c>
      <c r="AI60">
        <v>267.36842105260001</v>
      </c>
      <c r="AL60" t="s">
        <v>383</v>
      </c>
      <c r="AM60">
        <v>205</v>
      </c>
      <c r="AN60">
        <v>165</v>
      </c>
      <c r="AO60">
        <v>262.27878787880002</v>
      </c>
      <c r="AP60">
        <v>40</v>
      </c>
      <c r="AQ60">
        <v>379.375</v>
      </c>
      <c r="AR60">
        <v>26</v>
      </c>
      <c r="AS60">
        <v>168.5</v>
      </c>
      <c r="AT60">
        <v>13</v>
      </c>
      <c r="AU60">
        <v>226.61538461539999</v>
      </c>
      <c r="AV60">
        <v>1</v>
      </c>
      <c r="AW60">
        <v>444</v>
      </c>
    </row>
    <row r="61" spans="6:51" x14ac:dyDescent="0.2">
      <c r="F61" t="s">
        <v>33</v>
      </c>
      <c r="G61">
        <v>5732</v>
      </c>
      <c r="H61">
        <v>4586</v>
      </c>
      <c r="I61">
        <v>586.47950283470004</v>
      </c>
      <c r="J61">
        <v>234</v>
      </c>
      <c r="K61">
        <v>959.29059829059997</v>
      </c>
      <c r="L61">
        <v>850</v>
      </c>
      <c r="M61">
        <v>801.01529411759998</v>
      </c>
      <c r="N61">
        <v>292</v>
      </c>
      <c r="O61">
        <v>650.98972602740002</v>
      </c>
      <c r="R61">
        <v>4</v>
      </c>
      <c r="S61">
        <v>791.75</v>
      </c>
      <c r="V61" t="s">
        <v>415</v>
      </c>
      <c r="W61">
        <v>588</v>
      </c>
      <c r="X61">
        <v>385</v>
      </c>
      <c r="Y61">
        <v>415.88571428569998</v>
      </c>
      <c r="Z61">
        <v>29</v>
      </c>
      <c r="AA61">
        <v>770.37931034480005</v>
      </c>
      <c r="AB61">
        <v>150</v>
      </c>
      <c r="AC61">
        <v>819.96666666670001</v>
      </c>
      <c r="AD61">
        <v>40</v>
      </c>
      <c r="AE61">
        <v>535.57500000000005</v>
      </c>
      <c r="AF61">
        <v>13</v>
      </c>
      <c r="AG61">
        <v>118.4615384615</v>
      </c>
      <c r="AL61" t="s">
        <v>415</v>
      </c>
      <c r="AM61">
        <v>15</v>
      </c>
      <c r="AN61">
        <v>13</v>
      </c>
      <c r="AO61">
        <v>287.23076923079998</v>
      </c>
      <c r="AP61">
        <v>3</v>
      </c>
      <c r="AQ61">
        <v>633.66666666670005</v>
      </c>
      <c r="AR61">
        <v>2</v>
      </c>
      <c r="AS61">
        <v>108</v>
      </c>
    </row>
    <row r="62" spans="6:51" x14ac:dyDescent="0.2">
      <c r="F62" t="s">
        <v>47</v>
      </c>
      <c r="G62">
        <v>1955</v>
      </c>
      <c r="H62">
        <v>1332</v>
      </c>
      <c r="I62">
        <v>341.89114114109998</v>
      </c>
      <c r="J62">
        <v>303</v>
      </c>
      <c r="K62">
        <v>396.00330033</v>
      </c>
      <c r="L62">
        <v>103</v>
      </c>
      <c r="M62">
        <v>243.3495145631</v>
      </c>
      <c r="N62">
        <v>514</v>
      </c>
      <c r="O62">
        <v>475.71789883269997</v>
      </c>
      <c r="R62">
        <v>6</v>
      </c>
      <c r="S62">
        <v>701.16666666670005</v>
      </c>
      <c r="V62" t="s">
        <v>370</v>
      </c>
      <c r="W62">
        <v>57195</v>
      </c>
      <c r="X62">
        <v>39479</v>
      </c>
      <c r="Y62">
        <v>361.29987081090002</v>
      </c>
      <c r="Z62">
        <v>5103</v>
      </c>
      <c r="AA62">
        <v>528.54066235549999</v>
      </c>
      <c r="AB62">
        <v>9882</v>
      </c>
      <c r="AC62">
        <v>548.24924104429999</v>
      </c>
      <c r="AD62">
        <v>5515</v>
      </c>
      <c r="AE62">
        <v>532.84913871260005</v>
      </c>
      <c r="AF62">
        <v>2223</v>
      </c>
      <c r="AG62">
        <v>175.0368870895</v>
      </c>
      <c r="AH62">
        <v>96</v>
      </c>
      <c r="AI62">
        <v>440.53125</v>
      </c>
      <c r="AL62" t="s">
        <v>370</v>
      </c>
      <c r="AM62">
        <v>1420</v>
      </c>
      <c r="AN62">
        <v>1159</v>
      </c>
      <c r="AO62">
        <v>258.9516824849</v>
      </c>
      <c r="AP62">
        <v>246</v>
      </c>
      <c r="AQ62">
        <v>355.6260162602</v>
      </c>
      <c r="AR62">
        <v>197</v>
      </c>
      <c r="AS62">
        <v>206.11675126899999</v>
      </c>
      <c r="AT62">
        <v>56</v>
      </c>
      <c r="AU62">
        <v>289.48214285709997</v>
      </c>
      <c r="AV62">
        <v>8</v>
      </c>
      <c r="AW62">
        <v>172.375</v>
      </c>
    </row>
    <row r="63" spans="6:51" x14ac:dyDescent="0.2">
      <c r="F63" t="s">
        <v>54</v>
      </c>
      <c r="G63">
        <v>561</v>
      </c>
      <c r="H63">
        <v>459</v>
      </c>
      <c r="I63">
        <v>247.0413943355</v>
      </c>
      <c r="J63">
        <v>71</v>
      </c>
      <c r="K63">
        <v>603.73239436619997</v>
      </c>
      <c r="L63">
        <v>60</v>
      </c>
      <c r="M63">
        <v>108.4166666667</v>
      </c>
      <c r="N63">
        <v>42</v>
      </c>
      <c r="O63">
        <v>271.07142857140002</v>
      </c>
      <c r="V63" t="s">
        <v>699</v>
      </c>
      <c r="W63">
        <v>319698</v>
      </c>
      <c r="X63">
        <v>231413</v>
      </c>
      <c r="Y63">
        <v>408.75592153880001</v>
      </c>
      <c r="Z63">
        <v>23884</v>
      </c>
      <c r="AA63">
        <v>580.63699547809995</v>
      </c>
      <c r="AB63">
        <v>52251</v>
      </c>
      <c r="AC63">
        <v>607.57038142809995</v>
      </c>
      <c r="AD63">
        <v>24577</v>
      </c>
      <c r="AE63">
        <v>529.59175450730004</v>
      </c>
      <c r="AF63">
        <v>10942</v>
      </c>
      <c r="AG63">
        <v>179.56681901280001</v>
      </c>
      <c r="AH63">
        <v>515</v>
      </c>
      <c r="AI63">
        <v>450.31650485440002</v>
      </c>
      <c r="AL63" t="s">
        <v>699</v>
      </c>
      <c r="AM63">
        <v>7061</v>
      </c>
      <c r="AN63">
        <v>5406</v>
      </c>
      <c r="AO63">
        <v>321.86330003699999</v>
      </c>
      <c r="AP63">
        <v>1368</v>
      </c>
      <c r="AQ63">
        <v>451.58991228069999</v>
      </c>
      <c r="AR63">
        <v>1411</v>
      </c>
      <c r="AS63">
        <v>280.79943302620001</v>
      </c>
      <c r="AT63">
        <v>230</v>
      </c>
      <c r="AU63">
        <v>268.25217391299998</v>
      </c>
      <c r="AV63">
        <v>13</v>
      </c>
      <c r="AW63">
        <v>241.1538461538</v>
      </c>
      <c r="AX63">
        <v>1</v>
      </c>
      <c r="AY63">
        <v>184</v>
      </c>
    </row>
    <row r="64" spans="6:51" x14ac:dyDescent="0.2">
      <c r="F64" t="s">
        <v>65</v>
      </c>
      <c r="G64">
        <v>5074</v>
      </c>
      <c r="H64">
        <v>3952</v>
      </c>
      <c r="I64">
        <v>572.67889676109996</v>
      </c>
      <c r="J64">
        <v>184</v>
      </c>
      <c r="K64">
        <v>1116.8423913043</v>
      </c>
      <c r="L64">
        <v>201</v>
      </c>
      <c r="M64">
        <v>652</v>
      </c>
      <c r="N64">
        <v>918</v>
      </c>
      <c r="O64">
        <v>892.44771241829994</v>
      </c>
      <c r="R64">
        <v>3</v>
      </c>
      <c r="S64">
        <v>730.66666666670005</v>
      </c>
    </row>
    <row r="65" spans="6:19" x14ac:dyDescent="0.2">
      <c r="F65" t="s">
        <v>67</v>
      </c>
      <c r="G65">
        <v>360</v>
      </c>
      <c r="H65">
        <v>171</v>
      </c>
      <c r="I65">
        <v>98.865497075999997</v>
      </c>
      <c r="J65">
        <v>197</v>
      </c>
      <c r="K65">
        <v>183.3096446701</v>
      </c>
      <c r="L65">
        <v>114</v>
      </c>
      <c r="M65">
        <v>152.96491228069999</v>
      </c>
      <c r="N65">
        <v>69</v>
      </c>
      <c r="O65">
        <v>235.81159420290001</v>
      </c>
      <c r="R65">
        <v>6</v>
      </c>
      <c r="S65">
        <v>144.1666666667</v>
      </c>
    </row>
    <row r="66" spans="6:19" x14ac:dyDescent="0.2">
      <c r="F66" t="s">
        <v>82</v>
      </c>
      <c r="G66">
        <v>182</v>
      </c>
      <c r="H66">
        <v>39</v>
      </c>
      <c r="I66">
        <v>1014.0512820512999</v>
      </c>
      <c r="J66">
        <v>7</v>
      </c>
      <c r="K66">
        <v>1606.7142857143001</v>
      </c>
      <c r="L66">
        <v>69</v>
      </c>
      <c r="M66">
        <v>663.30434782609996</v>
      </c>
      <c r="N66">
        <v>74</v>
      </c>
      <c r="O66">
        <v>606.86486486490003</v>
      </c>
    </row>
    <row r="67" spans="6:19" x14ac:dyDescent="0.2">
      <c r="F67" t="s">
        <v>63</v>
      </c>
      <c r="G67">
        <v>5610</v>
      </c>
      <c r="H67">
        <v>3787</v>
      </c>
      <c r="I67">
        <v>275.95907050440002</v>
      </c>
      <c r="J67">
        <v>627</v>
      </c>
      <c r="K67">
        <v>365.64114832540002</v>
      </c>
      <c r="L67">
        <v>1139</v>
      </c>
      <c r="M67">
        <v>384.9798068481</v>
      </c>
      <c r="N67">
        <v>672</v>
      </c>
      <c r="O67">
        <v>597.38095238100004</v>
      </c>
      <c r="R67">
        <v>12</v>
      </c>
      <c r="S67">
        <v>547.75</v>
      </c>
    </row>
    <row r="68" spans="6:19" x14ac:dyDescent="0.2">
      <c r="F68" t="s">
        <v>431</v>
      </c>
      <c r="G68">
        <v>21</v>
      </c>
      <c r="H68">
        <v>7</v>
      </c>
      <c r="I68">
        <v>424</v>
      </c>
      <c r="L68">
        <v>4</v>
      </c>
      <c r="M68">
        <v>641</v>
      </c>
      <c r="N68">
        <v>9</v>
      </c>
      <c r="O68">
        <v>192.55555555559999</v>
      </c>
      <c r="R68">
        <v>1</v>
      </c>
      <c r="S68">
        <v>402</v>
      </c>
    </row>
    <row r="69" spans="6:19" x14ac:dyDescent="0.2">
      <c r="F69" t="s">
        <v>83</v>
      </c>
      <c r="G69">
        <v>9181</v>
      </c>
      <c r="H69">
        <v>6954</v>
      </c>
      <c r="I69">
        <v>243.8485763589</v>
      </c>
      <c r="J69">
        <v>1148</v>
      </c>
      <c r="K69">
        <v>500.90505226480002</v>
      </c>
      <c r="L69">
        <v>1237</v>
      </c>
      <c r="M69">
        <v>165.70169765559999</v>
      </c>
      <c r="N69">
        <v>971</v>
      </c>
      <c r="O69">
        <v>354.658084449</v>
      </c>
      <c r="R69">
        <v>19</v>
      </c>
      <c r="S69">
        <v>267.36842105260001</v>
      </c>
    </row>
    <row r="70" spans="6:19" x14ac:dyDescent="0.2">
      <c r="F70" t="s">
        <v>135</v>
      </c>
      <c r="G70">
        <v>99</v>
      </c>
      <c r="H70">
        <v>65</v>
      </c>
      <c r="I70">
        <v>109.9846153846</v>
      </c>
      <c r="J70">
        <v>53</v>
      </c>
      <c r="K70">
        <v>244.320754717</v>
      </c>
      <c r="L70">
        <v>8</v>
      </c>
      <c r="M70">
        <v>440.25</v>
      </c>
      <c r="N70">
        <v>25</v>
      </c>
      <c r="O70">
        <v>507.68</v>
      </c>
      <c r="R70">
        <v>1</v>
      </c>
      <c r="S70">
        <v>192</v>
      </c>
    </row>
    <row r="71" spans="6:19" x14ac:dyDescent="0.2">
      <c r="F71" t="s">
        <v>370</v>
      </c>
      <c r="G71">
        <v>56431</v>
      </c>
      <c r="H71">
        <v>40570</v>
      </c>
      <c r="I71">
        <v>366.41688029969998</v>
      </c>
      <c r="J71">
        <v>5159</v>
      </c>
      <c r="K71">
        <v>536.76545842220003</v>
      </c>
      <c r="L71">
        <v>9883</v>
      </c>
      <c r="M71">
        <v>550.01204087830001</v>
      </c>
      <c r="N71">
        <v>5878</v>
      </c>
      <c r="O71">
        <v>565.85267097650001</v>
      </c>
      <c r="R71">
        <v>100</v>
      </c>
      <c r="S71">
        <v>442.86</v>
      </c>
    </row>
    <row r="72" spans="6:19" x14ac:dyDescent="0.2">
      <c r="F72" t="s">
        <v>699</v>
      </c>
      <c r="G72">
        <v>326759</v>
      </c>
      <c r="H72">
        <v>236819</v>
      </c>
      <c r="I72">
        <v>406.77227446820001</v>
      </c>
      <c r="J72">
        <v>25252</v>
      </c>
      <c r="K72">
        <v>573.64600823700005</v>
      </c>
      <c r="L72">
        <v>53662</v>
      </c>
      <c r="M72">
        <v>598.97819686180003</v>
      </c>
      <c r="N72">
        <v>24807</v>
      </c>
      <c r="O72">
        <v>527.16813838149994</v>
      </c>
      <c r="P72">
        <v>10955</v>
      </c>
      <c r="Q72">
        <v>179.63991600470001</v>
      </c>
      <c r="R72">
        <v>516</v>
      </c>
      <c r="S72">
        <v>449.80038759690001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42427</v>
      </c>
      <c r="C20">
        <v>24164</v>
      </c>
      <c r="D20">
        <v>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979</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348466</v>
      </c>
      <c r="I3" s="320">
        <f>SUM(I5,I10)</f>
        <v>81451</v>
      </c>
      <c r="J3" s="322">
        <f>ROUND(I3/H3,5)</f>
        <v>0.23374</v>
      </c>
      <c r="K3" s="134"/>
    </row>
    <row r="4" spans="1:11" ht="33" customHeight="1" thickBot="1" x14ac:dyDescent="0.25">
      <c r="A4" s="130"/>
      <c r="B4" s="329" t="str">
        <f>"As of: "&amp;TEXT(INDEX(MMWR_DATES[],1,1),"MMMM DD, YYYY")</f>
        <v>As of: February 27,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131785</v>
      </c>
      <c r="I5" s="158">
        <f>SUM(I6:I9)</f>
        <v>36350</v>
      </c>
      <c r="J5" s="159">
        <f t="shared" ref="J5:J15" si="0">IF(H5=0, 0,I5/H5)</f>
        <v>0.2758280532685814</v>
      </c>
      <c r="K5" s="134"/>
    </row>
    <row r="6" spans="1:11" ht="16.5" customHeight="1" x14ac:dyDescent="0.2">
      <c r="A6" s="130"/>
      <c r="B6" s="283" t="s">
        <v>16</v>
      </c>
      <c r="C6" s="284"/>
      <c r="D6" s="284"/>
      <c r="E6" s="284"/>
      <c r="F6" s="284"/>
      <c r="G6" s="139" t="s">
        <v>190</v>
      </c>
      <c r="H6" s="160">
        <f>IFERROR(VLOOKUP(MID($G6,4,3),MMWR_TRAD_AGG_NATIONAL[],2,0),0)</f>
        <v>38380</v>
      </c>
      <c r="I6" s="160">
        <f>IFERROR(VLOOKUP(MID($G6,4,3),MMWR_TRAD_AGG_NATIONAL[],3,0),0)</f>
        <v>13219</v>
      </c>
      <c r="J6" s="161">
        <f t="shared" si="0"/>
        <v>0.34442417926003127</v>
      </c>
      <c r="K6" s="134"/>
    </row>
    <row r="7" spans="1:11" ht="16.5" customHeight="1" x14ac:dyDescent="0.2">
      <c r="A7" s="130"/>
      <c r="B7" s="285" t="s">
        <v>0</v>
      </c>
      <c r="C7" s="286"/>
      <c r="D7" s="286"/>
      <c r="E7" s="286"/>
      <c r="F7" s="286"/>
      <c r="G7" s="140" t="s">
        <v>191</v>
      </c>
      <c r="H7" s="160">
        <f>IFERROR(VLOOKUP(MID($G7,4,3),MMWR_TRAD_AGG_NATIONAL[],2,0),0)</f>
        <v>77036</v>
      </c>
      <c r="I7" s="160">
        <f>IFERROR(VLOOKUP(MID($G7,4,3),MMWR_TRAD_AGG_NATIONAL[],3,0),0)</f>
        <v>20762</v>
      </c>
      <c r="J7" s="161">
        <f t="shared" si="0"/>
        <v>0.26951035879329144</v>
      </c>
      <c r="K7" s="134"/>
    </row>
    <row r="8" spans="1:11" ht="16.5" customHeight="1" x14ac:dyDescent="0.2">
      <c r="A8" s="130"/>
      <c r="B8" s="287" t="s">
        <v>234</v>
      </c>
      <c r="C8" s="288"/>
      <c r="D8" s="288"/>
      <c r="E8" s="288"/>
      <c r="F8" s="288"/>
      <c r="G8" s="141" t="s">
        <v>193</v>
      </c>
      <c r="H8" s="160">
        <f>IFERROR(VLOOKUP(MID($G8,4,3),MMWR_TRAD_AGG_NATIONAL[],2,0),0)</f>
        <v>7834</v>
      </c>
      <c r="I8" s="160">
        <f>IFERROR(VLOOKUP(MID($G8,4,3),MMWR_TRAD_AGG_NATIONAL[],3,0),0)</f>
        <v>721</v>
      </c>
      <c r="J8" s="161">
        <f t="shared" si="0"/>
        <v>9.2034720449323468E-2</v>
      </c>
      <c r="K8" s="134"/>
    </row>
    <row r="9" spans="1:11" ht="16.5" customHeight="1" thickBot="1" x14ac:dyDescent="0.25">
      <c r="A9" s="130"/>
      <c r="B9" s="292" t="s">
        <v>17</v>
      </c>
      <c r="C9" s="293"/>
      <c r="D9" s="293"/>
      <c r="E9" s="293"/>
      <c r="F9" s="293"/>
      <c r="G9" s="140" t="s">
        <v>195</v>
      </c>
      <c r="H9" s="160">
        <f>IFERROR(VLOOKUP(MID($G9,4,3),MMWR_TRAD_AGG_NATIONAL[],2,0),0)</f>
        <v>8535</v>
      </c>
      <c r="I9" s="160">
        <f>IFERROR(VLOOKUP(MID($G9,4,3),MMWR_TRAD_AGG_NATIONAL[],3,0),0)</f>
        <v>1648</v>
      </c>
      <c r="J9" s="161">
        <f t="shared" si="0"/>
        <v>0.19308728763913299</v>
      </c>
      <c r="K9" s="134"/>
    </row>
    <row r="10" spans="1:11" ht="17.25" thickBot="1" x14ac:dyDescent="0.25">
      <c r="A10" s="130"/>
      <c r="B10" s="318" t="s">
        <v>1</v>
      </c>
      <c r="C10" s="319"/>
      <c r="D10" s="319"/>
      <c r="E10" s="319"/>
      <c r="F10" s="319"/>
      <c r="G10" s="138" t="s">
        <v>244</v>
      </c>
      <c r="H10" s="158">
        <f>SUM(H11:H18)</f>
        <v>216681</v>
      </c>
      <c r="I10" s="158">
        <f>SUM(I11:I18)</f>
        <v>45101</v>
      </c>
      <c r="J10" s="159">
        <f t="shared" si="0"/>
        <v>0.20814469196653143</v>
      </c>
      <c r="K10" s="134"/>
    </row>
    <row r="11" spans="1:11" ht="16.5" customHeight="1" x14ac:dyDescent="0.2">
      <c r="A11" s="130"/>
      <c r="B11" s="283" t="s">
        <v>199</v>
      </c>
      <c r="C11" s="284"/>
      <c r="D11" s="284"/>
      <c r="E11" s="284"/>
      <c r="F11" s="284"/>
      <c r="G11" s="142" t="s">
        <v>194</v>
      </c>
      <c r="H11" s="162">
        <f>IFERROR(VLOOKUP(MID($G11,4,3),MMWR_TRAD_AGG_NATIONAL[],2,0),0)</f>
        <v>7850</v>
      </c>
      <c r="I11" s="160">
        <f>IFERROR(VLOOKUP(MID($G11,4,3),MMWR_TRAD_AGG_NATIONAL[],3,0),0)</f>
        <v>530</v>
      </c>
      <c r="J11" s="161">
        <f t="shared" si="0"/>
        <v>6.751592356687898E-2</v>
      </c>
      <c r="K11" s="134"/>
    </row>
    <row r="12" spans="1:11" ht="16.5" customHeight="1" x14ac:dyDescent="0.2">
      <c r="A12" s="130"/>
      <c r="B12" s="285" t="s">
        <v>18</v>
      </c>
      <c r="C12" s="286"/>
      <c r="D12" s="286"/>
      <c r="E12" s="286"/>
      <c r="F12" s="286"/>
      <c r="G12" s="143" t="s">
        <v>192</v>
      </c>
      <c r="H12" s="163">
        <f>IFERROR(VLOOKUP(MID($G12,4,3),MMWR_TRAD_AGG_NATIONAL[],2,0),0)</f>
        <v>193020</v>
      </c>
      <c r="I12" s="160">
        <f>IFERROR(VLOOKUP(MID($G12,4,3),MMWR_TRAD_AGG_NATIONAL[],3,0),0)</f>
        <v>41845</v>
      </c>
      <c r="J12" s="161">
        <f t="shared" si="0"/>
        <v>0.21679100611335614</v>
      </c>
      <c r="K12" s="134"/>
    </row>
    <row r="13" spans="1:11" ht="16.5" customHeight="1" x14ac:dyDescent="0.2">
      <c r="A13" s="130"/>
      <c r="B13" s="285" t="s">
        <v>14</v>
      </c>
      <c r="C13" s="286"/>
      <c r="D13" s="286"/>
      <c r="E13" s="286"/>
      <c r="F13" s="286"/>
      <c r="G13" s="143" t="s">
        <v>196</v>
      </c>
      <c r="H13" s="163">
        <f>IFERROR(VLOOKUP(MID($G13,4,3),MMWR_TRAD_AGG_NATIONAL[],2,0),0)</f>
        <v>14836</v>
      </c>
      <c r="I13" s="160">
        <f>IFERROR(VLOOKUP(MID($G13,4,3),MMWR_TRAD_AGG_NATIONAL[],3,0),0)</f>
        <v>2449</v>
      </c>
      <c r="J13" s="161">
        <f t="shared" si="0"/>
        <v>0.16507144782960367</v>
      </c>
      <c r="K13" s="134"/>
    </row>
    <row r="14" spans="1:11" ht="16.5" customHeight="1" x14ac:dyDescent="0.2">
      <c r="A14" s="130"/>
      <c r="B14" s="287" t="s">
        <v>19</v>
      </c>
      <c r="C14" s="288"/>
      <c r="D14" s="288"/>
      <c r="E14" s="288"/>
      <c r="F14" s="288"/>
      <c r="G14" s="142" t="s">
        <v>197</v>
      </c>
      <c r="H14" s="163">
        <f>IFERROR(VLOOKUP(MID($G14,4,3),MMWR_TRAD_AGG_NATIONAL[],2,0),0)</f>
        <v>958</v>
      </c>
      <c r="I14" s="160">
        <f>IFERROR(VLOOKUP(MID($G14,4,3),MMWR_TRAD_AGG_NATIONAL[],3,0),0)</f>
        <v>274</v>
      </c>
      <c r="J14" s="161">
        <f t="shared" si="0"/>
        <v>0.28601252609603339</v>
      </c>
      <c r="K14" s="134"/>
    </row>
    <row r="15" spans="1:11" ht="16.5" customHeight="1" x14ac:dyDescent="0.2">
      <c r="A15" s="130"/>
      <c r="B15" s="287" t="s">
        <v>84</v>
      </c>
      <c r="C15" s="288"/>
      <c r="D15" s="288"/>
      <c r="E15" s="288"/>
      <c r="F15" s="288"/>
      <c r="G15" s="142" t="s">
        <v>200</v>
      </c>
      <c r="H15" s="163">
        <f>IFERROR(VLOOKUP(MID($G15,4,3),MMWR_TRAD_AGG_NATIONAL[],2,0),0)</f>
        <v>12</v>
      </c>
      <c r="I15" s="160">
        <f>IFERROR(VLOOKUP(MID($G15,4,3),MMWR_TRAD_AGG_NATIONAL[],3,0),0)</f>
        <v>2</v>
      </c>
      <c r="J15" s="161">
        <f t="shared" si="0"/>
        <v>0.16666666666666666</v>
      </c>
      <c r="K15" s="134"/>
    </row>
    <row r="16" spans="1:11" ht="15" x14ac:dyDescent="0.2">
      <c r="A16" s="130"/>
      <c r="B16" s="287" t="s">
        <v>85</v>
      </c>
      <c r="C16" s="288"/>
      <c r="D16" s="288"/>
      <c r="E16" s="288"/>
      <c r="F16" s="288"/>
      <c r="G16" s="142" t="s">
        <v>201</v>
      </c>
      <c r="H16" s="163">
        <f>IFERROR(VLOOKUP(MID($G16,4,3),MMWR_TRAD_AGG_NATIONAL[],2,0),0)</f>
        <v>3</v>
      </c>
      <c r="I16" s="160">
        <f>IFERROR(VLOOKUP(MID($G16,4,3),MMWR_TRAD_AGG_NATIONAL[],3,0),0)</f>
        <v>1</v>
      </c>
      <c r="J16" s="161">
        <f>IF(H16=0, 0,I16/H16)</f>
        <v>0.33333333333333331</v>
      </c>
      <c r="K16" s="134"/>
    </row>
    <row r="17" spans="1:11" ht="16.5" customHeight="1" x14ac:dyDescent="0.2">
      <c r="A17" s="130"/>
      <c r="B17" s="287" t="s">
        <v>87</v>
      </c>
      <c r="C17" s="288"/>
      <c r="D17" s="288"/>
      <c r="E17" s="288"/>
      <c r="F17" s="288"/>
      <c r="G17" s="142" t="s">
        <v>202</v>
      </c>
      <c r="H17" s="163">
        <f>IFERROR(VLOOKUP(MID($G17,4,3),MMWR_TRAD_AGG_NATIONAL[],2,0),0)</f>
        <v>2</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0</v>
      </c>
      <c r="I18" s="160">
        <f>IFERROR(VLOOKUP(MID($G18,4,3),MMWR_TRAD_AGG_NATIONAL[],3,0),0)</f>
        <v>0</v>
      </c>
      <c r="J18" s="165">
        <f>IF(H18=0, 0,I18/H18)</f>
        <v>0</v>
      </c>
      <c r="K18" s="134"/>
    </row>
    <row r="19" spans="1:11" ht="16.5" customHeight="1" x14ac:dyDescent="0.2">
      <c r="A19" s="130"/>
      <c r="B19" s="297" t="s">
        <v>970</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961</v>
      </c>
      <c r="C21" s="313"/>
      <c r="D21" s="314"/>
      <c r="E21" s="312" t="s">
        <v>962</v>
      </c>
      <c r="F21" s="313"/>
      <c r="G21" s="314"/>
      <c r="H21" s="312" t="s">
        <v>963</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955</v>
      </c>
      <c r="C23" s="313"/>
      <c r="D23" s="314"/>
      <c r="E23" s="312" t="s">
        <v>956</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38"/>
      <c r="D26" s="338"/>
      <c r="E26" s="338"/>
      <c r="F26" s="339"/>
      <c r="G26" s="263" t="s">
        <v>1062</v>
      </c>
      <c r="H26" s="263" t="s">
        <v>1063</v>
      </c>
      <c r="I26" s="263" t="s">
        <v>1061</v>
      </c>
      <c r="J26" s="264" t="s">
        <v>28</v>
      </c>
      <c r="K26" s="134"/>
    </row>
    <row r="27" spans="1:11" ht="16.5" customHeight="1" x14ac:dyDescent="0.2">
      <c r="A27" s="130"/>
      <c r="B27" s="294" t="s">
        <v>964</v>
      </c>
      <c r="C27" s="295"/>
      <c r="D27" s="295"/>
      <c r="E27" s="295"/>
      <c r="F27" s="296"/>
      <c r="G27" s="256">
        <v>6939</v>
      </c>
      <c r="H27" s="256">
        <v>7625</v>
      </c>
      <c r="I27" s="256">
        <v>-686</v>
      </c>
      <c r="J27" s="260">
        <v>-0.09</v>
      </c>
      <c r="K27" s="134"/>
    </row>
    <row r="28" spans="1:11" ht="15" x14ac:dyDescent="0.2">
      <c r="A28" s="130"/>
      <c r="B28" s="332" t="s">
        <v>24</v>
      </c>
      <c r="C28" s="333"/>
      <c r="D28" s="333"/>
      <c r="E28" s="333"/>
      <c r="F28" s="334"/>
      <c r="G28" s="257">
        <v>1589</v>
      </c>
      <c r="H28" s="257">
        <v>1712</v>
      </c>
      <c r="I28" s="257">
        <v>-123</v>
      </c>
      <c r="J28" s="253">
        <v>-7.1999999999999995E-2</v>
      </c>
      <c r="K28" s="134"/>
    </row>
    <row r="29" spans="1:11" ht="15" x14ac:dyDescent="0.2">
      <c r="A29" s="130"/>
      <c r="B29" s="303" t="s">
        <v>25</v>
      </c>
      <c r="C29" s="304"/>
      <c r="D29" s="304"/>
      <c r="E29" s="304"/>
      <c r="F29" s="305"/>
      <c r="G29" s="258">
        <v>673</v>
      </c>
      <c r="H29" s="258">
        <v>758</v>
      </c>
      <c r="I29" s="258">
        <v>-85</v>
      </c>
      <c r="J29" s="254">
        <v>-0.112</v>
      </c>
      <c r="K29" s="134"/>
    </row>
    <row r="30" spans="1:11" ht="15" x14ac:dyDescent="0.2">
      <c r="A30" s="130"/>
      <c r="B30" s="306" t="s">
        <v>26</v>
      </c>
      <c r="C30" s="307"/>
      <c r="D30" s="307"/>
      <c r="E30" s="307"/>
      <c r="F30" s="308"/>
      <c r="G30" s="258">
        <v>1824</v>
      </c>
      <c r="H30" s="258">
        <v>2131</v>
      </c>
      <c r="I30" s="258">
        <v>-307</v>
      </c>
      <c r="J30" s="254">
        <v>-0.14399999999999999</v>
      </c>
      <c r="K30" s="134"/>
    </row>
    <row r="31" spans="1:11" ht="15" x14ac:dyDescent="0.2">
      <c r="A31" s="130"/>
      <c r="B31" s="335" t="s">
        <v>27</v>
      </c>
      <c r="C31" s="336"/>
      <c r="D31" s="336"/>
      <c r="E31" s="336"/>
      <c r="F31" s="337"/>
      <c r="G31" s="259">
        <v>2853</v>
      </c>
      <c r="H31" s="259">
        <v>3024</v>
      </c>
      <c r="I31" s="259">
        <v>-171</v>
      </c>
      <c r="J31" s="255">
        <v>-5.7000000000000002E-2</v>
      </c>
      <c r="K31" s="134"/>
    </row>
    <row r="32" spans="1:11" ht="16.5" customHeight="1" x14ac:dyDescent="0.2">
      <c r="A32" s="130"/>
      <c r="B32" s="294" t="s">
        <v>235</v>
      </c>
      <c r="C32" s="295"/>
      <c r="D32" s="295"/>
      <c r="E32" s="295"/>
      <c r="F32" s="296"/>
      <c r="G32" s="256">
        <v>54576</v>
      </c>
      <c r="H32" s="256">
        <v>74988</v>
      </c>
      <c r="I32" s="256">
        <v>-20412</v>
      </c>
      <c r="J32" s="260">
        <v>-0.27200000000000002</v>
      </c>
      <c r="K32" s="134"/>
    </row>
    <row r="33" spans="1:11" ht="15" x14ac:dyDescent="0.2">
      <c r="A33" s="130"/>
      <c r="B33" s="332" t="s">
        <v>24</v>
      </c>
      <c r="C33" s="333"/>
      <c r="D33" s="333"/>
      <c r="E33" s="333"/>
      <c r="F33" s="334"/>
      <c r="G33" s="257">
        <v>16771</v>
      </c>
      <c r="H33" s="257">
        <v>19165</v>
      </c>
      <c r="I33" s="257">
        <v>-2394</v>
      </c>
      <c r="J33" s="253">
        <v>-0.125</v>
      </c>
      <c r="K33" s="134"/>
    </row>
    <row r="34" spans="1:11" ht="15" x14ac:dyDescent="0.2">
      <c r="A34" s="130"/>
      <c r="B34" s="303" t="s">
        <v>25</v>
      </c>
      <c r="C34" s="304"/>
      <c r="D34" s="304"/>
      <c r="E34" s="304"/>
      <c r="F34" s="305"/>
      <c r="G34" s="258">
        <v>3650</v>
      </c>
      <c r="H34" s="258">
        <v>4762</v>
      </c>
      <c r="I34" s="258">
        <v>-1112</v>
      </c>
      <c r="J34" s="254">
        <v>-0.23400000000000001</v>
      </c>
      <c r="K34" s="134"/>
    </row>
    <row r="35" spans="1:11" ht="15" x14ac:dyDescent="0.2">
      <c r="A35" s="130"/>
      <c r="B35" s="306" t="s">
        <v>26</v>
      </c>
      <c r="C35" s="307"/>
      <c r="D35" s="307"/>
      <c r="E35" s="307"/>
      <c r="F35" s="308"/>
      <c r="G35" s="258">
        <v>17992</v>
      </c>
      <c r="H35" s="258">
        <v>26231</v>
      </c>
      <c r="I35" s="258">
        <v>-8239</v>
      </c>
      <c r="J35" s="254">
        <v>-0.314</v>
      </c>
      <c r="K35" s="134"/>
    </row>
    <row r="36" spans="1:11" ht="15.75" thickBot="1" x14ac:dyDescent="0.25">
      <c r="A36" s="130"/>
      <c r="B36" s="309" t="s">
        <v>27</v>
      </c>
      <c r="C36" s="310"/>
      <c r="D36" s="310"/>
      <c r="E36" s="310"/>
      <c r="F36" s="311"/>
      <c r="G36" s="258">
        <v>16163</v>
      </c>
      <c r="H36" s="258">
        <v>24830</v>
      </c>
      <c r="I36" s="258">
        <v>-8667</v>
      </c>
      <c r="J36" s="254">
        <v>-0.34899999999999998</v>
      </c>
      <c r="K36" s="134"/>
    </row>
    <row r="37" spans="1:11" ht="15.75" customHeight="1" thickBot="1" x14ac:dyDescent="0.25">
      <c r="A37" s="130"/>
      <c r="B37" s="289" t="s">
        <v>969</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February 27, 2016</v>
      </c>
      <c r="M3" s="353"/>
      <c r="N3" s="353"/>
      <c r="O3" s="354"/>
      <c r="P3" s="28"/>
    </row>
    <row r="4" spans="1:16" ht="51.75" customHeight="1" thickBot="1" x14ac:dyDescent="0.35">
      <c r="A4" s="30"/>
      <c r="B4" s="246" t="s">
        <v>456</v>
      </c>
      <c r="C4" s="355" t="s">
        <v>304</v>
      </c>
      <c r="D4" s="356"/>
      <c r="E4" s="356"/>
      <c r="F4" s="356"/>
      <c r="G4" s="356"/>
      <c r="H4" s="356"/>
      <c r="I4" s="356"/>
      <c r="J4" s="356"/>
      <c r="K4" s="356"/>
      <c r="L4" s="356"/>
      <c r="M4" s="356"/>
      <c r="N4" s="356"/>
      <c r="O4" s="357"/>
      <c r="P4" s="28"/>
    </row>
    <row r="5" spans="1:16" ht="27" customHeight="1" thickBot="1" x14ac:dyDescent="0.25">
      <c r="A5" s="30"/>
      <c r="B5" s="26"/>
      <c r="C5" s="358" t="s">
        <v>1042</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1054</v>
      </c>
      <c r="K11" s="344" t="s">
        <v>1055</v>
      </c>
      <c r="L11" s="342" t="s">
        <v>1052</v>
      </c>
      <c r="M11" s="343"/>
      <c r="N11" s="342" t="s">
        <v>1053</v>
      </c>
      <c r="O11" s="343"/>
      <c r="P11" s="28"/>
    </row>
    <row r="12" spans="1:16" ht="32.25" customHeight="1" x14ac:dyDescent="0.2">
      <c r="A12" s="25"/>
      <c r="B12" s="26"/>
      <c r="C12" s="341"/>
      <c r="D12" s="341"/>
      <c r="E12" s="341"/>
      <c r="F12" s="341"/>
      <c r="G12" s="341"/>
      <c r="H12" s="341"/>
      <c r="I12" s="341"/>
      <c r="J12" s="345"/>
      <c r="K12" s="34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348466</v>
      </c>
      <c r="D13" s="155">
        <f>IF($B13=" ","",IFERROR(INDEX(MMWR_RATING_RO_ROLLUP[],MATCH($B13,MMWR_RATING_RO_ROLLUP[MMWR_RATING_RO_ROLLUP],0),MATCH(D$9,MMWR_RATING_RO_ROLLUP[#Headers],0)),"ERROR"))</f>
        <v>92.364339705999996</v>
      </c>
      <c r="E13" s="156">
        <f>IF($B13=" ","",IFERROR(INDEX(MMWR_RATING_RO_ROLLUP[],MATCH($B13,MMWR_RATING_RO_ROLLUP[MMWR_RATING_RO_ROLLUP],0),MATCH(E$9,MMWR_RATING_RO_ROLLUP[#Headers],0))/$C13,"ERROR"))</f>
        <v>0.23374159889343579</v>
      </c>
      <c r="F13" s="154">
        <f>IF($B13=" ","",IFERROR(INDEX(MMWR_RATING_RO_ROLLUP[],MATCH($B13,MMWR_RATING_RO_ROLLUP[MMWR_RATING_RO_ROLLUP],0),MATCH(F$9,MMWR_RATING_RO_ROLLUP[#Headers],0)),"ERROR"))</f>
        <v>96750</v>
      </c>
      <c r="G13" s="154">
        <f>IF($B13=" ","",IFERROR(INDEX(MMWR_RATING_RO_ROLLUP[],MATCH($B13,MMWR_RATING_RO_ROLLUP[MMWR_RATING_RO_ROLLUP],0),MATCH(G$9,MMWR_RATING_RO_ROLLUP[#Headers],0)),"ERROR"))</f>
        <v>506253</v>
      </c>
      <c r="H13" s="155">
        <f>IF($B13=" ","",IFERROR(INDEX(MMWR_RATING_RO_ROLLUP[],MATCH($B13,MMWR_RATING_RO_ROLLUP[MMWR_RATING_RO_ROLLUP],0),MATCH(H$9,MMWR_RATING_RO_ROLLUP[#Headers],0)),"ERROR"))</f>
        <v>125.5763100775</v>
      </c>
      <c r="I13" s="155">
        <f>IF($B13=" ","",IFERROR(INDEX(MMWR_RATING_RO_ROLLUP[],MATCH($B13,MMWR_RATING_RO_ROLLUP[MMWR_RATING_RO_ROLLUP],0),MATCH(I$9,MMWR_RATING_RO_ROLLUP[#Headers],0)),"ERROR"))</f>
        <v>127.677991044</v>
      </c>
      <c r="J13" s="42"/>
      <c r="K13" s="42"/>
      <c r="L13" s="42"/>
      <c r="M13" s="42"/>
      <c r="N13" s="42"/>
      <c r="O13" s="42"/>
      <c r="P13" s="28"/>
    </row>
    <row r="14" spans="1:16" x14ac:dyDescent="0.2">
      <c r="A14" s="25"/>
      <c r="B14" s="377" t="s">
        <v>733</v>
      </c>
      <c r="C14" s="378"/>
      <c r="D14" s="378"/>
      <c r="E14" s="378"/>
      <c r="F14" s="378"/>
      <c r="G14" s="378"/>
      <c r="H14" s="378"/>
      <c r="I14" s="378"/>
      <c r="J14" s="378"/>
      <c r="K14" s="378"/>
      <c r="L14" s="378"/>
      <c r="M14" s="378"/>
      <c r="N14" s="378"/>
      <c r="O14" s="378"/>
      <c r="P14" s="28"/>
    </row>
    <row r="15" spans="1:16" x14ac:dyDescent="0.2">
      <c r="A15" s="25"/>
      <c r="B15" s="41" t="s">
        <v>729</v>
      </c>
      <c r="C15" s="154">
        <f>IF($B15=" ","",IFERROR(INDEX(MMWR_RATING_RO_ROLLUP[],MATCH($B15,MMWR_RATING_RO_ROLLUP[MMWR_RATING_RO_ROLLUP],0),MATCH(C$9,MMWR_RATING_RO_ROLLUP[#Headers],0)),"ERROR"))</f>
        <v>302321</v>
      </c>
      <c r="D15" s="155">
        <f>IF($B15=" ","",IFERROR(INDEX(MMWR_RATING_RO_ROLLUP[],MATCH($B15,MMWR_RATING_RO_ROLLUP[MMWR_RATING_RO_ROLLUP],0),MATCH(D$9,MMWR_RATING_RO_ROLLUP[#Headers],0)),"ERROR"))</f>
        <v>94.362379722200004</v>
      </c>
      <c r="E15" s="156">
        <f>IF($B15=" ","",IFERROR(INDEX(MMWR_RATING_RO_ROLLUP[],MATCH($B15,MMWR_RATING_RO_ROLLUP[MMWR_RATING_RO_ROLLUP],0),MATCH(E$9,MMWR_RATING_RO_ROLLUP[#Headers],0))/$C15,"ERROR"))</f>
        <v>0.24168681633098593</v>
      </c>
      <c r="F15" s="154">
        <f>IF($B15=" ","",IFERROR(INDEX(MMWR_RATING_RO_ROLLUP[],MATCH($B15,MMWR_RATING_RO_ROLLUP[MMWR_RATING_RO_ROLLUP],0),MATCH(F$9,MMWR_RATING_RO_ROLLUP[#Headers],0)),"ERROR"))</f>
        <v>80908</v>
      </c>
      <c r="G15" s="154">
        <f>IF($B15=" ","",IFERROR(INDEX(MMWR_RATING_RO_ROLLUP[],MATCH($B15,MMWR_RATING_RO_ROLLUP[MMWR_RATING_RO_ROLLUP],0),MATCH(G$9,MMWR_RATING_RO_ROLLUP[#Headers],0)),"ERROR"))</f>
        <v>428076</v>
      </c>
      <c r="H15" s="155">
        <f>IF($B15=" ","",IFERROR(INDEX(MMWR_RATING_RO_ROLLUP[],MATCH($B15,MMWR_RATING_RO_ROLLUP[MMWR_RATING_RO_ROLLUP],0),MATCH(H$9,MMWR_RATING_RO_ROLLUP[#Headers],0)),"ERROR"))</f>
        <v>130.10506995599999</v>
      </c>
      <c r="I15" s="155">
        <f>IF($B15=" ","",IFERROR(INDEX(MMWR_RATING_RO_ROLLUP[],MATCH($B15,MMWR_RATING_RO_ROLLUP[MMWR_RATING_RO_ROLLUP],0),MATCH(I$9,MMWR_RATING_RO_ROLLUP[#Headers],0)),"ERROR"))</f>
        <v>134.19979629790001</v>
      </c>
      <c r="J15" s="157">
        <f>VLOOKUP($B$13,MMWR_ACCURACY_RO[],MATCH(J$9,MMWR_ACCURACY_RO[#Headers],0),0)</f>
        <v>0.95422851559641386</v>
      </c>
      <c r="K15" s="157">
        <f>VLOOKUP($B$13,MMWR_ACCURACY_RO[],MATCH(K$9,MMWR_ACCURACY_RO[#Headers],0),0)</f>
        <v>0.89217828476173011</v>
      </c>
      <c r="L15" s="157">
        <f>VLOOKUP($B$13,MMWR_ACCURACY_RO[],MATCH(L$9,MMWR_ACCURACY_RO[#Headers],0),0)</f>
        <v>0.90031803464973736</v>
      </c>
      <c r="M15" s="157">
        <f>VLOOKUP($B$13,MMWR_ACCURACY_RO[],MATCH(M$9,MMWR_ACCURACY_RO[#Headers],0),0)</f>
        <v>7.7183743553186444E-3</v>
      </c>
      <c r="N15" s="157">
        <f>VLOOKUP($B$13,MMWR_ACCURACY_RO[],MATCH(N$9,MMWR_ACCURACY_RO[#Headers],0),0)</f>
        <v>0.90575421880437812</v>
      </c>
      <c r="O15" s="157">
        <f>VLOOKUP($B$13,MMWR_ACCURACY_RO[],MATCH(O$9,MMWR_ACCURACY_RO[#Headers],0),0)</f>
        <v>8.8378441050331706E-3</v>
      </c>
      <c r="P15" s="28"/>
    </row>
    <row r="16" spans="1:16" x14ac:dyDescent="0.2">
      <c r="A16" s="25"/>
      <c r="B16" s="247" t="s">
        <v>370</v>
      </c>
      <c r="C16" s="154">
        <f>IF($B16=" ","",IFERROR(INDEX(MMWR_RATING_RO_ROLLUP[],MATCH($B16,MMWR_RATING_RO_ROLLUP[MMWR_RATING_RO_ROLLUP],0),MATCH(C$9,MMWR_RATING_RO_ROLLUP[#Headers],0)),"ERROR"))</f>
        <v>67265</v>
      </c>
      <c r="D16" s="155">
        <f>IF($B16=" ","",IFERROR(INDEX(MMWR_RATING_RO_ROLLUP[],MATCH($B16,MMWR_RATING_RO_ROLLUP[MMWR_RATING_RO_ROLLUP],0),MATCH(D$9,MMWR_RATING_RO_ROLLUP[#Headers],0)),"ERROR"))</f>
        <v>95.395822493099999</v>
      </c>
      <c r="E16" s="156">
        <f>IF($B16=" ","",IFERROR(INDEX(MMWR_RATING_RO_ROLLUP[],MATCH($B16,MMWR_RATING_RO_ROLLUP[MMWR_RATING_RO_ROLLUP],0),MATCH(E$9,MMWR_RATING_RO_ROLLUP[#Headers],0))/$C16,"ERROR"))</f>
        <v>0.25085854456255108</v>
      </c>
      <c r="F16" s="154">
        <f>IF($B16=" ","",IFERROR(INDEX(MMWR_RATING_RO_ROLLUP[],MATCH($B16,MMWR_RATING_RO_ROLLUP[MMWR_RATING_RO_ROLLUP],0),MATCH(F$9,MMWR_RATING_RO_ROLLUP[#Headers],0)),"ERROR"))</f>
        <v>17325</v>
      </c>
      <c r="G16" s="154">
        <f>IF($B16=" ","",IFERROR(INDEX(MMWR_RATING_RO_ROLLUP[],MATCH($B16,MMWR_RATING_RO_ROLLUP[MMWR_RATING_RO_ROLLUP],0),MATCH(G$9,MMWR_RATING_RO_ROLLUP[#Headers],0)),"ERROR"))</f>
        <v>92014</v>
      </c>
      <c r="H16" s="155">
        <f>IF($B16=" ","",IFERROR(INDEX(MMWR_RATING_RO_ROLLUP[],MATCH($B16,MMWR_RATING_RO_ROLLUP[MMWR_RATING_RO_ROLLUP],0),MATCH(H$9,MMWR_RATING_RO_ROLLUP[#Headers],0)),"ERROR"))</f>
        <v>131.1727561328</v>
      </c>
      <c r="I16" s="155">
        <f>IF($B16=" ","",IFERROR(INDEX(MMWR_RATING_RO_ROLLUP[],MATCH($B16,MMWR_RATING_RO_ROLLUP[MMWR_RATING_RO_ROLLUP],0),MATCH(I$9,MMWR_RATING_RO_ROLLUP[#Headers],0)),"ERROR"))</f>
        <v>133.91633881800001</v>
      </c>
      <c r="J16" s="157">
        <f>IF($B16=" ","",IFERROR(VLOOKUP($B16,MMWR_ACCURACY_RO[],MATCH(J$9,MMWR_ACCURACY_RO[#Headers],0),0),"ERROR"))</f>
        <v>0.95757339174388845</v>
      </c>
      <c r="K16" s="157">
        <f>IF($B16=" ","",IFERROR(VLOOKUP($B16,MMWR_ACCURACY_RO[],MATCH(K$9,MMWR_ACCURACY_RO[#Headers],0),0),"ERROR"))</f>
        <v>0.88451958322366298</v>
      </c>
      <c r="L16" s="157">
        <f>IF($B16=" ","",IFERROR(VLOOKUP($B16,MMWR_ACCURACY_RO[],MATCH(L$9,MMWR_ACCURACY_RO[#Headers],0),0),"ERROR"))</f>
        <v>0.87102005553659012</v>
      </c>
      <c r="M16" s="157">
        <f>IF($B16=" ","",IFERROR(VLOOKUP($B16,MMWR_ACCURACY_RO[],MATCH(M$9,MMWR_ACCURACY_RO[#Headers],0),0),"ERROR"))</f>
        <v>1.6779937109791945E-2</v>
      </c>
      <c r="N16" s="157">
        <f>IF($B16=" ","",IFERROR(VLOOKUP($B16,MMWR_ACCURACY_RO[],MATCH(N$9,MMWR_ACCURACY_RO[#Headers],0),0),"ERROR"))</f>
        <v>0.88779000950336173</v>
      </c>
      <c r="O16" s="157">
        <f>IF($B16=" ","",IFERROR(VLOOKUP($B16,MMWR_ACCURACY_RO[],MATCH(O$9,MMWR_ACCURACY_RO[#Headers],0),0),"ERROR"))</f>
        <v>1.6398674127541639E-2</v>
      </c>
      <c r="P16" s="28"/>
    </row>
    <row r="17" spans="1:16" x14ac:dyDescent="0.2">
      <c r="A17" s="25"/>
      <c r="B17" s="8" t="str">
        <f>VLOOKUP($B$16,DISTRICT_RO[],2,0)</f>
        <v>Baltimore VSC</v>
      </c>
      <c r="C17" s="154">
        <f>IF($B17=" ","",IFERROR(INDEX(MMWR_RATING_RO_ROLLUP[],MATCH($B17,MMWR_RATING_RO_ROLLUP[MMWR_RATING_RO_ROLLUP],0),MATCH(C$9,MMWR_RATING_RO_ROLLUP[#Headers],0)),"ERROR"))</f>
        <v>2507</v>
      </c>
      <c r="D17" s="155">
        <f>IF($B17=" ","",IFERROR(INDEX(MMWR_RATING_RO_ROLLUP[],MATCH($B17,MMWR_RATING_RO_ROLLUP[MMWR_RATING_RO_ROLLUP],0),MATCH(D$9,MMWR_RATING_RO_ROLLUP[#Headers],0)),"ERROR"))</f>
        <v>93.885520542500004</v>
      </c>
      <c r="E17" s="156">
        <f>IF($B17=" ","",IFERROR(INDEX(MMWR_RATING_RO_ROLLUP[],MATCH($B17,MMWR_RATING_RO_ROLLUP[MMWR_RATING_RO_ROLLUP],0),MATCH(E$9,MMWR_RATING_RO_ROLLUP[#Headers],0))/$C17,"ERROR"))</f>
        <v>0.27124052652572794</v>
      </c>
      <c r="F17" s="154">
        <f>IF($B17=" ","",IFERROR(INDEX(MMWR_RATING_RO_ROLLUP[],MATCH($B17,MMWR_RATING_RO_ROLLUP[MMWR_RATING_RO_ROLLUP],0),MATCH(F$9,MMWR_RATING_RO_ROLLUP[#Headers],0)),"ERROR"))</f>
        <v>672</v>
      </c>
      <c r="G17" s="154">
        <f>IF($B17=" ","",IFERROR(INDEX(MMWR_RATING_RO_ROLLUP[],MATCH($B17,MMWR_RATING_RO_ROLLUP[MMWR_RATING_RO_ROLLUP],0),MATCH(G$9,MMWR_RATING_RO_ROLLUP[#Headers],0)),"ERROR"))</f>
        <v>3789</v>
      </c>
      <c r="H17" s="155">
        <f>IF($B17=" ","",IFERROR(INDEX(MMWR_RATING_RO_ROLLUP[],MATCH($B17,MMWR_RATING_RO_ROLLUP[MMWR_RATING_RO_ROLLUP],0),MATCH(H$9,MMWR_RATING_RO_ROLLUP[#Headers],0)),"ERROR"))</f>
        <v>141.17559523809999</v>
      </c>
      <c r="I17" s="155">
        <f>IF($B17=" ","",IFERROR(INDEX(MMWR_RATING_RO_ROLLUP[],MATCH($B17,MMWR_RATING_RO_ROLLUP[MMWR_RATING_RO_ROLLUP],0),MATCH(I$9,MMWR_RATING_RO_ROLLUP[#Headers],0)),"ERROR"))</f>
        <v>134.0076537345</v>
      </c>
      <c r="J17" s="157">
        <f>IF($B17=" ","",IFERROR(VLOOKUP($B17,MMWR_ACCURACY_RO[],MATCH(J$9,MMWR_ACCURACY_RO[#Headers],0),0),"ERROR"))</f>
        <v>0.9522162611490943</v>
      </c>
      <c r="K17" s="157">
        <f>IF($B17=" ","",IFERROR(VLOOKUP($B17,MMWR_ACCURACY_RO[],MATCH(K$9,MMWR_ACCURACY_RO[#Headers],0),0),"ERROR"))</f>
        <v>0.82786855283839611</v>
      </c>
      <c r="L17" s="157">
        <f>IF($B17=" ","",IFERROR(VLOOKUP($B17,MMWR_ACCURACY_RO[],MATCH(L$9,MMWR_ACCURACY_RO[#Headers],0),0),"ERROR"))</f>
        <v>0.842203026026212</v>
      </c>
      <c r="M17" s="157">
        <f>IF($B17=" ","",IFERROR(VLOOKUP($B17,MMWR_ACCURACY_RO[],MATCH(M$9,MMWR_ACCURACY_RO[#Headers],0),0),"ERROR"))</f>
        <v>4.38819383870198E-2</v>
      </c>
      <c r="N17" s="157">
        <f>IF($B17=" ","",IFERROR(VLOOKUP($B17,MMWR_ACCURACY_RO[],MATCH(N$9,MMWR_ACCURACY_RO[#Headers],0),0),"ERROR"))</f>
        <v>0.89718885478540555</v>
      </c>
      <c r="O17" s="157">
        <f>IF($B17=" ","",IFERROR(VLOOKUP($B17,MMWR_ACCURACY_RO[],MATCH(O$9,MMWR_ACCURACY_RO[#Headers],0),0),"ERROR"))</f>
        <v>4.6466325855455043E-2</v>
      </c>
      <c r="P17" s="28"/>
    </row>
    <row r="18" spans="1:16" x14ac:dyDescent="0.2">
      <c r="A18" s="25"/>
      <c r="B18" s="8" t="str">
        <f>VLOOKUP($B$16,DISTRICT_RO[],3,0)</f>
        <v>Boston VSC</v>
      </c>
      <c r="C18" s="154">
        <f>IF($B18=" ","",IFERROR(INDEX(MMWR_RATING_RO_ROLLUP[],MATCH($B18,MMWR_RATING_RO_ROLLUP[MMWR_RATING_RO_ROLLUP],0),MATCH(C$9,MMWR_RATING_RO_ROLLUP[#Headers],0)),"ERROR"))</f>
        <v>3276</v>
      </c>
      <c r="D18" s="155">
        <f>IF($B18=" ","",IFERROR(INDEX(MMWR_RATING_RO_ROLLUP[],MATCH($B18,MMWR_RATING_RO_ROLLUP[MMWR_RATING_RO_ROLLUP],0),MATCH(D$9,MMWR_RATING_RO_ROLLUP[#Headers],0)),"ERROR"))</f>
        <v>93.717032966999994</v>
      </c>
      <c r="E18" s="156">
        <f>IF($B18=" ","",IFERROR(INDEX(MMWR_RATING_RO_ROLLUP[],MATCH($B18,MMWR_RATING_RO_ROLLUP[MMWR_RATING_RO_ROLLUP],0),MATCH(E$9,MMWR_RATING_RO_ROLLUP[#Headers],0))/$C18,"ERROR"))</f>
        <v>0.24908424908424909</v>
      </c>
      <c r="F18" s="154">
        <f>IF($B18=" ","",IFERROR(INDEX(MMWR_RATING_RO_ROLLUP[],MATCH($B18,MMWR_RATING_RO_ROLLUP[MMWR_RATING_RO_ROLLUP],0),MATCH(F$9,MMWR_RATING_RO_ROLLUP[#Headers],0)),"ERROR"))</f>
        <v>680</v>
      </c>
      <c r="G18" s="154">
        <f>IF($B18=" ","",IFERROR(INDEX(MMWR_RATING_RO_ROLLUP[],MATCH($B18,MMWR_RATING_RO_ROLLUP[MMWR_RATING_RO_ROLLUP],0),MATCH(G$9,MMWR_RATING_RO_ROLLUP[#Headers],0)),"ERROR"))</f>
        <v>4002</v>
      </c>
      <c r="H18" s="155">
        <f>IF($B18=" ","",IFERROR(INDEX(MMWR_RATING_RO_ROLLUP[],MATCH($B18,MMWR_RATING_RO_ROLLUP[MMWR_RATING_RO_ROLLUP],0),MATCH(H$9,MMWR_RATING_RO_ROLLUP[#Headers],0)),"ERROR"))</f>
        <v>147.71911764710001</v>
      </c>
      <c r="I18" s="155">
        <f>IF($B18=" ","",IFERROR(INDEX(MMWR_RATING_RO_ROLLUP[],MATCH($B18,MMWR_RATING_RO_ROLLUP[MMWR_RATING_RO_ROLLUP],0),MATCH(I$9,MMWR_RATING_RO_ROLLUP[#Headers],0)),"ERROR"))</f>
        <v>125.6981509245</v>
      </c>
      <c r="J18" s="157">
        <f>IF($B18=" ","",IFERROR(VLOOKUP($B18,MMWR_ACCURACY_RO[],MATCH(J$9,MMWR_ACCURACY_RO[#Headers],0),0),"ERROR"))</f>
        <v>0.92003092401083031</v>
      </c>
      <c r="K18" s="157">
        <f>IF($B18=" ","",IFERROR(VLOOKUP($B18,MMWR_ACCURACY_RO[],MATCH(K$9,MMWR_ACCURACY_RO[#Headers],0),0),"ERROR"))</f>
        <v>0.82912793271359009</v>
      </c>
      <c r="L18" s="157">
        <f>IF($B18=" ","",IFERROR(VLOOKUP($B18,MMWR_ACCURACY_RO[],MATCH(L$9,MMWR_ACCURACY_RO[#Headers],0),0),"ERROR"))</f>
        <v>0.8224097713256715</v>
      </c>
      <c r="M18" s="157">
        <f>IF($B18=" ","",IFERROR(VLOOKUP($B18,MMWR_ACCURACY_RO[],MATCH(M$9,MMWR_ACCURACY_RO[#Headers],0),0),"ERROR"))</f>
        <v>5.8539885663012187E-2</v>
      </c>
      <c r="N18" s="157">
        <f>IF($B18=" ","",IFERROR(VLOOKUP($B18,MMWR_ACCURACY_RO[],MATCH(N$9,MMWR_ACCURACY_RO[#Headers],0),0),"ERROR"))</f>
        <v>0.91285424560278361</v>
      </c>
      <c r="O18" s="157">
        <f>IF($B18=" ","",IFERROR(VLOOKUP($B18,MMWR_ACCURACY_RO[],MATCH(O$9,MMWR_ACCURACY_RO[#Headers],0),0),"ERROR"))</f>
        <v>5.6891988498294598E-2</v>
      </c>
      <c r="P18" s="28"/>
    </row>
    <row r="19" spans="1:16" x14ac:dyDescent="0.2">
      <c r="A19" s="25"/>
      <c r="B19" s="8" t="str">
        <f>VLOOKUP($B$16,DISTRICT_RO[],4,0)</f>
        <v>Buffalo VSC</v>
      </c>
      <c r="C19" s="154">
        <f>IF($B19=" ","",IFERROR(INDEX(MMWR_RATING_RO_ROLLUP[],MATCH($B19,MMWR_RATING_RO_ROLLUP[MMWR_RATING_RO_ROLLUP],0),MATCH(C$9,MMWR_RATING_RO_ROLLUP[#Headers],0)),"ERROR"))</f>
        <v>3358</v>
      </c>
      <c r="D19" s="155">
        <f>IF($B19=" ","",IFERROR(INDEX(MMWR_RATING_RO_ROLLUP[],MATCH($B19,MMWR_RATING_RO_ROLLUP[MMWR_RATING_RO_ROLLUP],0),MATCH(D$9,MMWR_RATING_RO_ROLLUP[#Headers],0)),"ERROR"))</f>
        <v>77.320726622999999</v>
      </c>
      <c r="E19" s="156">
        <f>IF($B19=" ","",IFERROR(INDEX(MMWR_RATING_RO_ROLLUP[],MATCH($B19,MMWR_RATING_RO_ROLLUP[MMWR_RATING_RO_ROLLUP],0),MATCH(E$9,MMWR_RATING_RO_ROLLUP[#Headers],0))/$C19,"ERROR"))</f>
        <v>0.12328767123287671</v>
      </c>
      <c r="F19" s="154">
        <f>IF($B19=" ","",IFERROR(INDEX(MMWR_RATING_RO_ROLLUP[],MATCH($B19,MMWR_RATING_RO_ROLLUP[MMWR_RATING_RO_ROLLUP],0),MATCH(F$9,MMWR_RATING_RO_ROLLUP[#Headers],0)),"ERROR"))</f>
        <v>706</v>
      </c>
      <c r="G19" s="154">
        <f>IF($B19=" ","",IFERROR(INDEX(MMWR_RATING_RO_ROLLUP[],MATCH($B19,MMWR_RATING_RO_ROLLUP[MMWR_RATING_RO_ROLLUP],0),MATCH(G$9,MMWR_RATING_RO_ROLLUP[#Headers],0)),"ERROR"))</f>
        <v>3965</v>
      </c>
      <c r="H19" s="155">
        <f>IF($B19=" ","",IFERROR(INDEX(MMWR_RATING_RO_ROLLUP[],MATCH($B19,MMWR_RATING_RO_ROLLUP[MMWR_RATING_RO_ROLLUP],0),MATCH(H$9,MMWR_RATING_RO_ROLLUP[#Headers],0)),"ERROR"))</f>
        <v>126.8257790368</v>
      </c>
      <c r="I19" s="155">
        <f>IF($B19=" ","",IFERROR(INDEX(MMWR_RATING_RO_ROLLUP[],MATCH($B19,MMWR_RATING_RO_ROLLUP[MMWR_RATING_RO_ROLLUP],0),MATCH(I$9,MMWR_RATING_RO_ROLLUP[#Headers],0)),"ERROR"))</f>
        <v>141.22673392179999</v>
      </c>
      <c r="J19" s="157">
        <f>IF($B19=" ","",IFERROR(VLOOKUP($B19,MMWR_ACCURACY_RO[],MATCH(J$9,MMWR_ACCURACY_RO[#Headers],0),0),"ERROR"))</f>
        <v>0.94734487088812225</v>
      </c>
      <c r="K19" s="157">
        <f>IF($B19=" ","",IFERROR(VLOOKUP($B19,MMWR_ACCURACY_RO[],MATCH(K$9,MMWR_ACCURACY_RO[#Headers],0),0),"ERROR"))</f>
        <v>0.91250149826201588</v>
      </c>
      <c r="L19" s="157">
        <f>IF($B19=" ","",IFERROR(VLOOKUP($B19,MMWR_ACCURACY_RO[],MATCH(L$9,MMWR_ACCURACY_RO[#Headers],0),0),"ERROR"))</f>
        <v>0.88085529288821096</v>
      </c>
      <c r="M19" s="157">
        <f>IF($B19=" ","",IFERROR(VLOOKUP($B19,MMWR_ACCURACY_RO[],MATCH(M$9,MMWR_ACCURACY_RO[#Headers],0),0),"ERROR"))</f>
        <v>5.1265236134882243E-2</v>
      </c>
      <c r="N19" s="157">
        <f>IF($B19=" ","",IFERROR(VLOOKUP($B19,MMWR_ACCURACY_RO[],MATCH(N$9,MMWR_ACCURACY_RO[#Headers],0),0),"ERROR"))</f>
        <v>0.87298312137742362</v>
      </c>
      <c r="O19" s="157">
        <f>IF($B19=" ","",IFERROR(VLOOKUP($B19,MMWR_ACCURACY_RO[],MATCH(O$9,MMWR_ACCURACY_RO[#Headers],0),0),"ERROR"))</f>
        <v>4.8714812917729021E-2</v>
      </c>
      <c r="P19" s="28"/>
    </row>
    <row r="20" spans="1:16" x14ac:dyDescent="0.2">
      <c r="A20" s="25"/>
      <c r="B20" s="8" t="str">
        <f>VLOOKUP($B$16,DISTRICT_RO[],5,0)</f>
        <v>Hartford VSC</v>
      </c>
      <c r="C20" s="154">
        <f>IF($B20=" ","",IFERROR(INDEX(MMWR_RATING_RO_ROLLUP[],MATCH($B20,MMWR_RATING_RO_ROLLUP[MMWR_RATING_RO_ROLLUP],0),MATCH(C$9,MMWR_RATING_RO_ROLLUP[#Headers],0)),"ERROR"))</f>
        <v>2474</v>
      </c>
      <c r="D20" s="155">
        <f>IF($B20=" ","",IFERROR(INDEX(MMWR_RATING_RO_ROLLUP[],MATCH($B20,MMWR_RATING_RO_ROLLUP[MMWR_RATING_RO_ROLLUP],0),MATCH(D$9,MMWR_RATING_RO_ROLLUP[#Headers],0)),"ERROR"))</f>
        <v>102.7510105093</v>
      </c>
      <c r="E20" s="156">
        <f>IF($B20=" ","",IFERROR(INDEX(MMWR_RATING_RO_ROLLUP[],MATCH($B20,MMWR_RATING_RO_ROLLUP[MMWR_RATING_RO_ROLLUP],0),MATCH(E$9,MMWR_RATING_RO_ROLLUP[#Headers],0))/$C20,"ERROR"))</f>
        <v>0.28819725141471303</v>
      </c>
      <c r="F20" s="154">
        <f>IF($B20=" ","",IFERROR(INDEX(MMWR_RATING_RO_ROLLUP[],MATCH($B20,MMWR_RATING_RO_ROLLUP[MMWR_RATING_RO_ROLLUP],0),MATCH(F$9,MMWR_RATING_RO_ROLLUP[#Headers],0)),"ERROR"))</f>
        <v>718</v>
      </c>
      <c r="G20" s="154">
        <f>IF($B20=" ","",IFERROR(INDEX(MMWR_RATING_RO_ROLLUP[],MATCH($B20,MMWR_RATING_RO_ROLLUP[MMWR_RATING_RO_ROLLUP],0),MATCH(G$9,MMWR_RATING_RO_ROLLUP[#Headers],0)),"ERROR"))</f>
        <v>3726</v>
      </c>
      <c r="H20" s="155">
        <f>IF($B20=" ","",IFERROR(INDEX(MMWR_RATING_RO_ROLLUP[],MATCH($B20,MMWR_RATING_RO_ROLLUP[MMWR_RATING_RO_ROLLUP],0),MATCH(H$9,MMWR_RATING_RO_ROLLUP[#Headers],0)),"ERROR"))</f>
        <v>131.4610027855</v>
      </c>
      <c r="I20" s="155">
        <f>IF($B20=" ","",IFERROR(INDEX(MMWR_RATING_RO_ROLLUP[],MATCH($B20,MMWR_RATING_RO_ROLLUP[MMWR_RATING_RO_ROLLUP],0),MATCH(I$9,MMWR_RATING_RO_ROLLUP[#Headers],0)),"ERROR"))</f>
        <v>137.9838969404</v>
      </c>
      <c r="J20" s="157">
        <f>IF($B20=" ","",IFERROR(VLOOKUP($B20,MMWR_ACCURACY_RO[],MATCH(J$9,MMWR_ACCURACY_RO[#Headers],0),0),"ERROR"))</f>
        <v>0.98993004258277562</v>
      </c>
      <c r="K20" s="157">
        <f>IF($B20=" ","",IFERROR(VLOOKUP($B20,MMWR_ACCURACY_RO[],MATCH(K$9,MMWR_ACCURACY_RO[#Headers],0),0),"ERROR"))</f>
        <v>0.98201187565490722</v>
      </c>
      <c r="L20" s="157">
        <f>IF($B20=" ","",IFERROR(VLOOKUP($B20,MMWR_ACCURACY_RO[],MATCH(L$9,MMWR_ACCURACY_RO[#Headers],0),0),"ERROR"))</f>
        <v>0.91856880779742667</v>
      </c>
      <c r="M20" s="157">
        <f>IF($B20=" ","",IFERROR(VLOOKUP($B20,MMWR_ACCURACY_RO[],MATCH(M$9,MMWR_ACCURACY_RO[#Headers],0),0),"ERROR"))</f>
        <v>4.4166390999585019E-2</v>
      </c>
      <c r="N20" s="157">
        <f>IF($B20=" ","",IFERROR(VLOOKUP($B20,MMWR_ACCURACY_RO[],MATCH(N$9,MMWR_ACCURACY_RO[#Headers],0),0),"ERROR"))</f>
        <v>0.97189620044649627</v>
      </c>
      <c r="O20" s="157">
        <f>IF($B20=" ","",IFERROR(VLOOKUP($B20,MMWR_ACCURACY_RO[],MATCH(O$9,MMWR_ACCURACY_RO[#Headers],0),0),"ERROR"))</f>
        <v>2.8646577881709233E-2</v>
      </c>
      <c r="P20" s="28"/>
    </row>
    <row r="21" spans="1:16" x14ac:dyDescent="0.2">
      <c r="A21" s="25"/>
      <c r="B21" s="8" t="str">
        <f>VLOOKUP($B$16,DISTRICT_RO[],6,0)</f>
        <v>Huntington VSC</v>
      </c>
      <c r="C21" s="154">
        <f>IF($B21=" ","",IFERROR(INDEX(MMWR_RATING_RO_ROLLUP[],MATCH($B21,MMWR_RATING_RO_ROLLUP[MMWR_RATING_RO_ROLLUP],0),MATCH(C$9,MMWR_RATING_RO_ROLLUP[#Headers],0)),"ERROR"))</f>
        <v>4633</v>
      </c>
      <c r="D21" s="155">
        <f>IF($B21=" ","",IFERROR(INDEX(MMWR_RATING_RO_ROLLUP[],MATCH($B21,MMWR_RATING_RO_ROLLUP[MMWR_RATING_RO_ROLLUP],0),MATCH(D$9,MMWR_RATING_RO_ROLLUP[#Headers],0)),"ERROR"))</f>
        <v>106.0220159724</v>
      </c>
      <c r="E21" s="156">
        <f>IF($B21=" ","",IFERROR(INDEX(MMWR_RATING_RO_ROLLUP[],MATCH($B21,MMWR_RATING_RO_ROLLUP[MMWR_RATING_RO_ROLLUP],0),MATCH(E$9,MMWR_RATING_RO_ROLLUP[#Headers],0))/$C21,"ERROR"))</f>
        <v>0.30584934167925748</v>
      </c>
      <c r="F21" s="154">
        <f>IF($B21=" ","",IFERROR(INDEX(MMWR_RATING_RO_ROLLUP[],MATCH($B21,MMWR_RATING_RO_ROLLUP[MMWR_RATING_RO_ROLLUP],0),MATCH(F$9,MMWR_RATING_RO_ROLLUP[#Headers],0)),"ERROR"))</f>
        <v>1354</v>
      </c>
      <c r="G21" s="154">
        <f>IF($B21=" ","",IFERROR(INDEX(MMWR_RATING_RO_ROLLUP[],MATCH($B21,MMWR_RATING_RO_ROLLUP[MMWR_RATING_RO_ROLLUP],0),MATCH(G$9,MMWR_RATING_RO_ROLLUP[#Headers],0)),"ERROR"))</f>
        <v>7252</v>
      </c>
      <c r="H21" s="155">
        <f>IF($B21=" ","",IFERROR(INDEX(MMWR_RATING_RO_ROLLUP[],MATCH($B21,MMWR_RATING_RO_ROLLUP[MMWR_RATING_RO_ROLLUP],0),MATCH(H$9,MMWR_RATING_RO_ROLLUP[#Headers],0)),"ERROR"))</f>
        <v>146.78581979320001</v>
      </c>
      <c r="I21" s="155">
        <f>IF($B21=" ","",IFERROR(INDEX(MMWR_RATING_RO_ROLLUP[],MATCH($B21,MMWR_RATING_RO_ROLLUP[MMWR_RATING_RO_ROLLUP],0),MATCH(I$9,MMWR_RATING_RO_ROLLUP[#Headers],0)),"ERROR"))</f>
        <v>138.07501378929999</v>
      </c>
      <c r="J21" s="157">
        <f>IF($B21=" ","",IFERROR(VLOOKUP($B21,MMWR_ACCURACY_RO[],MATCH(J$9,MMWR_ACCURACY_RO[#Headers],0),0),"ERROR"))</f>
        <v>0.95520986394348695</v>
      </c>
      <c r="K21" s="157">
        <f>IF($B21=" ","",IFERROR(VLOOKUP($B21,MMWR_ACCURACY_RO[],MATCH(K$9,MMWR_ACCURACY_RO[#Headers],0),0),"ERROR"))</f>
        <v>0.8990246406570841</v>
      </c>
      <c r="L21" s="157">
        <f>IF($B21=" ","",IFERROR(VLOOKUP($B21,MMWR_ACCURACY_RO[],MATCH(L$9,MMWR_ACCURACY_RO[#Headers],0),0),"ERROR"))</f>
        <v>0.89846693280810053</v>
      </c>
      <c r="M21" s="157">
        <f>IF($B21=" ","",IFERROR(VLOOKUP($B21,MMWR_ACCURACY_RO[],MATCH(M$9,MMWR_ACCURACY_RO[#Headers],0),0),"ERROR"))</f>
        <v>4.4677437236061268E-2</v>
      </c>
      <c r="N21" s="157">
        <f>IF($B21=" ","",IFERROR(VLOOKUP($B21,MMWR_ACCURACY_RO[],MATCH(N$9,MMWR_ACCURACY_RO[#Headers],0),0),"ERROR"))</f>
        <v>0.8798455168020386</v>
      </c>
      <c r="O21" s="157">
        <f>IF($B21=" ","",IFERROR(VLOOKUP($B21,MMWR_ACCURACY_RO[],MATCH(O$9,MMWR_ACCURACY_RO[#Headers],0),0),"ERROR"))</f>
        <v>5.406313262750892E-2</v>
      </c>
      <c r="P21" s="28"/>
    </row>
    <row r="22" spans="1:16" x14ac:dyDescent="0.2">
      <c r="A22" s="25"/>
      <c r="B22" s="8" t="str">
        <f>VLOOKUP($B$16,DISTRICT_RO[],7,0)</f>
        <v>Manchester VSC</v>
      </c>
      <c r="C22" s="154">
        <f>IF($B22=" ","",IFERROR(INDEX(MMWR_RATING_RO_ROLLUP[],MATCH($B22,MMWR_RATING_RO_ROLLUP[MMWR_RATING_RO_ROLLUP],0),MATCH(C$9,MMWR_RATING_RO_ROLLUP[#Headers],0)),"ERROR"))</f>
        <v>1164</v>
      </c>
      <c r="D22" s="155">
        <f>IF($B22=" ","",IFERROR(INDEX(MMWR_RATING_RO_ROLLUP[],MATCH($B22,MMWR_RATING_RO_ROLLUP[MMWR_RATING_RO_ROLLUP],0),MATCH(D$9,MMWR_RATING_RO_ROLLUP[#Headers],0)),"ERROR"))</f>
        <v>87.547250859100004</v>
      </c>
      <c r="E22" s="156">
        <f>IF($B22=" ","",IFERROR(INDEX(MMWR_RATING_RO_ROLLUP[],MATCH($B22,MMWR_RATING_RO_ROLLUP[MMWR_RATING_RO_ROLLUP],0),MATCH(E$9,MMWR_RATING_RO_ROLLUP[#Headers],0))/$C22,"ERROR"))</f>
        <v>0.19158075601374572</v>
      </c>
      <c r="F22" s="154">
        <f>IF($B22=" ","",IFERROR(INDEX(MMWR_RATING_RO_ROLLUP[],MATCH($B22,MMWR_RATING_RO_ROLLUP[MMWR_RATING_RO_ROLLUP],0),MATCH(F$9,MMWR_RATING_RO_ROLLUP[#Headers],0)),"ERROR"))</f>
        <v>319</v>
      </c>
      <c r="G22" s="154">
        <f>IF($B22=" ","",IFERROR(INDEX(MMWR_RATING_RO_ROLLUP[],MATCH($B22,MMWR_RATING_RO_ROLLUP[MMWR_RATING_RO_ROLLUP],0),MATCH(G$9,MMWR_RATING_RO_ROLLUP[#Headers],0)),"ERROR"))</f>
        <v>1621</v>
      </c>
      <c r="H22" s="155">
        <f>IF($B22=" ","",IFERROR(INDEX(MMWR_RATING_RO_ROLLUP[],MATCH($B22,MMWR_RATING_RO_ROLLUP[MMWR_RATING_RO_ROLLUP],0),MATCH(H$9,MMWR_RATING_RO_ROLLUP[#Headers],0)),"ERROR"))</f>
        <v>152.14733542319999</v>
      </c>
      <c r="I22" s="155">
        <f>IF($B22=" ","",IFERROR(INDEX(MMWR_RATING_RO_ROLLUP[],MATCH($B22,MMWR_RATING_RO_ROLLUP[MMWR_RATING_RO_ROLLUP],0),MATCH(I$9,MMWR_RATING_RO_ROLLUP[#Headers],0)),"ERROR"))</f>
        <v>143.47501542259999</v>
      </c>
      <c r="J22" s="157">
        <f>IF($B22=" ","",IFERROR(VLOOKUP($B22,MMWR_ACCURACY_RO[],MATCH(J$9,MMWR_ACCURACY_RO[#Headers],0),0),"ERROR"))</f>
        <v>0.9225344833944219</v>
      </c>
      <c r="K22" s="157">
        <f>IF($B22=" ","",IFERROR(VLOOKUP($B22,MMWR_ACCURACY_RO[],MATCH(K$9,MMWR_ACCURACY_RO[#Headers],0),0),"ERROR"))</f>
        <v>0.87495107632093938</v>
      </c>
      <c r="L22" s="157">
        <f>IF($B22=" ","",IFERROR(VLOOKUP($B22,MMWR_ACCURACY_RO[],MATCH(L$9,MMWR_ACCURACY_RO[#Headers],0),0),"ERROR"))</f>
        <v>0.91155899939943086</v>
      </c>
      <c r="M22" s="157">
        <f>IF($B22=" ","",IFERROR(VLOOKUP($B22,MMWR_ACCURACY_RO[],MATCH(M$9,MMWR_ACCURACY_RO[#Headers],0),0),"ERROR"))</f>
        <v>4.248226071937445E-2</v>
      </c>
      <c r="N22" s="157">
        <f>IF($B22=" ","",IFERROR(VLOOKUP($B22,MMWR_ACCURACY_RO[],MATCH(N$9,MMWR_ACCURACY_RO[#Headers],0),0),"ERROR"))</f>
        <v>0.90746375865221363</v>
      </c>
      <c r="O22" s="157">
        <f>IF($B22=" ","",IFERROR(VLOOKUP($B22,MMWR_ACCURACY_RO[],MATCH(O$9,MMWR_ACCURACY_RO[#Headers],0),0),"ERROR"))</f>
        <v>4.8376078880169475E-2</v>
      </c>
      <c r="P22" s="28"/>
    </row>
    <row r="23" spans="1:16" x14ac:dyDescent="0.2">
      <c r="A23" s="25"/>
      <c r="B23" s="8" t="str">
        <f>VLOOKUP($B$16,DISTRICT_RO[],8,0)</f>
        <v>New York VSC</v>
      </c>
      <c r="C23" s="154">
        <f>IF($B23=" ","",IFERROR(INDEX(MMWR_RATING_RO_ROLLUP[],MATCH($B23,MMWR_RATING_RO_ROLLUP[MMWR_RATING_RO_ROLLUP],0),MATCH(C$9,MMWR_RATING_RO_ROLLUP[#Headers],0)),"ERROR"))</f>
        <v>3870</v>
      </c>
      <c r="D23" s="155">
        <f>IF($B23=" ","",IFERROR(INDEX(MMWR_RATING_RO_ROLLUP[],MATCH($B23,MMWR_RATING_RO_ROLLUP[MMWR_RATING_RO_ROLLUP],0),MATCH(D$9,MMWR_RATING_RO_ROLLUP[#Headers],0)),"ERROR"))</f>
        <v>96.061240310100004</v>
      </c>
      <c r="E23" s="156">
        <f>IF($B23=" ","",IFERROR(INDEX(MMWR_RATING_RO_ROLLUP[],MATCH($B23,MMWR_RATING_RO_ROLLUP[MMWR_RATING_RO_ROLLUP],0),MATCH(E$9,MMWR_RATING_RO_ROLLUP[#Headers],0))/$C23,"ERROR"))</f>
        <v>0.26718346253229974</v>
      </c>
      <c r="F23" s="154">
        <f>IF($B23=" ","",IFERROR(INDEX(MMWR_RATING_RO_ROLLUP[],MATCH($B23,MMWR_RATING_RO_ROLLUP[MMWR_RATING_RO_ROLLUP],0),MATCH(F$9,MMWR_RATING_RO_ROLLUP[#Headers],0)),"ERROR"))</f>
        <v>876</v>
      </c>
      <c r="G23" s="154">
        <f>IF($B23=" ","",IFERROR(INDEX(MMWR_RATING_RO_ROLLUP[],MATCH($B23,MMWR_RATING_RO_ROLLUP[MMWR_RATING_RO_ROLLUP],0),MATCH(G$9,MMWR_RATING_RO_ROLLUP[#Headers],0)),"ERROR"))</f>
        <v>4655</v>
      </c>
      <c r="H23" s="155">
        <f>IF($B23=" ","",IFERROR(INDEX(MMWR_RATING_RO_ROLLUP[],MATCH($B23,MMWR_RATING_RO_ROLLUP[MMWR_RATING_RO_ROLLUP],0),MATCH(H$9,MMWR_RATING_RO_ROLLUP[#Headers],0)),"ERROR"))</f>
        <v>126.997716895</v>
      </c>
      <c r="I23" s="155">
        <f>IF($B23=" ","",IFERROR(INDEX(MMWR_RATING_RO_ROLLUP[],MATCH($B23,MMWR_RATING_RO_ROLLUP[MMWR_RATING_RO_ROLLUP],0),MATCH(I$9,MMWR_RATING_RO_ROLLUP[#Headers],0)),"ERROR"))</f>
        <v>131.87583243820001</v>
      </c>
      <c r="J23" s="157">
        <f>IF($B23=" ","",IFERROR(VLOOKUP($B23,MMWR_ACCURACY_RO[],MATCH(J$9,MMWR_ACCURACY_RO[#Headers],0),0),"ERROR"))</f>
        <v>0.88952171488590737</v>
      </c>
      <c r="K23" s="157">
        <f>IF($B23=" ","",IFERROR(VLOOKUP($B23,MMWR_ACCURACY_RO[],MATCH(K$9,MMWR_ACCURACY_RO[#Headers],0),0),"ERROR"))</f>
        <v>0.83282529113340265</v>
      </c>
      <c r="L23" s="157">
        <f>IF($B23=" ","",IFERROR(VLOOKUP($B23,MMWR_ACCURACY_RO[],MATCH(L$9,MMWR_ACCURACY_RO[#Headers],0),0),"ERROR"))</f>
        <v>0.88424799257486897</v>
      </c>
      <c r="M23" s="157">
        <f>IF($B23=" ","",IFERROR(VLOOKUP($B23,MMWR_ACCURACY_RO[],MATCH(M$9,MMWR_ACCURACY_RO[#Headers],0),0),"ERROR"))</f>
        <v>5.0536325462534393E-2</v>
      </c>
      <c r="N23" s="157">
        <f>IF($B23=" ","",IFERROR(VLOOKUP($B23,MMWR_ACCURACY_RO[],MATCH(N$9,MMWR_ACCURACY_RO[#Headers],0),0),"ERROR"))</f>
        <v>0.92408633871721113</v>
      </c>
      <c r="O23" s="157">
        <f>IF($B23=" ","",IFERROR(VLOOKUP($B23,MMWR_ACCURACY_RO[],MATCH(O$9,MMWR_ACCURACY_RO[#Headers],0),0),"ERROR"))</f>
        <v>4.2544668366328295E-2</v>
      </c>
      <c r="P23" s="28"/>
    </row>
    <row r="24" spans="1:16" x14ac:dyDescent="0.2">
      <c r="A24" s="25"/>
      <c r="B24" s="8" t="str">
        <f>VLOOKUP($B$16,DISTRICT_RO[],9,0)</f>
        <v>Newark VSC</v>
      </c>
      <c r="C24" s="154">
        <f>IF($B24=" ","",IFERROR(INDEX(MMWR_RATING_RO_ROLLUP[],MATCH($B24,MMWR_RATING_RO_ROLLUP[MMWR_RATING_RO_ROLLUP],0),MATCH(C$9,MMWR_RATING_RO_ROLLUP[#Headers],0)),"ERROR"))</f>
        <v>2287</v>
      </c>
      <c r="D24" s="155">
        <f>IF($B24=" ","",IFERROR(INDEX(MMWR_RATING_RO_ROLLUP[],MATCH($B24,MMWR_RATING_RO_ROLLUP[MMWR_RATING_RO_ROLLUP],0),MATCH(D$9,MMWR_RATING_RO_ROLLUP[#Headers],0)),"ERROR"))</f>
        <v>77.618714473099999</v>
      </c>
      <c r="E24" s="156">
        <f>IF($B24=" ","",IFERROR(INDEX(MMWR_RATING_RO_ROLLUP[],MATCH($B24,MMWR_RATING_RO_ROLLUP[MMWR_RATING_RO_ROLLUP],0),MATCH(E$9,MMWR_RATING_RO_ROLLUP[#Headers],0))/$C24,"ERROR"))</f>
        <v>0.1565369479667687</v>
      </c>
      <c r="F24" s="154">
        <f>IF($B24=" ","",IFERROR(INDEX(MMWR_RATING_RO_ROLLUP[],MATCH($B24,MMWR_RATING_RO_ROLLUP[MMWR_RATING_RO_ROLLUP],0),MATCH(F$9,MMWR_RATING_RO_ROLLUP[#Headers],0)),"ERROR"))</f>
        <v>432</v>
      </c>
      <c r="G24" s="154">
        <f>IF($B24=" ","",IFERROR(INDEX(MMWR_RATING_RO_ROLLUP[],MATCH($B24,MMWR_RATING_RO_ROLLUP[MMWR_RATING_RO_ROLLUP],0),MATCH(G$9,MMWR_RATING_RO_ROLLUP[#Headers],0)),"ERROR"))</f>
        <v>2531</v>
      </c>
      <c r="H24" s="155">
        <f>IF($B24=" ","",IFERROR(INDEX(MMWR_RATING_RO_ROLLUP[],MATCH($B24,MMWR_RATING_RO_ROLLUP[MMWR_RATING_RO_ROLLUP],0),MATCH(H$9,MMWR_RATING_RO_ROLLUP[#Headers],0)),"ERROR"))</f>
        <v>134.150462963</v>
      </c>
      <c r="I24" s="155">
        <f>IF($B24=" ","",IFERROR(INDEX(MMWR_RATING_RO_ROLLUP[],MATCH($B24,MMWR_RATING_RO_ROLLUP[MMWR_RATING_RO_ROLLUP],0),MATCH(I$9,MMWR_RATING_RO_ROLLUP[#Headers],0)),"ERROR"))</f>
        <v>136.8976689056</v>
      </c>
      <c r="J24" s="157">
        <f>IF($B24=" ","",IFERROR(VLOOKUP($B24,MMWR_ACCURACY_RO[],MATCH(J$9,MMWR_ACCURACY_RO[#Headers],0),0),"ERROR"))</f>
        <v>0.95354711421527771</v>
      </c>
      <c r="K24" s="157">
        <f>IF($B24=" ","",IFERROR(VLOOKUP($B24,MMWR_ACCURACY_RO[],MATCH(K$9,MMWR_ACCURACY_RO[#Headers],0),0),"ERROR"))</f>
        <v>0.91015948021264037</v>
      </c>
      <c r="L24" s="157">
        <f>IF($B24=" ","",IFERROR(VLOOKUP($B24,MMWR_ACCURACY_RO[],MATCH(L$9,MMWR_ACCURACY_RO[#Headers],0),0),"ERROR"))</f>
        <v>0.88299603417964745</v>
      </c>
      <c r="M24" s="157">
        <f>IF($B24=" ","",IFERROR(VLOOKUP($B24,MMWR_ACCURACY_RO[],MATCH(M$9,MMWR_ACCURACY_RO[#Headers],0),0),"ERROR"))</f>
        <v>4.4161345626278742E-2</v>
      </c>
      <c r="N24" s="157">
        <f>IF($B24=" ","",IFERROR(VLOOKUP($B24,MMWR_ACCURACY_RO[],MATCH(N$9,MMWR_ACCURACY_RO[#Headers],0),0),"ERROR"))</f>
        <v>0.86248768091456884</v>
      </c>
      <c r="O24" s="157">
        <f>IF($B24=" ","",IFERROR(VLOOKUP($B24,MMWR_ACCURACY_RO[],MATCH(O$9,MMWR_ACCURACY_RO[#Headers],0),0),"ERROR"))</f>
        <v>4.8970754203361368E-2</v>
      </c>
      <c r="P24" s="28"/>
    </row>
    <row r="25" spans="1:16" x14ac:dyDescent="0.2">
      <c r="A25" s="25"/>
      <c r="B25" s="8" t="str">
        <f>VLOOKUP($B$16,DISTRICT_RO[],10,0)</f>
        <v>Philadelphia VSC</v>
      </c>
      <c r="C25" s="154">
        <f>IF($B25=" ","",IFERROR(INDEX(MMWR_RATING_RO_ROLLUP[],MATCH($B25,MMWR_RATING_RO_ROLLUP[MMWR_RATING_RO_ROLLUP],0),MATCH(C$9,MMWR_RATING_RO_ROLLUP[#Headers],0)),"ERROR"))</f>
        <v>6943</v>
      </c>
      <c r="D25" s="155">
        <f>IF($B25=" ","",IFERROR(INDEX(MMWR_RATING_RO_ROLLUP[],MATCH($B25,MMWR_RATING_RO_ROLLUP[MMWR_RATING_RO_ROLLUP],0),MATCH(D$9,MMWR_RATING_RO_ROLLUP[#Headers],0)),"ERROR"))</f>
        <v>117.39348984590001</v>
      </c>
      <c r="E25" s="156">
        <f>IF($B25=" ","",IFERROR(INDEX(MMWR_RATING_RO_ROLLUP[],MATCH($B25,MMWR_RATING_RO_ROLLUP[MMWR_RATING_RO_ROLLUP],0),MATCH(E$9,MMWR_RATING_RO_ROLLUP[#Headers],0))/$C25,"ERROR"))</f>
        <v>0.33775025205242692</v>
      </c>
      <c r="F25" s="154">
        <f>IF($B25=" ","",IFERROR(INDEX(MMWR_RATING_RO_ROLLUP[],MATCH($B25,MMWR_RATING_RO_ROLLUP[MMWR_RATING_RO_ROLLUP],0),MATCH(F$9,MMWR_RATING_RO_ROLLUP[#Headers],0)),"ERROR"))</f>
        <v>1866</v>
      </c>
      <c r="G25" s="154">
        <f>IF($B25=" ","",IFERROR(INDEX(MMWR_RATING_RO_ROLLUP[],MATCH($B25,MMWR_RATING_RO_ROLLUP[MMWR_RATING_RO_ROLLUP],0),MATCH(G$9,MMWR_RATING_RO_ROLLUP[#Headers],0)),"ERROR"))</f>
        <v>10534</v>
      </c>
      <c r="H25" s="155">
        <f>IF($B25=" ","",IFERROR(INDEX(MMWR_RATING_RO_ROLLUP[],MATCH($B25,MMWR_RATING_RO_ROLLUP[MMWR_RATING_RO_ROLLUP],0),MATCH(H$9,MMWR_RATING_RO_ROLLUP[#Headers],0)),"ERROR"))</f>
        <v>142.70578778140001</v>
      </c>
      <c r="I25" s="155">
        <f>IF($B25=" ","",IFERROR(INDEX(MMWR_RATING_RO_ROLLUP[],MATCH($B25,MMWR_RATING_RO_ROLLUP[MMWR_RATING_RO_ROLLUP],0),MATCH(I$9,MMWR_RATING_RO_ROLLUP[#Headers],0)),"ERROR"))</f>
        <v>150.08107081829999</v>
      </c>
      <c r="J25" s="157">
        <f>IF($B25=" ","",IFERROR(VLOOKUP($B25,MMWR_ACCURACY_RO[],MATCH(J$9,MMWR_ACCURACY_RO[#Headers],0),0),"ERROR"))</f>
        <v>0.96983043474868014</v>
      </c>
      <c r="K25" s="157">
        <f>IF($B25=" ","",IFERROR(VLOOKUP($B25,MMWR_ACCURACY_RO[],MATCH(K$9,MMWR_ACCURACY_RO[#Headers],0),0),"ERROR"))</f>
        <v>0.95262104841936779</v>
      </c>
      <c r="L25" s="157">
        <f>IF($B25=" ","",IFERROR(VLOOKUP($B25,MMWR_ACCURACY_RO[],MATCH(L$9,MMWR_ACCURACY_RO[#Headers],0),0),"ERROR"))</f>
        <v>0.87100740304885416</v>
      </c>
      <c r="M25" s="157">
        <f>IF($B25=" ","",IFERROR(VLOOKUP($B25,MMWR_ACCURACY_RO[],MATCH(M$9,MMWR_ACCURACY_RO[#Headers],0),0),"ERROR"))</f>
        <v>5.0069275114879373E-2</v>
      </c>
      <c r="N25" s="157">
        <f>IF($B25=" ","",IFERROR(VLOOKUP($B25,MMWR_ACCURACY_RO[],MATCH(N$9,MMWR_ACCURACY_RO[#Headers],0),0),"ERROR"))</f>
        <v>0.88783491475028098</v>
      </c>
      <c r="O25" s="157">
        <f>IF($B25=" ","",IFERROR(VLOOKUP($B25,MMWR_ACCURACY_RO[],MATCH(O$9,MMWR_ACCURACY_RO[#Headers],0),0),"ERROR"))</f>
        <v>5.2746539175090777E-2</v>
      </c>
      <c r="P25" s="28"/>
    </row>
    <row r="26" spans="1:16" x14ac:dyDescent="0.2">
      <c r="A26" s="25"/>
      <c r="B26" s="8" t="str">
        <f>VLOOKUP($B$16,DISTRICT_RO[],11,0)</f>
        <v>Pittsburgh VSC</v>
      </c>
      <c r="C26" s="154">
        <f>IF($B26=" ","",IFERROR(INDEX(MMWR_RATING_RO_ROLLUP[],MATCH($B26,MMWR_RATING_RO_ROLLUP[MMWR_RATING_RO_ROLLUP],0),MATCH(C$9,MMWR_RATING_RO_ROLLUP[#Headers],0)),"ERROR"))</f>
        <v>4045</v>
      </c>
      <c r="D26" s="155">
        <f>IF($B26=" ","",IFERROR(INDEX(MMWR_RATING_RO_ROLLUP[],MATCH($B26,MMWR_RATING_RO_ROLLUP[MMWR_RATING_RO_ROLLUP],0),MATCH(D$9,MMWR_RATING_RO_ROLLUP[#Headers],0)),"ERROR"))</f>
        <v>123.62991347339999</v>
      </c>
      <c r="E26" s="156">
        <f>IF($B26=" ","",IFERROR(INDEX(MMWR_RATING_RO_ROLLUP[],MATCH($B26,MMWR_RATING_RO_ROLLUP[MMWR_RATING_RO_ROLLUP],0),MATCH(E$9,MMWR_RATING_RO_ROLLUP[#Headers],0))/$C26,"ERROR"))</f>
        <v>0.36514215080346107</v>
      </c>
      <c r="F26" s="154">
        <f>IF($B26=" ","",IFERROR(INDEX(MMWR_RATING_RO_ROLLUP[],MATCH($B26,MMWR_RATING_RO_ROLLUP[MMWR_RATING_RO_ROLLUP],0),MATCH(F$9,MMWR_RATING_RO_ROLLUP[#Headers],0)),"ERROR"))</f>
        <v>779</v>
      </c>
      <c r="G26" s="154">
        <f>IF($B26=" ","",IFERROR(INDEX(MMWR_RATING_RO_ROLLUP[],MATCH($B26,MMWR_RATING_RO_ROLLUP[MMWR_RATING_RO_ROLLUP],0),MATCH(G$9,MMWR_RATING_RO_ROLLUP[#Headers],0)),"ERROR"))</f>
        <v>4344</v>
      </c>
      <c r="H26" s="155">
        <f>IF($B26=" ","",IFERROR(INDEX(MMWR_RATING_RO_ROLLUP[],MATCH($B26,MMWR_RATING_RO_ROLLUP[MMWR_RATING_RO_ROLLUP],0),MATCH(H$9,MMWR_RATING_RO_ROLLUP[#Headers],0)),"ERROR"))</f>
        <v>167.3838254172</v>
      </c>
      <c r="I26" s="155">
        <f>IF($B26=" ","",IFERROR(INDEX(MMWR_RATING_RO_ROLLUP[],MATCH($B26,MMWR_RATING_RO_ROLLUP[MMWR_RATING_RO_ROLLUP],0),MATCH(I$9,MMWR_RATING_RO_ROLLUP[#Headers],0)),"ERROR"))</f>
        <v>176.6169429098</v>
      </c>
      <c r="J26" s="157">
        <f>IF($B26=" ","",IFERROR(VLOOKUP($B26,MMWR_ACCURACY_RO[],MATCH(J$9,MMWR_ACCURACY_RO[#Headers],0),0),"ERROR"))</f>
        <v>0.93799862424031832</v>
      </c>
      <c r="K26" s="157">
        <f>IF($B26=" ","",IFERROR(VLOOKUP($B26,MMWR_ACCURACY_RO[],MATCH(K$9,MMWR_ACCURACY_RO[#Headers],0),0),"ERROR"))</f>
        <v>0.89850958126330749</v>
      </c>
      <c r="L26" s="157">
        <f>IF($B26=" ","",IFERROR(VLOOKUP($B26,MMWR_ACCURACY_RO[],MATCH(L$9,MMWR_ACCURACY_RO[#Headers],0),0),"ERROR"))</f>
        <v>0.90169103094867309</v>
      </c>
      <c r="M26" s="157">
        <f>IF($B26=" ","",IFERROR(VLOOKUP($B26,MMWR_ACCURACY_RO[],MATCH(M$9,MMWR_ACCURACY_RO[#Headers],0),0),"ERROR"))</f>
        <v>4.7082646149322185E-2</v>
      </c>
      <c r="N26" s="157">
        <f>IF($B26=" ","",IFERROR(VLOOKUP($B26,MMWR_ACCURACY_RO[],MATCH(N$9,MMWR_ACCURACY_RO[#Headers],0),0),"ERROR"))</f>
        <v>0.86885072585735335</v>
      </c>
      <c r="O26" s="157">
        <f>IF($B26=" ","",IFERROR(VLOOKUP($B26,MMWR_ACCURACY_RO[],MATCH(O$9,MMWR_ACCURACY_RO[#Headers],0),0),"ERROR"))</f>
        <v>6.4142498818594407E-2</v>
      </c>
      <c r="P26" s="28"/>
    </row>
    <row r="27" spans="1:16" x14ac:dyDescent="0.2">
      <c r="A27" s="25"/>
      <c r="B27" s="8" t="str">
        <f>VLOOKUP($B$16,DISTRICT_RO[],12,0)</f>
        <v>Providence VSC</v>
      </c>
      <c r="C27" s="154">
        <f>IF($B27=" ","",IFERROR(INDEX(MMWR_RATING_RO_ROLLUP[],MATCH($B27,MMWR_RATING_RO_ROLLUP[MMWR_RATING_RO_ROLLUP],0),MATCH(C$9,MMWR_RATING_RO_ROLLUP[#Headers],0)),"ERROR"))</f>
        <v>3489</v>
      </c>
      <c r="D27" s="155">
        <f>IF($B27=" ","",IFERROR(INDEX(MMWR_RATING_RO_ROLLUP[],MATCH($B27,MMWR_RATING_RO_ROLLUP[MMWR_RATING_RO_ROLLUP],0),MATCH(D$9,MMWR_RATING_RO_ROLLUP[#Headers],0)),"ERROR"))</f>
        <v>98.134422470600001</v>
      </c>
      <c r="E27" s="156">
        <f>IF($B27=" ","",IFERROR(INDEX(MMWR_RATING_RO_ROLLUP[],MATCH($B27,MMWR_RATING_RO_ROLLUP[MMWR_RATING_RO_ROLLUP],0),MATCH(E$9,MMWR_RATING_RO_ROLLUP[#Headers],0))/$C27,"ERROR"))</f>
        <v>0.26655202063628547</v>
      </c>
      <c r="F27" s="154">
        <f>IF($B27=" ","",IFERROR(INDEX(MMWR_RATING_RO_ROLLUP[],MATCH($B27,MMWR_RATING_RO_ROLLUP[MMWR_RATING_RO_ROLLUP],0),MATCH(F$9,MMWR_RATING_RO_ROLLUP[#Headers],0)),"ERROR"))</f>
        <v>2045</v>
      </c>
      <c r="G27" s="154">
        <f>IF($B27=" ","",IFERROR(INDEX(MMWR_RATING_RO_ROLLUP[],MATCH($B27,MMWR_RATING_RO_ROLLUP[MMWR_RATING_RO_ROLLUP],0),MATCH(G$9,MMWR_RATING_RO_ROLLUP[#Headers],0)),"ERROR"))</f>
        <v>10220</v>
      </c>
      <c r="H27" s="155">
        <f>IF($B27=" ","",IFERROR(INDEX(MMWR_RATING_RO_ROLLUP[],MATCH($B27,MMWR_RATING_RO_ROLLUP[MMWR_RATING_RO_ROLLUP],0),MATCH(H$9,MMWR_RATING_RO_ROLLUP[#Headers],0)),"ERROR"))</f>
        <v>78.733007334999996</v>
      </c>
      <c r="I27" s="155">
        <f>IF($B27=" ","",IFERROR(INDEX(MMWR_RATING_RO_ROLLUP[],MATCH($B27,MMWR_RATING_RO_ROLLUP[MMWR_RATING_RO_ROLLUP],0),MATCH(I$9,MMWR_RATING_RO_ROLLUP[#Headers],0)),"ERROR"))</f>
        <v>81.528571428600003</v>
      </c>
      <c r="J27" s="157">
        <f>IF($B27=" ","",IFERROR(VLOOKUP($B27,MMWR_ACCURACY_RO[],MATCH(J$9,MMWR_ACCURACY_RO[#Headers],0),0),"ERROR"))</f>
        <v>0.95403590393920756</v>
      </c>
      <c r="K27" s="157">
        <f>IF($B27=" ","",IFERROR(VLOOKUP($B27,MMWR_ACCURACY_RO[],MATCH(K$9,MMWR_ACCURACY_RO[#Headers],0),0),"ERROR"))</f>
        <v>0.91120550016198121</v>
      </c>
      <c r="L27" s="157">
        <f>IF($B27=" ","",IFERROR(VLOOKUP($B27,MMWR_ACCURACY_RO[],MATCH(L$9,MMWR_ACCURACY_RO[#Headers],0),0),"ERROR"))</f>
        <v>0.85700166900714037</v>
      </c>
      <c r="M27" s="157">
        <f>IF($B27=" ","",IFERROR(VLOOKUP($B27,MMWR_ACCURACY_RO[],MATCH(M$9,MMWR_ACCURACY_RO[#Headers],0),0),"ERROR"))</f>
        <v>6.239579409000285E-2</v>
      </c>
      <c r="N27" s="157">
        <f>IF($B27=" ","",IFERROR(VLOOKUP($B27,MMWR_ACCURACY_RO[],MATCH(N$9,MMWR_ACCURACY_RO[#Headers],0),0),"ERROR"))</f>
        <v>0.94730565810244738</v>
      </c>
      <c r="O27" s="157">
        <f>IF($B27=" ","",IFERROR(VLOOKUP($B27,MMWR_ACCURACY_RO[],MATCH(O$9,MMWR_ACCURACY_RO[#Headers],0),0),"ERROR"))</f>
        <v>3.9028748484039609E-2</v>
      </c>
      <c r="P27" s="28"/>
    </row>
    <row r="28" spans="1:16" x14ac:dyDescent="0.2">
      <c r="A28" s="25"/>
      <c r="B28" s="8" t="str">
        <f>VLOOKUP($B$16,DISTRICT_RO[],13,0)</f>
        <v>Roanoke VSC</v>
      </c>
      <c r="C28" s="154">
        <f>IF($B28=" ","",IFERROR(INDEX(MMWR_RATING_RO_ROLLUP[],MATCH($B28,MMWR_RATING_RO_ROLLUP[MMWR_RATING_RO_ROLLUP],0),MATCH(C$9,MMWR_RATING_RO_ROLLUP[#Headers],0)),"ERROR"))</f>
        <v>9887</v>
      </c>
      <c r="D28" s="155">
        <f>IF($B28=" ","",IFERROR(INDEX(MMWR_RATING_RO_ROLLUP[],MATCH($B28,MMWR_RATING_RO_ROLLUP[MMWR_RATING_RO_ROLLUP],0),MATCH(D$9,MMWR_RATING_RO_ROLLUP[#Headers],0)),"ERROR"))</f>
        <v>91.433801962199993</v>
      </c>
      <c r="E28" s="156">
        <f>IF($B28=" ","",IFERROR(INDEX(MMWR_RATING_RO_ROLLUP[],MATCH($B28,MMWR_RATING_RO_ROLLUP[MMWR_RATING_RO_ROLLUP],0),MATCH(E$9,MMWR_RATING_RO_ROLLUP[#Headers],0))/$C28,"ERROR"))</f>
        <v>0.26661272377869932</v>
      </c>
      <c r="F28" s="154">
        <f>IF($B28=" ","",IFERROR(INDEX(MMWR_RATING_RO_ROLLUP[],MATCH($B28,MMWR_RATING_RO_ROLLUP[MMWR_RATING_RO_ROLLUP],0),MATCH(F$9,MMWR_RATING_RO_ROLLUP[#Headers],0)),"ERROR"))</f>
        <v>2845</v>
      </c>
      <c r="G28" s="154">
        <f>IF($B28=" ","",IFERROR(INDEX(MMWR_RATING_RO_ROLLUP[],MATCH($B28,MMWR_RATING_RO_ROLLUP[MMWR_RATING_RO_ROLLUP],0),MATCH(G$9,MMWR_RATING_RO_ROLLUP[#Headers],0)),"ERROR"))</f>
        <v>13555</v>
      </c>
      <c r="H28" s="155">
        <f>IF($B28=" ","",IFERROR(INDEX(MMWR_RATING_RO_ROLLUP[],MATCH($B28,MMWR_RATING_RO_ROLLUP[MMWR_RATING_RO_ROLLUP],0),MATCH(H$9,MMWR_RATING_RO_ROLLUP[#Headers],0)),"ERROR"))</f>
        <v>126.3887521968</v>
      </c>
      <c r="I28" s="155">
        <f>IF($B28=" ","",IFERROR(INDEX(MMWR_RATING_RO_ROLLUP[],MATCH($B28,MMWR_RATING_RO_ROLLUP[MMWR_RATING_RO_ROLLUP],0),MATCH(I$9,MMWR_RATING_RO_ROLLUP[#Headers],0)),"ERROR"))</f>
        <v>134.5842862412</v>
      </c>
      <c r="J28" s="157">
        <f>IF($B28=" ","",IFERROR(VLOOKUP($B28,MMWR_ACCURACY_RO[],MATCH(J$9,MMWR_ACCURACY_RO[#Headers],0),0),"ERROR"))</f>
        <v>0.96462301783285598</v>
      </c>
      <c r="K28" s="157">
        <f>IF($B28=" ","",IFERROR(VLOOKUP($B28,MMWR_ACCURACY_RO[],MATCH(K$9,MMWR_ACCURACY_RO[#Headers],0),0),"ERROR"))</f>
        <v>0.84775253745770907</v>
      </c>
      <c r="L28" s="157">
        <f>IF($B28=" ","",IFERROR(VLOOKUP($B28,MMWR_ACCURACY_RO[],MATCH(L$9,MMWR_ACCURACY_RO[#Headers],0),0),"ERROR"))</f>
        <v>0.90270774976657331</v>
      </c>
      <c r="M28" s="157">
        <f>IF($B28=" ","",IFERROR(VLOOKUP($B28,MMWR_ACCURACY_RO[],MATCH(M$9,MMWR_ACCURACY_RO[#Headers],0),0),"ERROR"))</f>
        <v>4.9104041771363856E-2</v>
      </c>
      <c r="N28" s="157">
        <f>IF($B28=" ","",IFERROR(VLOOKUP($B28,MMWR_ACCURACY_RO[],MATCH(N$9,MMWR_ACCURACY_RO[#Headers],0),0),"ERROR"))</f>
        <v>0.90813818095777743</v>
      </c>
      <c r="O28" s="157">
        <f>IF($B28=" ","",IFERROR(VLOOKUP($B28,MMWR_ACCURACY_RO[],MATCH(O$9,MMWR_ACCURACY_RO[#Headers],0),0),"ERROR"))</f>
        <v>4.5930490841287079E-2</v>
      </c>
      <c r="P28" s="28"/>
    </row>
    <row r="29" spans="1:16" x14ac:dyDescent="0.2">
      <c r="A29" s="25"/>
      <c r="B29" s="8" t="str">
        <f>VLOOKUP($B$16,DISTRICT_RO[],14,0)</f>
        <v>Togus VSC</v>
      </c>
      <c r="C29" s="154">
        <f>IF($B29=" ","",IFERROR(INDEX(MMWR_RATING_RO_ROLLUP[],MATCH($B29,MMWR_RATING_RO_ROLLUP[MMWR_RATING_RO_ROLLUP],0),MATCH(C$9,MMWR_RATING_RO_ROLLUP[#Headers],0)),"ERROR"))</f>
        <v>4390</v>
      </c>
      <c r="D29" s="155">
        <f>IF($B29=" ","",IFERROR(INDEX(MMWR_RATING_RO_ROLLUP[],MATCH($B29,MMWR_RATING_RO_ROLLUP[MMWR_RATING_RO_ROLLUP],0),MATCH(D$9,MMWR_RATING_RO_ROLLUP[#Headers],0)),"ERROR"))</f>
        <v>111.2981776765</v>
      </c>
      <c r="E29" s="156">
        <f>IF($B29=" ","",IFERROR(INDEX(MMWR_RATING_RO_ROLLUP[],MATCH($B29,MMWR_RATING_RO_ROLLUP[MMWR_RATING_RO_ROLLUP],0),MATCH(E$9,MMWR_RATING_RO_ROLLUP[#Headers],0))/$C29,"ERROR"))</f>
        <v>0.32072892938496583</v>
      </c>
      <c r="F29" s="154">
        <f>IF($B29=" ","",IFERROR(INDEX(MMWR_RATING_RO_ROLLUP[],MATCH($B29,MMWR_RATING_RO_ROLLUP[MMWR_RATING_RO_ROLLUP],0),MATCH(F$9,MMWR_RATING_RO_ROLLUP[#Headers],0)),"ERROR"))</f>
        <v>1294</v>
      </c>
      <c r="G29" s="154">
        <f>IF($B29=" ","",IFERROR(INDEX(MMWR_RATING_RO_ROLLUP[],MATCH($B29,MMWR_RATING_RO_ROLLUP[MMWR_RATING_RO_ROLLUP],0),MATCH(G$9,MMWR_RATING_RO_ROLLUP[#Headers],0)),"ERROR"))</f>
        <v>7108</v>
      </c>
      <c r="H29" s="155">
        <f>IF($B29=" ","",IFERROR(INDEX(MMWR_RATING_RO_ROLLUP[],MATCH($B29,MMWR_RATING_RO_ROLLUP[MMWR_RATING_RO_ROLLUP],0),MATCH(H$9,MMWR_RATING_RO_ROLLUP[#Headers],0)),"ERROR"))</f>
        <v>145.90417310660001</v>
      </c>
      <c r="I29" s="155">
        <f>IF($B29=" ","",IFERROR(INDEX(MMWR_RATING_RO_ROLLUP[],MATCH($B29,MMWR_RATING_RO_ROLLUP[MMWR_RATING_RO_ROLLUP],0),MATCH(I$9,MMWR_RATING_RO_ROLLUP[#Headers],0)),"ERROR"))</f>
        <v>137.27265053459999</v>
      </c>
      <c r="J29" s="157">
        <f>IF($B29=" ","",IFERROR(VLOOKUP($B29,MMWR_ACCURACY_RO[],MATCH(J$9,MMWR_ACCURACY_RO[#Headers],0),0),"ERROR"))</f>
        <v>0.98553645310298277</v>
      </c>
      <c r="K29" s="157">
        <f>IF($B29=" ","",IFERROR(VLOOKUP($B29,MMWR_ACCURACY_RO[],MATCH(K$9,MMWR_ACCURACY_RO[#Headers],0),0),"ERROR"))</f>
        <v>0.9533347630280935</v>
      </c>
      <c r="L29" s="157">
        <f>IF($B29=" ","",IFERROR(VLOOKUP($B29,MMWR_ACCURACY_RO[],MATCH(L$9,MMWR_ACCURACY_RO[#Headers],0),0),"ERROR"))</f>
        <v>0.87306950737491573</v>
      </c>
      <c r="M29" s="157">
        <f>IF($B29=" ","",IFERROR(VLOOKUP($B29,MMWR_ACCURACY_RO[],MATCH(M$9,MMWR_ACCURACY_RO[#Headers],0),0),"ERROR"))</f>
        <v>5.9091365831284007E-2</v>
      </c>
      <c r="N29" s="157">
        <f>IF($B29=" ","",IFERROR(VLOOKUP($B29,MMWR_ACCURACY_RO[],MATCH(N$9,MMWR_ACCURACY_RO[#Headers],0),0),"ERROR"))</f>
        <v>0.95094492314857926</v>
      </c>
      <c r="O29" s="157">
        <f>IF($B29=" ","",IFERROR(VLOOKUP($B29,MMWR_ACCURACY_RO[],MATCH(O$9,MMWR_ACCURACY_RO[#Headers],0),0),"ERROR"))</f>
        <v>3.9694218061758518E-2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713</v>
      </c>
      <c r="D30" s="155">
        <f>IF($B30=" ","",IFERROR(INDEX(MMWR_RATING_RO_ROLLUP[],MATCH($B30,MMWR_RATING_RO_ROLLUP[MMWR_RATING_RO_ROLLUP],0),MATCH(D$9,MMWR_RATING_RO_ROLLUP[#Headers],0)),"ERROR"))</f>
        <v>98.381486675999994</v>
      </c>
      <c r="E30" s="156">
        <f>IF($B30=" ","",IFERROR(INDEX(MMWR_RATING_RO_ROLLUP[],MATCH($B30,MMWR_RATING_RO_ROLLUP[MMWR_RATING_RO_ROLLUP],0),MATCH(E$9,MMWR_RATING_RO_ROLLUP[#Headers],0))/$C30,"ERROR"))</f>
        <v>0.27068723702664799</v>
      </c>
      <c r="F30" s="154">
        <f>IF($B30=" ","",IFERROR(INDEX(MMWR_RATING_RO_ROLLUP[],MATCH($B30,MMWR_RATING_RO_ROLLUP[MMWR_RATING_RO_ROLLUP],0),MATCH(F$9,MMWR_RATING_RO_ROLLUP[#Headers],0)),"ERROR"))</f>
        <v>171</v>
      </c>
      <c r="G30" s="154">
        <f>IF($B30=" ","",IFERROR(INDEX(MMWR_RATING_RO_ROLLUP[],MATCH($B30,MMWR_RATING_RO_ROLLUP[MMWR_RATING_RO_ROLLUP],0),MATCH(G$9,MMWR_RATING_RO_ROLLUP[#Headers],0)),"ERROR"))</f>
        <v>810</v>
      </c>
      <c r="H30" s="155">
        <f>IF($B30=" ","",IFERROR(INDEX(MMWR_RATING_RO_ROLLUP[],MATCH($B30,MMWR_RATING_RO_ROLLUP[MMWR_RATING_RO_ROLLUP],0),MATCH(H$9,MMWR_RATING_RO_ROLLUP[#Headers],0)),"ERROR"))</f>
        <v>139.79532163740001</v>
      </c>
      <c r="I30" s="155">
        <f>IF($B30=" ","",IFERROR(INDEX(MMWR_RATING_RO_ROLLUP[],MATCH($B30,MMWR_RATING_RO_ROLLUP[MMWR_RATING_RO_ROLLUP],0),MATCH(I$9,MMWR_RATING_RO_ROLLUP[#Headers],0)),"ERROR"))</f>
        <v>162.34444444440001</v>
      </c>
      <c r="J30" s="157">
        <f>IF($B30=" ","",IFERROR(VLOOKUP($B30,MMWR_ACCURACY_RO[],MATCH(J$9,MMWR_ACCURACY_RO[#Headers],0),0),"ERROR"))</f>
        <v>0.90064306247072845</v>
      </c>
      <c r="K30" s="157">
        <f>IF($B30=" ","",IFERROR(VLOOKUP($B30,MMWR_ACCURACY_RO[],MATCH(K$9,MMWR_ACCURACY_RO[#Headers],0),0),"ERROR"))</f>
        <v>0.77753343310964129</v>
      </c>
      <c r="L30" s="157">
        <f>IF($B30=" ","",IFERROR(VLOOKUP($B30,MMWR_ACCURACY_RO[],MATCH(L$9,MMWR_ACCURACY_RO[#Headers],0),0),"ERROR"))</f>
        <v>0.82786762886633225</v>
      </c>
      <c r="M30" s="157">
        <f>IF($B30=" ","",IFERROR(VLOOKUP($B30,MMWR_ACCURACY_RO[],MATCH(M$9,MMWR_ACCURACY_RO[#Headers],0),0),"ERROR"))</f>
        <v>5.3760968353088433E-2</v>
      </c>
      <c r="N30" s="157">
        <f>IF($B30=" ","",IFERROR(VLOOKUP($B30,MMWR_ACCURACY_RO[],MATCH(N$9,MMWR_ACCURACY_RO[#Headers],0),0),"ERROR"))</f>
        <v>0.89402069989789279</v>
      </c>
      <c r="O30" s="157">
        <f>IF($B30=" ","",IFERROR(VLOOKUP($B30,MMWR_ACCURACY_RO[],MATCH(O$9,MMWR_ACCURACY_RO[#Headers],0),0),"ERROR"))</f>
        <v>3.9991870818219727E-2</v>
      </c>
      <c r="P30" s="28"/>
    </row>
    <row r="31" spans="1:16" x14ac:dyDescent="0.2">
      <c r="A31" s="25"/>
      <c r="B31" s="8" t="str">
        <f>VLOOKUP($B$16,DISTRICT_RO[],16,0)</f>
        <v>Wilmington VSC</v>
      </c>
      <c r="C31" s="154">
        <f>IF($B31=" ","",IFERROR(INDEX(MMWR_RATING_RO_ROLLUP[],MATCH($B31,MMWR_RATING_RO_ROLLUP[MMWR_RATING_RO_ROLLUP],0),MATCH(C$9,MMWR_RATING_RO_ROLLUP[#Headers],0)),"ERROR"))</f>
        <v>604</v>
      </c>
      <c r="D31" s="155">
        <f>IF($B31=" ","",IFERROR(INDEX(MMWR_RATING_RO_ROLLUP[],MATCH($B31,MMWR_RATING_RO_ROLLUP[MMWR_RATING_RO_ROLLUP],0),MATCH(D$9,MMWR_RATING_RO_ROLLUP[#Headers],0)),"ERROR"))</f>
        <v>79.221854304600001</v>
      </c>
      <c r="E31" s="156">
        <f>IF($B31=" ","",IFERROR(INDEX(MMWR_RATING_RO_ROLLUP[],MATCH($B31,MMWR_RATING_RO_ROLLUP[MMWR_RATING_RO_ROLLUP],0),MATCH(E$9,MMWR_RATING_RO_ROLLUP[#Headers],0))/$C31,"ERROR"))</f>
        <v>0.17715231788079469</v>
      </c>
      <c r="F31" s="154">
        <f>IF($B31=" ","",IFERROR(INDEX(MMWR_RATING_RO_ROLLUP[],MATCH($B31,MMWR_RATING_RO_ROLLUP[MMWR_RATING_RO_ROLLUP],0),MATCH(F$9,MMWR_RATING_RO_ROLLUP[#Headers],0)),"ERROR"))</f>
        <v>151</v>
      </c>
      <c r="G31" s="154">
        <f>IF($B31=" ","",IFERROR(INDEX(MMWR_RATING_RO_ROLLUP[],MATCH($B31,MMWR_RATING_RO_ROLLUP[MMWR_RATING_RO_ROLLUP],0),MATCH(G$9,MMWR_RATING_RO_ROLLUP[#Headers],0)),"ERROR"))</f>
        <v>535</v>
      </c>
      <c r="H31" s="155">
        <f>IF($B31=" ","",IFERROR(INDEX(MMWR_RATING_RO_ROLLUP[],MATCH($B31,MMWR_RATING_RO_ROLLUP[MMWR_RATING_RO_ROLLUP],0),MATCH(H$9,MMWR_RATING_RO_ROLLUP[#Headers],0)),"ERROR"))</f>
        <v>125.70198675499999</v>
      </c>
      <c r="I31" s="155">
        <f>IF($B31=" ","",IFERROR(INDEX(MMWR_RATING_RO_ROLLUP[],MATCH($B31,MMWR_RATING_RO_ROLLUP[MMWR_RATING_RO_ROLLUP],0),MATCH(I$9,MMWR_RATING_RO_ROLLUP[#Headers],0)),"ERROR"))</f>
        <v>121.96261682239999</v>
      </c>
      <c r="J31" s="157">
        <f>IF($B31=" ","",IFERROR(VLOOKUP($B31,MMWR_ACCURACY_RO[],MATCH(J$9,MMWR_ACCURACY_RO[#Headers],0),0),"ERROR"))</f>
        <v>0.92589855291765899</v>
      </c>
      <c r="K31" s="157">
        <f>IF($B31=" ","",IFERROR(VLOOKUP($B31,MMWR_ACCURACY_RO[],MATCH(K$9,MMWR_ACCURACY_RO[#Headers],0),0),"ERROR"))</f>
        <v>0.81636345852895142</v>
      </c>
      <c r="L31" s="157">
        <f>IF($B31=" ","",IFERROR(VLOOKUP($B31,MMWR_ACCURACY_RO[],MATCH(L$9,MMWR_ACCURACY_RO[#Headers],0),0),"ERROR"))</f>
        <v>0.87410464368295715</v>
      </c>
      <c r="M31" s="157">
        <f>IF($B31=" ","",IFERROR(VLOOKUP($B31,MMWR_ACCURACY_RO[],MATCH(M$9,MMWR_ACCURACY_RO[#Headers],0),0),"ERROR"))</f>
        <v>4.7224326417964806E-2</v>
      </c>
      <c r="N31" s="157">
        <f>IF($B31=" ","",IFERROR(VLOOKUP($B31,MMWR_ACCURACY_RO[],MATCH(N$9,MMWR_ACCURACY_RO[#Headers],0),0),"ERROR"))</f>
        <v>0.89126167613821938</v>
      </c>
      <c r="O31" s="157">
        <f>IF($B31=" ","",IFERROR(VLOOKUP($B31,MMWR_ACCURACY_RO[],MATCH(O$9,MMWR_ACCURACY_RO[#Headers],0),0),"ERROR"))</f>
        <v>5.0360055410220851E-2</v>
      </c>
      <c r="P31" s="28"/>
    </row>
    <row r="32" spans="1:16" x14ac:dyDescent="0.2">
      <c r="A32" s="25"/>
      <c r="B32" s="8" t="str">
        <f>VLOOKUP($B$16,DISTRICT_RO[],17,0)</f>
        <v>Winston-Salem VSC</v>
      </c>
      <c r="C32" s="154">
        <f>IF($B32=" ","",IFERROR(INDEX(MMWR_RATING_RO_ROLLUP[],MATCH($B32,MMWR_RATING_RO_ROLLUP[MMWR_RATING_RO_ROLLUP],0),MATCH(C$9,MMWR_RATING_RO_ROLLUP[#Headers],0)),"ERROR"))</f>
        <v>13625</v>
      </c>
      <c r="D32" s="155">
        <f>IF($B32=" ","",IFERROR(INDEX(MMWR_RATING_RO_ROLLUP[],MATCH($B32,MMWR_RATING_RO_ROLLUP[MMWR_RATING_RO_ROLLUP],0),MATCH(D$9,MMWR_RATING_RO_ROLLUP[#Headers],0)),"ERROR"))</f>
        <v>77.067816513799997</v>
      </c>
      <c r="E32" s="156">
        <f>IF($B32=" ","",IFERROR(INDEX(MMWR_RATING_RO_ROLLUP[],MATCH($B32,MMWR_RATING_RO_ROLLUP[MMWR_RATING_RO_ROLLUP],0),MATCH(E$9,MMWR_RATING_RO_ROLLUP[#Headers],0))/$C32,"ERROR"))</f>
        <v>0.15581651376146788</v>
      </c>
      <c r="F32" s="154">
        <f>IF($B32=" ","",IFERROR(INDEX(MMWR_RATING_RO_ROLLUP[],MATCH($B32,MMWR_RATING_RO_ROLLUP[MMWR_RATING_RO_ROLLUP],0),MATCH(F$9,MMWR_RATING_RO_ROLLUP[#Headers],0)),"ERROR"))</f>
        <v>2417</v>
      </c>
      <c r="G32" s="154">
        <f>IF($B32=" ","",IFERROR(INDEX(MMWR_RATING_RO_ROLLUP[],MATCH($B32,MMWR_RATING_RO_ROLLUP[MMWR_RATING_RO_ROLLUP],0),MATCH(G$9,MMWR_RATING_RO_ROLLUP[#Headers],0)),"ERROR"))</f>
        <v>13367</v>
      </c>
      <c r="H32" s="155">
        <f>IF($B32=" ","",IFERROR(INDEX(MMWR_RATING_RO_ROLLUP[],MATCH($B32,MMWR_RATING_RO_ROLLUP[MMWR_RATING_RO_ROLLUP],0),MATCH(H$9,MMWR_RATING_RO_ROLLUP[#Headers],0)),"ERROR"))</f>
        <v>135.6570128258</v>
      </c>
      <c r="I32" s="155">
        <f>IF($B32=" ","",IFERROR(INDEX(MMWR_RATING_RO_ROLLUP[],MATCH($B32,MMWR_RATING_RO_ROLLUP[MMWR_RATING_RO_ROLLUP],0),MATCH(I$9,MMWR_RATING_RO_ROLLUP[#Headers],0)),"ERROR"))</f>
        <v>139.51155831529999</v>
      </c>
      <c r="J32" s="157">
        <f>IF($B32=" ","",IFERROR(VLOOKUP($B32,MMWR_ACCURACY_RO[],MATCH(J$9,MMWR_ACCURACY_RO[#Headers],0),0),"ERROR"))</f>
        <v>0.96731833501782438</v>
      </c>
      <c r="K32" s="157">
        <f>IF($B32=" ","",IFERROR(VLOOKUP($B32,MMWR_ACCURACY_RO[],MATCH(K$9,MMWR_ACCURACY_RO[#Headers],0),0),"ERROR"))</f>
        <v>0.84046100756427677</v>
      </c>
      <c r="L32" s="157">
        <f>IF($B32=" ","",IFERROR(VLOOKUP($B32,MMWR_ACCURACY_RO[],MATCH(L$9,MMWR_ACCURACY_RO[#Headers],0),0),"ERROR"))</f>
        <v>0.83662619612724343</v>
      </c>
      <c r="M32" s="157">
        <f>IF($B32=" ","",IFERROR(VLOOKUP($B32,MMWR_ACCURACY_RO[],MATCH(M$9,MMWR_ACCURACY_RO[#Headers],0),0),"ERROR"))</f>
        <v>5.3468016413209654E-2</v>
      </c>
      <c r="N32" s="157">
        <f>IF($B32=" ","",IFERROR(VLOOKUP($B32,MMWR_ACCURACY_RO[],MATCH(N$9,MMWR_ACCURACY_RO[#Headers],0),0),"ERROR"))</f>
        <v>0.93547537910290268</v>
      </c>
      <c r="O32" s="157">
        <f>IF($B32=" ","",IFERROR(VLOOKUP($B32,MMWR_ACCURACY_RO[],MATCH(O$9,MMWR_ACCURACY_RO[#Headers],0),0),"ERROR"))</f>
        <v>3.9996947951909403E-2</v>
      </c>
      <c r="P32" s="28"/>
    </row>
    <row r="33" spans="1:16" x14ac:dyDescent="0.2">
      <c r="A33" s="25"/>
      <c r="B33" s="377" t="s">
        <v>734</v>
      </c>
      <c r="C33" s="378"/>
      <c r="D33" s="378"/>
      <c r="E33" s="378"/>
      <c r="F33" s="378"/>
      <c r="G33" s="378"/>
      <c r="H33" s="378"/>
      <c r="I33" s="378"/>
      <c r="J33" s="378"/>
      <c r="K33" s="378"/>
      <c r="L33" s="378"/>
      <c r="M33" s="378"/>
      <c r="N33" s="378"/>
      <c r="O33" s="378"/>
      <c r="P33" s="28"/>
    </row>
    <row r="34" spans="1:16" x14ac:dyDescent="0.2">
      <c r="A34" s="25"/>
      <c r="B34" s="11" t="s">
        <v>697</v>
      </c>
      <c r="C34" s="154">
        <f>IF($B34=" ","",IFERROR(INDEX(MMWR_RATING_RO_ROLLUP[],MATCH($B34,MMWR_RATING_RO_ROLLUP[MMWR_RATING_RO_ROLLUP],0),MATCH(C$9,MMWR_RATING_RO_ROLLUP[#Headers],0)),"ERROR"))</f>
        <v>26038</v>
      </c>
      <c r="D34" s="155">
        <f>IF($B34=" ","",IFERROR(INDEX(MMWR_RATING_RO_ROLLUP[],MATCH($B34,MMWR_RATING_RO_ROLLUP[MMWR_RATING_RO_ROLLUP],0),MATCH(D$9,MMWR_RATING_RO_ROLLUP[#Headers],0)),"ERROR"))</f>
        <v>69.893693832099999</v>
      </c>
      <c r="E34" s="156">
        <f>IF($B34=" ","",IFERROR(INDEX(MMWR_RATING_RO_ROLLUP[],MATCH($B34,MMWR_RATING_RO_ROLLUP[MMWR_RATING_RO_ROLLUP],0),MATCH(E$9,MMWR_RATING_RO_ROLLUP[#Headers],0))/$C34,"ERROR"))</f>
        <v>0.12443352023964974</v>
      </c>
      <c r="F34" s="154">
        <f>IF($B34=" ","",IFERROR(INDEX(MMWR_RATING_RO_ROLLUP[],MATCH($B34,MMWR_RATING_RO_ROLLUP[MMWR_RATING_RO_ROLLUP],0),MATCH(F$9,MMWR_RATING_RO_ROLLUP[#Headers],0)),"ERROR"))</f>
        <v>11333</v>
      </c>
      <c r="G34" s="154">
        <f>IF($B34=" ","",IFERROR(INDEX(MMWR_RATING_RO_ROLLUP[],MATCH($B34,MMWR_RATING_RO_ROLLUP[MMWR_RATING_RO_ROLLUP],0),MATCH(G$9,MMWR_RATING_RO_ROLLUP[#Headers],0)),"ERROR"))</f>
        <v>59121</v>
      </c>
      <c r="H34" s="155">
        <f>IF($B34=" ","",IFERROR(INDEX(MMWR_RATING_RO_ROLLUP[],MATCH($B34,MMWR_RATING_RO_ROLLUP[MMWR_RATING_RO_ROLLUP],0),MATCH(H$9,MMWR_RATING_RO_ROLLUP[#Headers],0)),"ERROR"))</f>
        <v>83.644224830100001</v>
      </c>
      <c r="I34" s="155">
        <f>IF($B34=" ","",IFERROR(INDEX(MMWR_RATING_RO_ROLLUP[],MATCH($B34,MMWR_RATING_RO_ROLLUP[MMWR_RATING_RO_ROLLUP],0),MATCH(I$9,MMWR_RATING_RO_ROLLUP[#Headers],0)),"ERROR"))</f>
        <v>75.5123729301</v>
      </c>
      <c r="J34" s="42"/>
      <c r="K34" s="262">
        <f>IF($B34=" ","",IFERROR(VLOOKUP($B34,MMWR_ACCURACY_RO[],MATCH(K$50,MMWR_ACCURACY_RO[#Headers],0),0),"ERROR"))</f>
        <v>0.9711446755960863</v>
      </c>
      <c r="L34" s="262">
        <f>IF($B34=" ","",IFERROR(VLOOKUP($B34,MMWR_ACCURACY_RO[],MATCH(L$50,MMWR_ACCURACY_RO[#Headers],0),0),"ERROR"))</f>
        <v>0.96570592799830079</v>
      </c>
      <c r="M34" s="262">
        <f>IF($B34=" ","",IFERROR(VLOOKUP($B34,MMWR_ACCURACY_RO[],MATCH(M$50,MMWR_ACCURACY_RO[#Headers],0),0),"ERROR"))</f>
        <v>1.7053791268045515E-2</v>
      </c>
      <c r="N34" s="262">
        <f>IF($B34=" ","",IFERROR(VLOOKUP($B34,MMWR_ACCURACY_RO[],MATCH(N$50,MMWR_ACCURACY_RO[#Headers],0),0),"ERROR"))</f>
        <v>0.96388619008919263</v>
      </c>
      <c r="O34" s="262">
        <f>IF($B34=" ","",IFERROR(VLOOKUP($B34,MMWR_ACCURACY_RO[],MATCH(O$50,MMWR_ACCURACY_RO[#Headers],0),0),"ERROR"))</f>
        <v>1.9360568793987624E-2</v>
      </c>
      <c r="P34" s="28"/>
    </row>
    <row r="35" spans="1:16" x14ac:dyDescent="0.2">
      <c r="A35" s="25"/>
      <c r="B35" s="12" t="s">
        <v>210</v>
      </c>
      <c r="C35" s="154">
        <f>IF($B35=" ","",IFERROR(INDEX(MMWR_RATING_RO_ROLLUP[],MATCH($B35,MMWR_RATING_RO_ROLLUP[MMWR_RATING_RO_ROLLUP],0),MATCH(C$9,MMWR_RATING_RO_ROLLUP[#Headers],0)),"ERROR"))</f>
        <v>12319</v>
      </c>
      <c r="D35" s="155">
        <f>IF($B35=" ","",IFERROR(INDEX(MMWR_RATING_RO_ROLLUP[],MATCH($B35,MMWR_RATING_RO_ROLLUP[MMWR_RATING_RO_ROLLUP],0),MATCH(D$9,MMWR_RATING_RO_ROLLUP[#Headers],0)),"ERROR"))</f>
        <v>69.624644857500002</v>
      </c>
      <c r="E35" s="156">
        <f>IF($B35=" ","",IFERROR(INDEX(MMWR_RATING_RO_ROLLUP[],MATCH($B35,MMWR_RATING_RO_ROLLUP[MMWR_RATING_RO_ROLLUP],0),MATCH(E$9,MMWR_RATING_RO_ROLLUP[#Headers],0))/$C35,"ERROR"))</f>
        <v>0.12346781394593717</v>
      </c>
      <c r="F35" s="154">
        <f>IF($B35=" ","",IFERROR(INDEX(MMWR_RATING_RO_ROLLUP[],MATCH($B35,MMWR_RATING_RO_ROLLUP[MMWR_RATING_RO_ROLLUP],0),MATCH(F$9,MMWR_RATING_RO_ROLLUP[#Headers],0)),"ERROR"))</f>
        <v>3872</v>
      </c>
      <c r="G35" s="154">
        <f>IF($B35=" ","",IFERROR(INDEX(MMWR_RATING_RO_ROLLUP[],MATCH($B35,MMWR_RATING_RO_ROLLUP[MMWR_RATING_RO_ROLLUP],0),MATCH(G$9,MMWR_RATING_RO_ROLLUP[#Headers],0)),"ERROR"))</f>
        <v>18983</v>
      </c>
      <c r="H35" s="155">
        <f>IF($B35=" ","",IFERROR(INDEX(MMWR_RATING_RO_ROLLUP[],MATCH($B35,MMWR_RATING_RO_ROLLUP[MMWR_RATING_RO_ROLLUP],0),MATCH(H$9,MMWR_RATING_RO_ROLLUP[#Headers],0)),"ERROR"))</f>
        <v>106.3571797521</v>
      </c>
      <c r="I35" s="155">
        <f>IF($B35=" ","",IFERROR(INDEX(MMWR_RATING_RO_ROLLUP[],MATCH($B35,MMWR_RATING_RO_ROLLUP[MMWR_RATING_RO_ROLLUP],0),MATCH(I$9,MMWR_RATING_RO_ROLLUP[#Headers],0)),"ERROR"))</f>
        <v>91.843491545099994</v>
      </c>
      <c r="J35" s="42"/>
      <c r="K35" s="251">
        <f>IF($B35=" ","",IFERROR(VLOOKUP($B35,MMWR_ACCURACY_RO[],MATCH(K$50,MMWR_ACCURACY_RO[#Headers],0),0),"ERROR"))</f>
        <v>0.91136788048552764</v>
      </c>
      <c r="L35" s="251">
        <f>IF($B35=" ","",IFERROR(VLOOKUP($B35,MMWR_ACCURACY_RO[],MATCH(L$50,MMWR_ACCURACY_RO[#Headers],0),0),"ERROR"))</f>
        <v>0.93459371679464298</v>
      </c>
      <c r="M35" s="251">
        <f>IF($B35=" ","",IFERROR(VLOOKUP($B35,MMWR_ACCURACY_RO[],MATCH(M$50,MMWR_ACCURACY_RO[#Headers],0),0),"ERROR"))</f>
        <v>4.2261878047708451E-2</v>
      </c>
      <c r="N35" s="251">
        <f>IF($B35=" ","",IFERROR(VLOOKUP($B35,MMWR_ACCURACY_RO[],MATCH(N$50,MMWR_ACCURACY_RO[#Headers],0),0),"ERROR"))</f>
        <v>0.92155775825621267</v>
      </c>
      <c r="O35" s="251">
        <f>IF($B35=" ","",IFERROR(VLOOKUP($B35,MMWR_ACCURACY_RO[],MATCH(O$50,MMWR_ACCURACY_RO[#Headers],0),0),"ERROR"))</f>
        <v>5.0714243158281887E-2</v>
      </c>
      <c r="P35" s="28"/>
    </row>
    <row r="36" spans="1:16" x14ac:dyDescent="0.2">
      <c r="A36" s="43"/>
      <c r="B36" s="12" t="s">
        <v>209</v>
      </c>
      <c r="C36" s="154">
        <f>IF($B36=" ","",IFERROR(INDEX(MMWR_RATING_RO_ROLLUP[],MATCH($B36,MMWR_RATING_RO_ROLLUP[MMWR_RATING_RO_ROLLUP],0),MATCH(C$9,MMWR_RATING_RO_ROLLUP[#Headers],0)),"ERROR"))</f>
        <v>6114</v>
      </c>
      <c r="D36" s="155">
        <f>IF($B36=" ","",IFERROR(INDEX(MMWR_RATING_RO_ROLLUP[],MATCH($B36,MMWR_RATING_RO_ROLLUP[MMWR_RATING_RO_ROLLUP],0),MATCH(D$9,MMWR_RATING_RO_ROLLUP[#Headers],0)),"ERROR"))</f>
        <v>67.767746156399994</v>
      </c>
      <c r="E36" s="156">
        <f>IF($B36=" ","",IFERROR(INDEX(MMWR_RATING_RO_ROLLUP[],MATCH($B36,MMWR_RATING_RO_ROLLUP[MMWR_RATING_RO_ROLLUP],0),MATCH(E$9,MMWR_RATING_RO_ROLLUP[#Headers],0))/$C36,"ERROR"))</f>
        <v>0.13330062152437031</v>
      </c>
      <c r="F36" s="154">
        <f>IF($B36=" ","",IFERROR(INDEX(MMWR_RATING_RO_ROLLUP[],MATCH($B36,MMWR_RATING_RO_ROLLUP[MMWR_RATING_RO_ROLLUP],0),MATCH(F$9,MMWR_RATING_RO_ROLLUP[#Headers],0)),"ERROR"))</f>
        <v>3253</v>
      </c>
      <c r="G36" s="154">
        <f>IF($B36=" ","",IFERROR(INDEX(MMWR_RATING_RO_ROLLUP[],MATCH($B36,MMWR_RATING_RO_ROLLUP[MMWR_RATING_RO_ROLLUP],0),MATCH(G$9,MMWR_RATING_RO_ROLLUP[#Headers],0)),"ERROR"))</f>
        <v>16935</v>
      </c>
      <c r="H36" s="155">
        <f>IF($B36=" ","",IFERROR(INDEX(MMWR_RATING_RO_ROLLUP[],MATCH($B36,MMWR_RATING_RO_ROLLUP[MMWR_RATING_RO_ROLLUP],0),MATCH(H$9,MMWR_RATING_RO_ROLLUP[#Headers],0)),"ERROR"))</f>
        <v>73.725176759899995</v>
      </c>
      <c r="I36" s="155">
        <f>IF($B36=" ","",IFERROR(INDEX(MMWR_RATING_RO_ROLLUP[],MATCH($B36,MMWR_RATING_RO_ROLLUP[MMWR_RATING_RO_ROLLUP],0),MATCH(I$9,MMWR_RATING_RO_ROLLUP[#Headers],0)),"ERROR"))</f>
        <v>71.149867139099996</v>
      </c>
      <c r="J36" s="42"/>
      <c r="K36" s="251">
        <f>IF($B36=" ","",IFERROR(VLOOKUP($B36,MMWR_ACCURACY_RO[],MATCH(K$50,MMWR_ACCURACY_RO[#Headers],0),0),"ERROR"))</f>
        <v>1</v>
      </c>
      <c r="L36" s="251">
        <f>IF($B36=" ","",IFERROR(VLOOKUP($B36,MMWR_ACCURACY_RO[],MATCH(L$50,MMWR_ACCURACY_RO[#Headers],0),0),"ERROR"))</f>
        <v>0.95704848542894139</v>
      </c>
      <c r="M36" s="251">
        <f>IF($B36=" ","",IFERROR(VLOOKUP($B36,MMWR_ACCURACY_RO[],MATCH(M$50,MMWR_ACCURACY_RO[#Headers],0),0),"ERROR"))</f>
        <v>3.3782744105177114E-2</v>
      </c>
      <c r="N36" s="251">
        <f>IF($B36=" ","",IFERROR(VLOOKUP($B36,MMWR_ACCURACY_RO[],MATCH(N$50,MMWR_ACCURACY_RO[#Headers],0),0),"ERROR"))</f>
        <v>0.98013116774505915</v>
      </c>
      <c r="O36" s="251">
        <f>IF($B36=" ","",IFERROR(VLOOKUP($B36,MMWR_ACCURACY_RO[],MATCH(O$50,MMWR_ACCURACY_RO[#Headers],0),0),"ERROR"))</f>
        <v>2.0651495188656527E-2</v>
      </c>
      <c r="P36" s="28"/>
    </row>
    <row r="37" spans="1:16" x14ac:dyDescent="0.2">
      <c r="A37" s="25"/>
      <c r="B37" s="12" t="s">
        <v>212</v>
      </c>
      <c r="C37" s="154">
        <f>IF($B37=" ","",IFERROR(INDEX(MMWR_RATING_RO_ROLLUP[],MATCH($B37,MMWR_RATING_RO_ROLLUP[MMWR_RATING_RO_ROLLUP],0),MATCH(C$9,MMWR_RATING_RO_ROLLUP[#Headers],0)),"ERROR"))</f>
        <v>6972</v>
      </c>
      <c r="D37" s="155">
        <f>IF($B37=" ","",IFERROR(INDEX(MMWR_RATING_RO_ROLLUP[],MATCH($B37,MMWR_RATING_RO_ROLLUP[MMWR_RATING_RO_ROLLUP],0),MATCH(D$9,MMWR_RATING_RO_ROLLUP[#Headers],0)),"ERROR"))</f>
        <v>60.774526678100003</v>
      </c>
      <c r="E37" s="156">
        <f>IF($B37=" ","",IFERROR(INDEX(MMWR_RATING_RO_ROLLUP[],MATCH($B37,MMWR_RATING_RO_ROLLUP[MMWR_RATING_RO_ROLLUP],0),MATCH(E$9,MMWR_RATING_RO_ROLLUP[#Headers],0))/$C37,"ERROR"))</f>
        <v>7.8169822145725765E-2</v>
      </c>
      <c r="F37" s="154">
        <f>IF($B37=" ","",IFERROR(INDEX(MMWR_RATING_RO_ROLLUP[],MATCH($B37,MMWR_RATING_RO_ROLLUP[MMWR_RATING_RO_ROLLUP],0),MATCH(F$9,MMWR_RATING_RO_ROLLUP[#Headers],0)),"ERROR"))</f>
        <v>3880</v>
      </c>
      <c r="G37" s="154">
        <f>IF($B37=" ","",IFERROR(INDEX(MMWR_RATING_RO_ROLLUP[],MATCH($B37,MMWR_RATING_RO_ROLLUP[MMWR_RATING_RO_ROLLUP],0),MATCH(G$9,MMWR_RATING_RO_ROLLUP[#Headers],0)),"ERROR"))</f>
        <v>21413</v>
      </c>
      <c r="H37" s="155">
        <f>IF($B37=" ","",IFERROR(INDEX(MMWR_RATING_RO_ROLLUP[],MATCH($B37,MMWR_RATING_RO_ROLLUP[MMWR_RATING_RO_ROLLUP],0),MATCH(H$9,MMWR_RATING_RO_ROLLUP[#Headers],0)),"ERROR"))</f>
        <v>72.920618556700006</v>
      </c>
      <c r="I37" s="155">
        <f>IF($B37=" ","",IFERROR(INDEX(MMWR_RATING_RO_ROLLUP[],MATCH($B37,MMWR_RATING_RO_ROLLUP[MMWR_RATING_RO_ROLLUP],0),MATCH(I$9,MMWR_RATING_RO_ROLLUP[#Headers],0)),"ERROR"))</f>
        <v>67.271984308599997</v>
      </c>
      <c r="J37" s="42"/>
      <c r="K37" s="251">
        <f>IF($B37=" ","",IFERROR(VLOOKUP($B37,MMWR_ACCURACY_RO[],MATCH(K$50,MMWR_ACCURACY_RO[#Headers],0),0),"ERROR"))</f>
        <v>1</v>
      </c>
      <c r="L37" s="251">
        <f>IF($B37=" ","",IFERROR(VLOOKUP($B37,MMWR_ACCURACY_RO[],MATCH(L$50,MMWR_ACCURACY_RO[#Headers],0),0),"ERROR"))</f>
        <v>1</v>
      </c>
      <c r="M37" s="251">
        <f>IF($B37=" ","",IFERROR(VLOOKUP($B37,MMWR_ACCURACY_RO[],MATCH(M$50,MMWR_ACCURACY_RO[#Headers],0),0),"ERROR"))</f>
        <v>0</v>
      </c>
      <c r="N37" s="251">
        <f>IF($B37=" ","",IFERROR(VLOOKUP($B37,MMWR_ACCURACY_RO[],MATCH(N$50,MMWR_ACCURACY_RO[#Headers],0),0),"ERROR"))</f>
        <v>0.99067946088732484</v>
      </c>
      <c r="O37" s="251">
        <f>IF($B37=" ","",IFERROR(VLOOKUP($B37,MMWR_ACCURACY_RO[],MATCH(O$50,MMWR_ACCURACY_RO[#Headers],0),0),"ERROR"))</f>
        <v>1.389452691707369E-2</v>
      </c>
      <c r="P37" s="28"/>
    </row>
    <row r="38" spans="1:16" x14ac:dyDescent="0.2">
      <c r="A38" s="25"/>
      <c r="B38" s="13" t="s">
        <v>224</v>
      </c>
      <c r="C38" s="154">
        <f>IF($B38=" ","",IFERROR(INDEX(MMWR_RATING_RO_ROLLUP[],MATCH($B38,MMWR_RATING_RO_ROLLUP[MMWR_RATING_RO_ROLLUP],0),MATCH(C$9,MMWR_RATING_RO_ROLLUP[#Headers],0)),"ERROR"))</f>
        <v>633</v>
      </c>
      <c r="D38" s="155">
        <f>IF($B38=" ","",IFERROR(INDEX(MMWR_RATING_RO_ROLLUP[],MATCH($B38,MMWR_RATING_RO_ROLLUP[MMWR_RATING_RO_ROLLUP],0),MATCH(D$9,MMWR_RATING_RO_ROLLUP[#Headers],0)),"ERROR"))</f>
        <v>196.1042654028</v>
      </c>
      <c r="E38" s="156">
        <f>IF($B38=" ","",IFERROR(INDEX(MMWR_RATING_RO_ROLLUP[],MATCH($B38,MMWR_RATING_RO_ROLLUP[MMWR_RATING_RO_ROLLUP],0),MATCH(E$9,MMWR_RATING_RO_ROLLUP[#Headers],0))/$C38,"ERROR"))</f>
        <v>0.56714060031595581</v>
      </c>
      <c r="F38" s="154">
        <f>IF($B38=" ","",IFERROR(INDEX(MMWR_RATING_RO_ROLLUP[],MATCH($B38,MMWR_RATING_RO_ROLLUP[MMWR_RATING_RO_ROLLUP],0),MATCH(F$9,MMWR_RATING_RO_ROLLUP[#Headers],0)),"ERROR"))</f>
        <v>328</v>
      </c>
      <c r="G38" s="154">
        <f>IF($B38=" ","",IFERROR(INDEX(MMWR_RATING_RO_ROLLUP[],MATCH($B38,MMWR_RATING_RO_ROLLUP[MMWR_RATING_RO_ROLLUP],0),MATCH(G$9,MMWR_RATING_RO_ROLLUP[#Headers],0)),"ERROR"))</f>
        <v>1790</v>
      </c>
      <c r="H38" s="155">
        <f>IF($B38=" ","",IFERROR(INDEX(MMWR_RATING_RO_ROLLUP[],MATCH($B38,MMWR_RATING_RO_ROLLUP[MMWR_RATING_RO_ROLLUP],0),MATCH(H$9,MMWR_RATING_RO_ROLLUP[#Headers],0)),"ERROR"))</f>
        <v>40.746951219499998</v>
      </c>
      <c r="I38" s="155">
        <f>IF($B38=" ","",IFERROR(INDEX(MMWR_RATING_RO_ROLLUP[],MATCH($B38,MMWR_RATING_RO_ROLLUP[MMWR_RATING_RO_ROLLUP],0),MATCH(I$9,MMWR_RATING_RO_ROLLUP[#Headers],0)),"ERROR"))</f>
        <v>42.169832402200001</v>
      </c>
      <c r="J38" s="42"/>
      <c r="K38" s="42"/>
      <c r="L38" s="42"/>
      <c r="M38" s="42"/>
      <c r="N38" s="42"/>
      <c r="O38" s="42"/>
      <c r="P38" s="28"/>
    </row>
    <row r="39" spans="1:16" x14ac:dyDescent="0.2">
      <c r="A39" s="25"/>
      <c r="B39" s="377" t="s">
        <v>917</v>
      </c>
      <c r="C39" s="378"/>
      <c r="D39" s="378"/>
      <c r="E39" s="378"/>
      <c r="F39" s="378"/>
      <c r="G39" s="378"/>
      <c r="H39" s="378"/>
      <c r="I39" s="378"/>
      <c r="J39" s="378"/>
      <c r="K39" s="378"/>
      <c r="L39" s="378"/>
      <c r="M39" s="378"/>
      <c r="N39" s="378"/>
      <c r="O39" s="378"/>
      <c r="P39" s="28"/>
    </row>
    <row r="40" spans="1:16" x14ac:dyDescent="0.2">
      <c r="A40" s="25"/>
      <c r="B40" s="44" t="s">
        <v>698</v>
      </c>
      <c r="C40" s="154">
        <f>IF($B40=" ","",IFERROR(INDEX(MMWR_RATING_RO_ROLLUP[],MATCH($B40,MMWR_RATING_RO_ROLLUP[MMWR_RATING_RO_ROLLUP],0),MATCH(C$9,MMWR_RATING_RO_ROLLUP[#Headers],0)),"ERROR"))</f>
        <v>10002</v>
      </c>
      <c r="D40" s="155">
        <f>IF($B40=" ","",IFERROR(INDEX(MMWR_RATING_RO_ROLLUP[],MATCH($B40,MMWR_RATING_RO_ROLLUP[MMWR_RATING_RO_ROLLUP],0),MATCH(D$9,MMWR_RATING_RO_ROLLUP[#Headers],0)),"ERROR"))</f>
        <v>93.487202559500005</v>
      </c>
      <c r="E40" s="156">
        <f>IF($B40=" ","",IFERROR(INDEX(MMWR_RATING_RO_ROLLUP[],MATCH($B40,MMWR_RATING_RO_ROLLUP[MMWR_RATING_RO_ROLLUP],0),MATCH(E$9,MMWR_RATING_RO_ROLLUP[#Headers],0))/$C40,"ERROR"))</f>
        <v>0.28084383123375323</v>
      </c>
      <c r="F40" s="154">
        <f>IF($B40=" ","",IFERROR(INDEX(MMWR_RATING_RO_ROLLUP[],MATCH($B40,MMWR_RATING_RO_ROLLUP[MMWR_RATING_RO_ROLLUP],0),MATCH(F$9,MMWR_RATING_RO_ROLLUP[#Headers],0)),"ERROR"))</f>
        <v>2065</v>
      </c>
      <c r="G40" s="154">
        <f>IF($B40=" ","",IFERROR(INDEX(MMWR_RATING_RO_ROLLUP[],MATCH($B40,MMWR_RATING_RO_ROLLUP[MMWR_RATING_RO_ROLLUP],0),MATCH(G$9,MMWR_RATING_RO_ROLLUP[#Headers],0)),"ERROR"))</f>
        <v>8519</v>
      </c>
      <c r="H40" s="155">
        <f>IF($B40=" ","",IFERROR(INDEX(MMWR_RATING_RO_ROLLUP[],MATCH($B40,MMWR_RATING_RO_ROLLUP[MMWR_RATING_RO_ROLLUP],0),MATCH(H$9,MMWR_RATING_RO_ROLLUP[#Headers],0)),"ERROR"))</f>
        <v>153.45569007259999</v>
      </c>
      <c r="I40" s="155">
        <f>IF($B40=" ","",IFERROR(INDEX(MMWR_RATING_RO_ROLLUP[],MATCH($B40,MMWR_RATING_RO_ROLLUP[MMWR_RATING_RO_ROLLUP],0),MATCH(I$9,MMWR_RATING_RO_ROLLUP[#Headers],0)),"ERROR"))</f>
        <v>147.20671440309999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3831</v>
      </c>
      <c r="D41" s="155">
        <f>IF($B41=" ","",IFERROR(INDEX(MMWR_RATING_RO_ROLLUP[],MATCH($B41,MMWR_RATING_RO_ROLLUP[MMWR_RATING_RO_ROLLUP],0),MATCH(D$9,MMWR_RATING_RO_ROLLUP[#Headers],0)),"ERROR"))</f>
        <v>78.991908117999998</v>
      </c>
      <c r="E41" s="156">
        <f>IF($B41=" ","",IFERROR(INDEX(MMWR_RATING_RO_ROLLUP[],MATCH($B41,MMWR_RATING_RO_ROLLUP[MMWR_RATING_RO_ROLLUP],0),MATCH(E$9,MMWR_RATING_RO_ROLLUP[#Headers],0))/$C41,"ERROR"))</f>
        <v>0.18219785956669277</v>
      </c>
      <c r="F41" s="154">
        <f>IF($B41=" ","",IFERROR(INDEX(MMWR_RATING_RO_ROLLUP[],MATCH($B41,MMWR_RATING_RO_ROLLUP[MMWR_RATING_RO_ROLLUP],0),MATCH(F$9,MMWR_RATING_RO_ROLLUP[#Headers],0)),"ERROR"))</f>
        <v>808</v>
      </c>
      <c r="G41" s="154">
        <f>IF($B41=" ","",IFERROR(INDEX(MMWR_RATING_RO_ROLLUP[],MATCH($B41,MMWR_RATING_RO_ROLLUP[MMWR_RATING_RO_ROLLUP],0),MATCH(G$9,MMWR_RATING_RO_ROLLUP[#Headers],0)),"ERROR"))</f>
        <v>4003</v>
      </c>
      <c r="H41" s="155">
        <f>IF($B41=" ","",IFERROR(INDEX(MMWR_RATING_RO_ROLLUP[],MATCH($B41,MMWR_RATING_RO_ROLLUP[MMWR_RATING_RO_ROLLUP],0),MATCH(H$9,MMWR_RATING_RO_ROLLUP[#Headers],0)),"ERROR"))</f>
        <v>148.61509900990001</v>
      </c>
      <c r="I41" s="155">
        <f>IF($B41=" ","",IFERROR(INDEX(MMWR_RATING_RO_ROLLUP[],MATCH($B41,MMWR_RATING_RO_ROLLUP[MMWR_RATING_RO_ROLLUP],0),MATCH(I$9,MMWR_RATING_RO_ROLLUP[#Headers],0)),"ERROR"))</f>
        <v>134.751936048</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4690</v>
      </c>
      <c r="D42" s="155">
        <f>IF($B42=" ","",IFERROR(INDEX(MMWR_RATING_RO_ROLLUP[],MATCH($B42,MMWR_RATING_RO_ROLLUP[MMWR_RATING_RO_ROLLUP],0),MATCH(D$9,MMWR_RATING_RO_ROLLUP[#Headers],0)),"ERROR"))</f>
        <v>99.537953091700004</v>
      </c>
      <c r="E42" s="156">
        <f>IF($B42=" ","",IFERROR(INDEX(MMWR_RATING_RO_ROLLUP[],MATCH($B42,MMWR_RATING_RO_ROLLUP[MMWR_RATING_RO_ROLLUP],0),MATCH(E$9,MMWR_RATING_RO_ROLLUP[#Headers],0))/$C42,"ERROR"))</f>
        <v>0.31130063965884863</v>
      </c>
      <c r="F42" s="154">
        <f>IF($B42=" ","",IFERROR(INDEX(MMWR_RATING_RO_ROLLUP[],MATCH($B42,MMWR_RATING_RO_ROLLUP[MMWR_RATING_RO_ROLLUP],0),MATCH(F$9,MMWR_RATING_RO_ROLLUP[#Headers],0)),"ERROR"))</f>
        <v>851</v>
      </c>
      <c r="G42" s="154">
        <f>IF($B42=" ","",IFERROR(INDEX(MMWR_RATING_RO_ROLLUP[],MATCH($B42,MMWR_RATING_RO_ROLLUP[MMWR_RATING_RO_ROLLUP],0),MATCH(G$9,MMWR_RATING_RO_ROLLUP[#Headers],0)),"ERROR"))</f>
        <v>3961</v>
      </c>
      <c r="H42" s="155">
        <f>IF($B42=" ","",IFERROR(INDEX(MMWR_RATING_RO_ROLLUP[],MATCH($B42,MMWR_RATING_RO_ROLLUP[MMWR_RATING_RO_ROLLUP],0),MATCH(H$9,MMWR_RATING_RO_ROLLUP[#Headers],0)),"ERROR"))</f>
        <v>168.47356051700001</v>
      </c>
      <c r="I42" s="155">
        <f>IF($B42=" ","",IFERROR(INDEX(MMWR_RATING_RO_ROLLUP[],MATCH($B42,MMWR_RATING_RO_ROLLUP[MMWR_RATING_RO_ROLLUP],0),MATCH(I$9,MMWR_RATING_RO_ROLLUP[#Headers],0)),"ERROR"))</f>
        <v>161.7869224943</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1481</v>
      </c>
      <c r="D43" s="155">
        <f>IF($B43=" ","",IFERROR(INDEX(MMWR_RATING_RO_ROLLUP[],MATCH($B43,MMWR_RATING_RO_ROLLUP[MMWR_RATING_RO_ROLLUP],0),MATCH(D$9,MMWR_RATING_RO_ROLLUP[#Headers],0)),"ERROR"))</f>
        <v>111.8217420662</v>
      </c>
      <c r="E43" s="156">
        <f>IF($B43=" ","",IFERROR(INDEX(MMWR_RATING_RO_ROLLUP[],MATCH($B43,MMWR_RATING_RO_ROLLUP[MMWR_RATING_RO_ROLLUP],0),MATCH(E$9,MMWR_RATING_RO_ROLLUP[#Headers],0))/$C43,"ERROR"))</f>
        <v>0.43956785955435518</v>
      </c>
      <c r="F43" s="154">
        <f>IF($B43=" ","",IFERROR(INDEX(MMWR_RATING_RO_ROLLUP[],MATCH($B43,MMWR_RATING_RO_ROLLUP[MMWR_RATING_RO_ROLLUP],0),MATCH(F$9,MMWR_RATING_RO_ROLLUP[#Headers],0)),"ERROR"))</f>
        <v>406</v>
      </c>
      <c r="G43" s="154">
        <f>IF($B43=" ","",IFERROR(INDEX(MMWR_RATING_RO_ROLLUP[],MATCH($B43,MMWR_RATING_RO_ROLLUP[MMWR_RATING_RO_ROLLUP],0),MATCH(G$9,MMWR_RATING_RO_ROLLUP[#Headers],0)),"ERROR"))</f>
        <v>555</v>
      </c>
      <c r="H43" s="155">
        <f>IF($B43=" ","",IFERROR(INDEX(MMWR_RATING_RO_ROLLUP[],MATCH($B43,MMWR_RATING_RO_ROLLUP[MMWR_RATING_RO_ROLLUP],0),MATCH(H$9,MMWR_RATING_RO_ROLLUP[#Headers],0)),"ERROR"))</f>
        <v>131.61083743840001</v>
      </c>
      <c r="I43" s="155">
        <f>IF($B43=" ","",IFERROR(INDEX(MMWR_RATING_RO_ROLLUP[],MATCH($B43,MMWR_RATING_RO_ROLLUP[MMWR_RATING_RO_ROLLUP],0),MATCH(I$9,MMWR_RATING_RO_ROLLUP[#Headers],0)),"ERROR"))</f>
        <v>132.98018018019999</v>
      </c>
      <c r="J43" s="42"/>
      <c r="K43" s="42"/>
      <c r="L43" s="42"/>
      <c r="M43" s="42"/>
      <c r="N43" s="42"/>
      <c r="O43" s="42"/>
      <c r="P43" s="28"/>
    </row>
    <row r="44" spans="1:16" x14ac:dyDescent="0.2">
      <c r="A44" s="25"/>
      <c r="B44" s="377" t="s">
        <v>735</v>
      </c>
      <c r="C44" s="378"/>
      <c r="D44" s="378"/>
      <c r="E44" s="378"/>
      <c r="F44" s="378"/>
      <c r="G44" s="378"/>
      <c r="H44" s="378"/>
      <c r="I44" s="378"/>
      <c r="J44" s="378"/>
      <c r="K44" s="378"/>
      <c r="L44" s="378"/>
      <c r="M44" s="378"/>
      <c r="N44" s="378"/>
      <c r="O44" s="378"/>
      <c r="P44" s="28"/>
    </row>
    <row r="45" spans="1:16" x14ac:dyDescent="0.2">
      <c r="A45" s="25"/>
      <c r="B45" s="44" t="s">
        <v>696</v>
      </c>
      <c r="C45" s="154">
        <f>IF($B45=" ","",IFERROR(INDEX(MMWR_RATING_RO_ROLLUP[],MATCH($B45,MMWR_RATING_RO_ROLLUP[MMWR_RATING_RO_ROLLUP],0),MATCH(C$9,MMWR_RATING_RO_ROLLUP[#Headers],0)),"ERROR"))</f>
        <v>10105</v>
      </c>
      <c r="D45" s="155">
        <f>IF($B45=" ","",IFERROR(INDEX(MMWR_RATING_RO_ROLLUP[],MATCH($B45,MMWR_RATING_RO_ROLLUP[MMWR_RATING_RO_ROLLUP],0),MATCH(D$9,MMWR_RATING_RO_ROLLUP[#Headers],0)),"ERROR"))</f>
        <v>89.376744185999996</v>
      </c>
      <c r="E45" s="156">
        <f>IF($B45=" ","",IFERROR(INDEX(MMWR_RATING_RO_ROLLUP[],MATCH($B45,MMWR_RATING_RO_ROLLUP[MMWR_RATING_RO_ROLLUP],0),MATCH(E$9,MMWR_RATING_RO_ROLLUP[#Headers],0))/$C45,"ERROR"))</f>
        <v>0.23107372587827807</v>
      </c>
      <c r="F45" s="154">
        <f>IF($B45=" ","",IFERROR(INDEX(MMWR_RATING_RO_ROLLUP[],MATCH($B45,MMWR_RATING_RO_ROLLUP[MMWR_RATING_RO_ROLLUP],0),MATCH(F$9,MMWR_RATING_RO_ROLLUP[#Headers],0)),"ERROR"))</f>
        <v>2444</v>
      </c>
      <c r="G45" s="154">
        <f>IF($B45=" ","",IFERROR(INDEX(MMWR_RATING_RO_ROLLUP[],MATCH($B45,MMWR_RATING_RO_ROLLUP[MMWR_RATING_RO_ROLLUP],0),MATCH(G$9,MMWR_RATING_RO_ROLLUP[#Headers],0)),"ERROR"))</f>
        <v>10537</v>
      </c>
      <c r="H45" s="155">
        <f>IF($B45=" ","",IFERROR(INDEX(MMWR_RATING_RO_ROLLUP[],MATCH($B45,MMWR_RATING_RO_ROLLUP[MMWR_RATING_RO_ROLLUP],0),MATCH(H$9,MMWR_RATING_RO_ROLLUP[#Headers],0)),"ERROR"))</f>
        <v>146.5388707038</v>
      </c>
      <c r="I45" s="155">
        <f>IF($B45=" ","",IFERROR(INDEX(MMWR_RATING_RO_ROLLUP[],MATCH($B45,MMWR_RATING_RO_ROLLUP[MMWR_RATING_RO_ROLLUP],0),MATCH(I$9,MMWR_RATING_RO_ROLLUP[#Headers],0)),"ERROR"))</f>
        <v>139.6254152036</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3278</v>
      </c>
      <c r="D46" s="155">
        <f>IF($B46=" ","",IFERROR(INDEX(MMWR_RATING_RO_ROLLUP[],MATCH($B46,MMWR_RATING_RO_ROLLUP[MMWR_RATING_RO_ROLLUP],0),MATCH(D$9,MMWR_RATING_RO_ROLLUP[#Headers],0)),"ERROR"))</f>
        <v>71.356924954199997</v>
      </c>
      <c r="E46" s="156">
        <f>IF($B46=" ","",IFERROR(INDEX(MMWR_RATING_RO_ROLLUP[],MATCH($B46,MMWR_RATING_RO_ROLLUP[MMWR_RATING_RO_ROLLUP],0),MATCH(E$9,MMWR_RATING_RO_ROLLUP[#Headers],0))/$C46,"ERROR"))</f>
        <v>0.14124466137888958</v>
      </c>
      <c r="F46" s="154">
        <f>IF($B46=" ","",IFERROR(INDEX(MMWR_RATING_RO_ROLLUP[],MATCH($B46,MMWR_RATING_RO_ROLLUP[MMWR_RATING_RO_ROLLUP],0),MATCH(F$9,MMWR_RATING_RO_ROLLUP[#Headers],0)),"ERROR"))</f>
        <v>807</v>
      </c>
      <c r="G46" s="154">
        <f>IF($B46=" ","",IFERROR(INDEX(MMWR_RATING_RO_ROLLUP[],MATCH($B46,MMWR_RATING_RO_ROLLUP[MMWR_RATING_RO_ROLLUP],0),MATCH(G$9,MMWR_RATING_RO_ROLLUP[#Headers],0)),"ERROR"))</f>
        <v>4326</v>
      </c>
      <c r="H46" s="155">
        <f>IF($B46=" ","",IFERROR(INDEX(MMWR_RATING_RO_ROLLUP[],MATCH($B46,MMWR_RATING_RO_ROLLUP[MMWR_RATING_RO_ROLLUP],0),MATCH(H$9,MMWR_RATING_RO_ROLLUP[#Headers],0)),"ERROR"))</f>
        <v>138.62701363069999</v>
      </c>
      <c r="I46" s="155">
        <f>IF($B46=" ","",IFERROR(INDEX(MMWR_RATING_RO_ROLLUP[],MATCH($B46,MMWR_RATING_RO_ROLLUP[MMWR_RATING_RO_ROLLUP],0),MATCH(I$9,MMWR_RATING_RO_ROLLUP[#Headers],0)),"ERROR"))</f>
        <v>128.21613499770001</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4811</v>
      </c>
      <c r="D47" s="155">
        <f>IF($B47=" ","",IFERROR(INDEX(MMWR_RATING_RO_ROLLUP[],MATCH($B47,MMWR_RATING_RO_ROLLUP[MMWR_RATING_RO_ROLLUP],0),MATCH(D$9,MMWR_RATING_RO_ROLLUP[#Headers],0)),"ERROR"))</f>
        <v>85.333402618999997</v>
      </c>
      <c r="E47" s="156">
        <f>IF($B47=" ","",IFERROR(INDEX(MMWR_RATING_RO_ROLLUP[],MATCH($B47,MMWR_RATING_RO_ROLLUP[MMWR_RATING_RO_ROLLUP],0),MATCH(E$9,MMWR_RATING_RO_ROLLUP[#Headers],0))/$C47,"ERROR"))</f>
        <v>0.19081272084805653</v>
      </c>
      <c r="F47" s="154">
        <f>IF($B47=" ","",IFERROR(INDEX(MMWR_RATING_RO_ROLLUP[],MATCH($B47,MMWR_RATING_RO_ROLLUP[MMWR_RATING_RO_ROLLUP],0),MATCH(F$9,MMWR_RATING_RO_ROLLUP[#Headers],0)),"ERROR"))</f>
        <v>1028</v>
      </c>
      <c r="G47" s="154">
        <f>IF($B47=" ","",IFERROR(INDEX(MMWR_RATING_RO_ROLLUP[],MATCH($B47,MMWR_RATING_RO_ROLLUP[MMWR_RATING_RO_ROLLUP],0),MATCH(G$9,MMWR_RATING_RO_ROLLUP[#Headers],0)),"ERROR"))</f>
        <v>4549</v>
      </c>
      <c r="H47" s="155">
        <f>IF($B47=" ","",IFERROR(INDEX(MMWR_RATING_RO_ROLLUP[],MATCH($B47,MMWR_RATING_RO_ROLLUP[MMWR_RATING_RO_ROLLUP],0),MATCH(H$9,MMWR_RATING_RO_ROLLUP[#Headers],0)),"ERROR"))</f>
        <v>156.62256809339999</v>
      </c>
      <c r="I47" s="155">
        <f>IF($B47=" ","",IFERROR(INDEX(MMWR_RATING_RO_ROLLUP[],MATCH($B47,MMWR_RATING_RO_ROLLUP[MMWR_RATING_RO_ROLLUP],0),MATCH(I$9,MMWR_RATING_RO_ROLLUP[#Headers],0)),"ERROR"))</f>
        <v>152.53000659489999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2016</v>
      </c>
      <c r="D48" s="155">
        <f>IF($B48=" ","",IFERROR(INDEX(MMWR_RATING_RO_ROLLUP[],MATCH($B48,MMWR_RATING_RO_ROLLUP[MMWR_RATING_RO_ROLLUP],0),MATCH(D$9,MMWR_RATING_RO_ROLLUP[#Headers],0)),"ERROR"))</f>
        <v>128.3258928571</v>
      </c>
      <c r="E48" s="156">
        <f>IF($B48=" ","",IFERROR(INDEX(MMWR_RATING_RO_ROLLUP[],MATCH($B48,MMWR_RATING_RO_ROLLUP[MMWR_RATING_RO_ROLLUP],0),MATCH(E$9,MMWR_RATING_RO_ROLLUP[#Headers],0))/$C48,"ERROR"))</f>
        <v>0.4732142857142857</v>
      </c>
      <c r="F48" s="154">
        <f>IF($B48=" ","",IFERROR(INDEX(MMWR_RATING_RO_ROLLUP[],MATCH($B48,MMWR_RATING_RO_ROLLUP[MMWR_RATING_RO_ROLLUP],0),MATCH(F$9,MMWR_RATING_RO_ROLLUP[#Headers],0)),"ERROR"))</f>
        <v>609</v>
      </c>
      <c r="G48" s="154">
        <f>IF($B48=" ","",IFERROR(INDEX(MMWR_RATING_RO_ROLLUP[],MATCH($B48,MMWR_RATING_RO_ROLLUP[MMWR_RATING_RO_ROLLUP],0),MATCH(G$9,MMWR_RATING_RO_ROLLUP[#Headers],0)),"ERROR"))</f>
        <v>1662</v>
      </c>
      <c r="H48" s="155">
        <f>IF($B48=" ","",IFERROR(INDEX(MMWR_RATING_RO_ROLLUP[],MATCH($B48,MMWR_RATING_RO_ROLLUP[MMWR_RATING_RO_ROLLUP],0),MATCH(H$9,MMWR_RATING_RO_ROLLUP[#Headers],0)),"ERROR"))</f>
        <v>140.00164203610001</v>
      </c>
      <c r="I48" s="155">
        <f>IF($B48=" ","",IFERROR(INDEX(MMWR_RATING_RO_ROLLUP[],MATCH($B48,MMWR_RATING_RO_ROLLUP[MMWR_RATING_RO_ROLLUP],0),MATCH(I$9,MMWR_RATING_RO_ROLLUP[#Headers],0)),"ERROR"))</f>
        <v>134.00180505419999</v>
      </c>
      <c r="J48" s="42"/>
      <c r="K48" s="42"/>
      <c r="L48" s="42"/>
      <c r="M48" s="42"/>
      <c r="N48" s="42"/>
      <c r="O48" s="42"/>
      <c r="P48" s="28"/>
    </row>
    <row r="49" spans="1:16" ht="15.75" x14ac:dyDescent="0.25">
      <c r="A49" s="25"/>
      <c r="B49" s="376" t="s">
        <v>1051</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February 27, 2016</v>
      </c>
      <c r="K3" s="353"/>
      <c r="L3" s="353"/>
      <c r="M3" s="354"/>
      <c r="N3" s="28"/>
    </row>
    <row r="4" spans="1:16" ht="51" customHeight="1" thickBot="1" x14ac:dyDescent="0.35">
      <c r="A4" s="30"/>
      <c r="B4" s="246" t="s">
        <v>456</v>
      </c>
      <c r="C4" s="355" t="s">
        <v>971</v>
      </c>
      <c r="D4" s="356"/>
      <c r="E4" s="356"/>
      <c r="F4" s="356"/>
      <c r="G4" s="356"/>
      <c r="H4" s="356"/>
      <c r="I4" s="356"/>
      <c r="J4" s="356"/>
      <c r="K4" s="356"/>
      <c r="L4" s="356"/>
      <c r="M4" s="357"/>
      <c r="N4" s="28"/>
      <c r="O4" s="22"/>
      <c r="P4" s="23"/>
    </row>
    <row r="5" spans="1:16" ht="27" customHeight="1" thickBot="1" x14ac:dyDescent="0.25">
      <c r="A5" s="30"/>
      <c r="B5" s="48"/>
      <c r="C5" s="358" t="s">
        <v>1042</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6" x14ac:dyDescent="0.2">
      <c r="A12" s="25"/>
      <c r="B12" s="41" t="s">
        <v>730</v>
      </c>
      <c r="C12" s="154">
        <f>IF($B12=" ","",IFERROR(INDEX(MMWR_RATING_RO_ROLLUP[],MATCH($B12,MMWR_RATING_RO_ROLLUP[MMWR_RATING_RO_ROLLUP],0),MATCH(C$9,MMWR_RATING_RO_ROLLUP[#Headers],0)),"ERROR"))</f>
        <v>348466</v>
      </c>
      <c r="D12" s="155">
        <f>IF($B12=" ","",IFERROR(INDEX(MMWR_RATING_RO_ROLLUP[],MATCH($B12,MMWR_RATING_RO_ROLLUP[MMWR_RATING_RO_ROLLUP],0),MATCH(D$9,MMWR_RATING_RO_ROLLUP[#Headers],0)),"ERROR"))</f>
        <v>92.364339705999996</v>
      </c>
      <c r="E12" s="156">
        <f>IF($B12=" ","",IFERROR(INDEX(MMWR_RATING_RO_ROLLUP[],MATCH($B12,MMWR_RATING_RO_ROLLUP[MMWR_RATING_RO_ROLLUP],0),MATCH(E$9,MMWR_RATING_RO_ROLLUP[#Headers],0))/$C12,"ERROR"))</f>
        <v>0.23374159889343579</v>
      </c>
      <c r="F12" s="154">
        <f>IF($B12=" ","",IFERROR(INDEX(MMWR_RATING_RO_ROLLUP[],MATCH($B12,MMWR_RATING_RO_ROLLUP[MMWR_RATING_RO_ROLLUP],0),MATCH(F$9,MMWR_RATING_RO_ROLLUP[#Headers],0)),"ERROR"))</f>
        <v>96750</v>
      </c>
      <c r="G12" s="154">
        <f>IF($B12=" ","",IFERROR(INDEX(MMWR_RATING_RO_ROLLUP[],MATCH($B12,MMWR_RATING_RO_ROLLUP[MMWR_RATING_RO_ROLLUP],0),MATCH(G$9,MMWR_RATING_RO_ROLLUP[#Headers],0)),"ERROR"))</f>
        <v>506253</v>
      </c>
      <c r="H12" s="155">
        <f>IF($B12=" ","",IFERROR(INDEX(MMWR_RATING_RO_ROLLUP[],MATCH($B12,MMWR_RATING_RO_ROLLUP[MMWR_RATING_RO_ROLLUP],0),MATCH(H$9,MMWR_RATING_RO_ROLLUP[#Headers],0)),"ERROR"))</f>
        <v>125.5763100775</v>
      </c>
      <c r="I12" s="155">
        <f>IF($B12=" ","",IFERROR(INDEX(MMWR_RATING_RO_ROLLUP[],MATCH($B12,MMWR_RATING_RO_ROLLUP[MMWR_RATING_RO_ROLLUP],0),MATCH(I$9,MMWR_RATING_RO_ROLLUP[#Headers],0)),"ERROR"))</f>
        <v>127.677991044</v>
      </c>
      <c r="J12" s="42"/>
      <c r="K12" s="42"/>
      <c r="L12" s="42"/>
      <c r="M12" s="42"/>
      <c r="N12" s="28"/>
    </row>
    <row r="13" spans="1:16" x14ac:dyDescent="0.2">
      <c r="A13" s="25"/>
      <c r="B13" s="377" t="s">
        <v>733</v>
      </c>
      <c r="C13" s="378"/>
      <c r="D13" s="378"/>
      <c r="E13" s="378"/>
      <c r="F13" s="378"/>
      <c r="G13" s="378"/>
      <c r="H13" s="378"/>
      <c r="I13" s="378"/>
      <c r="J13" s="378"/>
      <c r="K13" s="378"/>
      <c r="L13" s="378"/>
      <c r="M13" s="387"/>
      <c r="N13" s="28"/>
    </row>
    <row r="14" spans="1:16" x14ac:dyDescent="0.2">
      <c r="A14" s="25"/>
      <c r="B14" s="41" t="s">
        <v>729</v>
      </c>
      <c r="C14" s="154">
        <f>IF($B14=" ","",IFERROR(INDEX(MMWR_RATING_RO_ROLLUP[],MATCH($B14,MMWR_RATING_RO_ROLLUP[MMWR_RATING_RO_ROLLUP],0),MATCH(C$9,MMWR_RATING_RO_ROLLUP[#Headers],0)),"ERROR"))</f>
        <v>302320</v>
      </c>
      <c r="D14" s="155">
        <f>IF($B14=" ","",IFERROR(INDEX(MMWR_RATING_RO_ROLLUP[],MATCH($B14,MMWR_RATING_RO_ROLLUP[MMWR_RATING_RO_ROLLUP],0),MATCH(D$9,MMWR_RATING_RO_ROLLUP[#Headers],0)),"ERROR"))</f>
        <v>94.361451442200007</v>
      </c>
      <c r="E14" s="156">
        <f>IF($B14=" ","",IFERROR(INDEX(MMWR_RATING_RO_ROLLUP[],MATCH($B14,MMWR_RATING_RO_ROLLUP[MMWR_RATING_RO_ROLLUP],0),MATCH(E$9,MMWR_RATING_RO_ROLLUP[#Headers],0))/$C14,"ERROR"))</f>
        <v>0.24168430801799418</v>
      </c>
      <c r="F14" s="154">
        <f>IF($B14=" ","",IFERROR(INDEX(MMWR_RATING_RO_ROLLUP[],MATCH($B14,MMWR_RATING_RO_ROLLUP[MMWR_RATING_RO_ROLLUP],0),MATCH(F$9,MMWR_RATING_RO_ROLLUP[#Headers],0)),"ERROR"))</f>
        <v>80908</v>
      </c>
      <c r="G14" s="154">
        <f>IF($B14=" ","",IFERROR(INDEX(MMWR_RATING_RO_ROLLUP[],MATCH($B14,MMWR_RATING_RO_ROLLUP[MMWR_RATING_RO_ROLLUP],0),MATCH(G$9,MMWR_RATING_RO_ROLLUP[#Headers],0)),"ERROR"))</f>
        <v>428076</v>
      </c>
      <c r="H14" s="155">
        <f>IF($B14=" ","",IFERROR(INDEX(MMWR_RATING_RO_ROLLUP[],MATCH($B14,MMWR_RATING_RO_ROLLUP[MMWR_RATING_RO_ROLLUP],0),MATCH(H$9,MMWR_RATING_RO_ROLLUP[#Headers],0)),"ERROR"))</f>
        <v>130.10506995599999</v>
      </c>
      <c r="I14" s="155">
        <f>IF($B14=" ","",IFERROR(INDEX(MMWR_RATING_RO_ROLLUP[],MATCH($B14,MMWR_RATING_RO_ROLLUP[MMWR_RATING_RO_ROLLUP],0),MATCH(I$9,MMWR_RATING_RO_ROLLUP[#Headers],0)),"ERROR"))</f>
        <v>134.19979629790001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68388</v>
      </c>
      <c r="D15" s="155">
        <f>IF($B15=" ","",IFERROR(INDEX(MMWR_RATING_RO_ROLLUP[],MATCH($B15,MMWR_RATING_RO_ROLLUP[MMWR_RATING_RO_ROLLUP],0),MATCH(D$9,MMWR_RATING_RO_ROLLUP[#Headers],0)),"ERROR"))</f>
        <v>97.371132362400004</v>
      </c>
      <c r="E15" s="156">
        <f>IF($B15=" ","",IFERROR(INDEX(MMWR_RATING_RO_ROLLUP[],MATCH($B15,MMWR_RATING_RO_ROLLUP[MMWR_RATING_RO_ROLLUP],0),MATCH(E$9,MMWR_RATING_RO_ROLLUP[#Headers],0))/$C15,"ERROR"))</f>
        <v>0.2570333976721062</v>
      </c>
      <c r="F15" s="154">
        <f>IF($B15=" ","",IFERROR(INDEX(MMWR_RATING_RO_ROLLUP[],MATCH($B15,MMWR_RATING_RO_ROLLUP[MMWR_RATING_RO_ROLLUP],0),MATCH(F$9,MMWR_RATING_RO_ROLLUP[#Headers],0)),"ERROR"))</f>
        <v>17524</v>
      </c>
      <c r="G15" s="154">
        <f>IF($B15=" ","",IFERROR(INDEX(MMWR_RATING_RO_ROLLUP[],MATCH($B15,MMWR_RATING_RO_ROLLUP[MMWR_RATING_RO_ROLLUP],0),MATCH(G$9,MMWR_RATING_RO_ROLLUP[#Headers],0)),"ERROR"))</f>
        <v>93390</v>
      </c>
      <c r="H15" s="155">
        <f>IF($B15=" ","",IFERROR(INDEX(MMWR_RATING_RO_ROLLUP[],MATCH($B15,MMWR_RATING_RO_ROLLUP[MMWR_RATING_RO_ROLLUP],0),MATCH(H$9,MMWR_RATING_RO_ROLLUP[#Headers],0)),"ERROR"))</f>
        <v>132.35830860530001</v>
      </c>
      <c r="I15" s="155">
        <f>IF($B15=" ","",IFERROR(INDEX(MMWR_RATING_RO_ROLLUP[],MATCH($B15,MMWR_RATING_RO_ROLLUP[MMWR_RATING_RO_ROLLUP],0),MATCH(I$9,MMWR_RATING_RO_ROLLUP[#Headers],0)),"ERROR"))</f>
        <v>135.4536138773</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4537</v>
      </c>
      <c r="D16" s="155">
        <f>IF($B16=" ","",IFERROR(INDEX(MMWR_RATING_RO_ROLLUP[],MATCH($B16,MMWR_RATING_RO_ROLLUP[MMWR_RATING_RO_ROLLUP],0),MATCH(D$9,MMWR_RATING_RO_ROLLUP[#Headers],0)),"ERROR"))</f>
        <v>102.34097421200001</v>
      </c>
      <c r="E16" s="156">
        <f>IF($B16=" ","",IFERROR(INDEX(MMWR_RATING_RO_ROLLUP[],MATCH($B16,MMWR_RATING_RO_ROLLUP[MMWR_RATING_RO_ROLLUP],0),MATCH(E$9,MMWR_RATING_RO_ROLLUP[#Headers],0))/$C16,"ERROR"))</f>
        <v>0.25126735728454924</v>
      </c>
      <c r="F16" s="154">
        <f>IF($B16=" ","",IFERROR(INDEX(MMWR_RATING_RO_ROLLUP[],MATCH($B16,MMWR_RATING_RO_ROLLUP[MMWR_RATING_RO_ROLLUP],0),MATCH(F$9,MMWR_RATING_RO_ROLLUP[#Headers],0)),"ERROR"))</f>
        <v>999</v>
      </c>
      <c r="G16" s="154">
        <f>IF($B16=" ","",IFERROR(INDEX(MMWR_RATING_RO_ROLLUP[],MATCH($B16,MMWR_RATING_RO_ROLLUP[MMWR_RATING_RO_ROLLUP],0),MATCH(G$9,MMWR_RATING_RO_ROLLUP[#Headers],0)),"ERROR"))</f>
        <v>5896</v>
      </c>
      <c r="H16" s="155">
        <f>IF($B16=" ","",IFERROR(INDEX(MMWR_RATING_RO_ROLLUP[],MATCH($B16,MMWR_RATING_RO_ROLLUP[MMWR_RATING_RO_ROLLUP],0),MATCH(H$9,MMWR_RATING_RO_ROLLUP[#Headers],0)),"ERROR"))</f>
        <v>147.9259259259</v>
      </c>
      <c r="I16" s="155">
        <f>IF($B16=" ","",IFERROR(INDEX(MMWR_RATING_RO_ROLLUP[],MATCH($B16,MMWR_RATING_RO_ROLLUP[MMWR_RATING_RO_ROLLUP],0),MATCH(I$9,MMWR_RATING_RO_ROLLUP[#Headers],0)),"ERROR"))</f>
        <v>146.1066824966</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3681</v>
      </c>
      <c r="D17" s="155">
        <f>IF($B17=" ","",IFERROR(INDEX(MMWR_RATING_RO_ROLLUP[],MATCH($B17,MMWR_RATING_RO_ROLLUP[MMWR_RATING_RO_ROLLUP],0),MATCH(D$9,MMWR_RATING_RO_ROLLUP[#Headers],0)),"ERROR"))</f>
        <v>95.2610703613</v>
      </c>
      <c r="E17" s="156">
        <f>IF($B17=" ","",IFERROR(INDEX(MMWR_RATING_RO_ROLLUP[],MATCH($B17,MMWR_RATING_RO_ROLLUP[MMWR_RATING_RO_ROLLUP],0),MATCH(E$9,MMWR_RATING_RO_ROLLUP[#Headers],0))/$C17,"ERROR"))</f>
        <v>0.25237707144797611</v>
      </c>
      <c r="F17" s="154">
        <f>IF($B17=" ","",IFERROR(INDEX(MMWR_RATING_RO_ROLLUP[],MATCH($B17,MMWR_RATING_RO_ROLLUP[MMWR_RATING_RO_ROLLUP],0),MATCH(F$9,MMWR_RATING_RO_ROLLUP[#Headers],0)),"ERROR"))</f>
        <v>713</v>
      </c>
      <c r="G17" s="154">
        <f>IF($B17=" ","",IFERROR(INDEX(MMWR_RATING_RO_ROLLUP[],MATCH($B17,MMWR_RATING_RO_ROLLUP[MMWR_RATING_RO_ROLLUP],0),MATCH(G$9,MMWR_RATING_RO_ROLLUP[#Headers],0)),"ERROR"))</f>
        <v>4309</v>
      </c>
      <c r="H17" s="155">
        <f>IF($B17=" ","",IFERROR(INDEX(MMWR_RATING_RO_ROLLUP[],MATCH($B17,MMWR_RATING_RO_ROLLUP[MMWR_RATING_RO_ROLLUP],0),MATCH(H$9,MMWR_RATING_RO_ROLLUP[#Headers],0)),"ERROR"))</f>
        <v>154.0827489481</v>
      </c>
      <c r="I17" s="155">
        <f>IF($B17=" ","",IFERROR(INDEX(MMWR_RATING_RO_ROLLUP[],MATCH($B17,MMWR_RATING_RO_ROLLUP[MMWR_RATING_RO_ROLLUP],0),MATCH(I$9,MMWR_RATING_RO_ROLLUP[#Headers],0)),"ERROR"))</f>
        <v>134.9475516361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3768</v>
      </c>
      <c r="D18" s="155">
        <f>IF($B18=" ","",IFERROR(INDEX(MMWR_RATING_RO_ROLLUP[],MATCH($B18,MMWR_RATING_RO_ROLLUP[MMWR_RATING_RO_ROLLUP],0),MATCH(D$9,MMWR_RATING_RO_ROLLUP[#Headers],0)),"ERROR"))</f>
        <v>87.464968152899999</v>
      </c>
      <c r="E18" s="156">
        <f>IF($B18=" ","",IFERROR(INDEX(MMWR_RATING_RO_ROLLUP[],MATCH($B18,MMWR_RATING_RO_ROLLUP[MMWR_RATING_RO_ROLLUP],0),MATCH(E$9,MMWR_RATING_RO_ROLLUP[#Headers],0))/$C18,"ERROR"))</f>
        <v>0.17967091295116772</v>
      </c>
      <c r="F18" s="154">
        <f>IF($B18=" ","",IFERROR(INDEX(MMWR_RATING_RO_ROLLUP[],MATCH($B18,MMWR_RATING_RO_ROLLUP[MMWR_RATING_RO_ROLLUP],0),MATCH(F$9,MMWR_RATING_RO_ROLLUP[#Headers],0)),"ERROR"))</f>
        <v>901</v>
      </c>
      <c r="G18" s="154">
        <f>IF($B18=" ","",IFERROR(INDEX(MMWR_RATING_RO_ROLLUP[],MATCH($B18,MMWR_RATING_RO_ROLLUP[MMWR_RATING_RO_ROLLUP],0),MATCH(G$9,MMWR_RATING_RO_ROLLUP[#Headers],0)),"ERROR"))</f>
        <v>5126</v>
      </c>
      <c r="H18" s="155">
        <f>IF($B18=" ","",IFERROR(INDEX(MMWR_RATING_RO_ROLLUP[],MATCH($B18,MMWR_RATING_RO_ROLLUP[MMWR_RATING_RO_ROLLUP],0),MATCH(H$9,MMWR_RATING_RO_ROLLUP[#Headers],0)),"ERROR"))</f>
        <v>134.27081021090001</v>
      </c>
      <c r="I18" s="155">
        <f>IF($B18=" ","",IFERROR(INDEX(MMWR_RATING_RO_ROLLUP[],MATCH($B18,MMWR_RATING_RO_ROLLUP[MMWR_RATING_RO_ROLLUP],0),MATCH(I$9,MMWR_RATING_RO_ROLLUP[#Headers],0)),"ERROR"))</f>
        <v>145.64065548190001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1913</v>
      </c>
      <c r="D19" s="155">
        <f>IF($B19=" ","",IFERROR(INDEX(MMWR_RATING_RO_ROLLUP[],MATCH($B19,MMWR_RATING_RO_ROLLUP[MMWR_RATING_RO_ROLLUP],0),MATCH(D$9,MMWR_RATING_RO_ROLLUP[#Headers],0)),"ERROR"))</f>
        <v>91.658128593800001</v>
      </c>
      <c r="E19" s="156">
        <f>IF($B19=" ","",IFERROR(INDEX(MMWR_RATING_RO_ROLLUP[],MATCH($B19,MMWR_RATING_RO_ROLLUP[MMWR_RATING_RO_ROLLUP],0),MATCH(E$9,MMWR_RATING_RO_ROLLUP[#Headers],0))/$C19,"ERROR"))</f>
        <v>0.23000522739153162</v>
      </c>
      <c r="F19" s="154">
        <f>IF($B19=" ","",IFERROR(INDEX(MMWR_RATING_RO_ROLLUP[],MATCH($B19,MMWR_RATING_RO_ROLLUP[MMWR_RATING_RO_ROLLUP],0),MATCH(F$9,MMWR_RATING_RO_ROLLUP[#Headers],0)),"ERROR"))</f>
        <v>496</v>
      </c>
      <c r="G19" s="154">
        <f>IF($B19=" ","",IFERROR(INDEX(MMWR_RATING_RO_ROLLUP[],MATCH($B19,MMWR_RATING_RO_ROLLUP[MMWR_RATING_RO_ROLLUP],0),MATCH(G$9,MMWR_RATING_RO_ROLLUP[#Headers],0)),"ERROR"))</f>
        <v>2450</v>
      </c>
      <c r="H19" s="155">
        <f>IF($B19=" ","",IFERROR(INDEX(MMWR_RATING_RO_ROLLUP[],MATCH($B19,MMWR_RATING_RO_ROLLUP[MMWR_RATING_RO_ROLLUP],0),MATCH(H$9,MMWR_RATING_RO_ROLLUP[#Headers],0)),"ERROR"))</f>
        <v>118.5181451613</v>
      </c>
      <c r="I19" s="155">
        <f>IF($B19=" ","",IFERROR(INDEX(MMWR_RATING_RO_ROLLUP[],MATCH($B19,MMWR_RATING_RO_ROLLUP[MMWR_RATING_RO_ROLLUP],0),MATCH(I$9,MMWR_RATING_RO_ROLLUP[#Headers],0)),"ERROR"))</f>
        <v>118.27061224489999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2601</v>
      </c>
      <c r="D20" s="155">
        <f>IF($B20=" ","",IFERROR(INDEX(MMWR_RATING_RO_ROLLUP[],MATCH($B20,MMWR_RATING_RO_ROLLUP[MMWR_RATING_RO_ROLLUP],0),MATCH(D$9,MMWR_RATING_RO_ROLLUP[#Headers],0)),"ERROR"))</f>
        <v>88.646674356000005</v>
      </c>
      <c r="E20" s="156">
        <f>IF($B20=" ","",IFERROR(INDEX(MMWR_RATING_RO_ROLLUP[],MATCH($B20,MMWR_RATING_RO_ROLLUP[MMWR_RATING_RO_ROLLUP],0),MATCH(E$9,MMWR_RATING_RO_ROLLUP[#Headers],0))/$C20,"ERROR"))</f>
        <v>0.20530565167243367</v>
      </c>
      <c r="F20" s="154">
        <f>IF($B20=" ","",IFERROR(INDEX(MMWR_RATING_RO_ROLLUP[],MATCH($B20,MMWR_RATING_RO_ROLLUP[MMWR_RATING_RO_ROLLUP],0),MATCH(F$9,MMWR_RATING_RO_ROLLUP[#Headers],0)),"ERROR"))</f>
        <v>585</v>
      </c>
      <c r="G20" s="154">
        <f>IF($B20=" ","",IFERROR(INDEX(MMWR_RATING_RO_ROLLUP[],MATCH($B20,MMWR_RATING_RO_ROLLUP[MMWR_RATING_RO_ROLLUP],0),MATCH(G$9,MMWR_RATING_RO_ROLLUP[#Headers],0)),"ERROR"))</f>
        <v>3297</v>
      </c>
      <c r="H20" s="155">
        <f>IF($B20=" ","",IFERROR(INDEX(MMWR_RATING_RO_ROLLUP[],MATCH($B20,MMWR_RATING_RO_ROLLUP[MMWR_RATING_RO_ROLLUP],0),MATCH(H$9,MMWR_RATING_RO_ROLLUP[#Headers],0)),"ERROR"))</f>
        <v>132.8085470085</v>
      </c>
      <c r="I20" s="155">
        <f>IF($B20=" ","",IFERROR(INDEX(MMWR_RATING_RO_ROLLUP[],MATCH($B20,MMWR_RATING_RO_ROLLUP[MMWR_RATING_RO_ROLLUP],0),MATCH(I$9,MMWR_RATING_RO_ROLLUP[#Headers],0)),"ERROR"))</f>
        <v>120.7197452229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1065</v>
      </c>
      <c r="D21" s="155">
        <f>IF($B21=" ","",IFERROR(INDEX(MMWR_RATING_RO_ROLLUP[],MATCH($B21,MMWR_RATING_RO_ROLLUP[MMWR_RATING_RO_ROLLUP],0),MATCH(D$9,MMWR_RATING_RO_ROLLUP[#Headers],0)),"ERROR"))</f>
        <v>90.713615023499997</v>
      </c>
      <c r="E21" s="156">
        <f>IF($B21=" ","",IFERROR(INDEX(MMWR_RATING_RO_ROLLUP[],MATCH($B21,MMWR_RATING_RO_ROLLUP[MMWR_RATING_RO_ROLLUP],0),MATCH(E$9,MMWR_RATING_RO_ROLLUP[#Headers],0))/$C21,"ERROR"))</f>
        <v>0.20281690140845071</v>
      </c>
      <c r="F21" s="154">
        <f>IF($B21=" ","",IFERROR(INDEX(MMWR_RATING_RO_ROLLUP[],MATCH($B21,MMWR_RATING_RO_ROLLUP[MMWR_RATING_RO_ROLLUP],0),MATCH(F$9,MMWR_RATING_RO_ROLLUP[#Headers],0)),"ERROR"))</f>
        <v>310</v>
      </c>
      <c r="G21" s="154">
        <f>IF($B21=" ","",IFERROR(INDEX(MMWR_RATING_RO_ROLLUP[],MATCH($B21,MMWR_RATING_RO_ROLLUP[MMWR_RATING_RO_ROLLUP],0),MATCH(G$9,MMWR_RATING_RO_ROLLUP[#Headers],0)),"ERROR"))</f>
        <v>1592</v>
      </c>
      <c r="H21" s="155">
        <f>IF($B21=" ","",IFERROR(INDEX(MMWR_RATING_RO_ROLLUP[],MATCH($B21,MMWR_RATING_RO_ROLLUP[MMWR_RATING_RO_ROLLUP],0),MATCH(H$9,MMWR_RATING_RO_ROLLUP[#Headers],0)),"ERROR"))</f>
        <v>151.99032258060001</v>
      </c>
      <c r="I21" s="155">
        <f>IF($B21=" ","",IFERROR(INDEX(MMWR_RATING_RO_ROLLUP[],MATCH($B21,MMWR_RATING_RO_ROLLUP[MMWR_RATING_RO_ROLLUP],0),MATCH(I$9,MMWR_RATING_RO_ROLLUP[#Headers],0)),"ERROR"))</f>
        <v>138.37311557789999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4657</v>
      </c>
      <c r="D22" s="155">
        <f>IF($B22=" ","",IFERROR(INDEX(MMWR_RATING_RO_ROLLUP[],MATCH($B22,MMWR_RATING_RO_ROLLUP[MMWR_RATING_RO_ROLLUP],0),MATCH(D$9,MMWR_RATING_RO_ROLLUP[#Headers],0)),"ERROR"))</f>
        <v>101.62314794930001</v>
      </c>
      <c r="E22" s="156">
        <f>IF($B22=" ","",IFERROR(INDEX(MMWR_RATING_RO_ROLLUP[],MATCH($B22,MMWR_RATING_RO_ROLLUP[MMWR_RATING_RO_ROLLUP],0),MATCH(E$9,MMWR_RATING_RO_ROLLUP[#Headers],0))/$C22,"ERROR"))</f>
        <v>0.28924200128838307</v>
      </c>
      <c r="F22" s="154">
        <f>IF($B22=" ","",IFERROR(INDEX(MMWR_RATING_RO_ROLLUP[],MATCH($B22,MMWR_RATING_RO_ROLLUP[MMWR_RATING_RO_ROLLUP],0),MATCH(F$9,MMWR_RATING_RO_ROLLUP[#Headers],0)),"ERROR"))</f>
        <v>1111</v>
      </c>
      <c r="G22" s="154">
        <f>IF($B22=" ","",IFERROR(INDEX(MMWR_RATING_RO_ROLLUP[],MATCH($B22,MMWR_RATING_RO_ROLLUP[MMWR_RATING_RO_ROLLUP],0),MATCH(G$9,MMWR_RATING_RO_ROLLUP[#Headers],0)),"ERROR"))</f>
        <v>5793</v>
      </c>
      <c r="H22" s="155">
        <f>IF($B22=" ","",IFERROR(INDEX(MMWR_RATING_RO_ROLLUP[],MATCH($B22,MMWR_RATING_RO_ROLLUP[MMWR_RATING_RO_ROLLUP],0),MATCH(H$9,MMWR_RATING_RO_ROLLUP[#Headers],0)),"ERROR"))</f>
        <v>129.3141314131</v>
      </c>
      <c r="I22" s="155">
        <f>IF($B22=" ","",IFERROR(INDEX(MMWR_RATING_RO_ROLLUP[],MATCH($B22,MMWR_RATING_RO_ROLLUP[MMWR_RATING_RO_ROLLUP],0),MATCH(I$9,MMWR_RATING_RO_ROLLUP[#Headers],0)),"ERROR"))</f>
        <v>138.18418781290001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2622</v>
      </c>
      <c r="D23" s="155">
        <f>IF($B23=" ","",IFERROR(INDEX(MMWR_RATING_RO_ROLLUP[],MATCH($B23,MMWR_RATING_RO_ROLLUP[MMWR_RATING_RO_ROLLUP],0),MATCH(D$9,MMWR_RATING_RO_ROLLUP[#Headers],0)),"ERROR"))</f>
        <v>88.297482837499999</v>
      </c>
      <c r="E23" s="156">
        <f>IF($B23=" ","",IFERROR(INDEX(MMWR_RATING_RO_ROLLUP[],MATCH($B23,MMWR_RATING_RO_ROLLUP[MMWR_RATING_RO_ROLLUP],0),MATCH(E$9,MMWR_RATING_RO_ROLLUP[#Headers],0))/$C23,"ERROR"))</f>
        <v>0.21434019832189169</v>
      </c>
      <c r="F23" s="154">
        <f>IF($B23=" ","",IFERROR(INDEX(MMWR_RATING_RO_ROLLUP[],MATCH($B23,MMWR_RATING_RO_ROLLUP[MMWR_RATING_RO_ROLLUP],0),MATCH(F$9,MMWR_RATING_RO_ROLLUP[#Headers],0)),"ERROR"))</f>
        <v>592</v>
      </c>
      <c r="G23" s="154">
        <f>IF($B23=" ","",IFERROR(INDEX(MMWR_RATING_RO_ROLLUP[],MATCH($B23,MMWR_RATING_RO_ROLLUP[MMWR_RATING_RO_ROLLUP],0),MATCH(G$9,MMWR_RATING_RO_ROLLUP[#Headers],0)),"ERROR"))</f>
        <v>3277</v>
      </c>
      <c r="H23" s="155">
        <f>IF($B23=" ","",IFERROR(INDEX(MMWR_RATING_RO_ROLLUP[],MATCH($B23,MMWR_RATING_RO_ROLLUP[MMWR_RATING_RO_ROLLUP],0),MATCH(H$9,MMWR_RATING_RO_ROLLUP[#Headers],0)),"ERROR"))</f>
        <v>139.18412162160001</v>
      </c>
      <c r="I23" s="155">
        <f>IF($B23=" ","",IFERROR(INDEX(MMWR_RATING_RO_ROLLUP[],MATCH($B23,MMWR_RATING_RO_ROLLUP[MMWR_RATING_RO_ROLLUP],0),MATCH(I$9,MMWR_RATING_RO_ROLLUP[#Headers],0)),"ERROR"))</f>
        <v>141.31431187059999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6916</v>
      </c>
      <c r="D24" s="155">
        <f>IF($B24=" ","",IFERROR(INDEX(MMWR_RATING_RO_ROLLUP[],MATCH($B24,MMWR_RATING_RO_ROLLUP[MMWR_RATING_RO_ROLLUP],0),MATCH(D$9,MMWR_RATING_RO_ROLLUP[#Headers],0)),"ERROR"))</f>
        <v>117.3017640254</v>
      </c>
      <c r="E24" s="156">
        <f>IF($B24=" ","",IFERROR(INDEX(MMWR_RATING_RO_ROLLUP[],MATCH($B24,MMWR_RATING_RO_ROLLUP[MMWR_RATING_RO_ROLLUP],0),MATCH(E$9,MMWR_RATING_RO_ROLLUP[#Headers],0))/$C24,"ERROR"))</f>
        <v>0.32995951417004049</v>
      </c>
      <c r="F24" s="154">
        <f>IF($B24=" ","",IFERROR(INDEX(MMWR_RATING_RO_ROLLUP[],MATCH($B24,MMWR_RATING_RO_ROLLUP[MMWR_RATING_RO_ROLLUP],0),MATCH(F$9,MMWR_RATING_RO_ROLLUP[#Headers],0)),"ERROR"))</f>
        <v>1839</v>
      </c>
      <c r="G24" s="154">
        <f>IF($B24=" ","",IFERROR(INDEX(MMWR_RATING_RO_ROLLUP[],MATCH($B24,MMWR_RATING_RO_ROLLUP[MMWR_RATING_RO_ROLLUP],0),MATCH(G$9,MMWR_RATING_RO_ROLLUP[#Headers],0)),"ERROR"))</f>
        <v>10162</v>
      </c>
      <c r="H24" s="155">
        <f>IF($B24=" ","",IFERROR(INDEX(MMWR_RATING_RO_ROLLUP[],MATCH($B24,MMWR_RATING_RO_ROLLUP[MMWR_RATING_RO_ROLLUP],0),MATCH(H$9,MMWR_RATING_RO_ROLLUP[#Headers],0)),"ERROR"))</f>
        <v>143.37248504620001</v>
      </c>
      <c r="I24" s="155">
        <f>IF($B24=" ","",IFERROR(INDEX(MMWR_RATING_RO_ROLLUP[],MATCH($B24,MMWR_RATING_RO_ROLLUP[MMWR_RATING_RO_ROLLUP],0),MATCH(I$9,MMWR_RATING_RO_ROLLUP[#Headers],0)),"ERROR"))</f>
        <v>150.30810864</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4519</v>
      </c>
      <c r="D25" s="155">
        <f>IF($B25=" ","",IFERROR(INDEX(MMWR_RATING_RO_ROLLUP[],MATCH($B25,MMWR_RATING_RO_ROLLUP[MMWR_RATING_RO_ROLLUP],0),MATCH(D$9,MMWR_RATING_RO_ROLLUP[#Headers],0)),"ERROR"))</f>
        <v>114.25780039830001</v>
      </c>
      <c r="E25" s="156">
        <f>IF($B25=" ","",IFERROR(INDEX(MMWR_RATING_RO_ROLLUP[],MATCH($B25,MMWR_RATING_RO_ROLLUP[MMWR_RATING_RO_ROLLUP],0),MATCH(E$9,MMWR_RATING_RO_ROLLUP[#Headers],0))/$C25,"ERROR"))</f>
        <v>0.32330161540163754</v>
      </c>
      <c r="F25" s="154">
        <f>IF($B25=" ","",IFERROR(INDEX(MMWR_RATING_RO_ROLLUP[],MATCH($B25,MMWR_RATING_RO_ROLLUP[MMWR_RATING_RO_ROLLUP],0),MATCH(F$9,MMWR_RATING_RO_ROLLUP[#Headers],0)),"ERROR"))</f>
        <v>1003</v>
      </c>
      <c r="G25" s="154">
        <f>IF($B25=" ","",IFERROR(INDEX(MMWR_RATING_RO_ROLLUP[],MATCH($B25,MMWR_RATING_RO_ROLLUP[MMWR_RATING_RO_ROLLUP],0),MATCH(G$9,MMWR_RATING_RO_ROLLUP[#Headers],0)),"ERROR"))</f>
        <v>5461</v>
      </c>
      <c r="H25" s="155">
        <f>IF($B25=" ","",IFERROR(INDEX(MMWR_RATING_RO_ROLLUP[],MATCH($B25,MMWR_RATING_RO_ROLLUP[MMWR_RATING_RO_ROLLUP],0),MATCH(H$9,MMWR_RATING_RO_ROLLUP[#Headers],0)),"ERROR"))</f>
        <v>153.96211365900001</v>
      </c>
      <c r="I25" s="155">
        <f>IF($B25=" ","",IFERROR(INDEX(MMWR_RATING_RO_ROLLUP[],MATCH($B25,MMWR_RATING_RO_ROLLUP[MMWR_RATING_RO_ROLLUP],0),MATCH(I$9,MMWR_RATING_RO_ROLLUP[#Headers],0)),"ERROR"))</f>
        <v>161.22559970699999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2303</v>
      </c>
      <c r="D26" s="155">
        <f>IF($B26=" ","",IFERROR(INDEX(MMWR_RATING_RO_ROLLUP[],MATCH($B26,MMWR_RATING_RO_ROLLUP[MMWR_RATING_RO_ROLLUP],0),MATCH(D$9,MMWR_RATING_RO_ROLLUP[#Headers],0)),"ERROR"))</f>
        <v>79.500651324399996</v>
      </c>
      <c r="E26" s="156">
        <f>IF($B26=" ","",IFERROR(INDEX(MMWR_RATING_RO_ROLLUP[],MATCH($B26,MMWR_RATING_RO_ROLLUP[MMWR_RATING_RO_ROLLUP],0),MATCH(E$9,MMWR_RATING_RO_ROLLUP[#Headers],0))/$C26,"ERROR"))</f>
        <v>0.18801563178462874</v>
      </c>
      <c r="F26" s="154">
        <f>IF($B26=" ","",IFERROR(INDEX(MMWR_RATING_RO_ROLLUP[],MATCH($B26,MMWR_RATING_RO_ROLLUP[MMWR_RATING_RO_ROLLUP],0),MATCH(F$9,MMWR_RATING_RO_ROLLUP[#Headers],0)),"ERROR"))</f>
        <v>1724</v>
      </c>
      <c r="G26" s="154">
        <f>IF($B26=" ","",IFERROR(INDEX(MMWR_RATING_RO_ROLLUP[],MATCH($B26,MMWR_RATING_RO_ROLLUP[MMWR_RATING_RO_ROLLUP],0),MATCH(G$9,MMWR_RATING_RO_ROLLUP[#Headers],0)),"ERROR"))</f>
        <v>8354</v>
      </c>
      <c r="H26" s="155">
        <f>IF($B26=" ","",IFERROR(INDEX(MMWR_RATING_RO_ROLLUP[],MATCH($B26,MMWR_RATING_RO_ROLLUP[MMWR_RATING_RO_ROLLUP],0),MATCH(H$9,MMWR_RATING_RO_ROLLUP[#Headers],0)),"ERROR"))</f>
        <v>62.858468677499999</v>
      </c>
      <c r="I26" s="155">
        <f>IF($B26=" ","",IFERROR(INDEX(MMWR_RATING_RO_ROLLUP[],MATCH($B26,MMWR_RATING_RO_ROLLUP[MMWR_RATING_RO_ROLLUP],0),MATCH(I$9,MMWR_RATING_RO_ROLLUP[#Headers],0)),"ERROR"))</f>
        <v>58.303686856600002</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10244</v>
      </c>
      <c r="D27" s="155">
        <f>IF($B27=" ","",IFERROR(INDEX(MMWR_RATING_RO_ROLLUP[],MATCH($B27,MMWR_RATING_RO_ROLLUP[MMWR_RATING_RO_ROLLUP],0),MATCH(D$9,MMWR_RATING_RO_ROLLUP[#Headers],0)),"ERROR"))</f>
        <v>94.567161265099998</v>
      </c>
      <c r="E27" s="156">
        <f>IF($B27=" ","",IFERROR(INDEX(MMWR_RATING_RO_ROLLUP[],MATCH($B27,MMWR_RATING_RO_ROLLUP[MMWR_RATING_RO_ROLLUP],0),MATCH(E$9,MMWR_RATING_RO_ROLLUP[#Headers],0))/$C27,"ERROR"))</f>
        <v>0.27909019914096056</v>
      </c>
      <c r="F27" s="154">
        <f>IF($B27=" ","",IFERROR(INDEX(MMWR_RATING_RO_ROLLUP[],MATCH($B27,MMWR_RATING_RO_ROLLUP[MMWR_RATING_RO_ROLLUP],0),MATCH(F$9,MMWR_RATING_RO_ROLLUP[#Headers],0)),"ERROR"))</f>
        <v>2897</v>
      </c>
      <c r="G27" s="154">
        <f>IF($B27=" ","",IFERROR(INDEX(MMWR_RATING_RO_ROLLUP[],MATCH($B27,MMWR_RATING_RO_ROLLUP[MMWR_RATING_RO_ROLLUP],0),MATCH(G$9,MMWR_RATING_RO_ROLLUP[#Headers],0)),"ERROR"))</f>
        <v>13430</v>
      </c>
      <c r="H27" s="155">
        <f>IF($B27=" ","",IFERROR(INDEX(MMWR_RATING_RO_ROLLUP[],MATCH($B27,MMWR_RATING_RO_ROLLUP[MMWR_RATING_RO_ROLLUP],0),MATCH(H$9,MMWR_RATING_RO_ROLLUP[#Headers],0)),"ERROR"))</f>
        <v>127.0024162927</v>
      </c>
      <c r="I27" s="155">
        <f>IF($B27=" ","",IFERROR(INDEX(MMWR_RATING_RO_ROLLUP[],MATCH($B27,MMWR_RATING_RO_ROLLUP[MMWR_RATING_RO_ROLLUP],0),MATCH(I$9,MMWR_RATING_RO_ROLLUP[#Headers],0)),"ERROR"))</f>
        <v>138.5265822785</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1428</v>
      </c>
      <c r="D28" s="155">
        <f>IF($B28=" ","",IFERROR(INDEX(MMWR_RATING_RO_ROLLUP[],MATCH($B28,MMWR_RATING_RO_ROLLUP[MMWR_RATING_RO_ROLLUP],0),MATCH(D$9,MMWR_RATING_RO_ROLLUP[#Headers],0)),"ERROR"))</f>
        <v>75.516106442600005</v>
      </c>
      <c r="E28" s="156">
        <f>IF($B28=" ","",IFERROR(INDEX(MMWR_RATING_RO_ROLLUP[],MATCH($B28,MMWR_RATING_RO_ROLLUP[MMWR_RATING_RO_ROLLUP],0),MATCH(E$9,MMWR_RATING_RO_ROLLUP[#Headers],0))/$C28,"ERROR"))</f>
        <v>0.12044817927170869</v>
      </c>
      <c r="F28" s="154">
        <f>IF($B28=" ","",IFERROR(INDEX(MMWR_RATING_RO_ROLLUP[],MATCH($B28,MMWR_RATING_RO_ROLLUP[MMWR_RATING_RO_ROLLUP],0),MATCH(F$9,MMWR_RATING_RO_ROLLUP[#Headers],0)),"ERROR"))</f>
        <v>277</v>
      </c>
      <c r="G28" s="154">
        <f>IF($B28=" ","",IFERROR(INDEX(MMWR_RATING_RO_ROLLUP[],MATCH($B28,MMWR_RATING_RO_ROLLUP[MMWR_RATING_RO_ROLLUP],0),MATCH(G$9,MMWR_RATING_RO_ROLLUP[#Headers],0)),"ERROR"))</f>
        <v>1777</v>
      </c>
      <c r="H28" s="155">
        <f>IF($B28=" ","",IFERROR(INDEX(MMWR_RATING_RO_ROLLUP[],MATCH($B28,MMWR_RATING_RO_ROLLUP[MMWR_RATING_RO_ROLLUP],0),MATCH(H$9,MMWR_RATING_RO_ROLLUP[#Headers],0)),"ERROR"))</f>
        <v>123.678700361</v>
      </c>
      <c r="I28" s="155">
        <f>IF($B28=" ","",IFERROR(INDEX(MMWR_RATING_RO_ROLLUP[],MATCH($B28,MMWR_RATING_RO_ROLLUP[MMWR_RATING_RO_ROLLUP],0),MATCH(I$9,MMWR_RATING_RO_ROLLUP[#Headers],0)),"ERROR"))</f>
        <v>110.93359594819999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495</v>
      </c>
      <c r="D29" s="155">
        <f>IF($B29=" ","",IFERROR(INDEX(MMWR_RATING_RO_ROLLUP[],MATCH($B29,MMWR_RATING_RO_ROLLUP[MMWR_RATING_RO_ROLLUP],0),MATCH(D$9,MMWR_RATING_RO_ROLLUP[#Headers],0)),"ERROR"))</f>
        <v>102.1454545455</v>
      </c>
      <c r="E29" s="156">
        <f>IF($B29=" ","",IFERROR(INDEX(MMWR_RATING_RO_ROLLUP[],MATCH($B29,MMWR_RATING_RO_ROLLUP[MMWR_RATING_RO_ROLLUP],0),MATCH(E$9,MMWR_RATING_RO_ROLLUP[#Headers],0))/$C29,"ERROR"))</f>
        <v>0.27878787878787881</v>
      </c>
      <c r="F29" s="154">
        <f>IF($B29=" ","",IFERROR(INDEX(MMWR_RATING_RO_ROLLUP[],MATCH($B29,MMWR_RATING_RO_ROLLUP[MMWR_RATING_RO_ROLLUP],0),MATCH(F$9,MMWR_RATING_RO_ROLLUP[#Headers],0)),"ERROR"))</f>
        <v>166</v>
      </c>
      <c r="G29" s="154">
        <f>IF($B29=" ","",IFERROR(INDEX(MMWR_RATING_RO_ROLLUP[],MATCH($B29,MMWR_RATING_RO_ROLLUP[MMWR_RATING_RO_ROLLUP],0),MATCH(G$9,MMWR_RATING_RO_ROLLUP[#Headers],0)),"ERROR"))</f>
        <v>578</v>
      </c>
      <c r="H29" s="155">
        <f>IF($B29=" ","",IFERROR(INDEX(MMWR_RATING_RO_ROLLUP[],MATCH($B29,MMWR_RATING_RO_ROLLUP[MMWR_RATING_RO_ROLLUP],0),MATCH(H$9,MMWR_RATING_RO_ROLLUP[#Headers],0)),"ERROR"))</f>
        <v>125.8012048193</v>
      </c>
      <c r="I29" s="155">
        <f>IF($B29=" ","",IFERROR(INDEX(MMWR_RATING_RO_ROLLUP[],MATCH($B29,MMWR_RATING_RO_ROLLUP[MMWR_RATING_RO_ROLLUP],0),MATCH(I$9,MMWR_RATING_RO_ROLLUP[#Headers],0)),"ERROR"))</f>
        <v>137.5743944637</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724</v>
      </c>
      <c r="D30" s="155">
        <f>IF($B30=" ","",IFERROR(INDEX(MMWR_RATING_RO_ROLLUP[],MATCH($B30,MMWR_RATING_RO_ROLLUP[MMWR_RATING_RO_ROLLUP],0),MATCH(D$9,MMWR_RATING_RO_ROLLUP[#Headers],0)),"ERROR"))</f>
        <v>101.5276243094</v>
      </c>
      <c r="E30" s="156">
        <f>IF($B30=" ","",IFERROR(INDEX(MMWR_RATING_RO_ROLLUP[],MATCH($B30,MMWR_RATING_RO_ROLLUP[MMWR_RATING_RO_ROLLUP],0),MATCH(E$9,MMWR_RATING_RO_ROLLUP[#Headers],0))/$C30,"ERROR"))</f>
        <v>0.27900552486187846</v>
      </c>
      <c r="F30" s="154">
        <f>IF($B30=" ","",IFERROR(INDEX(MMWR_RATING_RO_ROLLUP[],MATCH($B30,MMWR_RATING_RO_ROLLUP[MMWR_RATING_RO_ROLLUP],0),MATCH(F$9,MMWR_RATING_RO_ROLLUP[#Headers],0)),"ERROR"))</f>
        <v>195</v>
      </c>
      <c r="G30" s="154">
        <f>IF($B30=" ","",IFERROR(INDEX(MMWR_RATING_RO_ROLLUP[],MATCH($B30,MMWR_RATING_RO_ROLLUP[MMWR_RATING_RO_ROLLUP],0),MATCH(G$9,MMWR_RATING_RO_ROLLUP[#Headers],0)),"ERROR"))</f>
        <v>1005</v>
      </c>
      <c r="H30" s="155">
        <f>IF($B30=" ","",IFERROR(INDEX(MMWR_RATING_RO_ROLLUP[],MATCH($B30,MMWR_RATING_RO_ROLLUP[MMWR_RATING_RO_ROLLUP],0),MATCH(H$9,MMWR_RATING_RO_ROLLUP[#Headers],0)),"ERROR"))</f>
        <v>146.47692307689999</v>
      </c>
      <c r="I30" s="155">
        <f>IF($B30=" ","",IFERROR(INDEX(MMWR_RATING_RO_ROLLUP[],MATCH($B30,MMWR_RATING_RO_ROLLUP[MMWR_RATING_RO_ROLLUP],0),MATCH(I$9,MMWR_RATING_RO_ROLLUP[#Headers],0)),"ERROR"))</f>
        <v>144.28955223880001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16915</v>
      </c>
      <c r="D31" s="155">
        <f>IF($B31=" ","",IFERROR(INDEX(MMWR_RATING_RO_ROLLUP[],MATCH($B31,MMWR_RATING_RO_ROLLUP[MMWR_RATING_RO_ROLLUP],0),MATCH(D$9,MMWR_RATING_RO_ROLLUP[#Headers],0)),"ERROR"))</f>
        <v>94.344900975499996</v>
      </c>
      <c r="E31" s="156">
        <f>IF($B31=" ","",IFERROR(INDEX(MMWR_RATING_RO_ROLLUP[],MATCH($B31,MMWR_RATING_RO_ROLLUP[MMWR_RATING_RO_ROLLUP],0),MATCH(E$9,MMWR_RATING_RO_ROLLUP[#Headers],0))/$C31,"ERROR"))</f>
        <v>0.24747265740467042</v>
      </c>
      <c r="F31" s="154">
        <f>IF($B31=" ","",IFERROR(INDEX(MMWR_RATING_RO_ROLLUP[],MATCH($B31,MMWR_RATING_RO_ROLLUP[MMWR_RATING_RO_ROLLUP],0),MATCH(F$9,MMWR_RATING_RO_ROLLUP[#Headers],0)),"ERROR"))</f>
        <v>3716</v>
      </c>
      <c r="G31" s="154">
        <f>IF($B31=" ","",IFERROR(INDEX(MMWR_RATING_RO_ROLLUP[],MATCH($B31,MMWR_RATING_RO_ROLLUP[MMWR_RATING_RO_ROLLUP],0),MATCH(G$9,MMWR_RATING_RO_ROLLUP[#Headers],0)),"ERROR"))</f>
        <v>20883</v>
      </c>
      <c r="H31" s="155">
        <f>IF($B31=" ","",IFERROR(INDEX(MMWR_RATING_RO_ROLLUP[],MATCH($B31,MMWR_RATING_RO_ROLLUP[MMWR_RATING_RO_ROLLUP],0),MATCH(H$9,MMWR_RATING_RO_ROLLUP[#Headers],0)),"ERROR"))</f>
        <v>148.8388051668</v>
      </c>
      <c r="I31" s="155">
        <f>IF($B31=" ","",IFERROR(INDEX(MMWR_RATING_RO_ROLLUP[],MATCH($B31,MMWR_RATING_RO_ROLLUP[MMWR_RATING_RO_ROLLUP],0),MATCH(I$9,MMWR_RATING_RO_ROLLUP[#Headers],0)),"ERROR"))</f>
        <v>149.01345592109999</v>
      </c>
      <c r="J31" s="42"/>
      <c r="K31" s="42"/>
      <c r="L31" s="42"/>
      <c r="M31" s="42"/>
      <c r="N31" s="28"/>
    </row>
    <row r="32" spans="1:14" x14ac:dyDescent="0.2">
      <c r="A32" s="25"/>
      <c r="B32" s="377" t="s">
        <v>734</v>
      </c>
      <c r="C32" s="378"/>
      <c r="D32" s="378"/>
      <c r="E32" s="378"/>
      <c r="F32" s="378"/>
      <c r="G32" s="378"/>
      <c r="H32" s="378"/>
      <c r="I32" s="378"/>
      <c r="J32" s="378"/>
      <c r="K32" s="378"/>
      <c r="L32" s="378"/>
      <c r="M32" s="387"/>
      <c r="N32" s="28"/>
    </row>
    <row r="33" spans="1:14" x14ac:dyDescent="0.2">
      <c r="A33" s="25"/>
      <c r="B33" s="11" t="s">
        <v>697</v>
      </c>
      <c r="C33" s="154">
        <f>IF($B33=" ","",IFERROR(INDEX(MMWR_RATING_RO_ROLLUP[],MATCH($B33,MMWR_RATING_RO_ROLLUP[MMWR_RATING_RO_ROLLUP],0),MATCH(C$9,MMWR_RATING_RO_ROLLUP[#Headers],0)),"ERROR"))</f>
        <v>26039</v>
      </c>
      <c r="D33" s="155">
        <f>IF($B33=" ","",IFERROR(INDEX(MMWR_RATING_RO_ROLLUP[],MATCH($B33,MMWR_RATING_RO_ROLLUP[MMWR_RATING_RO_ROLLUP],0),MATCH(D$9,MMWR_RATING_RO_ROLLUP[#Headers],0)),"ERROR"))</f>
        <v>69.905411114100005</v>
      </c>
      <c r="E33" s="156">
        <f>IF($B33=" ","",IFERROR(INDEX(MMWR_RATING_RO_ROLLUP[],MATCH($B33,MMWR_RATING_RO_ROLLUP[MMWR_RATING_RO_ROLLUP],0),MATCH(E$9,MMWR_RATING_RO_ROLLUP[#Headers],0))/$C33,"ERROR"))</f>
        <v>0.12446714543569261</v>
      </c>
      <c r="F33" s="154">
        <f>IF($B33=" ","",IFERROR(INDEX(MMWR_RATING_RO_ROLLUP[],MATCH($B33,MMWR_RATING_RO_ROLLUP[MMWR_RATING_RO_ROLLUP],0),MATCH(F$9,MMWR_RATING_RO_ROLLUP[#Headers],0)),"ERROR"))</f>
        <v>11333</v>
      </c>
      <c r="G33" s="154">
        <f>IF($B33=" ","",IFERROR(INDEX(MMWR_RATING_RO_ROLLUP[],MATCH($B33,MMWR_RATING_RO_ROLLUP[MMWR_RATING_RO_ROLLUP],0),MATCH(G$9,MMWR_RATING_RO_ROLLUP[#Headers],0)),"ERROR"))</f>
        <v>59121</v>
      </c>
      <c r="H33" s="155">
        <f>IF($B33=" ","",IFERROR(INDEX(MMWR_RATING_RO_ROLLUP[],MATCH($B33,MMWR_RATING_RO_ROLLUP[MMWR_RATING_RO_ROLLUP],0),MATCH(H$9,MMWR_RATING_RO_ROLLUP[#Headers],0)),"ERROR"))</f>
        <v>83.644224830100001</v>
      </c>
      <c r="I33" s="155">
        <f>IF($B33=" ","",IFERROR(INDEX(MMWR_RATING_RO_ROLLUP[],MATCH($B33,MMWR_RATING_RO_ROLLUP[MMWR_RATING_RO_ROLLUP],0),MATCH(I$9,MMWR_RATING_RO_ROLLUP[#Headers],0)),"ERROR"))</f>
        <v>75.5123729301</v>
      </c>
      <c r="J33" s="42"/>
      <c r="K33" s="42"/>
      <c r="L33" s="42"/>
      <c r="M33" s="42"/>
      <c r="N33" s="28"/>
    </row>
    <row r="34" spans="1:14" x14ac:dyDescent="0.2">
      <c r="A34" s="25"/>
      <c r="B34" s="12" t="s">
        <v>210</v>
      </c>
      <c r="C34" s="154">
        <f>IF($B34=" ","",IFERROR(INDEX(MMWR_RATING_RO_ROLLUP[],MATCH($B34,MMWR_RATING_RO_ROLLUP[MMWR_RATING_RO_ROLLUP],0),MATCH(C$9,MMWR_RATING_RO_ROLLUP[#Headers],0)),"ERROR"))</f>
        <v>12280</v>
      </c>
      <c r="D34" s="155">
        <f>IF($B34=" ","",IFERROR(INDEX(MMWR_RATING_RO_ROLLUP[],MATCH($B34,MMWR_RATING_RO_ROLLUP[MMWR_RATING_RO_ROLLUP],0),MATCH(D$9,MMWR_RATING_RO_ROLLUP[#Headers],0)),"ERROR"))</f>
        <v>69.451710097700001</v>
      </c>
      <c r="E34" s="156">
        <f>IF($B34=" ","",IFERROR(INDEX(MMWR_RATING_RO_ROLLUP[],MATCH($B34,MMWR_RATING_RO_ROLLUP[MMWR_RATING_RO_ROLLUP],0),MATCH(E$9,MMWR_RATING_RO_ROLLUP[#Headers],0))/$C34,"ERROR"))</f>
        <v>0.12239413680781759</v>
      </c>
      <c r="F34" s="154">
        <f>IF($B34=" ","",IFERROR(INDEX(MMWR_RATING_RO_ROLLUP[],MATCH($B34,MMWR_RATING_RO_ROLLUP[MMWR_RATING_RO_ROLLUP],0),MATCH(F$9,MMWR_RATING_RO_ROLLUP[#Headers],0)),"ERROR"))</f>
        <v>3846</v>
      </c>
      <c r="G34" s="154">
        <f>IF($B34=" ","",IFERROR(INDEX(MMWR_RATING_RO_ROLLUP[],MATCH($B34,MMWR_RATING_RO_ROLLUP[MMWR_RATING_RO_ROLLUP],0),MATCH(G$9,MMWR_RATING_RO_ROLLUP[#Headers],0)),"ERROR"))</f>
        <v>18857</v>
      </c>
      <c r="H34" s="155">
        <f>IF($B34=" ","",IFERROR(INDEX(MMWR_RATING_RO_ROLLUP[],MATCH($B34,MMWR_RATING_RO_ROLLUP[MMWR_RATING_RO_ROLLUP],0),MATCH(H$9,MMWR_RATING_RO_ROLLUP[#Headers],0)),"ERROR"))</f>
        <v>106.0033801352</v>
      </c>
      <c r="I34" s="155">
        <f>IF($B34=" ","",IFERROR(INDEX(MMWR_RATING_RO_ROLLUP[],MATCH($B34,MMWR_RATING_RO_ROLLUP[MMWR_RATING_RO_ROLLUP],0),MATCH(I$9,MMWR_RATING_RO_ROLLUP[#Headers],0)),"ERROR"))</f>
        <v>91.411094023399997</v>
      </c>
      <c r="J34" s="42"/>
      <c r="K34" s="42"/>
      <c r="L34" s="42"/>
      <c r="M34" s="42"/>
      <c r="N34" s="28"/>
    </row>
    <row r="35" spans="1:14" x14ac:dyDescent="0.2">
      <c r="A35" s="43"/>
      <c r="B35" s="12" t="s">
        <v>209</v>
      </c>
      <c r="C35" s="154">
        <f>IF($B35=" ","",IFERROR(INDEX(MMWR_RATING_RO_ROLLUP[],MATCH($B35,MMWR_RATING_RO_ROLLUP[MMWR_RATING_RO_ROLLUP],0),MATCH(C$9,MMWR_RATING_RO_ROLLUP[#Headers],0)),"ERROR"))</f>
        <v>6094</v>
      </c>
      <c r="D35" s="155">
        <f>IF($B35=" ","",IFERROR(INDEX(MMWR_RATING_RO_ROLLUP[],MATCH($B35,MMWR_RATING_RO_ROLLUP[MMWR_RATING_RO_ROLLUP],0),MATCH(D$9,MMWR_RATING_RO_ROLLUP[#Headers],0)),"ERROR"))</f>
        <v>68.050213324599994</v>
      </c>
      <c r="E35" s="156">
        <f>IF($B35=" ","",IFERROR(INDEX(MMWR_RATING_RO_ROLLUP[],MATCH($B35,MMWR_RATING_RO_ROLLUP[MMWR_RATING_RO_ROLLUP],0),MATCH(E$9,MMWR_RATING_RO_ROLLUP[#Headers],0))/$C35,"ERROR"))</f>
        <v>0.13423039054808009</v>
      </c>
      <c r="F35" s="154">
        <f>IF($B35=" ","",IFERROR(INDEX(MMWR_RATING_RO_ROLLUP[],MATCH($B35,MMWR_RATING_RO_ROLLUP[MMWR_RATING_RO_ROLLUP],0),MATCH(F$9,MMWR_RATING_RO_ROLLUP[#Headers],0)),"ERROR"))</f>
        <v>3241</v>
      </c>
      <c r="G35" s="154">
        <f>IF($B35=" ","",IFERROR(INDEX(MMWR_RATING_RO_ROLLUP[],MATCH($B35,MMWR_RATING_RO_ROLLUP[MMWR_RATING_RO_ROLLUP],0),MATCH(G$9,MMWR_RATING_RO_ROLLUP[#Headers],0)),"ERROR"))</f>
        <v>16865</v>
      </c>
      <c r="H35" s="155">
        <f>IF($B35=" ","",IFERROR(INDEX(MMWR_RATING_RO_ROLLUP[],MATCH($B35,MMWR_RATING_RO_ROLLUP[MMWR_RATING_RO_ROLLUP],0),MATCH(H$9,MMWR_RATING_RO_ROLLUP[#Headers],0)),"ERROR"))</f>
        <v>73.597655044700005</v>
      </c>
      <c r="I35" s="155">
        <f>IF($B35=" ","",IFERROR(INDEX(MMWR_RATING_RO_ROLLUP[],MATCH($B35,MMWR_RATING_RO_ROLLUP[MMWR_RATING_RO_ROLLUP],0),MATCH(I$9,MMWR_RATING_RO_ROLLUP[#Headers],0)),"ERROR"))</f>
        <v>70.981381559400006</v>
      </c>
      <c r="J35" s="42"/>
      <c r="K35" s="42"/>
      <c r="L35" s="42"/>
      <c r="M35" s="42"/>
      <c r="N35" s="28"/>
    </row>
    <row r="36" spans="1:14" x14ac:dyDescent="0.2">
      <c r="A36" s="25"/>
      <c r="B36" s="12" t="s">
        <v>212</v>
      </c>
      <c r="C36" s="154">
        <f>IF($B36=" ","",IFERROR(INDEX(MMWR_RATING_RO_ROLLUP[],MATCH($B36,MMWR_RATING_RO_ROLLUP[MMWR_RATING_RO_ROLLUP],0),MATCH(C$9,MMWR_RATING_RO_ROLLUP[#Headers],0)),"ERROR"))</f>
        <v>6945</v>
      </c>
      <c r="D36" s="155">
        <f>IF($B36=" ","",IFERROR(INDEX(MMWR_RATING_RO_ROLLUP[],MATCH($B36,MMWR_RATING_RO_ROLLUP[MMWR_RATING_RO_ROLLUP],0),MATCH(D$9,MMWR_RATING_RO_ROLLUP[#Headers],0)),"ERROR"))</f>
        <v>60.989200863900003</v>
      </c>
      <c r="E36" s="156">
        <f>IF($B36=" ","",IFERROR(INDEX(MMWR_RATING_RO_ROLLUP[],MATCH($B36,MMWR_RATING_RO_ROLLUP[MMWR_RATING_RO_ROLLUP],0),MATCH(E$9,MMWR_RATING_RO_ROLLUP[#Headers],0))/$C36,"ERROR"))</f>
        <v>7.904967602591792E-2</v>
      </c>
      <c r="F36" s="154">
        <f>IF($B36=" ","",IFERROR(INDEX(MMWR_RATING_RO_ROLLUP[],MATCH($B36,MMWR_RATING_RO_ROLLUP[MMWR_RATING_RO_ROLLUP],0),MATCH(F$9,MMWR_RATING_RO_ROLLUP[#Headers],0)),"ERROR"))</f>
        <v>3852</v>
      </c>
      <c r="G36" s="154">
        <f>IF($B36=" ","",IFERROR(INDEX(MMWR_RATING_RO_ROLLUP[],MATCH($B36,MMWR_RATING_RO_ROLLUP[MMWR_RATING_RO_ROLLUP],0),MATCH(G$9,MMWR_RATING_RO_ROLLUP[#Headers],0)),"ERROR"))</f>
        <v>21278</v>
      </c>
      <c r="H36" s="155">
        <f>IF($B36=" ","",IFERROR(INDEX(MMWR_RATING_RO_ROLLUP[],MATCH($B36,MMWR_RATING_RO_ROLLUP[MMWR_RATING_RO_ROLLUP],0),MATCH(H$9,MMWR_RATING_RO_ROLLUP[#Headers],0)),"ERROR"))</f>
        <v>72.497663551399995</v>
      </c>
      <c r="I36" s="155">
        <f>IF($B36=" ","",IFERROR(INDEX(MMWR_RATING_RO_ROLLUP[],MATCH($B36,MMWR_RATING_RO_ROLLUP[MMWR_RATING_RO_ROLLUP],0),MATCH(I$9,MMWR_RATING_RO_ROLLUP[#Headers],0)),"ERROR"))</f>
        <v>67.098693486200006</v>
      </c>
      <c r="J36" s="42"/>
      <c r="K36" s="42"/>
      <c r="L36" s="42"/>
      <c r="M36" s="42"/>
      <c r="N36" s="28"/>
    </row>
    <row r="37" spans="1:14" x14ac:dyDescent="0.2">
      <c r="A37" s="25"/>
      <c r="B37" s="13" t="s">
        <v>224</v>
      </c>
      <c r="C37" s="154">
        <f>IF($B37=" ","",IFERROR(INDEX(MMWR_RATING_RO_ROLLUP[],MATCH($B37,MMWR_RATING_RO_ROLLUP[MMWR_RATING_RO_ROLLUP],0),MATCH(C$9,MMWR_RATING_RO_ROLLUP[#Headers],0)),"ERROR"))</f>
        <v>720</v>
      </c>
      <c r="D37" s="155">
        <f>IF($B37=" ","",IFERROR(INDEX(MMWR_RATING_RO_ROLLUP[],MATCH($B37,MMWR_RATING_RO_ROLLUP[MMWR_RATING_RO_ROLLUP],0),MATCH(D$9,MMWR_RATING_RO_ROLLUP[#Headers],0)),"ERROR"))</f>
        <v>179.35</v>
      </c>
      <c r="E37" s="156">
        <f>IF($B37=" ","",IFERROR(INDEX(MMWR_RATING_RO_ROLLUP[],MATCH($B37,MMWR_RATING_RO_ROLLUP[MMWR_RATING_RO_ROLLUP],0),MATCH(E$9,MMWR_RATING_RO_ROLLUP[#Headers],0))/$C37,"ERROR"))</f>
        <v>0.51527777777777772</v>
      </c>
      <c r="F37" s="154">
        <f>IF($B37=" ","",IFERROR(INDEX(MMWR_RATING_RO_ROLLUP[],MATCH($B37,MMWR_RATING_RO_ROLLUP[MMWR_RATING_RO_ROLLUP],0),MATCH(F$9,MMWR_RATING_RO_ROLLUP[#Headers],0)),"ERROR"))</f>
        <v>394</v>
      </c>
      <c r="G37" s="154">
        <f>IF($B37=" ","",IFERROR(INDEX(MMWR_RATING_RO_ROLLUP[],MATCH($B37,MMWR_RATING_RO_ROLLUP[MMWR_RATING_RO_ROLLUP],0),MATCH(G$9,MMWR_RATING_RO_ROLLUP[#Headers],0)),"ERROR"))</f>
        <v>2121</v>
      </c>
      <c r="H37" s="155">
        <f>IF($B37=" ","",IFERROR(INDEX(MMWR_RATING_RO_ROLLUP[],MATCH($B37,MMWR_RATING_RO_ROLLUP[MMWR_RATING_RO_ROLLUP],0),MATCH(H$9,MMWR_RATING_RO_ROLLUP[#Headers],0)),"ERROR"))</f>
        <v>57.005076142100002</v>
      </c>
      <c r="I37" s="155">
        <f>IF($B37=" ","",IFERROR(INDEX(MMWR_RATING_RO_ROLLUP[],MATCH($B37,MMWR_RATING_RO_ROLLUP[MMWR_RATING_RO_ROLLUP],0),MATCH(I$9,MMWR_RATING_RO_ROLLUP[#Headers],0)),"ERROR"))</f>
        <v>54.597359736000001</v>
      </c>
      <c r="J37" s="42"/>
      <c r="K37" s="42"/>
      <c r="L37" s="42"/>
      <c r="M37" s="42"/>
      <c r="N37" s="28"/>
    </row>
    <row r="38" spans="1:14" x14ac:dyDescent="0.2">
      <c r="A38" s="25"/>
      <c r="B38" s="377" t="s">
        <v>917</v>
      </c>
      <c r="C38" s="378"/>
      <c r="D38" s="378"/>
      <c r="E38" s="378"/>
      <c r="F38" s="378"/>
      <c r="G38" s="378"/>
      <c r="H38" s="378"/>
      <c r="I38" s="378"/>
      <c r="J38" s="378"/>
      <c r="K38" s="378"/>
      <c r="L38" s="378"/>
      <c r="M38" s="387"/>
      <c r="N38" s="28"/>
    </row>
    <row r="39" spans="1:14" x14ac:dyDescent="0.2">
      <c r="A39" s="25"/>
      <c r="B39" s="44" t="s">
        <v>698</v>
      </c>
      <c r="C39" s="154">
        <f>IF($B39=" ","",IFERROR(INDEX(MMWR_RATING_RO_ROLLUP[],MATCH($B39,MMWR_RATING_RO_ROLLUP[MMWR_RATING_RO_ROLLUP],0),MATCH(C$9,MMWR_RATING_RO_ROLLUP[#Headers],0)),"ERROR"))</f>
        <v>10002</v>
      </c>
      <c r="D39" s="155">
        <f>IF($B39=" ","",IFERROR(INDEX(MMWR_RATING_RO_ROLLUP[],MATCH($B39,MMWR_RATING_RO_ROLLUP[MMWR_RATING_RO_ROLLUP],0),MATCH(D$9,MMWR_RATING_RO_ROLLUP[#Headers],0)),"ERROR"))</f>
        <v>93.487202559500005</v>
      </c>
      <c r="E39" s="156">
        <f>IF($B39=" ","",IFERROR(INDEX(MMWR_RATING_RO_ROLLUP[],MATCH($B39,MMWR_RATING_RO_ROLLUP[MMWR_RATING_RO_ROLLUP],0),MATCH(E$9,MMWR_RATING_RO_ROLLUP[#Headers],0))/$C39,"ERROR"))</f>
        <v>0.28084383123375323</v>
      </c>
      <c r="F39" s="154">
        <f>IF($B39=" ","",IFERROR(INDEX(MMWR_RATING_RO_ROLLUP[],MATCH($B39,MMWR_RATING_RO_ROLLUP[MMWR_RATING_RO_ROLLUP],0),MATCH(F$9,MMWR_RATING_RO_ROLLUP[#Headers],0)),"ERROR"))</f>
        <v>2065</v>
      </c>
      <c r="G39" s="154">
        <f>IF($B39=" ","",IFERROR(INDEX(MMWR_RATING_RO_ROLLUP[],MATCH($B39,MMWR_RATING_RO_ROLLUP[MMWR_RATING_RO_ROLLUP],0),MATCH(G$9,MMWR_RATING_RO_ROLLUP[#Headers],0)),"ERROR"))</f>
        <v>8519</v>
      </c>
      <c r="H39" s="155">
        <f>IF($B39=" ","",IFERROR(INDEX(MMWR_RATING_RO_ROLLUP[],MATCH($B39,MMWR_RATING_RO_ROLLUP[MMWR_RATING_RO_ROLLUP],0),MATCH(H$9,MMWR_RATING_RO_ROLLUP[#Headers],0)),"ERROR"))</f>
        <v>153.45569007259999</v>
      </c>
      <c r="I39" s="155">
        <f>IF($B39=" ","",IFERROR(INDEX(MMWR_RATING_RO_ROLLUP[],MATCH($B39,MMWR_RATING_RO_ROLLUP[MMWR_RATING_RO_ROLLUP],0),MATCH(I$9,MMWR_RATING_RO_ROLLUP[#Headers],0)),"ERROR"))</f>
        <v>147.20671440309999</v>
      </c>
      <c r="J39" s="42"/>
      <c r="K39" s="42"/>
      <c r="L39" s="42"/>
      <c r="M39" s="42"/>
      <c r="N39" s="28"/>
    </row>
    <row r="40" spans="1:14" x14ac:dyDescent="0.2">
      <c r="A40" s="25"/>
      <c r="B40" s="53" t="s">
        <v>957</v>
      </c>
      <c r="C40" s="154">
        <f>IF($B40=" ","",IFERROR(INDEX(MMWR_RATING_RO_ROLLUP[],MATCH($B40,MMWR_RATING_RO_ROLLUP[MMWR_RATING_RO_ROLLUP],0),MATCH(C$9,MMWR_RATING_RO_ROLLUP[#Headers],0)),"ERROR"))</f>
        <v>1518</v>
      </c>
      <c r="D40" s="155">
        <f>IF($B40=" ","",IFERROR(INDEX(MMWR_RATING_RO_ROLLUP[],MATCH($B40,MMWR_RATING_RO_ROLLUP[MMWR_RATING_RO_ROLLUP],0),MATCH(D$9,MMWR_RATING_RO_ROLLUP[#Headers],0)),"ERROR"))</f>
        <v>85.098155467699996</v>
      </c>
      <c r="E40" s="156">
        <f>IF($B40=" ","",IFERROR(INDEX(MMWR_RATING_RO_ROLLUP[],MATCH($B40,MMWR_RATING_RO_ROLLUP[MMWR_RATING_RO_ROLLUP],0),MATCH(E$9,MMWR_RATING_RO_ROLLUP[#Headers],0))/$C40,"ERROR"))</f>
        <v>0.23583662714097497</v>
      </c>
      <c r="F40" s="154">
        <f>IF($B40=" ","",IFERROR(INDEX(MMWR_RATING_RO_ROLLUP[],MATCH($B40,MMWR_RATING_RO_ROLLUP[MMWR_RATING_RO_ROLLUP],0),MATCH(F$9,MMWR_RATING_RO_ROLLUP[#Headers],0)),"ERROR"))</f>
        <v>430</v>
      </c>
      <c r="G40" s="154">
        <f>IF($B40=" ","",IFERROR(INDEX(MMWR_RATING_RO_ROLLUP[],MATCH($B40,MMWR_RATING_RO_ROLLUP[MMWR_RATING_RO_ROLLUP],0),MATCH(G$9,MMWR_RATING_RO_ROLLUP[#Headers],0)),"ERROR"))</f>
        <v>1876</v>
      </c>
      <c r="H40" s="155">
        <f>IF($B40=" ","",IFERROR(INDEX(MMWR_RATING_RO_ROLLUP[],MATCH($B40,MMWR_RATING_RO_ROLLUP[MMWR_RATING_RO_ROLLUP],0),MATCH(H$9,MMWR_RATING_RO_ROLLUP[#Headers],0)),"ERROR"))</f>
        <v>142.74186046509999</v>
      </c>
      <c r="I40" s="155">
        <f>IF($B40=" ","",IFERROR(INDEX(MMWR_RATING_RO_ROLLUP[],MATCH($B40,MMWR_RATING_RO_ROLLUP[MMWR_RATING_RO_ROLLUP],0),MATCH(I$9,MMWR_RATING_RO_ROLLUP[#Headers],0)),"ERROR"))</f>
        <v>132.0181236674</v>
      </c>
      <c r="J40" s="42"/>
      <c r="K40" s="42"/>
      <c r="L40" s="42"/>
      <c r="M40" s="42"/>
      <c r="N40" s="28"/>
    </row>
    <row r="41" spans="1:14" x14ac:dyDescent="0.2">
      <c r="A41" s="25"/>
      <c r="B41" s="53" t="s">
        <v>958</v>
      </c>
      <c r="C41" s="154">
        <f>IF($B41=" ","",IFERROR(INDEX(MMWR_RATING_RO_ROLLUP[],MATCH($B41,MMWR_RATING_RO_ROLLUP[MMWR_RATING_RO_ROLLUP],0),MATCH(C$9,MMWR_RATING_RO_ROLLUP[#Headers],0)),"ERROR"))</f>
        <v>1564</v>
      </c>
      <c r="D41" s="155">
        <f>IF($B41=" ","",IFERROR(INDEX(MMWR_RATING_RO_ROLLUP[],MATCH($B41,MMWR_RATING_RO_ROLLUP[MMWR_RATING_RO_ROLLUP],0),MATCH(D$9,MMWR_RATING_RO_ROLLUP[#Headers],0)),"ERROR"))</f>
        <v>102.2512787724</v>
      </c>
      <c r="E41" s="156">
        <f>IF($B41=" ","",IFERROR(INDEX(MMWR_RATING_RO_ROLLUP[],MATCH($B41,MMWR_RATING_RO_ROLLUP[MMWR_RATING_RO_ROLLUP],0),MATCH(E$9,MMWR_RATING_RO_ROLLUP[#Headers],0))/$C41,"ERROR"))</f>
        <v>0.35613810741687979</v>
      </c>
      <c r="F41" s="154">
        <f>IF($B41=" ","",IFERROR(INDEX(MMWR_RATING_RO_ROLLUP[],MATCH($B41,MMWR_RATING_RO_ROLLUP[MMWR_RATING_RO_ROLLUP],0),MATCH(F$9,MMWR_RATING_RO_ROLLUP[#Headers],0)),"ERROR"))</f>
        <v>314</v>
      </c>
      <c r="G41" s="154">
        <f>IF($B41=" ","",IFERROR(INDEX(MMWR_RATING_RO_ROLLUP[],MATCH($B41,MMWR_RATING_RO_ROLLUP[MMWR_RATING_RO_ROLLUP],0),MATCH(G$9,MMWR_RATING_RO_ROLLUP[#Headers],0)),"ERROR"))</f>
        <v>1455</v>
      </c>
      <c r="H41" s="155">
        <f>IF($B41=" ","",IFERROR(INDEX(MMWR_RATING_RO_ROLLUP[],MATCH($B41,MMWR_RATING_RO_ROLLUP[MMWR_RATING_RO_ROLLUP],0),MATCH(H$9,MMWR_RATING_RO_ROLLUP[#Headers],0)),"ERROR"))</f>
        <v>163.5031847134</v>
      </c>
      <c r="I41" s="155">
        <f>IF($B41=" ","",IFERROR(INDEX(MMWR_RATING_RO_ROLLUP[],MATCH($B41,MMWR_RATING_RO_ROLLUP[MMWR_RATING_RO_ROLLUP],0),MATCH(I$9,MMWR_RATING_RO_ROLLUP[#Headers],0)),"ERROR"))</f>
        <v>156.71546391749999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6920</v>
      </c>
      <c r="D42" s="155">
        <f>IF($B42=" ","",IFERROR(INDEX(MMWR_RATING_RO_ROLLUP[],MATCH($B42,MMWR_RATING_RO_ROLLUP[MMWR_RATING_RO_ROLLUP],0),MATCH(D$9,MMWR_RATING_RO_ROLLUP[#Headers],0)),"ERROR"))</f>
        <v>93.346676300599995</v>
      </c>
      <c r="E42" s="156">
        <f>IF($B42=" ","",IFERROR(INDEX(MMWR_RATING_RO_ROLLUP[],MATCH($B42,MMWR_RATING_RO_ROLLUP[MMWR_RATING_RO_ROLLUP],0),MATCH(E$9,MMWR_RATING_RO_ROLLUP[#Headers],0))/$C42,"ERROR"))</f>
        <v>0.27369942196531793</v>
      </c>
      <c r="F42" s="154">
        <f>IF($B42=" ","",IFERROR(INDEX(MMWR_RATING_RO_ROLLUP[],MATCH($B42,MMWR_RATING_RO_ROLLUP[MMWR_RATING_RO_ROLLUP],0),MATCH(F$9,MMWR_RATING_RO_ROLLUP[#Headers],0)),"ERROR"))</f>
        <v>1321</v>
      </c>
      <c r="G42" s="154">
        <f>IF($B42=" ","",IFERROR(INDEX(MMWR_RATING_RO_ROLLUP[],MATCH($B42,MMWR_RATING_RO_ROLLUP[MMWR_RATING_RO_ROLLUP],0),MATCH(G$9,MMWR_RATING_RO_ROLLUP[#Headers],0)),"ERROR"))</f>
        <v>5188</v>
      </c>
      <c r="H42" s="155">
        <f>IF($B42=" ","",IFERROR(INDEX(MMWR_RATING_RO_ROLLUP[],MATCH($B42,MMWR_RATING_RO_ROLLUP[MMWR_RATING_RO_ROLLUP],0),MATCH(H$9,MMWR_RATING_RO_ROLLUP[#Headers],0)),"ERROR"))</f>
        <v>154.5548826646</v>
      </c>
      <c r="I42" s="155">
        <f>IF($B42=" ","",IFERROR(INDEX(MMWR_RATING_RO_ROLLUP[],MATCH($B42,MMWR_RATING_RO_ROLLUP[MMWR_RATING_RO_ROLLUP],0),MATCH(I$9,MMWR_RATING_RO_ROLLUP[#Headers],0)),"ERROR"))</f>
        <v>150.0321896685</v>
      </c>
      <c r="J42" s="42"/>
      <c r="K42" s="42"/>
      <c r="L42" s="42"/>
      <c r="M42" s="42"/>
      <c r="N42" s="28"/>
    </row>
    <row r="43" spans="1:14" x14ac:dyDescent="0.2">
      <c r="A43" s="25"/>
      <c r="B43" s="377" t="s">
        <v>735</v>
      </c>
      <c r="C43" s="378"/>
      <c r="D43" s="378"/>
      <c r="E43" s="378"/>
      <c r="F43" s="378"/>
      <c r="G43" s="378"/>
      <c r="H43" s="378"/>
      <c r="I43" s="378"/>
      <c r="J43" s="378"/>
      <c r="K43" s="378"/>
      <c r="L43" s="378"/>
      <c r="M43" s="387"/>
      <c r="N43" s="28"/>
    </row>
    <row r="44" spans="1:14" x14ac:dyDescent="0.2">
      <c r="A44" s="25"/>
      <c r="B44" s="44" t="s">
        <v>696</v>
      </c>
      <c r="C44" s="154">
        <f>IF($B44=" ","",IFERROR(INDEX(MMWR_RATING_RO_ROLLUP[],MATCH($B44,MMWR_RATING_RO_ROLLUP[MMWR_RATING_RO_ROLLUP],0),MATCH(C$9,MMWR_RATING_RO_ROLLUP[#Headers],0)),"ERROR"))</f>
        <v>10105</v>
      </c>
      <c r="D44" s="155">
        <f>IF($B44=" ","",IFERROR(INDEX(MMWR_RATING_RO_ROLLUP[],MATCH($B44,MMWR_RATING_RO_ROLLUP[MMWR_RATING_RO_ROLLUP],0),MATCH(D$9,MMWR_RATING_RO_ROLLUP[#Headers],0)),"ERROR"))</f>
        <v>89.376744185999996</v>
      </c>
      <c r="E44" s="156">
        <f>IF($B44=" ","",IFERROR(INDEX(MMWR_RATING_RO_ROLLUP[],MATCH($B44,MMWR_RATING_RO_ROLLUP[MMWR_RATING_RO_ROLLUP],0),MATCH(E$9,MMWR_RATING_RO_ROLLUP[#Headers],0))/$C44,"ERROR"))</f>
        <v>0.23107372587827807</v>
      </c>
      <c r="F44" s="154">
        <f>IF($B44=" ","",IFERROR(INDEX(MMWR_RATING_RO_ROLLUP[],MATCH($B44,MMWR_RATING_RO_ROLLUP[MMWR_RATING_RO_ROLLUP],0),MATCH(F$9,MMWR_RATING_RO_ROLLUP[#Headers],0)),"ERROR"))</f>
        <v>2444</v>
      </c>
      <c r="G44" s="154">
        <f>IF($B44=" ","",IFERROR(INDEX(MMWR_RATING_RO_ROLLUP[],MATCH($B44,MMWR_RATING_RO_ROLLUP[MMWR_RATING_RO_ROLLUP],0),MATCH(G$9,MMWR_RATING_RO_ROLLUP[#Headers],0)),"ERROR"))</f>
        <v>10537</v>
      </c>
      <c r="H44" s="155">
        <f>IF($B44=" ","",IFERROR(INDEX(MMWR_RATING_RO_ROLLUP[],MATCH($B44,MMWR_RATING_RO_ROLLUP[MMWR_RATING_RO_ROLLUP],0),MATCH(H$9,MMWR_RATING_RO_ROLLUP[#Headers],0)),"ERROR"))</f>
        <v>146.5388707038</v>
      </c>
      <c r="I44" s="155">
        <f>IF($B44=" ","",IFERROR(INDEX(MMWR_RATING_RO_ROLLUP[],MATCH($B44,MMWR_RATING_RO_ROLLUP[MMWR_RATING_RO_ROLLUP],0),MATCH(I$9,MMWR_RATING_RO_ROLLUP[#Headers],0)),"ERROR"))</f>
        <v>139.6254152036</v>
      </c>
      <c r="J44" s="42"/>
      <c r="K44" s="42"/>
      <c r="L44" s="42"/>
      <c r="M44" s="42"/>
      <c r="N44" s="28"/>
    </row>
    <row r="45" spans="1:14" x14ac:dyDescent="0.2">
      <c r="A45" s="25"/>
      <c r="B45" s="45" t="s">
        <v>211</v>
      </c>
      <c r="C45" s="154">
        <f>IF($B45=" ","",IFERROR(INDEX(MMWR_RATING_RO_ROLLUP[],MATCH($B45,MMWR_RATING_RO_ROLLUP[MMWR_RATING_RO_ROLLUP],0),MATCH(C$9,MMWR_RATING_RO_ROLLUP[#Headers],0)),"ERROR"))</f>
        <v>63</v>
      </c>
      <c r="D45" s="155">
        <f>IF($B45=" ","",IFERROR(INDEX(MMWR_RATING_RO_ROLLUP[],MATCH($B45,MMWR_RATING_RO_ROLLUP[MMWR_RATING_RO_ROLLUP],0),MATCH(D$9,MMWR_RATING_RO_ROLLUP[#Headers],0)),"ERROR"))</f>
        <v>92.793650793699996</v>
      </c>
      <c r="E45" s="156">
        <f>IF($B45=" ","",IFERROR(INDEX(MMWR_RATING_RO_ROLLUP[],MATCH($B45,MMWR_RATING_RO_ROLLUP[MMWR_RATING_RO_ROLLUP],0),MATCH(E$9,MMWR_RATING_RO_ROLLUP[#Headers],0))/$C45,"ERROR"))</f>
        <v>0.23809523809523808</v>
      </c>
      <c r="F45" s="154">
        <f>IF($B45=" ","",IFERROR(INDEX(MMWR_RATING_RO_ROLLUP[],MATCH($B45,MMWR_RATING_RO_ROLLUP[MMWR_RATING_RO_ROLLUP],0),MATCH(F$9,MMWR_RATING_RO_ROLLUP[#Headers],0)),"ERROR"))</f>
        <v>13</v>
      </c>
      <c r="G45" s="154">
        <f>IF($B45=" ","",IFERROR(INDEX(MMWR_RATING_RO_ROLLUP[],MATCH($B45,MMWR_RATING_RO_ROLLUP[MMWR_RATING_RO_ROLLUP],0),MATCH(G$9,MMWR_RATING_RO_ROLLUP[#Headers],0)),"ERROR"))</f>
        <v>75</v>
      </c>
      <c r="H45" s="155">
        <f>IF($B45=" ","",IFERROR(INDEX(MMWR_RATING_RO_ROLLUP[],MATCH($B45,MMWR_RATING_RO_ROLLUP[MMWR_RATING_RO_ROLLUP],0),MATCH(H$9,MMWR_RATING_RO_ROLLUP[#Headers],0)),"ERROR"))</f>
        <v>129.38461538460001</v>
      </c>
      <c r="I45" s="155">
        <f>IF($B45=" ","",IFERROR(INDEX(MMWR_RATING_RO_ROLLUP[],MATCH($B45,MMWR_RATING_RO_ROLLUP[MMWR_RATING_RO_ROLLUP],0),MATCH(I$9,MMWR_RATING_RO_ROLLUP[#Headers],0)),"ERROR"))</f>
        <v>141.28</v>
      </c>
      <c r="J45" s="42"/>
      <c r="K45" s="42"/>
      <c r="L45" s="42"/>
      <c r="M45" s="42"/>
      <c r="N45" s="28"/>
    </row>
    <row r="46" spans="1:14" x14ac:dyDescent="0.2">
      <c r="A46" s="25"/>
      <c r="B46" s="45" t="s">
        <v>213</v>
      </c>
      <c r="C46" s="154">
        <f>IF($B46=" ","",IFERROR(INDEX(MMWR_RATING_RO_ROLLUP[],MATCH($B46,MMWR_RATING_RO_ROLLUP[MMWR_RATING_RO_ROLLUP],0),MATCH(C$9,MMWR_RATING_RO_ROLLUP[#Headers],0)),"ERROR"))</f>
        <v>1548</v>
      </c>
      <c r="D46" s="155">
        <f>IF($B46=" ","",IFERROR(INDEX(MMWR_RATING_RO_ROLLUP[],MATCH($B46,MMWR_RATING_RO_ROLLUP[MMWR_RATING_RO_ROLLUP],0),MATCH(D$9,MMWR_RATING_RO_ROLLUP[#Headers],0)),"ERROR"))</f>
        <v>91.901808785499995</v>
      </c>
      <c r="E46" s="156">
        <f>IF($B46=" ","",IFERROR(INDEX(MMWR_RATING_RO_ROLLUP[],MATCH($B46,MMWR_RATING_RO_ROLLUP[MMWR_RATING_RO_ROLLUP],0),MATCH(E$9,MMWR_RATING_RO_ROLLUP[#Headers],0))/$C46,"ERROR"))</f>
        <v>0.26033591731266148</v>
      </c>
      <c r="F46" s="154">
        <f>IF($B46=" ","",IFERROR(INDEX(MMWR_RATING_RO_ROLLUP[],MATCH($B46,MMWR_RATING_RO_ROLLUP[MMWR_RATING_RO_ROLLUP],0),MATCH(F$9,MMWR_RATING_RO_ROLLUP[#Headers],0)),"ERROR"))</f>
        <v>330</v>
      </c>
      <c r="G46" s="154">
        <f>IF($B46=" ","",IFERROR(INDEX(MMWR_RATING_RO_ROLLUP[],MATCH($B46,MMWR_RATING_RO_ROLLUP[MMWR_RATING_RO_ROLLUP],0),MATCH(G$9,MMWR_RATING_RO_ROLLUP[#Headers],0)),"ERROR"))</f>
        <v>1880</v>
      </c>
      <c r="H46" s="155">
        <f>IF($B46=" ","",IFERROR(INDEX(MMWR_RATING_RO_ROLLUP[],MATCH($B46,MMWR_RATING_RO_ROLLUP[MMWR_RATING_RO_ROLLUP],0),MATCH(H$9,MMWR_RATING_RO_ROLLUP[#Headers],0)),"ERROR"))</f>
        <v>155.95454545449999</v>
      </c>
      <c r="I46" s="155">
        <f>IF($B46=" ","",IFERROR(INDEX(MMWR_RATING_RO_ROLLUP[],MATCH($B46,MMWR_RATING_RO_ROLLUP[MMWR_RATING_RO_ROLLUP],0),MATCH(I$9,MMWR_RATING_RO_ROLLUP[#Headers],0)),"ERROR"))</f>
        <v>148.13510638299999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8494</v>
      </c>
      <c r="D47" s="155">
        <f>IF($B47=" ","",IFERROR(INDEX(MMWR_RATING_RO_ROLLUP[],MATCH($B47,MMWR_RATING_RO_ROLLUP[MMWR_RATING_RO_ROLLUP],0),MATCH(D$9,MMWR_RATING_RO_ROLLUP[#Headers],0)),"ERROR"))</f>
        <v>88.891217329900002</v>
      </c>
      <c r="E47" s="156">
        <f>IF($B47=" ","",IFERROR(INDEX(MMWR_RATING_RO_ROLLUP[],MATCH($B47,MMWR_RATING_RO_ROLLUP[MMWR_RATING_RO_ROLLUP],0),MATCH(E$9,MMWR_RATING_RO_ROLLUP[#Headers],0))/$C47,"ERROR"))</f>
        <v>0.22568872145043561</v>
      </c>
      <c r="F47" s="154">
        <f>IF($B47=" ","",IFERROR(INDEX(MMWR_RATING_RO_ROLLUP[],MATCH($B47,MMWR_RATING_RO_ROLLUP[MMWR_RATING_RO_ROLLUP],0),MATCH(F$9,MMWR_RATING_RO_ROLLUP[#Headers],0)),"ERROR"))</f>
        <v>2101</v>
      </c>
      <c r="G47" s="154">
        <f>IF($B47=" ","",IFERROR(INDEX(MMWR_RATING_RO_ROLLUP[],MATCH($B47,MMWR_RATING_RO_ROLLUP[MMWR_RATING_RO_ROLLUP],0),MATCH(G$9,MMWR_RATING_RO_ROLLUP[#Headers],0)),"ERROR"))</f>
        <v>8582</v>
      </c>
      <c r="H47" s="155">
        <f>IF($B47=" ","",IFERROR(INDEX(MMWR_RATING_RO_ROLLUP[],MATCH($B47,MMWR_RATING_RO_ROLLUP[MMWR_RATING_RO_ROLLUP],0),MATCH(H$9,MMWR_RATING_RO_ROLLUP[#Headers],0)),"ERROR"))</f>
        <v>145.16611137550001</v>
      </c>
      <c r="I47" s="155">
        <f>IF($B47=" ","",IFERROR(INDEX(MMWR_RATING_RO_ROLLUP[],MATCH($B47,MMWR_RATING_RO_ROLLUP[MMWR_RATING_RO_ROLLUP],0),MATCH(I$9,MMWR_RATING_RO_ROLLUP[#Headers],0)),"ERROR"))</f>
        <v>137.74679561869999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978</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February 27, 2016</v>
      </c>
      <c r="K3" s="353"/>
      <c r="L3" s="353"/>
      <c r="M3" s="354"/>
      <c r="N3" s="28"/>
    </row>
    <row r="4" spans="1:15" ht="51.75" customHeight="1" thickBot="1" x14ac:dyDescent="0.35">
      <c r="A4" s="30"/>
      <c r="B4" s="246" t="s">
        <v>456</v>
      </c>
      <c r="C4" s="355" t="s">
        <v>432</v>
      </c>
      <c r="D4" s="356"/>
      <c r="E4" s="356"/>
      <c r="F4" s="356"/>
      <c r="G4" s="356"/>
      <c r="H4" s="356"/>
      <c r="I4" s="356"/>
      <c r="J4" s="356"/>
      <c r="K4" s="356"/>
      <c r="L4" s="356"/>
      <c r="M4" s="357"/>
      <c r="N4" s="28"/>
    </row>
    <row r="5" spans="1:15" ht="27" customHeight="1" thickBot="1" x14ac:dyDescent="0.25">
      <c r="A5" s="30"/>
      <c r="B5" s="245" t="s">
        <v>370</v>
      </c>
      <c r="C5" s="358" t="s">
        <v>1042</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973</v>
      </c>
      <c r="K11" s="389"/>
      <c r="L11" s="389"/>
      <c r="M11" s="390"/>
      <c r="N11" s="28"/>
    </row>
    <row r="12" spans="1:15" x14ac:dyDescent="0.2">
      <c r="A12" s="25"/>
      <c r="B12" s="41" t="s">
        <v>730</v>
      </c>
      <c r="C12" s="154">
        <f>IF($B12=" ","",IFERROR(INDEX(MMWR_RATING_STATE_ROLLUP_VSC[],MATCH($B12,MMWR_RATING_STATE_ROLLUP_VSC[MMWR_RATING_STATE_ROLLUP_VSC],0),MATCH(C$9,MMWR_RATING_STATE_ROLLUP_VSC[#Headers],0)),"ERROR"))</f>
        <v>348466</v>
      </c>
      <c r="D12" s="155">
        <f>IF($B12=" ","",IFERROR(INDEX(MMWR_RATING_STATE_ROLLUP_VSC[],MATCH($B12,MMWR_RATING_STATE_ROLLUP_VSC[MMWR_RATING_STATE_ROLLUP_VSC],0),MATCH(D$9,MMWR_RATING_STATE_ROLLUP_VSC[#Headers],0)),"ERROR"))</f>
        <v>92.364339705999996</v>
      </c>
      <c r="E12" s="157">
        <f>IF($B12=" ","",IFERROR(INDEX(MMWR_RATING_STATE_ROLLUP_VSC[],MATCH($B12,MMWR_RATING_STATE_ROLLUP_VSC[MMWR_RATING_STATE_ROLLUP_VSC],0),MATCH(E$9,MMWR_RATING_STATE_ROLLUP_VSC[#Headers],0))/$C12,"ERROR"))</f>
        <v>0.23374159889343579</v>
      </c>
      <c r="F12" s="154">
        <f>IF($B12=" ","",IFERROR(INDEX(MMWR_RATING_STATE_ROLLUP_VSC[],MATCH($B12,MMWR_RATING_STATE_ROLLUP_VSC[MMWR_RATING_STATE_ROLLUP_VSC],0),MATCH(F$9,MMWR_RATING_STATE_ROLLUP_VSC[#Headers],0)),"ERROR"))</f>
        <v>96750</v>
      </c>
      <c r="G12" s="154">
        <f>IF($B12=" ","",IFERROR(INDEX(MMWR_RATING_STATE_ROLLUP_VSC[],MATCH($B12,MMWR_RATING_STATE_ROLLUP_VSC[MMWR_RATING_STATE_ROLLUP_VSC],0),MATCH(G$9,MMWR_RATING_STATE_ROLLUP_VSC[#Headers],0)),"ERROR"))</f>
        <v>506253</v>
      </c>
      <c r="H12" s="155">
        <f>IF($B12=" ","",IFERROR(INDEX(MMWR_RATING_STATE_ROLLUP_VSC[],MATCH($B12,MMWR_RATING_STATE_ROLLUP_VSC[MMWR_RATING_STATE_ROLLUP_VSC],0),MATCH(H$9,MMWR_RATING_STATE_ROLLUP_VSC[#Headers],0)),"ERROR"))</f>
        <v>125.5763100775</v>
      </c>
      <c r="I12" s="155">
        <f>IF($B12=" ","",IFERROR(INDEX(MMWR_RATING_STATE_ROLLUP_VSC[],MATCH($B12,MMWR_RATING_STATE_ROLLUP_VSC[MMWR_RATING_STATE_ROLLUP_VSC],0),MATCH(I$9,MMWR_RATING_STATE_ROLLUP_VSC[#Headers],0)),"ERROR"))</f>
        <v>127.677991044</v>
      </c>
      <c r="J12" s="42"/>
      <c r="K12" s="42"/>
      <c r="L12" s="42"/>
      <c r="M12" s="42"/>
      <c r="N12" s="28"/>
    </row>
    <row r="13" spans="1:15" x14ac:dyDescent="0.2">
      <c r="A13" s="25"/>
      <c r="B13" s="377" t="s">
        <v>959</v>
      </c>
      <c r="C13" s="378"/>
      <c r="D13" s="378"/>
      <c r="E13" s="378"/>
      <c r="F13" s="378"/>
      <c r="G13" s="378"/>
      <c r="H13" s="378"/>
      <c r="I13" s="378"/>
      <c r="J13" s="378"/>
      <c r="K13" s="378"/>
      <c r="L13" s="378"/>
      <c r="M13" s="387"/>
      <c r="N13" s="28"/>
    </row>
    <row r="14" spans="1:15" x14ac:dyDescent="0.2">
      <c r="A14" s="25"/>
      <c r="B14" s="41" t="s">
        <v>1036</v>
      </c>
      <c r="C14" s="154">
        <f>IF($B14=" ","",IFERROR(INDEX(MMWR_RATING_STATE_ROLLUP_VSC[],MATCH($B14,MMWR_RATING_STATE_ROLLUP_VSC[MMWR_RATING_STATE_ROLLUP_VSC],0),MATCH(C$9,MMWR_RATING_STATE_ROLLUP_VSC[#Headers],0)),"ERROR"))</f>
        <v>302321</v>
      </c>
      <c r="D14" s="155">
        <f>IF($B14=" ","",IFERROR(INDEX(MMWR_RATING_STATE_ROLLUP_VSC[],MATCH($B14,MMWR_RATING_STATE_ROLLUP_VSC[MMWR_RATING_STATE_ROLLUP_VSC],0),MATCH(D$9,MMWR_RATING_STATE_ROLLUP_VSC[#Headers],0)),"ERROR"))</f>
        <v>94.362379722200004</v>
      </c>
      <c r="E14" s="156">
        <f>IF($B14=" ","",IFERROR(INDEX(MMWR_RATING_STATE_ROLLUP_VSC[],MATCH($B14,MMWR_RATING_STATE_ROLLUP_VSC[MMWR_RATING_STATE_ROLLUP_VSC],0),MATCH(E$9,MMWR_RATING_STATE_ROLLUP_VSC[#Headers],0))/$C14,"ERROR"))</f>
        <v>0.24168681633098593</v>
      </c>
      <c r="F14" s="154">
        <f>IF($B14=" ","",IFERROR(INDEX(MMWR_RATING_STATE_ROLLUP_VSC[],MATCH($B14,MMWR_RATING_STATE_ROLLUP_VSC[MMWR_RATING_STATE_ROLLUP_VSC],0),MATCH(F$9,MMWR_RATING_STATE_ROLLUP_VSC[#Headers],0)),"ERROR"))</f>
        <v>80908</v>
      </c>
      <c r="G14" s="154">
        <f>IF($B14=" ","",IFERROR(INDEX(MMWR_RATING_STATE_ROLLUP_VSC[],MATCH($B14,MMWR_RATING_STATE_ROLLUP_VSC[MMWR_RATING_STATE_ROLLUP_VSC],0),MATCH(G$9,MMWR_RATING_STATE_ROLLUP_VSC[#Headers],0)),"ERROR"))</f>
        <v>428076</v>
      </c>
      <c r="H14" s="155">
        <f>IF($B14=" ","",IFERROR(INDEX(MMWR_RATING_STATE_ROLLUP_VSC[],MATCH($B14,MMWR_RATING_STATE_ROLLUP_VSC[MMWR_RATING_STATE_ROLLUP_VSC],0),MATCH(H$9,MMWR_RATING_STATE_ROLLUP_VSC[#Headers],0)),"ERROR"))</f>
        <v>130.10506995599999</v>
      </c>
      <c r="I14" s="155">
        <f>IF($B14=" ","",IFERROR(INDEX(MMWR_RATING_STATE_ROLLUP_VSC[],MATCH($B14,MMWR_RATING_STATE_ROLLUP_VSC[MMWR_RATING_STATE_ROLLUP_VSC],0),MATCH(I$9,MMWR_RATING_STATE_ROLLUP_VSC[#Headers],0)),"ERROR"))</f>
        <v>134.19979629790001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65539</v>
      </c>
      <c r="D15" s="155">
        <f>IF($B15=" ","",IFERROR(INDEX(MMWR_RATING_STATE_ROLLUP_VSC[],MATCH($B15,MMWR_RATING_STATE_ROLLUP_VSC[MMWR_RATING_STATE_ROLLUP_VSC],0),MATCH(D$9,MMWR_RATING_STATE_ROLLUP_VSC[#Headers],0)),"ERROR"))</f>
        <v>96.4817131784</v>
      </c>
      <c r="E15" s="156">
        <f>IF($B15=" ","",IFERROR(INDEX(MMWR_RATING_STATE_ROLLUP_VSC[],MATCH($B15,MMWR_RATING_STATE_ROLLUP_VSC[MMWR_RATING_STATE_ROLLUP_VSC],0),MATCH(E$9,MMWR_RATING_STATE_ROLLUP_VSC[#Headers],0))/$C15,"ERROR"))</f>
        <v>0.25302491646195396</v>
      </c>
      <c r="F15" s="154">
        <f>IF($B15=" ","",IFERROR(INDEX(MMWR_RATING_STATE_ROLLUP_VSC[],MATCH($B15,MMWR_RATING_STATE_ROLLUP_VSC[MMWR_RATING_STATE_ROLLUP_VSC],0),MATCH(F$9,MMWR_RATING_STATE_ROLLUP_VSC[#Headers],0)),"ERROR"))</f>
        <v>16785</v>
      </c>
      <c r="G15" s="154">
        <f>IF($B15=" ","",IFERROR(INDEX(MMWR_RATING_STATE_ROLLUP_VSC[],MATCH($B15,MMWR_RATING_STATE_ROLLUP_VSC[MMWR_RATING_STATE_ROLLUP_VSC],0),MATCH(G$9,MMWR_RATING_STATE_ROLLUP_VSC[#Headers],0)),"ERROR"))</f>
        <v>89300</v>
      </c>
      <c r="H15" s="155">
        <f>IF($B15=" ","",IFERROR(INDEX(MMWR_RATING_STATE_ROLLUP_VSC[],MATCH($B15,MMWR_RATING_STATE_ROLLUP_VSC[MMWR_RATING_STATE_ROLLUP_VSC],0),MATCH(H$9,MMWR_RATING_STATE_ROLLUP_VSC[#Headers],0)),"ERROR"))</f>
        <v>133.38093535900001</v>
      </c>
      <c r="I15" s="155">
        <f>IF($B15=" ","",IFERROR(INDEX(MMWR_RATING_STATE_ROLLUP_VSC[],MATCH($B15,MMWR_RATING_STATE_ROLLUP_VSC[MMWR_RATING_STATE_ROLLUP_VSC],0),MATCH(I$9,MMWR_RATING_STATE_ROLLUP_VSC[#Headers],0)),"ERROR"))</f>
        <v>136.8661926092</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1940</v>
      </c>
      <c r="D16" s="155">
        <f>IF($B16=" ","",IFERROR(INDEX(MMWR_RATING_STATE_ROLLUP_VSC[],MATCH($B16,MMWR_RATING_STATE_ROLLUP_VSC[MMWR_RATING_STATE_ROLLUP_VSC],0),MATCH(D$9,MMWR_RATING_STATE_ROLLUP_VSC[#Headers],0)),"ERROR"))</f>
        <v>90.635567010299994</v>
      </c>
      <c r="E16" s="156">
        <f>IF($B16=" ","",IFERROR(INDEX(MMWR_RATING_STATE_ROLLUP_VSC[],MATCH($B16,MMWR_RATING_STATE_ROLLUP_VSC[MMWR_RATING_STATE_ROLLUP_VSC],0),MATCH(E$9,MMWR_RATING_STATE_ROLLUP_VSC[#Headers],0))/$C16,"ERROR"))</f>
        <v>0.22731958762886598</v>
      </c>
      <c r="F16" s="154">
        <f>IF($B16=" ","",IFERROR(INDEX(MMWR_RATING_STATE_ROLLUP_VSC[],MATCH($B16,MMWR_RATING_STATE_ROLLUP_VSC[MMWR_RATING_STATE_ROLLUP_VSC],0),MATCH(F$9,MMWR_RATING_STATE_ROLLUP_VSC[#Headers],0)),"ERROR"))</f>
        <v>524</v>
      </c>
      <c r="G16" s="154">
        <f>IF($B16=" ","",IFERROR(INDEX(MMWR_RATING_STATE_ROLLUP_VSC[],MATCH($B16,MMWR_RATING_STATE_ROLLUP_VSC[MMWR_RATING_STATE_ROLLUP_VSC],0),MATCH(G$9,MMWR_RATING_STATE_ROLLUP_VSC[#Headers],0)),"ERROR"))</f>
        <v>2548</v>
      </c>
      <c r="H16" s="155">
        <f>IF($B16=" ","",IFERROR(INDEX(MMWR_RATING_STATE_ROLLUP_VSC[],MATCH($B16,MMWR_RATING_STATE_ROLLUP_VSC[MMWR_RATING_STATE_ROLLUP_VSC],0),MATCH(H$9,MMWR_RATING_STATE_ROLLUP_VSC[#Headers],0)),"ERROR"))</f>
        <v>118.6164122137</v>
      </c>
      <c r="I16" s="155">
        <f>IF($B16=" ","",IFERROR(INDEX(MMWR_RATING_STATE_ROLLUP_VSC[],MATCH($B16,MMWR_RATING_STATE_ROLLUP_VSC[MMWR_RATING_STATE_ROLLUP_VSC],0),MATCH(I$9,MMWR_RATING_STATE_ROLLUP_VSC[#Headers],0)),"ERROR"))</f>
        <v>116.96821036110001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850</v>
      </c>
      <c r="D17" s="155">
        <f>IF($B17=" ","",IFERROR(INDEX(MMWR_RATING_STATE_ROLLUP_VSC[],MATCH($B17,MMWR_RATING_STATE_ROLLUP_VSC[MMWR_RATING_STATE_ROLLUP_VSC],0),MATCH(D$9,MMWR_RATING_STATE_ROLLUP_VSC[#Headers],0)),"ERROR"))</f>
        <v>101.0211764706</v>
      </c>
      <c r="E17" s="156">
        <f>IF($B17=" ","",IFERROR(INDEX(MMWR_RATING_STATE_ROLLUP_VSC[],MATCH($B17,MMWR_RATING_STATE_ROLLUP_VSC[MMWR_RATING_STATE_ROLLUP_VSC],0),MATCH(E$9,MMWR_RATING_STATE_ROLLUP_VSC[#Headers],0))/$C17,"ERROR"))</f>
        <v>0.26705882352941174</v>
      </c>
      <c r="F17" s="154">
        <f>IF($B17=" ","",IFERROR(INDEX(MMWR_RATING_STATE_ROLLUP_VSC[],MATCH($B17,MMWR_RATING_STATE_ROLLUP_VSC[MMWR_RATING_STATE_ROLLUP_VSC],0),MATCH(F$9,MMWR_RATING_STATE_ROLLUP_VSC[#Headers],0)),"ERROR"))</f>
        <v>233</v>
      </c>
      <c r="G17" s="154">
        <f>IF($B17=" ","",IFERROR(INDEX(MMWR_RATING_STATE_ROLLUP_VSC[],MATCH($B17,MMWR_RATING_STATE_ROLLUP_VSC[MMWR_RATING_STATE_ROLLUP_VSC],0),MATCH(G$9,MMWR_RATING_STATE_ROLLUP_VSC[#Headers],0)),"ERROR"))</f>
        <v>1200</v>
      </c>
      <c r="H17" s="155">
        <f>IF($B17=" ","",IFERROR(INDEX(MMWR_RATING_STATE_ROLLUP_VSC[],MATCH($B17,MMWR_RATING_STATE_ROLLUP_VSC[MMWR_RATING_STATE_ROLLUP_VSC],0),MATCH(H$9,MMWR_RATING_STATE_ROLLUP_VSC[#Headers],0)),"ERROR"))</f>
        <v>140.99141630899999</v>
      </c>
      <c r="I17" s="155">
        <f>IF($B17=" ","",IFERROR(INDEX(MMWR_RATING_STATE_ROLLUP_VSC[],MATCH($B17,MMWR_RATING_STATE_ROLLUP_VSC[MMWR_RATING_STATE_ROLLUP_VSC],0),MATCH(I$9,MMWR_RATING_STATE_ROLLUP_VSC[#Headers],0)),"ERROR"))</f>
        <v>144.42416666669999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355</v>
      </c>
      <c r="D18" s="155">
        <f>IF($B18=" ","",IFERROR(INDEX(MMWR_RATING_STATE_ROLLUP_VSC[],MATCH($B18,MMWR_RATING_STATE_ROLLUP_VSC[MMWR_RATING_STATE_ROLLUP_VSC],0),MATCH(D$9,MMWR_RATING_STATE_ROLLUP_VSC[#Headers],0)),"ERROR"))</f>
        <v>96.002816901399996</v>
      </c>
      <c r="E18" s="156">
        <f>IF($B18=" ","",IFERROR(INDEX(MMWR_RATING_STATE_ROLLUP_VSC[],MATCH($B18,MMWR_RATING_STATE_ROLLUP_VSC[MMWR_RATING_STATE_ROLLUP_VSC],0),MATCH(E$9,MMWR_RATING_STATE_ROLLUP_VSC[#Headers],0))/$C18,"ERROR"))</f>
        <v>0.28450704225352114</v>
      </c>
      <c r="F18" s="154">
        <f>IF($B18=" ","",IFERROR(INDEX(MMWR_RATING_STATE_ROLLUP_VSC[],MATCH($B18,MMWR_RATING_STATE_ROLLUP_VSC[MMWR_RATING_STATE_ROLLUP_VSC],0),MATCH(F$9,MMWR_RATING_STATE_ROLLUP_VSC[#Headers],0)),"ERROR"))</f>
        <v>130</v>
      </c>
      <c r="G18" s="154">
        <f>IF($B18=" ","",IFERROR(INDEX(MMWR_RATING_STATE_ROLLUP_VSC[],MATCH($B18,MMWR_RATING_STATE_ROLLUP_VSC[MMWR_RATING_STATE_ROLLUP_VSC],0),MATCH(G$9,MMWR_RATING_STATE_ROLLUP_VSC[#Headers],0)),"ERROR"))</f>
        <v>554</v>
      </c>
      <c r="H18" s="155">
        <f>IF($B18=" ","",IFERROR(INDEX(MMWR_RATING_STATE_ROLLUP_VSC[],MATCH($B18,MMWR_RATING_STATE_ROLLUP_VSC[MMWR_RATING_STATE_ROLLUP_VSC],0),MATCH(H$9,MMWR_RATING_STATE_ROLLUP_VSC[#Headers],0)),"ERROR"))</f>
        <v>139.9307692308</v>
      </c>
      <c r="I18" s="155">
        <f>IF($B18=" ","",IFERROR(INDEX(MMWR_RATING_STATE_ROLLUP_VSC[],MATCH($B18,MMWR_RATING_STATE_ROLLUP_VSC[MMWR_RATING_STATE_ROLLUP_VSC],0),MATCH(I$9,MMWR_RATING_STATE_ROLLUP_VSC[#Headers],0)),"ERROR"))</f>
        <v>146.29061371840001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1445</v>
      </c>
      <c r="D19" s="155">
        <f>IF($B19=" ","",IFERROR(INDEX(MMWR_RATING_STATE_ROLLUP_VSC[],MATCH($B19,MMWR_RATING_STATE_ROLLUP_VSC[MMWR_RATING_STATE_ROLLUP_VSC],0),MATCH(D$9,MMWR_RATING_STATE_ROLLUP_VSC[#Headers],0)),"ERROR"))</f>
        <v>76.5363321799</v>
      </c>
      <c r="E19" s="156">
        <f>IF($B19=" ","",IFERROR(INDEX(MMWR_RATING_STATE_ROLLUP_VSC[],MATCH($B19,MMWR_RATING_STATE_ROLLUP_VSC[MMWR_RATING_STATE_ROLLUP_VSC],0),MATCH(E$9,MMWR_RATING_STATE_ROLLUP_VSC[#Headers],0))/$C19,"ERROR"))</f>
        <v>0.12664359861591695</v>
      </c>
      <c r="F19" s="154">
        <f>IF($B19=" ","",IFERROR(INDEX(MMWR_RATING_STATE_ROLLUP_VSC[],MATCH($B19,MMWR_RATING_STATE_ROLLUP_VSC[MMWR_RATING_STATE_ROLLUP_VSC],0),MATCH(F$9,MMWR_RATING_STATE_ROLLUP_VSC[#Headers],0)),"ERROR"))</f>
        <v>307</v>
      </c>
      <c r="G19" s="154">
        <f>IF($B19=" ","",IFERROR(INDEX(MMWR_RATING_STATE_ROLLUP_VSC[],MATCH($B19,MMWR_RATING_STATE_ROLLUP_VSC[MMWR_RATING_STATE_ROLLUP_VSC],0),MATCH(G$9,MMWR_RATING_STATE_ROLLUP_VSC[#Headers],0)),"ERROR"))</f>
        <v>1856</v>
      </c>
      <c r="H19" s="155">
        <f>IF($B19=" ","",IFERROR(INDEX(MMWR_RATING_STATE_ROLLUP_VSC[],MATCH($B19,MMWR_RATING_STATE_ROLLUP_VSC[MMWR_RATING_STATE_ROLLUP_VSC],0),MATCH(H$9,MMWR_RATING_STATE_ROLLUP_VSC[#Headers],0)),"ERROR"))</f>
        <v>122.1107491857</v>
      </c>
      <c r="I19" s="155">
        <f>IF($B19=" ","",IFERROR(INDEX(MMWR_RATING_STATE_ROLLUP_VSC[],MATCH($B19,MMWR_RATING_STATE_ROLLUP_VSC[MMWR_RATING_STATE_ROLLUP_VSC],0),MATCH(I$9,MMWR_RATING_STATE_ROLLUP_VSC[#Headers],0)),"ERROR"))</f>
        <v>110.7047413793</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5069</v>
      </c>
      <c r="D20" s="155">
        <f>IF($B20=" ","",IFERROR(INDEX(MMWR_RATING_STATE_ROLLUP_VSC[],MATCH($B20,MMWR_RATING_STATE_ROLLUP_VSC[MMWR_RATING_STATE_ROLLUP_VSC],0),MATCH(D$9,MMWR_RATING_STATE_ROLLUP_VSC[#Headers],0)),"ERROR"))</f>
        <v>103.65831524959999</v>
      </c>
      <c r="E20" s="156">
        <f>IF($B20=" ","",IFERROR(INDEX(MMWR_RATING_STATE_ROLLUP_VSC[],MATCH($B20,MMWR_RATING_STATE_ROLLUP_VSC[MMWR_RATING_STATE_ROLLUP_VSC],0),MATCH(E$9,MMWR_RATING_STATE_ROLLUP_VSC[#Headers],0))/$C20,"ERROR"))</f>
        <v>0.25863089366739</v>
      </c>
      <c r="F20" s="154">
        <f>IF($B20=" ","",IFERROR(INDEX(MMWR_RATING_STATE_ROLLUP_VSC[],MATCH($B20,MMWR_RATING_STATE_ROLLUP_VSC[MMWR_RATING_STATE_ROLLUP_VSC],0),MATCH(F$9,MMWR_RATING_STATE_ROLLUP_VSC[#Headers],0)),"ERROR"))</f>
        <v>1229</v>
      </c>
      <c r="G20" s="154">
        <f>IF($B20=" ","",IFERROR(INDEX(MMWR_RATING_STATE_ROLLUP_VSC[],MATCH($B20,MMWR_RATING_STATE_ROLLUP_VSC[MMWR_RATING_STATE_ROLLUP_VSC],0),MATCH(G$9,MMWR_RATING_STATE_ROLLUP_VSC[#Headers],0)),"ERROR"))</f>
        <v>6929</v>
      </c>
      <c r="H20" s="155">
        <f>IF($B20=" ","",IFERROR(INDEX(MMWR_RATING_STATE_ROLLUP_VSC[],MATCH($B20,MMWR_RATING_STATE_ROLLUP_VSC[MMWR_RATING_STATE_ROLLUP_VSC],0),MATCH(H$9,MMWR_RATING_STATE_ROLLUP_VSC[#Headers],0)),"ERROR"))</f>
        <v>139.3458096013</v>
      </c>
      <c r="I20" s="155">
        <f>IF($B20=" ","",IFERROR(INDEX(MMWR_RATING_STATE_ROLLUP_VSC[],MATCH($B20,MMWR_RATING_STATE_ROLLUP_VSC[MMWR_RATING_STATE_ROLLUP_VSC],0),MATCH(I$9,MMWR_RATING_STATE_ROLLUP_VSC[#Headers],0)),"ERROR"))</f>
        <v>138.38014143460001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4421</v>
      </c>
      <c r="D21" s="155">
        <f>IF($B21=" ","",IFERROR(INDEX(MMWR_RATING_STATE_ROLLUP_VSC[],MATCH($B21,MMWR_RATING_STATE_ROLLUP_VSC[MMWR_RATING_STATE_ROLLUP_VSC],0),MATCH(D$9,MMWR_RATING_STATE_ROLLUP_VSC[#Headers],0)),"ERROR"))</f>
        <v>94.972404433400001</v>
      </c>
      <c r="E21" s="156">
        <f>IF($B21=" ","",IFERROR(INDEX(MMWR_RATING_STATE_ROLLUP_VSC[],MATCH($B21,MMWR_RATING_STATE_ROLLUP_VSC[MMWR_RATING_STATE_ROLLUP_VSC],0),MATCH(E$9,MMWR_RATING_STATE_ROLLUP_VSC[#Headers],0))/$C21,"ERROR"))</f>
        <v>0.24700294051119656</v>
      </c>
      <c r="F21" s="154">
        <f>IF($B21=" ","",IFERROR(INDEX(MMWR_RATING_STATE_ROLLUP_VSC[],MATCH($B21,MMWR_RATING_STATE_ROLLUP_VSC[MMWR_RATING_STATE_ROLLUP_VSC],0),MATCH(F$9,MMWR_RATING_STATE_ROLLUP_VSC[#Headers],0)),"ERROR"))</f>
        <v>923</v>
      </c>
      <c r="G21" s="154">
        <f>IF($B21=" ","",IFERROR(INDEX(MMWR_RATING_STATE_ROLLUP_VSC[],MATCH($B21,MMWR_RATING_STATE_ROLLUP_VSC[MMWR_RATING_STATE_ROLLUP_VSC],0),MATCH(G$9,MMWR_RATING_STATE_ROLLUP_VSC[#Headers],0)),"ERROR"))</f>
        <v>5354</v>
      </c>
      <c r="H21" s="155">
        <f>IF($B21=" ","",IFERROR(INDEX(MMWR_RATING_STATE_ROLLUP_VSC[],MATCH($B21,MMWR_RATING_STATE_ROLLUP_VSC[MMWR_RATING_STATE_ROLLUP_VSC],0),MATCH(H$9,MMWR_RATING_STATE_ROLLUP_VSC[#Headers],0)),"ERROR"))</f>
        <v>144.82015167930001</v>
      </c>
      <c r="I21" s="155">
        <f>IF($B21=" ","",IFERROR(INDEX(MMWR_RATING_STATE_ROLLUP_VSC[],MATCH($B21,MMWR_RATING_STATE_ROLLUP_VSC[MMWR_RATING_STATE_ROLLUP_VSC],0),MATCH(I$9,MMWR_RATING_STATE_ROLLUP_VSC[#Headers],0)),"ERROR"))</f>
        <v>132.06686589469999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1142</v>
      </c>
      <c r="D22" s="155">
        <f>IF($B22=" ","",IFERROR(INDEX(MMWR_RATING_STATE_ROLLUP_VSC[],MATCH($B22,MMWR_RATING_STATE_ROLLUP_VSC[MMWR_RATING_STATE_ROLLUP_VSC],0),MATCH(D$9,MMWR_RATING_STATE_ROLLUP_VSC[#Headers],0)),"ERROR"))</f>
        <v>92.2749562172</v>
      </c>
      <c r="E22" s="156">
        <f>IF($B22=" ","",IFERROR(INDEX(MMWR_RATING_STATE_ROLLUP_VSC[],MATCH($B22,MMWR_RATING_STATE_ROLLUP_VSC[MMWR_RATING_STATE_ROLLUP_VSC],0),MATCH(E$9,MMWR_RATING_STATE_ROLLUP_VSC[#Headers],0))/$C22,"ERROR"))</f>
        <v>0.21453590192644484</v>
      </c>
      <c r="F22" s="154">
        <f>IF($B22=" ","",IFERROR(INDEX(MMWR_RATING_STATE_ROLLUP_VSC[],MATCH($B22,MMWR_RATING_STATE_ROLLUP_VSC[MMWR_RATING_STATE_ROLLUP_VSC],0),MATCH(F$9,MMWR_RATING_STATE_ROLLUP_VSC[#Headers],0)),"ERROR"))</f>
        <v>334</v>
      </c>
      <c r="G22" s="154">
        <f>IF($B22=" ","",IFERROR(INDEX(MMWR_RATING_STATE_ROLLUP_VSC[],MATCH($B22,MMWR_RATING_STATE_ROLLUP_VSC[MMWR_RATING_STATE_ROLLUP_VSC],0),MATCH(G$9,MMWR_RATING_STATE_ROLLUP_VSC[#Headers],0)),"ERROR"))</f>
        <v>1681</v>
      </c>
      <c r="H22" s="155">
        <f>IF($B22=" ","",IFERROR(INDEX(MMWR_RATING_STATE_ROLLUP_VSC[],MATCH($B22,MMWR_RATING_STATE_ROLLUP_VSC[MMWR_RATING_STATE_ROLLUP_VSC],0),MATCH(H$9,MMWR_RATING_STATE_ROLLUP_VSC[#Headers],0)),"ERROR"))</f>
        <v>149.06886227539999</v>
      </c>
      <c r="I22" s="155">
        <f>IF($B22=" ","",IFERROR(INDEX(MMWR_RATING_STATE_ROLLUP_VSC[],MATCH($B22,MMWR_RATING_STATE_ROLLUP_VSC[MMWR_RATING_STATE_ROLLUP_VSC],0),MATCH(I$9,MMWR_RATING_STATE_ROLLUP_VSC[#Headers],0)),"ERROR"))</f>
        <v>136.05175490779999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3767</v>
      </c>
      <c r="D23" s="155">
        <f>IF($B23=" ","",IFERROR(INDEX(MMWR_RATING_STATE_ROLLUP_VSC[],MATCH($B23,MMWR_RATING_STATE_ROLLUP_VSC[MMWR_RATING_STATE_ROLLUP_VSC],0),MATCH(D$9,MMWR_RATING_STATE_ROLLUP_VSC[#Headers],0)),"ERROR"))</f>
        <v>98.694717281699994</v>
      </c>
      <c r="E23" s="156">
        <f>IF($B23=" ","",IFERROR(INDEX(MMWR_RATING_STATE_ROLLUP_VSC[],MATCH($B23,MMWR_RATING_STATE_ROLLUP_VSC[MMWR_RATING_STATE_ROLLUP_VSC],0),MATCH(E$9,MMWR_RATING_STATE_ROLLUP_VSC[#Headers],0))/$C23,"ERROR"))</f>
        <v>0.2540483143084683</v>
      </c>
      <c r="F23" s="154">
        <f>IF($B23=" ","",IFERROR(INDEX(MMWR_RATING_STATE_ROLLUP_VSC[],MATCH($B23,MMWR_RATING_STATE_ROLLUP_VSC[MMWR_RATING_STATE_ROLLUP_VSC],0),MATCH(F$9,MMWR_RATING_STATE_ROLLUP_VSC[#Headers],0)),"ERROR"))</f>
        <v>975</v>
      </c>
      <c r="G23" s="154">
        <f>IF($B23=" ","",IFERROR(INDEX(MMWR_RATING_STATE_ROLLUP_VSC[],MATCH($B23,MMWR_RATING_STATE_ROLLUP_VSC[MMWR_RATING_STATE_ROLLUP_VSC],0),MATCH(G$9,MMWR_RATING_STATE_ROLLUP_VSC[#Headers],0)),"ERROR"))</f>
        <v>5268</v>
      </c>
      <c r="H23" s="155">
        <f>IF($B23=" ","",IFERROR(INDEX(MMWR_RATING_STATE_ROLLUP_VSC[],MATCH($B23,MMWR_RATING_STATE_ROLLUP_VSC[MMWR_RATING_STATE_ROLLUP_VSC],0),MATCH(H$9,MMWR_RATING_STATE_ROLLUP_VSC[#Headers],0)),"ERROR"))</f>
        <v>135.64923076919999</v>
      </c>
      <c r="I23" s="155">
        <f>IF($B23=" ","",IFERROR(INDEX(MMWR_RATING_STATE_ROLLUP_VSC[],MATCH($B23,MMWR_RATING_STATE_ROLLUP_VSC[MMWR_RATING_STATE_ROLLUP_VSC],0),MATCH(I$9,MMWR_RATING_STATE_ROLLUP_VSC[#Headers],0)),"ERROR"))</f>
        <v>140.03682612</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8332</v>
      </c>
      <c r="D24" s="155">
        <f>IF($B24=" ","",IFERROR(INDEX(MMWR_RATING_STATE_ROLLUP_VSC[],MATCH($B24,MMWR_RATING_STATE_ROLLUP_VSC[MMWR_RATING_STATE_ROLLUP_VSC],0),MATCH(D$9,MMWR_RATING_STATE_ROLLUP_VSC[#Headers],0)),"ERROR"))</f>
        <v>94.226116178599995</v>
      </c>
      <c r="E24" s="156">
        <f>IF($B24=" ","",IFERROR(INDEX(MMWR_RATING_STATE_ROLLUP_VSC[],MATCH($B24,MMWR_RATING_STATE_ROLLUP_VSC[MMWR_RATING_STATE_ROLLUP_VSC],0),MATCH(E$9,MMWR_RATING_STATE_ROLLUP_VSC[#Headers],0))/$C24,"ERROR"))</f>
        <v>0.23607777244359096</v>
      </c>
      <c r="F24" s="154">
        <f>IF($B24=" ","",IFERROR(INDEX(MMWR_RATING_STATE_ROLLUP_VSC[],MATCH($B24,MMWR_RATING_STATE_ROLLUP_VSC[MMWR_RATING_STATE_ROLLUP_VSC],0),MATCH(F$9,MMWR_RATING_STATE_ROLLUP_VSC[#Headers],0)),"ERROR"))</f>
        <v>2131</v>
      </c>
      <c r="G24" s="154">
        <f>IF($B24=" ","",IFERROR(INDEX(MMWR_RATING_STATE_ROLLUP_VSC[],MATCH($B24,MMWR_RATING_STATE_ROLLUP_VSC[MMWR_RATING_STATE_ROLLUP_VSC],0),MATCH(G$9,MMWR_RATING_STATE_ROLLUP_VSC[#Headers],0)),"ERROR"))</f>
        <v>11450</v>
      </c>
      <c r="H24" s="155">
        <f>IF($B24=" ","",IFERROR(INDEX(MMWR_RATING_STATE_ROLLUP_VSC[],MATCH($B24,MMWR_RATING_STATE_ROLLUP_VSC[MMWR_RATING_STATE_ROLLUP_VSC],0),MATCH(H$9,MMWR_RATING_STATE_ROLLUP_VSC[#Headers],0)),"ERROR"))</f>
        <v>126.06804317220001</v>
      </c>
      <c r="I24" s="155">
        <f>IF($B24=" ","",IFERROR(INDEX(MMWR_RATING_STATE_ROLLUP_VSC[],MATCH($B24,MMWR_RATING_STATE_ROLLUP_VSC[MMWR_RATING_STATE_ROLLUP_VSC],0),MATCH(I$9,MMWR_RATING_STATE_ROLLUP_VSC[#Headers],0)),"ERROR"))</f>
        <v>135.62454148469999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16220</v>
      </c>
      <c r="D25" s="155">
        <f>IF($B25=" ","",IFERROR(INDEX(MMWR_RATING_STATE_ROLLUP_VSC[],MATCH($B25,MMWR_RATING_STATE_ROLLUP_VSC[MMWR_RATING_STATE_ROLLUP_VSC],0),MATCH(D$9,MMWR_RATING_STATE_ROLLUP_VSC[#Headers],0)),"ERROR"))</f>
        <v>94.6445745993</v>
      </c>
      <c r="E25" s="156">
        <f>IF($B25=" ","",IFERROR(INDEX(MMWR_RATING_STATE_ROLLUP_VSC[],MATCH($B25,MMWR_RATING_STATE_ROLLUP_VSC[MMWR_RATING_STATE_ROLLUP_VSC],0),MATCH(E$9,MMWR_RATING_STATE_ROLLUP_VSC[#Headers],0))/$C25,"ERROR"))</f>
        <v>0.25147965474722567</v>
      </c>
      <c r="F25" s="154">
        <f>IF($B25=" ","",IFERROR(INDEX(MMWR_RATING_STATE_ROLLUP_VSC[],MATCH($B25,MMWR_RATING_STATE_ROLLUP_VSC[MMWR_RATING_STATE_ROLLUP_VSC],0),MATCH(F$9,MMWR_RATING_STATE_ROLLUP_VSC[#Headers],0)),"ERROR"))</f>
        <v>3826</v>
      </c>
      <c r="G25" s="154">
        <f>IF($B25=" ","",IFERROR(INDEX(MMWR_RATING_STATE_ROLLUP_VSC[],MATCH($B25,MMWR_RATING_STATE_ROLLUP_VSC[MMWR_RATING_STATE_ROLLUP_VSC],0),MATCH(G$9,MMWR_RATING_STATE_ROLLUP_VSC[#Headers],0)),"ERROR"))</f>
        <v>20779</v>
      </c>
      <c r="H25" s="155">
        <f>IF($B25=" ","",IFERROR(INDEX(MMWR_RATING_STATE_ROLLUP_VSC[],MATCH($B25,MMWR_RATING_STATE_ROLLUP_VSC[MMWR_RATING_STATE_ROLLUP_VSC],0),MATCH(H$9,MMWR_RATING_STATE_ROLLUP_VSC[#Headers],0)),"ERROR"))</f>
        <v>140.05384213280001</v>
      </c>
      <c r="I25" s="155">
        <f>IF($B25=" ","",IFERROR(INDEX(MMWR_RATING_STATE_ROLLUP_VSC[],MATCH($B25,MMWR_RATING_STATE_ROLLUP_VSC[MMWR_RATING_STATE_ROLLUP_VSC],0),MATCH(I$9,MMWR_RATING_STATE_ROLLUP_VSC[#Headers],0)),"ERROR"))</f>
        <v>142.64502622840001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8082</v>
      </c>
      <c r="D26" s="155">
        <f>IF($B26=" ","",IFERROR(INDEX(MMWR_RATING_STATE_ROLLUP_VSC[],MATCH($B26,MMWR_RATING_STATE_ROLLUP_VSC[MMWR_RATING_STATE_ROLLUP_VSC],0),MATCH(D$9,MMWR_RATING_STATE_ROLLUP_VSC[#Headers],0)),"ERROR"))</f>
        <v>108.93541202670001</v>
      </c>
      <c r="E26" s="156">
        <f>IF($B26=" ","",IFERROR(INDEX(MMWR_RATING_STATE_ROLLUP_VSC[],MATCH($B26,MMWR_RATING_STATE_ROLLUP_VSC[MMWR_RATING_STATE_ROLLUP_VSC],0),MATCH(E$9,MMWR_RATING_STATE_ROLLUP_VSC[#Headers],0))/$C26,"ERROR"))</f>
        <v>0.29646127196238553</v>
      </c>
      <c r="F26" s="154">
        <f>IF($B26=" ","",IFERROR(INDEX(MMWR_RATING_STATE_ROLLUP_VSC[],MATCH($B26,MMWR_RATING_STATE_ROLLUP_VSC[MMWR_RATING_STATE_ROLLUP_VSC],0),MATCH(F$9,MMWR_RATING_STATE_ROLLUP_VSC[#Headers],0)),"ERROR"))</f>
        <v>2257</v>
      </c>
      <c r="G26" s="154">
        <f>IF($B26=" ","",IFERROR(INDEX(MMWR_RATING_STATE_ROLLUP_VSC[],MATCH($B26,MMWR_RATING_STATE_ROLLUP_VSC[MMWR_RATING_STATE_ROLLUP_VSC],0),MATCH(G$9,MMWR_RATING_STATE_ROLLUP_VSC[#Headers],0)),"ERROR"))</f>
        <v>12381</v>
      </c>
      <c r="H26" s="155">
        <f>IF($B26=" ","",IFERROR(INDEX(MMWR_RATING_STATE_ROLLUP_VSC[],MATCH($B26,MMWR_RATING_STATE_ROLLUP_VSC[MMWR_RATING_STATE_ROLLUP_VSC],0),MATCH(H$9,MMWR_RATING_STATE_ROLLUP_VSC[#Headers],0)),"ERROR"))</f>
        <v>136.71555161719999</v>
      </c>
      <c r="I26" s="155">
        <f>IF($B26=" ","",IFERROR(INDEX(MMWR_RATING_STATE_ROLLUP_VSC[],MATCH($B26,MMWR_RATING_STATE_ROLLUP_VSC[MMWR_RATING_STATE_ROLLUP_VSC],0),MATCH(I$9,MMWR_RATING_STATE_ROLLUP_VSC[#Headers],0)),"ERROR"))</f>
        <v>144.08537274860001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840</v>
      </c>
      <c r="D27" s="155">
        <f>IF($B27=" ","",IFERROR(INDEX(MMWR_RATING_STATE_ROLLUP_VSC[],MATCH($B27,MMWR_RATING_STATE_ROLLUP_VSC[MMWR_RATING_STATE_ROLLUP_VSC],0),MATCH(D$9,MMWR_RATING_STATE_ROLLUP_VSC[#Headers],0)),"ERROR"))</f>
        <v>88.169047618999997</v>
      </c>
      <c r="E27" s="156">
        <f>IF($B27=" ","",IFERROR(INDEX(MMWR_RATING_STATE_ROLLUP_VSC[],MATCH($B27,MMWR_RATING_STATE_ROLLUP_VSC[MMWR_RATING_STATE_ROLLUP_VSC],0),MATCH(E$9,MMWR_RATING_STATE_ROLLUP_VSC[#Headers],0))/$C27,"ERROR"))</f>
        <v>0.22380952380952382</v>
      </c>
      <c r="F27" s="154">
        <f>IF($B27=" ","",IFERROR(INDEX(MMWR_RATING_STATE_ROLLUP_VSC[],MATCH($B27,MMWR_RATING_STATE_ROLLUP_VSC[MMWR_RATING_STATE_ROLLUP_VSC],0),MATCH(F$9,MMWR_RATING_STATE_ROLLUP_VSC[#Headers],0)),"ERROR"))</f>
        <v>261</v>
      </c>
      <c r="G27" s="154">
        <f>IF($B27=" ","",IFERROR(INDEX(MMWR_RATING_STATE_ROLLUP_VSC[],MATCH($B27,MMWR_RATING_STATE_ROLLUP_VSC[MMWR_RATING_STATE_ROLLUP_VSC],0),MATCH(G$9,MMWR_RATING_STATE_ROLLUP_VSC[#Headers],0)),"ERROR"))</f>
        <v>1299</v>
      </c>
      <c r="H27" s="155">
        <f>IF($B27=" ","",IFERROR(INDEX(MMWR_RATING_STATE_ROLLUP_VSC[],MATCH($B27,MMWR_RATING_STATE_ROLLUP_VSC[MMWR_RATING_STATE_ROLLUP_VSC],0),MATCH(H$9,MMWR_RATING_STATE_ROLLUP_VSC[#Headers],0)),"ERROR"))</f>
        <v>119.4367816092</v>
      </c>
      <c r="I27" s="155">
        <f>IF($B27=" ","",IFERROR(INDEX(MMWR_RATING_STATE_ROLLUP_VSC[],MATCH($B27,MMWR_RATING_STATE_ROLLUP_VSC[MMWR_RATING_STATE_ROLLUP_VSC],0),MATCH(I$9,MMWR_RATING_STATE_ROLLUP_VSC[#Headers],0)),"ERROR"))</f>
        <v>117.16551193230001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449</v>
      </c>
      <c r="D28" s="155">
        <f>IF($B28=" ","",IFERROR(INDEX(MMWR_RATING_STATE_ROLLUP_VSC[],MATCH($B28,MMWR_RATING_STATE_ROLLUP_VSC[MMWR_RATING_STATE_ROLLUP_VSC],0),MATCH(D$9,MMWR_RATING_STATE_ROLLUP_VSC[#Headers],0)),"ERROR"))</f>
        <v>98.073496659200003</v>
      </c>
      <c r="E28" s="156">
        <f>IF($B28=" ","",IFERROR(INDEX(MMWR_RATING_STATE_ROLLUP_VSC[],MATCH($B28,MMWR_RATING_STATE_ROLLUP_VSC[MMWR_RATING_STATE_ROLLUP_VSC],0),MATCH(E$9,MMWR_RATING_STATE_ROLLUP_VSC[#Headers],0))/$C28,"ERROR"))</f>
        <v>0.24276169265033407</v>
      </c>
      <c r="F28" s="154">
        <f>IF($B28=" ","",IFERROR(INDEX(MMWR_RATING_STATE_ROLLUP_VSC[],MATCH($B28,MMWR_RATING_STATE_ROLLUP_VSC[MMWR_RATING_STATE_ROLLUP_VSC],0),MATCH(F$9,MMWR_RATING_STATE_ROLLUP_VSC[#Headers],0)),"ERROR"))</f>
        <v>141</v>
      </c>
      <c r="G28" s="154">
        <f>IF($B28=" ","",IFERROR(INDEX(MMWR_RATING_STATE_ROLLUP_VSC[],MATCH($B28,MMWR_RATING_STATE_ROLLUP_VSC[MMWR_RATING_STATE_ROLLUP_VSC],0),MATCH(G$9,MMWR_RATING_STATE_ROLLUP_VSC[#Headers],0)),"ERROR"))</f>
        <v>578</v>
      </c>
      <c r="H28" s="155">
        <f>IF($B28=" ","",IFERROR(INDEX(MMWR_RATING_STATE_ROLLUP_VSC[],MATCH($B28,MMWR_RATING_STATE_ROLLUP_VSC[MMWR_RATING_STATE_ROLLUP_VSC],0),MATCH(H$9,MMWR_RATING_STATE_ROLLUP_VSC[#Headers],0)),"ERROR"))</f>
        <v>119.5602836879</v>
      </c>
      <c r="I28" s="155">
        <f>IF($B28=" ","",IFERROR(INDEX(MMWR_RATING_STATE_ROLLUP_VSC[],MATCH($B28,MMWR_RATING_STATE_ROLLUP_VSC[MMWR_RATING_STATE_ROLLUP_VSC],0),MATCH(I$9,MMWR_RATING_STATE_ROLLUP_VSC[#Headers],0)),"ERROR"))</f>
        <v>136.0847750865</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10020</v>
      </c>
      <c r="D29" s="155">
        <f>IF($B29=" ","",IFERROR(INDEX(MMWR_RATING_STATE_ROLLUP_VSC[],MATCH($B29,MMWR_RATING_STATE_ROLLUP_VSC[MMWR_RATING_STATE_ROLLUP_VSC],0),MATCH(D$9,MMWR_RATING_STATE_ROLLUP_VSC[#Headers],0)),"ERROR"))</f>
        <v>94.013273453099998</v>
      </c>
      <c r="E29" s="156">
        <f>IF($B29=" ","",IFERROR(INDEX(MMWR_RATING_STATE_ROLLUP_VSC[],MATCH($B29,MMWR_RATING_STATE_ROLLUP_VSC[MMWR_RATING_STATE_ROLLUP_VSC],0),MATCH(E$9,MMWR_RATING_STATE_ROLLUP_VSC[#Headers],0))/$C29,"ERROR"))</f>
        <v>0.27305389221556886</v>
      </c>
      <c r="F29" s="154">
        <f>IF($B29=" ","",IFERROR(INDEX(MMWR_RATING_STATE_ROLLUP_VSC[],MATCH($B29,MMWR_RATING_STATE_ROLLUP_VSC[MMWR_RATING_STATE_ROLLUP_VSC],0),MATCH(F$9,MMWR_RATING_STATE_ROLLUP_VSC[#Headers],0)),"ERROR"))</f>
        <v>2917</v>
      </c>
      <c r="G29" s="154">
        <f>IF($B29=" ","",IFERROR(INDEX(MMWR_RATING_STATE_ROLLUP_VSC[],MATCH($B29,MMWR_RATING_STATE_ROLLUP_VSC[MMWR_RATING_STATE_ROLLUP_VSC],0),MATCH(G$9,MMWR_RATING_STATE_ROLLUP_VSC[#Headers],0)),"ERROR"))</f>
        <v>14064</v>
      </c>
      <c r="H29" s="155">
        <f>IF($B29=" ","",IFERROR(INDEX(MMWR_RATING_STATE_ROLLUP_VSC[],MATCH($B29,MMWR_RATING_STATE_ROLLUP_VSC[MMWR_RATING_STATE_ROLLUP_VSC],0),MATCH(H$9,MMWR_RATING_STATE_ROLLUP_VSC[#Headers],0)),"ERROR"))</f>
        <v>123.7254028111</v>
      </c>
      <c r="I29" s="155">
        <f>IF($B29=" ","",IFERROR(INDEX(MMWR_RATING_STATE_ROLLUP_VSC[],MATCH($B29,MMWR_RATING_STATE_ROLLUP_VSC[MMWR_RATING_STATE_ROLLUP_VSC],0),MATCH(I$9,MMWR_RATING_STATE_ROLLUP_VSC[#Headers],0)),"ERROR"))</f>
        <v>134.11120591580001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2607</v>
      </c>
      <c r="D30" s="155">
        <f>IF($B30=" ","",IFERROR(INDEX(MMWR_RATING_STATE_ROLLUP_VSC[],MATCH($B30,MMWR_RATING_STATE_ROLLUP_VSC[MMWR_RATING_STATE_ROLLUP_VSC],0),MATCH(D$9,MMWR_RATING_STATE_ROLLUP_VSC[#Headers],0)),"ERROR"))</f>
        <v>89.645953202900003</v>
      </c>
      <c r="E30" s="156">
        <f>IF($B30=" ","",IFERROR(INDEX(MMWR_RATING_STATE_ROLLUP_VSC[],MATCH($B30,MMWR_RATING_STATE_ROLLUP_VSC[MMWR_RATING_STATE_ROLLUP_VSC],0),MATCH(E$9,MMWR_RATING_STATE_ROLLUP_VSC[#Headers],0))/$C30,"ERROR"))</f>
        <v>0.21135404679708478</v>
      </c>
      <c r="F30" s="154">
        <f>IF($B30=" ","",IFERROR(INDEX(MMWR_RATING_STATE_ROLLUP_VSC[],MATCH($B30,MMWR_RATING_STATE_ROLLUP_VSC[MMWR_RATING_STATE_ROLLUP_VSC],0),MATCH(F$9,MMWR_RATING_STATE_ROLLUP_VSC[#Headers],0)),"ERROR"))</f>
        <v>597</v>
      </c>
      <c r="G30" s="154">
        <f>IF($B30=" ","",IFERROR(INDEX(MMWR_RATING_STATE_ROLLUP_VSC[],MATCH($B30,MMWR_RATING_STATE_ROLLUP_VSC[MMWR_RATING_STATE_ROLLUP_VSC],0),MATCH(G$9,MMWR_RATING_STATE_ROLLUP_VSC[#Headers],0)),"ERROR"))</f>
        <v>3359</v>
      </c>
      <c r="H30" s="155">
        <f>IF($B30=" ","",IFERROR(INDEX(MMWR_RATING_STATE_ROLLUP_VSC[],MATCH($B30,MMWR_RATING_STATE_ROLLUP_VSC[MMWR_RATING_STATE_ROLLUP_VSC],0),MATCH(H$9,MMWR_RATING_STATE_ROLLUP_VSC[#Headers],0)),"ERROR"))</f>
        <v>132.56281407040001</v>
      </c>
      <c r="I30" s="155">
        <f>IF($B30=" ","",IFERROR(INDEX(MMWR_RATING_STATE_ROLLUP_VSC[],MATCH($B30,MMWR_RATING_STATE_ROLLUP_VSC[MMWR_RATING_STATE_ROLLUP_VSC],0),MATCH(I$9,MMWR_RATING_STATE_ROLLUP_VSC[#Headers],0)),"ERROR"))</f>
        <v>123.285799345</v>
      </c>
      <c r="J30" s="42"/>
      <c r="K30" s="42"/>
      <c r="L30" s="42"/>
      <c r="M30" s="42"/>
      <c r="N30" s="28"/>
    </row>
    <row r="31" spans="1:14" x14ac:dyDescent="0.2">
      <c r="A31" s="25"/>
      <c r="B31" s="377" t="s">
        <v>960</v>
      </c>
      <c r="C31" s="378"/>
      <c r="D31" s="378"/>
      <c r="E31" s="378"/>
      <c r="F31" s="378"/>
      <c r="G31" s="378"/>
      <c r="H31" s="378"/>
      <c r="I31" s="378"/>
      <c r="J31" s="378"/>
      <c r="K31" s="378"/>
      <c r="L31" s="378"/>
      <c r="M31" s="387"/>
      <c r="N31" s="28"/>
    </row>
    <row r="32" spans="1:14" x14ac:dyDescent="0.2">
      <c r="A32" s="25"/>
      <c r="B32" s="41" t="s">
        <v>1038</v>
      </c>
      <c r="C32" s="154">
        <f>IF($B32=" ","",IFERROR(INDEX(MMWR_RATING_STATE_ROLLUP_PMC[],MATCH($B32,MMWR_RATING_STATE_ROLLUP_PMC[MMWR_RATING_STATE_ROLLUP_PMC],0),MATCH(C$9,MMWR_RATING_STATE_ROLLUP_PMC[#Headers],0)),"ERROR"))</f>
        <v>26038</v>
      </c>
      <c r="D32" s="155">
        <f>IF($B32=" ","",IFERROR(INDEX(MMWR_RATING_STATE_ROLLUP_PMC[],MATCH($B32,MMWR_RATING_STATE_ROLLUP_PMC[MMWR_RATING_STATE_ROLLUP_PMC],0),MATCH(D$9,MMWR_RATING_STATE_ROLLUP_PMC[#Headers],0)),"ERROR"))</f>
        <v>69.893693832099999</v>
      </c>
      <c r="E32" s="156">
        <f>IF($B32=" ","",IFERROR(INDEX(MMWR_RATING_STATE_ROLLUP_PMC[],MATCH($B32,MMWR_RATING_STATE_ROLLUP_PMC[MMWR_RATING_STATE_ROLLUP_PMC],0),MATCH(E$9,MMWR_RATING_STATE_ROLLUP_PMC[#Headers],0))/$C32,"ERROR"))</f>
        <v>0.12443352023964974</v>
      </c>
      <c r="F32" s="154">
        <f>IF($B32=" ","",IFERROR(INDEX(MMWR_RATING_STATE_ROLLUP_PMC[],MATCH($B32,MMWR_RATING_STATE_ROLLUP_PMC[MMWR_RATING_STATE_ROLLUP_PMC],0),MATCH(F$9,MMWR_RATING_STATE_ROLLUP_PMC[#Headers],0)),"ERROR"))</f>
        <v>11333</v>
      </c>
      <c r="G32" s="154">
        <f>IF($B32=" ","",IFERROR(INDEX(MMWR_RATING_STATE_ROLLUP_PMC[],MATCH($B32,MMWR_RATING_STATE_ROLLUP_PMC[MMWR_RATING_STATE_ROLLUP_PMC],0),MATCH(G$9,MMWR_RATING_STATE_ROLLUP_PMC[#Headers],0)),"ERROR"))</f>
        <v>59121</v>
      </c>
      <c r="H32" s="155">
        <f>IF($B32=" ","",IFERROR(INDEX(MMWR_RATING_STATE_ROLLUP_PMC[],MATCH($B32,MMWR_RATING_STATE_ROLLUP_PMC[MMWR_RATING_STATE_ROLLUP_PMC],0),MATCH(H$9,MMWR_RATING_STATE_ROLLUP_PMC[#Headers],0)),"ERROR"))</f>
        <v>83.644224830100001</v>
      </c>
      <c r="I32" s="155">
        <f>IF($B32=" ","",IFERROR(INDEX(MMWR_RATING_STATE_ROLLUP_PMC[],MATCH($B32,MMWR_RATING_STATE_ROLLUP_PMC[MMWR_RATING_STATE_ROLLUP_PMC],0),MATCH(I$9,MMWR_RATING_STATE_ROLLUP_PMC[#Headers],0)),"ERROR"))</f>
        <v>75.5123729301</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7270</v>
      </c>
      <c r="D33" s="155">
        <f>IF($B33=" ","",IFERROR(INDEX(MMWR_RATING_STATE_ROLLUP_PMC[],MATCH($B33,MMWR_RATING_STATE_ROLLUP_PMC[MMWR_RATING_STATE_ROLLUP_PMC],0),MATCH(D$9,MMWR_RATING_STATE_ROLLUP_PMC[#Headers],0)),"ERROR"))</f>
        <v>73.667812929799993</v>
      </c>
      <c r="E33" s="156">
        <f>IF($B33=" ","",IFERROR(INDEX(MMWR_RATING_STATE_ROLLUP_PMC[],MATCH($B33,MMWR_RATING_STATE_ROLLUP_PMC[MMWR_RATING_STATE_ROLLUP_PMC],0),MATCH(E$9,MMWR_RATING_STATE_ROLLUP_PMC[#Headers],0))/$C33,"ERROR"))</f>
        <v>0.13906464924346629</v>
      </c>
      <c r="F33" s="154">
        <f>IF($B33=" ","",IFERROR(INDEX(MMWR_RATING_STATE_ROLLUP_PMC[],MATCH($B33,MMWR_RATING_STATE_ROLLUP_PMC[MMWR_RATING_STATE_ROLLUP_PMC],0),MATCH(F$9,MMWR_RATING_STATE_ROLLUP_PMC[#Headers],0)),"ERROR"))</f>
        <v>2316</v>
      </c>
      <c r="G33" s="154">
        <f>IF($B33=" ","",IFERROR(INDEX(MMWR_RATING_STATE_ROLLUP_PMC[],MATCH($B33,MMWR_RATING_STATE_ROLLUP_PMC[MMWR_RATING_STATE_ROLLUP_PMC],0),MATCH(G$9,MMWR_RATING_STATE_ROLLUP_PMC[#Headers],0)),"ERROR"))</f>
        <v>11722</v>
      </c>
      <c r="H33" s="155">
        <f>IF($B33=" ","",IFERROR(INDEX(MMWR_RATING_STATE_ROLLUP_PMC[],MATCH($B33,MMWR_RATING_STATE_ROLLUP_PMC[MMWR_RATING_STATE_ROLLUP_PMC],0),MATCH(H$9,MMWR_RATING_STATE_ROLLUP_PMC[#Headers],0)),"ERROR"))</f>
        <v>103.1178756477</v>
      </c>
      <c r="I33" s="155">
        <f>IF($B33=" ","",IFERROR(INDEX(MMWR_RATING_STATE_ROLLUP_PMC[],MATCH($B33,MMWR_RATING_STATE_ROLLUP_PMC[MMWR_RATING_STATE_ROLLUP_PMC],0),MATCH(I$9,MMWR_RATING_STATE_ROLLUP_PMC[#Headers],0)),"ERROR"))</f>
        <v>90.507421941600001</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212</v>
      </c>
      <c r="D34" s="155">
        <f>IF($B34=" ","",IFERROR(INDEX(MMWR_RATING_STATE_ROLLUP_PMC[],MATCH($B34,MMWR_RATING_STATE_ROLLUP_PMC[MMWR_RATING_STATE_ROLLUP_PMC],0),MATCH(D$9,MMWR_RATING_STATE_ROLLUP_PMC[#Headers],0)),"ERROR"))</f>
        <v>77.245283018899997</v>
      </c>
      <c r="E34" s="156">
        <f>IF($B34=" ","",IFERROR(INDEX(MMWR_RATING_STATE_ROLLUP_PMC[],MATCH($B34,MMWR_RATING_STATE_ROLLUP_PMC[MMWR_RATING_STATE_ROLLUP_PMC],0),MATCH(E$9,MMWR_RATING_STATE_ROLLUP_PMC[#Headers],0))/$C34,"ERROR"))</f>
        <v>0.15566037735849056</v>
      </c>
      <c r="F34" s="154">
        <f>IF($B34=" ","",IFERROR(INDEX(MMWR_RATING_STATE_ROLLUP_PMC[],MATCH($B34,MMWR_RATING_STATE_ROLLUP_PMC[MMWR_RATING_STATE_ROLLUP_PMC],0),MATCH(F$9,MMWR_RATING_STATE_ROLLUP_PMC[#Headers],0)),"ERROR"))</f>
        <v>70</v>
      </c>
      <c r="G34" s="154">
        <f>IF($B34=" ","",IFERROR(INDEX(MMWR_RATING_STATE_ROLLUP_PMC[],MATCH($B34,MMWR_RATING_STATE_ROLLUP_PMC[MMWR_RATING_STATE_ROLLUP_PMC],0),MATCH(G$9,MMWR_RATING_STATE_ROLLUP_PMC[#Headers],0)),"ERROR"))</f>
        <v>349</v>
      </c>
      <c r="H34" s="155">
        <f>IF($B34=" ","",IFERROR(INDEX(MMWR_RATING_STATE_ROLLUP_PMC[],MATCH($B34,MMWR_RATING_STATE_ROLLUP_PMC[MMWR_RATING_STATE_ROLLUP_PMC],0),MATCH(H$9,MMWR_RATING_STATE_ROLLUP_PMC[#Headers],0)),"ERROR"))</f>
        <v>103.91428571429999</v>
      </c>
      <c r="I34" s="155">
        <f>IF($B34=" ","",IFERROR(INDEX(MMWR_RATING_STATE_ROLLUP_PMC[],MATCH($B34,MMWR_RATING_STATE_ROLLUP_PMC[MMWR_RATING_STATE_ROLLUP_PMC],0),MATCH(I$9,MMWR_RATING_STATE_ROLLUP_PMC[#Headers],0)),"ERROR"))</f>
        <v>89.699140401099996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73</v>
      </c>
      <c r="D35" s="155">
        <f>IF($B35=" ","",IFERROR(INDEX(MMWR_RATING_STATE_ROLLUP_PMC[],MATCH($B35,MMWR_RATING_STATE_ROLLUP_PMC[MMWR_RATING_STATE_ROLLUP_PMC],0),MATCH(D$9,MMWR_RATING_STATE_ROLLUP_PMC[#Headers],0)),"ERROR"))</f>
        <v>78.726027397300001</v>
      </c>
      <c r="E35" s="156">
        <f>IF($B35=" ","",IFERROR(INDEX(MMWR_RATING_STATE_ROLLUP_PMC[],MATCH($B35,MMWR_RATING_STATE_ROLLUP_PMC[MMWR_RATING_STATE_ROLLUP_PMC],0),MATCH(E$9,MMWR_RATING_STATE_ROLLUP_PMC[#Headers],0))/$C35,"ERROR"))</f>
        <v>0.13698630136986301</v>
      </c>
      <c r="F35" s="154">
        <f>IF($B35=" ","",IFERROR(INDEX(MMWR_RATING_STATE_ROLLUP_PMC[],MATCH($B35,MMWR_RATING_STATE_ROLLUP_PMC[MMWR_RATING_STATE_ROLLUP_PMC],0),MATCH(F$9,MMWR_RATING_STATE_ROLLUP_PMC[#Headers],0)),"ERROR"))</f>
        <v>23</v>
      </c>
      <c r="G35" s="154">
        <f>IF($B35=" ","",IFERROR(INDEX(MMWR_RATING_STATE_ROLLUP_PMC[],MATCH($B35,MMWR_RATING_STATE_ROLLUP_PMC[MMWR_RATING_STATE_ROLLUP_PMC],0),MATCH(G$9,MMWR_RATING_STATE_ROLLUP_PMC[#Headers],0)),"ERROR"))</f>
        <v>115</v>
      </c>
      <c r="H35" s="155">
        <f>IF($B35=" ","",IFERROR(INDEX(MMWR_RATING_STATE_ROLLUP_PMC[],MATCH($B35,MMWR_RATING_STATE_ROLLUP_PMC[MMWR_RATING_STATE_ROLLUP_PMC],0),MATCH(H$9,MMWR_RATING_STATE_ROLLUP_PMC[#Headers],0)),"ERROR"))</f>
        <v>81</v>
      </c>
      <c r="I35" s="155">
        <f>IF($B35=" ","",IFERROR(INDEX(MMWR_RATING_STATE_ROLLUP_PMC[],MATCH($B35,MMWR_RATING_STATE_ROLLUP_PMC[MMWR_RATING_STATE_ROLLUP_PMC],0),MATCH(I$9,MMWR_RATING_STATE_ROLLUP_PMC[#Headers],0)),"ERROR"))</f>
        <v>93.2</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69</v>
      </c>
      <c r="D36" s="155">
        <f>IF($B36=" ","",IFERROR(INDEX(MMWR_RATING_STATE_ROLLUP_PMC[],MATCH($B36,MMWR_RATING_STATE_ROLLUP_PMC[MMWR_RATING_STATE_ROLLUP_PMC],0),MATCH(D$9,MMWR_RATING_STATE_ROLLUP_PMC[#Headers],0)),"ERROR"))</f>
        <v>83.536231884100005</v>
      </c>
      <c r="E36" s="156">
        <f>IF($B36=" ","",IFERROR(INDEX(MMWR_RATING_STATE_ROLLUP_PMC[],MATCH($B36,MMWR_RATING_STATE_ROLLUP_PMC[MMWR_RATING_STATE_ROLLUP_PMC],0),MATCH(E$9,MMWR_RATING_STATE_ROLLUP_PMC[#Headers],0))/$C36,"ERROR"))</f>
        <v>0.24637681159420291</v>
      </c>
      <c r="F36" s="154">
        <f>IF($B36=" ","",IFERROR(INDEX(MMWR_RATING_STATE_ROLLUP_PMC[],MATCH($B36,MMWR_RATING_STATE_ROLLUP_PMC[MMWR_RATING_STATE_ROLLUP_PMC],0),MATCH(F$9,MMWR_RATING_STATE_ROLLUP_PMC[#Headers],0)),"ERROR"))</f>
        <v>26</v>
      </c>
      <c r="G36" s="154">
        <f>IF($B36=" ","",IFERROR(INDEX(MMWR_RATING_STATE_ROLLUP_PMC[],MATCH($B36,MMWR_RATING_STATE_ROLLUP_PMC[MMWR_RATING_STATE_ROLLUP_PMC],0),MATCH(G$9,MMWR_RATING_STATE_ROLLUP_PMC[#Headers],0)),"ERROR"))</f>
        <v>116</v>
      </c>
      <c r="H36" s="155">
        <f>IF($B36=" ","",IFERROR(INDEX(MMWR_RATING_STATE_ROLLUP_PMC[],MATCH($B36,MMWR_RATING_STATE_ROLLUP_PMC[MMWR_RATING_STATE_ROLLUP_PMC],0),MATCH(H$9,MMWR_RATING_STATE_ROLLUP_PMC[#Headers],0)),"ERROR"))</f>
        <v>104.9230769231</v>
      </c>
      <c r="I36" s="155">
        <f>IF($B36=" ","",IFERROR(INDEX(MMWR_RATING_STATE_ROLLUP_PMC[],MATCH($B36,MMWR_RATING_STATE_ROLLUP_PMC[MMWR_RATING_STATE_ROLLUP_PMC],0),MATCH(I$9,MMWR_RATING_STATE_ROLLUP_PMC[#Headers],0)),"ERROR"))</f>
        <v>94.017241379300003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125</v>
      </c>
      <c r="D37" s="155">
        <f>IF($B37=" ","",IFERROR(INDEX(MMWR_RATING_STATE_ROLLUP_PMC[],MATCH($B37,MMWR_RATING_STATE_ROLLUP_PMC[MMWR_RATING_STATE_ROLLUP_PMC],0),MATCH(D$9,MMWR_RATING_STATE_ROLLUP_PMC[#Headers],0)),"ERROR"))</f>
        <v>66.847999999999999</v>
      </c>
      <c r="E37" s="156">
        <f>IF($B37=" ","",IFERROR(INDEX(MMWR_RATING_STATE_ROLLUP_PMC[],MATCH($B37,MMWR_RATING_STATE_ROLLUP_PMC[MMWR_RATING_STATE_ROLLUP_PMC],0),MATCH(E$9,MMWR_RATING_STATE_ROLLUP_PMC[#Headers],0))/$C37,"ERROR"))</f>
        <v>0.128</v>
      </c>
      <c r="F37" s="154">
        <f>IF($B37=" ","",IFERROR(INDEX(MMWR_RATING_STATE_ROLLUP_PMC[],MATCH($B37,MMWR_RATING_STATE_ROLLUP_PMC[MMWR_RATING_STATE_ROLLUP_PMC],0),MATCH(F$9,MMWR_RATING_STATE_ROLLUP_PMC[#Headers],0)),"ERROR"))</f>
        <v>37</v>
      </c>
      <c r="G37" s="154">
        <f>IF($B37=" ","",IFERROR(INDEX(MMWR_RATING_STATE_ROLLUP_PMC[],MATCH($B37,MMWR_RATING_STATE_ROLLUP_PMC[MMWR_RATING_STATE_ROLLUP_PMC],0),MATCH(G$9,MMWR_RATING_STATE_ROLLUP_PMC[#Headers],0)),"ERROR"))</f>
        <v>226</v>
      </c>
      <c r="H37" s="155">
        <f>IF($B37=" ","",IFERROR(INDEX(MMWR_RATING_STATE_ROLLUP_PMC[],MATCH($B37,MMWR_RATING_STATE_ROLLUP_PMC[MMWR_RATING_STATE_ROLLUP_PMC],0),MATCH(H$9,MMWR_RATING_STATE_ROLLUP_PMC[#Headers],0)),"ERROR"))</f>
        <v>80.081081081099995</v>
      </c>
      <c r="I37" s="155">
        <f>IF($B37=" ","",IFERROR(INDEX(MMWR_RATING_STATE_ROLLUP_PMC[],MATCH($B37,MMWR_RATING_STATE_ROLLUP_PMC[MMWR_RATING_STATE_ROLLUP_PMC],0),MATCH(I$9,MMWR_RATING_STATE_ROLLUP_PMC[#Headers],0)),"ERROR"))</f>
        <v>81.1725663717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448</v>
      </c>
      <c r="D38" s="155">
        <f>IF($B38=" ","",IFERROR(INDEX(MMWR_RATING_STATE_ROLLUP_PMC[],MATCH($B38,MMWR_RATING_STATE_ROLLUP_PMC[MMWR_RATING_STATE_ROLLUP_PMC],0),MATCH(D$9,MMWR_RATING_STATE_ROLLUP_PMC[#Headers],0)),"ERROR"))</f>
        <v>75.517857142899999</v>
      </c>
      <c r="E38" s="156">
        <f>IF($B38=" ","",IFERROR(INDEX(MMWR_RATING_STATE_ROLLUP_PMC[],MATCH($B38,MMWR_RATING_STATE_ROLLUP_PMC[MMWR_RATING_STATE_ROLLUP_PMC],0),MATCH(E$9,MMWR_RATING_STATE_ROLLUP_PMC[#Headers],0))/$C38,"ERROR"))</f>
        <v>0.15625</v>
      </c>
      <c r="F38" s="154">
        <f>IF($B38=" ","",IFERROR(INDEX(MMWR_RATING_STATE_ROLLUP_PMC[],MATCH($B38,MMWR_RATING_STATE_ROLLUP_PMC[MMWR_RATING_STATE_ROLLUP_PMC],0),MATCH(F$9,MMWR_RATING_STATE_ROLLUP_PMC[#Headers],0)),"ERROR"))</f>
        <v>149</v>
      </c>
      <c r="G38" s="154">
        <f>IF($B38=" ","",IFERROR(INDEX(MMWR_RATING_STATE_ROLLUP_PMC[],MATCH($B38,MMWR_RATING_STATE_ROLLUP_PMC[MMWR_RATING_STATE_ROLLUP_PMC],0),MATCH(G$9,MMWR_RATING_STATE_ROLLUP_PMC[#Headers],0)),"ERROR"))</f>
        <v>777</v>
      </c>
      <c r="H38" s="155">
        <f>IF($B38=" ","",IFERROR(INDEX(MMWR_RATING_STATE_ROLLUP_PMC[],MATCH($B38,MMWR_RATING_STATE_ROLLUP_PMC[MMWR_RATING_STATE_ROLLUP_PMC],0),MATCH(H$9,MMWR_RATING_STATE_ROLLUP_PMC[#Headers],0)),"ERROR"))</f>
        <v>106.40268456379999</v>
      </c>
      <c r="I38" s="155">
        <f>IF($B38=" ","",IFERROR(INDEX(MMWR_RATING_STATE_ROLLUP_PMC[],MATCH($B38,MMWR_RATING_STATE_ROLLUP_PMC[MMWR_RATING_STATE_ROLLUP_PMC],0),MATCH(I$9,MMWR_RATING_STATE_ROLLUP_PMC[#Headers],0)),"ERROR"))</f>
        <v>90.864864864899999</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451</v>
      </c>
      <c r="D39" s="155">
        <f>IF($B39=" ","",IFERROR(INDEX(MMWR_RATING_STATE_ROLLUP_PMC[],MATCH($B39,MMWR_RATING_STATE_ROLLUP_PMC[MMWR_RATING_STATE_ROLLUP_PMC],0),MATCH(D$9,MMWR_RATING_STATE_ROLLUP_PMC[#Headers],0)),"ERROR"))</f>
        <v>75.317073170699999</v>
      </c>
      <c r="E39" s="156">
        <f>IF($B39=" ","",IFERROR(INDEX(MMWR_RATING_STATE_ROLLUP_PMC[],MATCH($B39,MMWR_RATING_STATE_ROLLUP_PMC[MMWR_RATING_STATE_ROLLUP_PMC],0),MATCH(E$9,MMWR_RATING_STATE_ROLLUP_PMC[#Headers],0))/$C39,"ERROR"))</f>
        <v>0.14634146341463414</v>
      </c>
      <c r="F39" s="154">
        <f>IF($B39=" ","",IFERROR(INDEX(MMWR_RATING_STATE_ROLLUP_PMC[],MATCH($B39,MMWR_RATING_STATE_ROLLUP_PMC[MMWR_RATING_STATE_ROLLUP_PMC],0),MATCH(F$9,MMWR_RATING_STATE_ROLLUP_PMC[#Headers],0)),"ERROR"))</f>
        <v>138</v>
      </c>
      <c r="G39" s="154">
        <f>IF($B39=" ","",IFERROR(INDEX(MMWR_RATING_STATE_ROLLUP_PMC[],MATCH($B39,MMWR_RATING_STATE_ROLLUP_PMC[MMWR_RATING_STATE_ROLLUP_PMC],0),MATCH(G$9,MMWR_RATING_STATE_ROLLUP_PMC[#Headers],0)),"ERROR"))</f>
        <v>749</v>
      </c>
      <c r="H39" s="155">
        <f>IF($B39=" ","",IFERROR(INDEX(MMWR_RATING_STATE_ROLLUP_PMC[],MATCH($B39,MMWR_RATING_STATE_ROLLUP_PMC[MMWR_RATING_STATE_ROLLUP_PMC],0),MATCH(H$9,MMWR_RATING_STATE_ROLLUP_PMC[#Headers],0)),"ERROR"))</f>
        <v>92.753623188399999</v>
      </c>
      <c r="I39" s="155">
        <f>IF($B39=" ","",IFERROR(INDEX(MMWR_RATING_STATE_ROLLUP_PMC[],MATCH($B39,MMWR_RATING_STATE_ROLLUP_PMC[MMWR_RATING_STATE_ROLLUP_PMC],0),MATCH(I$9,MMWR_RATING_STATE_ROLLUP_PMC[#Headers],0)),"ERROR"))</f>
        <v>83.444592790399994</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100</v>
      </c>
      <c r="D40" s="155">
        <f>IF($B40=" ","",IFERROR(INDEX(MMWR_RATING_STATE_ROLLUP_PMC[],MATCH($B40,MMWR_RATING_STATE_ROLLUP_PMC[MMWR_RATING_STATE_ROLLUP_PMC],0),MATCH(D$9,MMWR_RATING_STATE_ROLLUP_PMC[#Headers],0)),"ERROR"))</f>
        <v>69.510000000000005</v>
      </c>
      <c r="E40" s="156">
        <f>IF($B40=" ","",IFERROR(INDEX(MMWR_RATING_STATE_ROLLUP_PMC[],MATCH($B40,MMWR_RATING_STATE_ROLLUP_PMC[MMWR_RATING_STATE_ROLLUP_PMC],0),MATCH(E$9,MMWR_RATING_STATE_ROLLUP_PMC[#Headers],0))/$C40,"ERROR"))</f>
        <v>0.1</v>
      </c>
      <c r="F40" s="154">
        <f>IF($B40=" ","",IFERROR(INDEX(MMWR_RATING_STATE_ROLLUP_PMC[],MATCH($B40,MMWR_RATING_STATE_ROLLUP_PMC[MMWR_RATING_STATE_ROLLUP_PMC],0),MATCH(F$9,MMWR_RATING_STATE_ROLLUP_PMC[#Headers],0)),"ERROR"))</f>
        <v>37</v>
      </c>
      <c r="G40" s="154">
        <f>IF($B40=" ","",IFERROR(INDEX(MMWR_RATING_STATE_ROLLUP_PMC[],MATCH($B40,MMWR_RATING_STATE_ROLLUP_PMC[MMWR_RATING_STATE_ROLLUP_PMC],0),MATCH(G$9,MMWR_RATING_STATE_ROLLUP_PMC[#Headers],0)),"ERROR"))</f>
        <v>177</v>
      </c>
      <c r="H40" s="155">
        <f>IF($B40=" ","",IFERROR(INDEX(MMWR_RATING_STATE_ROLLUP_PMC[],MATCH($B40,MMWR_RATING_STATE_ROLLUP_PMC[MMWR_RATING_STATE_ROLLUP_PMC],0),MATCH(H$9,MMWR_RATING_STATE_ROLLUP_PMC[#Headers],0)),"ERROR"))</f>
        <v>103.6216216216</v>
      </c>
      <c r="I40" s="155">
        <f>IF($B40=" ","",IFERROR(INDEX(MMWR_RATING_STATE_ROLLUP_PMC[],MATCH($B40,MMWR_RATING_STATE_ROLLUP_PMC[MMWR_RATING_STATE_ROLLUP_PMC],0),MATCH(I$9,MMWR_RATING_STATE_ROLLUP_PMC[#Headers],0)),"ERROR"))</f>
        <v>93.6836158192</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501</v>
      </c>
      <c r="D41" s="155">
        <f>IF($B41=" ","",IFERROR(INDEX(MMWR_RATING_STATE_ROLLUP_PMC[],MATCH($B41,MMWR_RATING_STATE_ROLLUP_PMC[MMWR_RATING_STATE_ROLLUP_PMC],0),MATCH(D$9,MMWR_RATING_STATE_ROLLUP_PMC[#Headers],0)),"ERROR"))</f>
        <v>73.381237525000003</v>
      </c>
      <c r="E41" s="156">
        <f>IF($B41=" ","",IFERROR(INDEX(MMWR_RATING_STATE_ROLLUP_PMC[],MATCH($B41,MMWR_RATING_STATE_ROLLUP_PMC[MMWR_RATING_STATE_ROLLUP_PMC],0),MATCH(E$9,MMWR_RATING_STATE_ROLLUP_PMC[#Headers],0))/$C41,"ERROR"))</f>
        <v>0.11976047904191617</v>
      </c>
      <c r="F41" s="154">
        <f>IF($B41=" ","",IFERROR(INDEX(MMWR_RATING_STATE_ROLLUP_PMC[],MATCH($B41,MMWR_RATING_STATE_ROLLUP_PMC[MMWR_RATING_STATE_ROLLUP_PMC],0),MATCH(F$9,MMWR_RATING_STATE_ROLLUP_PMC[#Headers],0)),"ERROR"))</f>
        <v>168</v>
      </c>
      <c r="G41" s="154">
        <f>IF($B41=" ","",IFERROR(INDEX(MMWR_RATING_STATE_ROLLUP_PMC[],MATCH($B41,MMWR_RATING_STATE_ROLLUP_PMC[MMWR_RATING_STATE_ROLLUP_PMC],0),MATCH(G$9,MMWR_RATING_STATE_ROLLUP_PMC[#Headers],0)),"ERROR"))</f>
        <v>798</v>
      </c>
      <c r="H41" s="155">
        <f>IF($B41=" ","",IFERROR(INDEX(MMWR_RATING_STATE_ROLLUP_PMC[],MATCH($B41,MMWR_RATING_STATE_ROLLUP_PMC[MMWR_RATING_STATE_ROLLUP_PMC],0),MATCH(H$9,MMWR_RATING_STATE_ROLLUP_PMC[#Headers],0)),"ERROR"))</f>
        <v>106.2619047619</v>
      </c>
      <c r="I41" s="155">
        <f>IF($B41=" ","",IFERROR(INDEX(MMWR_RATING_STATE_ROLLUP_PMC[],MATCH($B41,MMWR_RATING_STATE_ROLLUP_PMC[MMWR_RATING_STATE_ROLLUP_PMC],0),MATCH(I$9,MMWR_RATING_STATE_ROLLUP_PMC[#Headers],0)),"ERROR"))</f>
        <v>89.774436090199998</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1233</v>
      </c>
      <c r="D42" s="155">
        <f>IF($B42=" ","",IFERROR(INDEX(MMWR_RATING_STATE_ROLLUP_PMC[],MATCH($B42,MMWR_RATING_STATE_ROLLUP_PMC[MMWR_RATING_STATE_ROLLUP_PMC],0),MATCH(D$9,MMWR_RATING_STATE_ROLLUP_PMC[#Headers],0)),"ERROR"))</f>
        <v>75.392538523900001</v>
      </c>
      <c r="E42" s="156">
        <f>IF($B42=" ","",IFERROR(INDEX(MMWR_RATING_STATE_ROLLUP_PMC[],MATCH($B42,MMWR_RATING_STATE_ROLLUP_PMC[MMWR_RATING_STATE_ROLLUP_PMC],0),MATCH(E$9,MMWR_RATING_STATE_ROLLUP_PMC[#Headers],0))/$C42,"ERROR"))</f>
        <v>0.13300892133008921</v>
      </c>
      <c r="F42" s="154">
        <f>IF($B42=" ","",IFERROR(INDEX(MMWR_RATING_STATE_ROLLUP_PMC[],MATCH($B42,MMWR_RATING_STATE_ROLLUP_PMC[MMWR_RATING_STATE_ROLLUP_PMC],0),MATCH(F$9,MMWR_RATING_STATE_ROLLUP_PMC[#Headers],0)),"ERROR"))</f>
        <v>406</v>
      </c>
      <c r="G42" s="154">
        <f>IF($B42=" ","",IFERROR(INDEX(MMWR_RATING_STATE_ROLLUP_PMC[],MATCH($B42,MMWR_RATING_STATE_ROLLUP_PMC[MMWR_RATING_STATE_ROLLUP_PMC],0),MATCH(G$9,MMWR_RATING_STATE_ROLLUP_PMC[#Headers],0)),"ERROR"))</f>
        <v>2032</v>
      </c>
      <c r="H42" s="155">
        <f>IF($B42=" ","",IFERROR(INDEX(MMWR_RATING_STATE_ROLLUP_PMC[],MATCH($B42,MMWR_RATING_STATE_ROLLUP_PMC[MMWR_RATING_STATE_ROLLUP_PMC],0),MATCH(H$9,MMWR_RATING_STATE_ROLLUP_PMC[#Headers],0)),"ERROR"))</f>
        <v>105.2463054187</v>
      </c>
      <c r="I42" s="155">
        <f>IF($B42=" ","",IFERROR(INDEX(MMWR_RATING_STATE_ROLLUP_PMC[],MATCH($B42,MMWR_RATING_STATE_ROLLUP_PMC[MMWR_RATING_STATE_ROLLUP_PMC],0),MATCH(I$9,MMWR_RATING_STATE_ROLLUP_PMC[#Headers],0)),"ERROR"))</f>
        <v>91.788877952799993</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1360</v>
      </c>
      <c r="D43" s="155">
        <f>IF($B43=" ","",IFERROR(INDEX(MMWR_RATING_STATE_ROLLUP_PMC[],MATCH($B43,MMWR_RATING_STATE_ROLLUP_PMC[MMWR_RATING_STATE_ROLLUP_PMC],0),MATCH(D$9,MMWR_RATING_STATE_ROLLUP_PMC[#Headers],0)),"ERROR"))</f>
        <v>71.555882352899999</v>
      </c>
      <c r="E43" s="156">
        <f>IF($B43=" ","",IFERROR(INDEX(MMWR_RATING_STATE_ROLLUP_PMC[],MATCH($B43,MMWR_RATING_STATE_ROLLUP_PMC[MMWR_RATING_STATE_ROLLUP_PMC],0),MATCH(E$9,MMWR_RATING_STATE_ROLLUP_PMC[#Headers],0))/$C43,"ERROR"))</f>
        <v>0.13750000000000001</v>
      </c>
      <c r="F43" s="154">
        <f>IF($B43=" ","",IFERROR(INDEX(MMWR_RATING_STATE_ROLLUP_PMC[],MATCH($B43,MMWR_RATING_STATE_ROLLUP_PMC[MMWR_RATING_STATE_ROLLUP_PMC],0),MATCH(F$9,MMWR_RATING_STATE_ROLLUP_PMC[#Headers],0)),"ERROR"))</f>
        <v>415</v>
      </c>
      <c r="G43" s="154">
        <f>IF($B43=" ","",IFERROR(INDEX(MMWR_RATING_STATE_ROLLUP_PMC[],MATCH($B43,MMWR_RATING_STATE_ROLLUP_PMC[MMWR_RATING_STATE_ROLLUP_PMC],0),MATCH(G$9,MMWR_RATING_STATE_ROLLUP_PMC[#Headers],0)),"ERROR"))</f>
        <v>1991</v>
      </c>
      <c r="H43" s="155">
        <f>IF($B43=" ","",IFERROR(INDEX(MMWR_RATING_STATE_ROLLUP_PMC[],MATCH($B43,MMWR_RATING_STATE_ROLLUP_PMC[MMWR_RATING_STATE_ROLLUP_PMC],0),MATCH(H$9,MMWR_RATING_STATE_ROLLUP_PMC[#Headers],0)),"ERROR"))</f>
        <v>103.4626506024</v>
      </c>
      <c r="I43" s="155">
        <f>IF($B43=" ","",IFERROR(INDEX(MMWR_RATING_STATE_ROLLUP_PMC[],MATCH($B43,MMWR_RATING_STATE_ROLLUP_PMC[MMWR_RATING_STATE_ROLLUP_PMC],0),MATCH(I$9,MMWR_RATING_STATE_ROLLUP_PMC[#Headers],0)),"ERROR"))</f>
        <v>89.062280261200002</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1523</v>
      </c>
      <c r="D44" s="155">
        <f>IF($B44=" ","",IFERROR(INDEX(MMWR_RATING_STATE_ROLLUP_PMC[],MATCH($B44,MMWR_RATING_STATE_ROLLUP_PMC[MMWR_RATING_STATE_ROLLUP_PMC],0),MATCH(D$9,MMWR_RATING_STATE_ROLLUP_PMC[#Headers],0)),"ERROR"))</f>
        <v>72.421536441200004</v>
      </c>
      <c r="E44" s="156">
        <f>IF($B44=" ","",IFERROR(INDEX(MMWR_RATING_STATE_ROLLUP_PMC[],MATCH($B44,MMWR_RATING_STATE_ROLLUP_PMC[MMWR_RATING_STATE_ROLLUP_PMC],0),MATCH(E$9,MMWR_RATING_STATE_ROLLUP_PMC[#Headers],0))/$C44,"ERROR"))</f>
        <v>0.13525935653315824</v>
      </c>
      <c r="F44" s="154">
        <f>IF($B44=" ","",IFERROR(INDEX(MMWR_RATING_STATE_ROLLUP_PMC[],MATCH($B44,MMWR_RATING_STATE_ROLLUP_PMC[MMWR_RATING_STATE_ROLLUP_PMC],0),MATCH(F$9,MMWR_RATING_STATE_ROLLUP_PMC[#Headers],0)),"ERROR"))</f>
        <v>463</v>
      </c>
      <c r="G44" s="154">
        <f>IF($B44=" ","",IFERROR(INDEX(MMWR_RATING_STATE_ROLLUP_PMC[],MATCH($B44,MMWR_RATING_STATE_ROLLUP_PMC[MMWR_RATING_STATE_ROLLUP_PMC],0),MATCH(G$9,MMWR_RATING_STATE_ROLLUP_PMC[#Headers],0)),"ERROR"))</f>
        <v>2387</v>
      </c>
      <c r="H44" s="155">
        <f>IF($B44=" ","",IFERROR(INDEX(MMWR_RATING_STATE_ROLLUP_PMC[],MATCH($B44,MMWR_RATING_STATE_ROLLUP_PMC[MMWR_RATING_STATE_ROLLUP_PMC],0),MATCH(H$9,MMWR_RATING_STATE_ROLLUP_PMC[#Headers],0)),"ERROR"))</f>
        <v>100.7796976242</v>
      </c>
      <c r="I44" s="155">
        <f>IF($B44=" ","",IFERROR(INDEX(MMWR_RATING_STATE_ROLLUP_PMC[],MATCH($B44,MMWR_RATING_STATE_ROLLUP_PMC[MMWR_RATING_STATE_ROLLUP_PMC],0),MATCH(I$9,MMWR_RATING_STATE_ROLLUP_PMC[#Headers],0)),"ERROR"))</f>
        <v>89.224549643900005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101</v>
      </c>
      <c r="D45" s="155">
        <f>IF($B45=" ","",IFERROR(INDEX(MMWR_RATING_STATE_ROLLUP_PMC[],MATCH($B45,MMWR_RATING_STATE_ROLLUP_PMC[MMWR_RATING_STATE_ROLLUP_PMC],0),MATCH(D$9,MMWR_RATING_STATE_ROLLUP_PMC[#Headers],0)),"ERROR"))</f>
        <v>71.742574257399994</v>
      </c>
      <c r="E45" s="156">
        <f>IF($B45=" ","",IFERROR(INDEX(MMWR_RATING_STATE_ROLLUP_PMC[],MATCH($B45,MMWR_RATING_STATE_ROLLUP_PMC[MMWR_RATING_STATE_ROLLUP_PMC],0),MATCH(E$9,MMWR_RATING_STATE_ROLLUP_PMC[#Headers],0))/$C45,"ERROR"))</f>
        <v>0.11881188118811881</v>
      </c>
      <c r="F45" s="154">
        <f>IF($B45=" ","",IFERROR(INDEX(MMWR_RATING_STATE_ROLLUP_PMC[],MATCH($B45,MMWR_RATING_STATE_ROLLUP_PMC[MMWR_RATING_STATE_ROLLUP_PMC],0),MATCH(F$9,MMWR_RATING_STATE_ROLLUP_PMC[#Headers],0)),"ERROR"))</f>
        <v>35</v>
      </c>
      <c r="G45" s="154">
        <f>IF($B45=" ","",IFERROR(INDEX(MMWR_RATING_STATE_ROLLUP_PMC[],MATCH($B45,MMWR_RATING_STATE_ROLLUP_PMC[MMWR_RATING_STATE_ROLLUP_PMC],0),MATCH(G$9,MMWR_RATING_STATE_ROLLUP_PMC[#Headers],0)),"ERROR"))</f>
        <v>199</v>
      </c>
      <c r="H45" s="155">
        <f>IF($B45=" ","",IFERROR(INDEX(MMWR_RATING_STATE_ROLLUP_PMC[],MATCH($B45,MMWR_RATING_STATE_ROLLUP_PMC[MMWR_RATING_STATE_ROLLUP_PMC],0),MATCH(H$9,MMWR_RATING_STATE_ROLLUP_PMC[#Headers],0)),"ERROR"))</f>
        <v>102.9714285714</v>
      </c>
      <c r="I45" s="155">
        <f>IF($B45=" ","",IFERROR(INDEX(MMWR_RATING_STATE_ROLLUP_PMC[],MATCH($B45,MMWR_RATING_STATE_ROLLUP_PMC[MMWR_RATING_STATE_ROLLUP_PMC],0),MATCH(I$9,MMWR_RATING_STATE_ROLLUP_PMC[#Headers],0)),"ERROR"))</f>
        <v>94.517587939699993</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50</v>
      </c>
      <c r="D46" s="155">
        <f>IF($B46=" ","",IFERROR(INDEX(MMWR_RATING_STATE_ROLLUP_PMC[],MATCH($B46,MMWR_RATING_STATE_ROLLUP_PMC[MMWR_RATING_STATE_ROLLUP_PMC],0),MATCH(D$9,MMWR_RATING_STATE_ROLLUP_PMC[#Headers],0)),"ERROR"))</f>
        <v>69.040000000000006</v>
      </c>
      <c r="E46" s="156">
        <f>IF($B46=" ","",IFERROR(INDEX(MMWR_RATING_STATE_ROLLUP_PMC[],MATCH($B46,MMWR_RATING_STATE_ROLLUP_PMC[MMWR_RATING_STATE_ROLLUP_PMC],0),MATCH(E$9,MMWR_RATING_STATE_ROLLUP_PMC[#Headers],0))/$C46,"ERROR"))</f>
        <v>0.12</v>
      </c>
      <c r="F46" s="154">
        <f>IF($B46=" ","",IFERROR(INDEX(MMWR_RATING_STATE_ROLLUP_PMC[],MATCH($B46,MMWR_RATING_STATE_ROLLUP_PMC[MMWR_RATING_STATE_ROLLUP_PMC],0),MATCH(F$9,MMWR_RATING_STATE_ROLLUP_PMC[#Headers],0)),"ERROR"))</f>
        <v>18</v>
      </c>
      <c r="G46" s="154">
        <f>IF($B46=" ","",IFERROR(INDEX(MMWR_RATING_STATE_ROLLUP_PMC[],MATCH($B46,MMWR_RATING_STATE_ROLLUP_PMC[MMWR_RATING_STATE_ROLLUP_PMC],0),MATCH(G$9,MMWR_RATING_STATE_ROLLUP_PMC[#Headers],0)),"ERROR"))</f>
        <v>65</v>
      </c>
      <c r="H46" s="155">
        <f>IF($B46=" ","",IFERROR(INDEX(MMWR_RATING_STATE_ROLLUP_PMC[],MATCH($B46,MMWR_RATING_STATE_ROLLUP_PMC[MMWR_RATING_STATE_ROLLUP_PMC],0),MATCH(H$9,MMWR_RATING_STATE_ROLLUP_PMC[#Headers],0)),"ERROR"))</f>
        <v>87.111111111100001</v>
      </c>
      <c r="I46" s="155">
        <f>IF($B46=" ","",IFERROR(INDEX(MMWR_RATING_STATE_ROLLUP_PMC[],MATCH($B46,MMWR_RATING_STATE_ROLLUP_PMC[MMWR_RATING_STATE_ROLLUP_PMC],0),MATCH(I$9,MMWR_RATING_STATE_ROLLUP_PMC[#Headers],0)),"ERROR"))</f>
        <v>94.630769230799999</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776</v>
      </c>
      <c r="D47" s="155">
        <f>IF($B47=" ","",IFERROR(INDEX(MMWR_RATING_STATE_ROLLUP_PMC[],MATCH($B47,MMWR_RATING_STATE_ROLLUP_PMC[MMWR_RATING_STATE_ROLLUP_PMC],0),MATCH(D$9,MMWR_RATING_STATE_ROLLUP_PMC[#Headers],0)),"ERROR"))</f>
        <v>73.905927835100002</v>
      </c>
      <c r="E47" s="156">
        <f>IF($B47=" ","",IFERROR(INDEX(MMWR_RATING_STATE_ROLLUP_PMC[],MATCH($B47,MMWR_RATING_STATE_ROLLUP_PMC[MMWR_RATING_STATE_ROLLUP_PMC],0),MATCH(E$9,MMWR_RATING_STATE_ROLLUP_PMC[#Headers],0))/$C47,"ERROR"))</f>
        <v>0.15592783505154639</v>
      </c>
      <c r="F47" s="154">
        <f>IF($B47=" ","",IFERROR(INDEX(MMWR_RATING_STATE_ROLLUP_PMC[],MATCH($B47,MMWR_RATING_STATE_ROLLUP_PMC[MMWR_RATING_STATE_ROLLUP_PMC],0),MATCH(F$9,MMWR_RATING_STATE_ROLLUP_PMC[#Headers],0)),"ERROR"))</f>
        <v>259</v>
      </c>
      <c r="G47" s="154">
        <f>IF($B47=" ","",IFERROR(INDEX(MMWR_RATING_STATE_ROLLUP_PMC[],MATCH($B47,MMWR_RATING_STATE_ROLLUP_PMC[MMWR_RATING_STATE_ROLLUP_PMC],0),MATCH(G$9,MMWR_RATING_STATE_ROLLUP_PMC[#Headers],0)),"ERROR"))</f>
        <v>1304</v>
      </c>
      <c r="H47" s="155">
        <f>IF($B47=" ","",IFERROR(INDEX(MMWR_RATING_STATE_ROLLUP_PMC[],MATCH($B47,MMWR_RATING_STATE_ROLLUP_PMC[MMWR_RATING_STATE_ROLLUP_PMC],0),MATCH(H$9,MMWR_RATING_STATE_ROLLUP_PMC[#Headers],0)),"ERROR"))</f>
        <v>112.4555984556</v>
      </c>
      <c r="I47" s="155">
        <f>IF($B47=" ","",IFERROR(INDEX(MMWR_RATING_STATE_ROLLUP_PMC[],MATCH($B47,MMWR_RATING_STATE_ROLLUP_PMC[MMWR_RATING_STATE_ROLLUP_PMC],0),MATCH(I$9,MMWR_RATING_STATE_ROLLUP_PMC[#Headers],0)),"ERROR"))</f>
        <v>97.148006135000003</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248</v>
      </c>
      <c r="D48" s="155">
        <f>IF($B48=" ","",IFERROR(INDEX(MMWR_RATING_STATE_ROLLUP_PMC[],MATCH($B48,MMWR_RATING_STATE_ROLLUP_PMC[MMWR_RATING_STATE_ROLLUP_PMC],0),MATCH(D$9,MMWR_RATING_STATE_ROLLUP_PMC[#Headers],0)),"ERROR"))</f>
        <v>77.3588709677</v>
      </c>
      <c r="E48" s="156">
        <f>IF($B48=" ","",IFERROR(INDEX(MMWR_RATING_STATE_ROLLUP_PMC[],MATCH($B48,MMWR_RATING_STATE_ROLLUP_PMC[MMWR_RATING_STATE_ROLLUP_PMC],0),MATCH(E$9,MMWR_RATING_STATE_ROLLUP_PMC[#Headers],0))/$C48,"ERROR"))</f>
        <v>0.13306451612903225</v>
      </c>
      <c r="F48" s="154">
        <f>IF($B48=" ","",IFERROR(INDEX(MMWR_RATING_STATE_ROLLUP_PMC[],MATCH($B48,MMWR_RATING_STATE_ROLLUP_PMC[MMWR_RATING_STATE_ROLLUP_PMC],0),MATCH(F$9,MMWR_RATING_STATE_ROLLUP_PMC[#Headers],0)),"ERROR"))</f>
        <v>72</v>
      </c>
      <c r="G48" s="154">
        <f>IF($B48=" ","",IFERROR(INDEX(MMWR_RATING_STATE_ROLLUP_PMC[],MATCH($B48,MMWR_RATING_STATE_ROLLUP_PMC[MMWR_RATING_STATE_ROLLUP_PMC],0),MATCH(G$9,MMWR_RATING_STATE_ROLLUP_PMC[#Headers],0)),"ERROR"))</f>
        <v>437</v>
      </c>
      <c r="H48" s="155">
        <f>IF($B48=" ","",IFERROR(INDEX(MMWR_RATING_STATE_ROLLUP_PMC[],MATCH($B48,MMWR_RATING_STATE_ROLLUP_PMC[MMWR_RATING_STATE_ROLLUP_PMC],0),MATCH(H$9,MMWR_RATING_STATE_ROLLUP_PMC[#Headers],0)),"ERROR"))</f>
        <v>97.597222222200003</v>
      </c>
      <c r="I48" s="155">
        <f>IF($B48=" ","",IFERROR(INDEX(MMWR_RATING_STATE_ROLLUP_PMC[],MATCH($B48,MMWR_RATING_STATE_ROLLUP_PMC[MMWR_RATING_STATE_ROLLUP_PMC],0),MATCH(I$9,MMWR_RATING_STATE_ROLLUP_PMC[#Headers],0)),"ERROR"))</f>
        <v>91.240274599499998</v>
      </c>
      <c r="J48" s="42"/>
      <c r="K48" s="42"/>
      <c r="L48" s="42"/>
      <c r="M48" s="42"/>
      <c r="N48" s="28"/>
    </row>
    <row r="49" spans="1:14" x14ac:dyDescent="0.2">
      <c r="A49" s="25"/>
      <c r="B49" s="377" t="s">
        <v>1040</v>
      </c>
      <c r="C49" s="378"/>
      <c r="D49" s="378"/>
      <c r="E49" s="378"/>
      <c r="F49" s="378"/>
      <c r="G49" s="378"/>
      <c r="H49" s="378"/>
      <c r="I49" s="378"/>
      <c r="J49" s="378"/>
      <c r="K49" s="378"/>
      <c r="L49" s="378"/>
      <c r="M49" s="387"/>
      <c r="N49" s="28"/>
    </row>
    <row r="50" spans="1:14" x14ac:dyDescent="0.2">
      <c r="A50" s="25"/>
      <c r="B50" s="41" t="s">
        <v>1039</v>
      </c>
      <c r="C50" s="154">
        <f>IF($B50=" ","",IFERROR(INDEX(MMWR_RATING_STATE_ROLLUP_QST[],MATCH($B50,MMWR_RATING_STATE_ROLLUP_QST[MMWR_RATING_STATE_ROLLUP_QST],0),MATCH(C$9,MMWR_RATING_STATE_ROLLUP_QST[#Headers],0)),"ERROR"))</f>
        <v>10002</v>
      </c>
      <c r="D50" s="155">
        <f>IF($B50=" ","",IFERROR(INDEX(MMWR_RATING_STATE_ROLLUP_QST[],MATCH($B50,MMWR_RATING_STATE_ROLLUP_QST[MMWR_RATING_STATE_ROLLUP_QST],0),MATCH(D$9,MMWR_RATING_STATE_ROLLUP_QST[#Headers],0)),"ERROR"))</f>
        <v>93.487202559500005</v>
      </c>
      <c r="E50" s="156">
        <f>IF($B50=" ","",IFERROR(INDEX(MMWR_RATING_STATE_ROLLUP_QST[],MATCH($B50,MMWR_RATING_STATE_ROLLUP_QST[MMWR_RATING_STATE_ROLLUP_QST],0),MATCH(E$9,MMWR_RATING_STATE_ROLLUP_QST[#Headers],0))/$C50,"ERROR"))</f>
        <v>0.28084383123375323</v>
      </c>
      <c r="F50" s="154">
        <f>IF($B50=" ","",IFERROR(INDEX(MMWR_RATING_STATE_ROLLUP_QST[],MATCH($B50,MMWR_RATING_STATE_ROLLUP_QST[MMWR_RATING_STATE_ROLLUP_QST],0),MATCH(F$9,MMWR_RATING_STATE_ROLLUP_QST[#Headers],0)),"ERROR"))</f>
        <v>2065</v>
      </c>
      <c r="G50" s="154">
        <f>IF($B50=" ","",IFERROR(INDEX(MMWR_RATING_STATE_ROLLUP_QST[],MATCH($B50,MMWR_RATING_STATE_ROLLUP_QST[MMWR_RATING_STATE_ROLLUP_QST],0),MATCH(G$9,MMWR_RATING_STATE_ROLLUP_QST[#Headers],0)),"ERROR"))</f>
        <v>8519</v>
      </c>
      <c r="H50" s="155">
        <f>IF($B50=" ","",IFERROR(INDEX(MMWR_RATING_STATE_ROLLUP_QST[],MATCH($B50,MMWR_RATING_STATE_ROLLUP_QST[MMWR_RATING_STATE_ROLLUP_QST],0),MATCH(H$9,MMWR_RATING_STATE_ROLLUP_QST[#Headers],0)),"ERROR"))</f>
        <v>153.45569007259999</v>
      </c>
      <c r="I50" s="155">
        <f>IF($B50=" ","",IFERROR(INDEX(MMWR_RATING_STATE_ROLLUP_QST[],MATCH($B50,MMWR_RATING_STATE_ROLLUP_QST[MMWR_RATING_STATE_ROLLUP_QST],0),MATCH(I$9,MMWR_RATING_STATE_ROLLUP_QST[#Headers],0)),"ERROR"))</f>
        <v>147.20671440309999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2261</v>
      </c>
      <c r="D51" s="155">
        <f>IF($B51=" ","",IFERROR(INDEX(MMWR_RATING_STATE_ROLLUP_QST[],MATCH($B51,MMWR_RATING_STATE_ROLLUP_QST[MMWR_RATING_STATE_ROLLUP_QST],0),MATCH(D$9,MMWR_RATING_STATE_ROLLUP_QST[#Headers],0)),"ERROR"))</f>
        <v>98.532950022099996</v>
      </c>
      <c r="E51" s="156">
        <f>IF($B51=" ","",IFERROR(INDEX(MMWR_RATING_STATE_ROLLUP_QST[],MATCH($B51,MMWR_RATING_STATE_ROLLUP_QST[MMWR_RATING_STATE_ROLLUP_QST],0),MATCH(E$9,MMWR_RATING_STATE_ROLLUP_QST[#Headers],0))/$C51,"ERROR"))</f>
        <v>0.31578947368421051</v>
      </c>
      <c r="F51" s="154">
        <f>IF($B51=" ","",IFERROR(INDEX(MMWR_RATING_STATE_ROLLUP_QST[],MATCH($B51,MMWR_RATING_STATE_ROLLUP_QST[MMWR_RATING_STATE_ROLLUP_QST],0),MATCH(F$9,MMWR_RATING_STATE_ROLLUP_QST[#Headers],0)),"ERROR"))</f>
        <v>439</v>
      </c>
      <c r="G51" s="154">
        <f>IF($B51=" ","",IFERROR(INDEX(MMWR_RATING_STATE_ROLLUP_QST[],MATCH($B51,MMWR_RATING_STATE_ROLLUP_QST[MMWR_RATING_STATE_ROLLUP_QST],0),MATCH(G$9,MMWR_RATING_STATE_ROLLUP_QST[#Headers],0)),"ERROR"))</f>
        <v>1926</v>
      </c>
      <c r="H51" s="155">
        <f>IF($B51=" ","",IFERROR(INDEX(MMWR_RATING_STATE_ROLLUP_QST[],MATCH($B51,MMWR_RATING_STATE_ROLLUP_QST[MMWR_RATING_STATE_ROLLUP_QST],0),MATCH(H$9,MMWR_RATING_STATE_ROLLUP_QST[#Headers],0)),"ERROR"))</f>
        <v>161.16856492030001</v>
      </c>
      <c r="I51" s="155">
        <f>IF($B51=" ","",IFERROR(INDEX(MMWR_RATING_STATE_ROLLUP_QST[],MATCH($B51,MMWR_RATING_STATE_ROLLUP_QST[MMWR_RATING_STATE_ROLLUP_QST],0),MATCH(I$9,MMWR_RATING_STATE_ROLLUP_QST[#Headers],0)),"ERROR"))</f>
        <v>153.3909657321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47</v>
      </c>
      <c r="D52" s="155">
        <f>IF($B52=" ","",IFERROR(INDEX(MMWR_RATING_STATE_ROLLUP_QST[],MATCH($B52,MMWR_RATING_STATE_ROLLUP_QST[MMWR_RATING_STATE_ROLLUP_QST],0),MATCH(D$9,MMWR_RATING_STATE_ROLLUP_QST[#Headers],0)),"ERROR"))</f>
        <v>97.170212766000006</v>
      </c>
      <c r="E52" s="156">
        <f>IF($B52=" ","",IFERROR(INDEX(MMWR_RATING_STATE_ROLLUP_QST[],MATCH($B52,MMWR_RATING_STATE_ROLLUP_QST[MMWR_RATING_STATE_ROLLUP_QST],0),MATCH(E$9,MMWR_RATING_STATE_ROLLUP_QST[#Headers],0))/$C52,"ERROR"))</f>
        <v>0.38297872340425532</v>
      </c>
      <c r="F52" s="154">
        <f>IF($B52=" ","",IFERROR(INDEX(MMWR_RATING_STATE_ROLLUP_QST[],MATCH($B52,MMWR_RATING_STATE_ROLLUP_QST[MMWR_RATING_STATE_ROLLUP_QST],0),MATCH(F$9,MMWR_RATING_STATE_ROLLUP_QST[#Headers],0)),"ERROR"))</f>
        <v>9</v>
      </c>
      <c r="G52" s="154">
        <f>IF($B52=" ","",IFERROR(INDEX(MMWR_RATING_STATE_ROLLUP_QST[],MATCH($B52,MMWR_RATING_STATE_ROLLUP_QST[MMWR_RATING_STATE_ROLLUP_QST],0),MATCH(G$9,MMWR_RATING_STATE_ROLLUP_QST[#Headers],0)),"ERROR"))</f>
        <v>52</v>
      </c>
      <c r="H52" s="155">
        <f>IF($B52=" ","",IFERROR(INDEX(MMWR_RATING_STATE_ROLLUP_QST[],MATCH($B52,MMWR_RATING_STATE_ROLLUP_QST[MMWR_RATING_STATE_ROLLUP_QST],0),MATCH(H$9,MMWR_RATING_STATE_ROLLUP_QST[#Headers],0)),"ERROR"))</f>
        <v>144</v>
      </c>
      <c r="I52" s="155">
        <f>IF($B52=" ","",IFERROR(INDEX(MMWR_RATING_STATE_ROLLUP_QST[],MATCH($B52,MMWR_RATING_STATE_ROLLUP_QST[MMWR_RATING_STATE_ROLLUP_QST],0),MATCH(I$9,MMWR_RATING_STATE_ROLLUP_QST[#Headers],0)),"ERROR"))</f>
        <v>138.76923076919999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16</v>
      </c>
      <c r="D53" s="155">
        <f>IF($B53=" ","",IFERROR(INDEX(MMWR_RATING_STATE_ROLLUP_QST[],MATCH($B53,MMWR_RATING_STATE_ROLLUP_QST[MMWR_RATING_STATE_ROLLUP_QST],0),MATCH(D$9,MMWR_RATING_STATE_ROLLUP_QST[#Headers],0)),"ERROR"))</f>
        <v>100.25</v>
      </c>
      <c r="E53" s="156">
        <f>IF($B53=" ","",IFERROR(INDEX(MMWR_RATING_STATE_ROLLUP_QST[],MATCH($B53,MMWR_RATING_STATE_ROLLUP_QST[MMWR_RATING_STATE_ROLLUP_QST],0),MATCH(E$9,MMWR_RATING_STATE_ROLLUP_QST[#Headers],0))/$C53,"ERROR"))</f>
        <v>0.3125</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18</v>
      </c>
      <c r="H53" s="155">
        <f>IF($B53=" ","",IFERROR(INDEX(MMWR_RATING_STATE_ROLLUP_QST[],MATCH($B53,MMWR_RATING_STATE_ROLLUP_QST[MMWR_RATING_STATE_ROLLUP_QST],0),MATCH(H$9,MMWR_RATING_STATE_ROLLUP_QST[#Headers],0)),"ERROR"))</f>
        <v>135</v>
      </c>
      <c r="I53" s="155">
        <f>IF($B53=" ","",IFERROR(INDEX(MMWR_RATING_STATE_ROLLUP_QST[],MATCH($B53,MMWR_RATING_STATE_ROLLUP_QST[MMWR_RATING_STATE_ROLLUP_QST],0),MATCH(I$9,MMWR_RATING_STATE_ROLLUP_QST[#Headers],0)),"ERROR"))</f>
        <v>141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25</v>
      </c>
      <c r="D54" s="155">
        <f>IF($B54=" ","",IFERROR(INDEX(MMWR_RATING_STATE_ROLLUP_QST[],MATCH($B54,MMWR_RATING_STATE_ROLLUP_QST[MMWR_RATING_STATE_ROLLUP_QST],0),MATCH(D$9,MMWR_RATING_STATE_ROLLUP_QST[#Headers],0)),"ERROR"))</f>
        <v>108.12</v>
      </c>
      <c r="E54" s="156">
        <f>IF($B54=" ","",IFERROR(INDEX(MMWR_RATING_STATE_ROLLUP_QST[],MATCH($B54,MMWR_RATING_STATE_ROLLUP_QST[MMWR_RATING_STATE_ROLLUP_QST],0),MATCH(E$9,MMWR_RATING_STATE_ROLLUP_QST[#Headers],0))/$C54,"ERROR"))</f>
        <v>0.4</v>
      </c>
      <c r="F54" s="154">
        <f>IF($B54=" ","",IFERROR(INDEX(MMWR_RATING_STATE_ROLLUP_QST[],MATCH($B54,MMWR_RATING_STATE_ROLLUP_QST[MMWR_RATING_STATE_ROLLUP_QST],0),MATCH(F$9,MMWR_RATING_STATE_ROLLUP_QST[#Headers],0)),"ERROR"))</f>
        <v>4</v>
      </c>
      <c r="G54" s="154">
        <f>IF($B54=" ","",IFERROR(INDEX(MMWR_RATING_STATE_ROLLUP_QST[],MATCH($B54,MMWR_RATING_STATE_ROLLUP_QST[MMWR_RATING_STATE_ROLLUP_QST],0),MATCH(G$9,MMWR_RATING_STATE_ROLLUP_QST[#Headers],0)),"ERROR"))</f>
        <v>13</v>
      </c>
      <c r="H54" s="155">
        <f>IF($B54=" ","",IFERROR(INDEX(MMWR_RATING_STATE_ROLLUP_QST[],MATCH($B54,MMWR_RATING_STATE_ROLLUP_QST[MMWR_RATING_STATE_ROLLUP_QST],0),MATCH(H$9,MMWR_RATING_STATE_ROLLUP_QST[#Headers],0)),"ERROR"))</f>
        <v>176.25</v>
      </c>
      <c r="I54" s="155">
        <f>IF($B54=" ","",IFERROR(INDEX(MMWR_RATING_STATE_ROLLUP_QST[],MATCH($B54,MMWR_RATING_STATE_ROLLUP_QST[MMWR_RATING_STATE_ROLLUP_QST],0),MATCH(I$9,MMWR_RATING_STATE_ROLLUP_QST[#Headers],0)),"ERROR"))</f>
        <v>163.61538461539999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23</v>
      </c>
      <c r="D55" s="155">
        <f>IF($B55=" ","",IFERROR(INDEX(MMWR_RATING_STATE_ROLLUP_QST[],MATCH($B55,MMWR_RATING_STATE_ROLLUP_QST[MMWR_RATING_STATE_ROLLUP_QST],0),MATCH(D$9,MMWR_RATING_STATE_ROLLUP_QST[#Headers],0)),"ERROR"))</f>
        <v>113.7391304348</v>
      </c>
      <c r="E55" s="156">
        <f>IF($B55=" ","",IFERROR(INDEX(MMWR_RATING_STATE_ROLLUP_QST[],MATCH($B55,MMWR_RATING_STATE_ROLLUP_QST[MMWR_RATING_STATE_ROLLUP_QST],0),MATCH(E$9,MMWR_RATING_STATE_ROLLUP_QST[#Headers],0))/$C55,"ERROR"))</f>
        <v>0.43478260869565216</v>
      </c>
      <c r="F55" s="154">
        <f>IF($B55=" ","",IFERROR(INDEX(MMWR_RATING_STATE_ROLLUP_QST[],MATCH($B55,MMWR_RATING_STATE_ROLLUP_QST[MMWR_RATING_STATE_ROLLUP_QST],0),MATCH(F$9,MMWR_RATING_STATE_ROLLUP_QST[#Headers],0)),"ERROR"))</f>
        <v>6</v>
      </c>
      <c r="G55" s="154">
        <f>IF($B55=" ","",IFERROR(INDEX(MMWR_RATING_STATE_ROLLUP_QST[],MATCH($B55,MMWR_RATING_STATE_ROLLUP_QST[MMWR_RATING_STATE_ROLLUP_QST],0),MATCH(G$9,MMWR_RATING_STATE_ROLLUP_QST[#Headers],0)),"ERROR"))</f>
        <v>19</v>
      </c>
      <c r="H55" s="155">
        <f>IF($B55=" ","",IFERROR(INDEX(MMWR_RATING_STATE_ROLLUP_QST[],MATCH($B55,MMWR_RATING_STATE_ROLLUP_QST[MMWR_RATING_STATE_ROLLUP_QST],0),MATCH(H$9,MMWR_RATING_STATE_ROLLUP_QST[#Headers],0)),"ERROR"))</f>
        <v>140.8333333333</v>
      </c>
      <c r="I55" s="155">
        <f>IF($B55=" ","",IFERROR(INDEX(MMWR_RATING_STATE_ROLLUP_QST[],MATCH($B55,MMWR_RATING_STATE_ROLLUP_QST[MMWR_RATING_STATE_ROLLUP_QST],0),MATCH(I$9,MMWR_RATING_STATE_ROLLUP_QST[#Headers],0)),"ERROR"))</f>
        <v>155.68421052630001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224</v>
      </c>
      <c r="D56" s="155">
        <f>IF($B56=" ","",IFERROR(INDEX(MMWR_RATING_STATE_ROLLUP_QST[],MATCH($B56,MMWR_RATING_STATE_ROLLUP_QST[MMWR_RATING_STATE_ROLLUP_QST],0),MATCH(D$9,MMWR_RATING_STATE_ROLLUP_QST[#Headers],0)),"ERROR"))</f>
        <v>94.861607142899999</v>
      </c>
      <c r="E56" s="156">
        <f>IF($B56=" ","",IFERROR(INDEX(MMWR_RATING_STATE_ROLLUP_QST[],MATCH($B56,MMWR_RATING_STATE_ROLLUP_QST[MMWR_RATING_STATE_ROLLUP_QST],0),MATCH(E$9,MMWR_RATING_STATE_ROLLUP_QST[#Headers],0))/$C56,"ERROR"))</f>
        <v>0.3169642857142857</v>
      </c>
      <c r="F56" s="154">
        <f>IF($B56=" ","",IFERROR(INDEX(MMWR_RATING_STATE_ROLLUP_QST[],MATCH($B56,MMWR_RATING_STATE_ROLLUP_QST[MMWR_RATING_STATE_ROLLUP_QST],0),MATCH(F$9,MMWR_RATING_STATE_ROLLUP_QST[#Headers],0)),"ERROR"))</f>
        <v>48</v>
      </c>
      <c r="G56" s="154">
        <f>IF($B56=" ","",IFERROR(INDEX(MMWR_RATING_STATE_ROLLUP_QST[],MATCH($B56,MMWR_RATING_STATE_ROLLUP_QST[MMWR_RATING_STATE_ROLLUP_QST],0),MATCH(G$9,MMWR_RATING_STATE_ROLLUP_QST[#Headers],0)),"ERROR"))</f>
        <v>224</v>
      </c>
      <c r="H56" s="155">
        <f>IF($B56=" ","",IFERROR(INDEX(MMWR_RATING_STATE_ROLLUP_QST[],MATCH($B56,MMWR_RATING_STATE_ROLLUP_QST[MMWR_RATING_STATE_ROLLUP_QST],0),MATCH(H$9,MMWR_RATING_STATE_ROLLUP_QST[#Headers],0)),"ERROR"))</f>
        <v>161.25</v>
      </c>
      <c r="I56" s="155">
        <f>IF($B56=" ","",IFERROR(INDEX(MMWR_RATING_STATE_ROLLUP_QST[],MATCH($B56,MMWR_RATING_STATE_ROLLUP_QST[MMWR_RATING_STATE_ROLLUP_QST],0),MATCH(I$9,MMWR_RATING_STATE_ROLLUP_QST[#Headers],0)),"ERROR"))</f>
        <v>152.7053571429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75</v>
      </c>
      <c r="D57" s="155">
        <f>IF($B57=" ","",IFERROR(INDEX(MMWR_RATING_STATE_ROLLUP_QST[],MATCH($B57,MMWR_RATING_STATE_ROLLUP_QST[MMWR_RATING_STATE_ROLLUP_QST],0),MATCH(D$9,MMWR_RATING_STATE_ROLLUP_QST[#Headers],0)),"ERROR"))</f>
        <v>110.5733333333</v>
      </c>
      <c r="E57" s="156">
        <f>IF($B57=" ","",IFERROR(INDEX(MMWR_RATING_STATE_ROLLUP_QST[],MATCH($B57,MMWR_RATING_STATE_ROLLUP_QST[MMWR_RATING_STATE_ROLLUP_QST],0),MATCH(E$9,MMWR_RATING_STATE_ROLLUP_QST[#Headers],0))/$C57,"ERROR"))</f>
        <v>0.42666666666666669</v>
      </c>
      <c r="F57" s="154">
        <f>IF($B57=" ","",IFERROR(INDEX(MMWR_RATING_STATE_ROLLUP_QST[],MATCH($B57,MMWR_RATING_STATE_ROLLUP_QST[MMWR_RATING_STATE_ROLLUP_QST],0),MATCH(F$9,MMWR_RATING_STATE_ROLLUP_QST[#Headers],0)),"ERROR"))</f>
        <v>27</v>
      </c>
      <c r="G57" s="154">
        <f>IF($B57=" ","",IFERROR(INDEX(MMWR_RATING_STATE_ROLLUP_QST[],MATCH($B57,MMWR_RATING_STATE_ROLLUP_QST[MMWR_RATING_STATE_ROLLUP_QST],0),MATCH(G$9,MMWR_RATING_STATE_ROLLUP_QST[#Headers],0)),"ERROR"))</f>
        <v>93</v>
      </c>
      <c r="H57" s="155">
        <f>IF($B57=" ","",IFERROR(INDEX(MMWR_RATING_STATE_ROLLUP_QST[],MATCH($B57,MMWR_RATING_STATE_ROLLUP_QST[MMWR_RATING_STATE_ROLLUP_QST],0),MATCH(H$9,MMWR_RATING_STATE_ROLLUP_QST[#Headers],0)),"ERROR"))</f>
        <v>150.4074074074</v>
      </c>
      <c r="I57" s="155">
        <f>IF($B57=" ","",IFERROR(INDEX(MMWR_RATING_STATE_ROLLUP_QST[],MATCH($B57,MMWR_RATING_STATE_ROLLUP_QST[MMWR_RATING_STATE_ROLLUP_QST],0),MATCH(I$9,MMWR_RATING_STATE_ROLLUP_QST[#Headers],0)),"ERROR"))</f>
        <v>140.9139784946</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26</v>
      </c>
      <c r="D58" s="155">
        <f>IF($B58=" ","",IFERROR(INDEX(MMWR_RATING_STATE_ROLLUP_QST[],MATCH($B58,MMWR_RATING_STATE_ROLLUP_QST[MMWR_RATING_STATE_ROLLUP_QST],0),MATCH(D$9,MMWR_RATING_STATE_ROLLUP_QST[#Headers],0)),"ERROR"))</f>
        <v>98.576923076900002</v>
      </c>
      <c r="E58" s="156">
        <f>IF($B58=" ","",IFERROR(INDEX(MMWR_RATING_STATE_ROLLUP_QST[],MATCH($B58,MMWR_RATING_STATE_ROLLUP_QST[MMWR_RATING_STATE_ROLLUP_QST],0),MATCH(E$9,MMWR_RATING_STATE_ROLLUP_QST[#Headers],0))/$C58,"ERROR"))</f>
        <v>0.34615384615384615</v>
      </c>
      <c r="F58" s="154">
        <f>IF($B58=" ","",IFERROR(INDEX(MMWR_RATING_STATE_ROLLUP_QST[],MATCH($B58,MMWR_RATING_STATE_ROLLUP_QST[MMWR_RATING_STATE_ROLLUP_QST],0),MATCH(F$9,MMWR_RATING_STATE_ROLLUP_QST[#Headers],0)),"ERROR"))</f>
        <v>8</v>
      </c>
      <c r="G58" s="154">
        <f>IF($B58=" ","",IFERROR(INDEX(MMWR_RATING_STATE_ROLLUP_QST[],MATCH($B58,MMWR_RATING_STATE_ROLLUP_QST[MMWR_RATING_STATE_ROLLUP_QST],0),MATCH(G$9,MMWR_RATING_STATE_ROLLUP_QST[#Headers],0)),"ERROR"))</f>
        <v>18</v>
      </c>
      <c r="H58" s="155">
        <f>IF($B58=" ","",IFERROR(INDEX(MMWR_RATING_STATE_ROLLUP_QST[],MATCH($B58,MMWR_RATING_STATE_ROLLUP_QST[MMWR_RATING_STATE_ROLLUP_QST],0),MATCH(H$9,MMWR_RATING_STATE_ROLLUP_QST[#Headers],0)),"ERROR"))</f>
        <v>163.25</v>
      </c>
      <c r="I58" s="155">
        <f>IF($B58=" ","",IFERROR(INDEX(MMWR_RATING_STATE_ROLLUP_QST[],MATCH($B58,MMWR_RATING_STATE_ROLLUP_QST[MMWR_RATING_STATE_ROLLUP_QST],0),MATCH(I$9,MMWR_RATING_STATE_ROLLUP_QST[#Headers],0)),"ERROR"))</f>
        <v>150.55555555559999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118</v>
      </c>
      <c r="D59" s="155">
        <f>IF($B59=" ","",IFERROR(INDEX(MMWR_RATING_STATE_ROLLUP_QST[],MATCH($B59,MMWR_RATING_STATE_ROLLUP_QST[MMWR_RATING_STATE_ROLLUP_QST],0),MATCH(D$9,MMWR_RATING_STATE_ROLLUP_QST[#Headers],0)),"ERROR"))</f>
        <v>97.101694915300001</v>
      </c>
      <c r="E59" s="156">
        <f>IF($B59=" ","",IFERROR(INDEX(MMWR_RATING_STATE_ROLLUP_QST[],MATCH($B59,MMWR_RATING_STATE_ROLLUP_QST[MMWR_RATING_STATE_ROLLUP_QST],0),MATCH(E$9,MMWR_RATING_STATE_ROLLUP_QST[#Headers],0))/$C59,"ERROR"))</f>
        <v>0.30508474576271188</v>
      </c>
      <c r="F59" s="154">
        <f>IF($B59=" ","",IFERROR(INDEX(MMWR_RATING_STATE_ROLLUP_QST[],MATCH($B59,MMWR_RATING_STATE_ROLLUP_QST[MMWR_RATING_STATE_ROLLUP_QST],0),MATCH(F$9,MMWR_RATING_STATE_ROLLUP_QST[#Headers],0)),"ERROR"))</f>
        <v>17</v>
      </c>
      <c r="G59" s="154">
        <f>IF($B59=" ","",IFERROR(INDEX(MMWR_RATING_STATE_ROLLUP_QST[],MATCH($B59,MMWR_RATING_STATE_ROLLUP_QST[MMWR_RATING_STATE_ROLLUP_QST],0),MATCH(G$9,MMWR_RATING_STATE_ROLLUP_QST[#Headers],0)),"ERROR"))</f>
        <v>76</v>
      </c>
      <c r="H59" s="155">
        <f>IF($B59=" ","",IFERROR(INDEX(MMWR_RATING_STATE_ROLLUP_QST[],MATCH($B59,MMWR_RATING_STATE_ROLLUP_QST[MMWR_RATING_STATE_ROLLUP_QST],0),MATCH(H$9,MMWR_RATING_STATE_ROLLUP_QST[#Headers],0)),"ERROR"))</f>
        <v>158.70588235290001</v>
      </c>
      <c r="I59" s="155">
        <f>IF($B59=" ","",IFERROR(INDEX(MMWR_RATING_STATE_ROLLUP_QST[],MATCH($B59,MMWR_RATING_STATE_ROLLUP_QST[MMWR_RATING_STATE_ROLLUP_QST],0),MATCH(I$9,MMWR_RATING_STATE_ROLLUP_QST[#Headers],0)),"ERROR"))</f>
        <v>148.97368421050001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264</v>
      </c>
      <c r="D60" s="155">
        <f>IF($B60=" ","",IFERROR(INDEX(MMWR_RATING_STATE_ROLLUP_QST[],MATCH($B60,MMWR_RATING_STATE_ROLLUP_QST[MMWR_RATING_STATE_ROLLUP_QST],0),MATCH(D$9,MMWR_RATING_STATE_ROLLUP_QST[#Headers],0)),"ERROR"))</f>
        <v>92.223484848499993</v>
      </c>
      <c r="E60" s="156">
        <f>IF($B60=" ","",IFERROR(INDEX(MMWR_RATING_STATE_ROLLUP_QST[],MATCH($B60,MMWR_RATING_STATE_ROLLUP_QST[MMWR_RATING_STATE_ROLLUP_QST],0),MATCH(E$9,MMWR_RATING_STATE_ROLLUP_QST[#Headers],0))/$C60,"ERROR"))</f>
        <v>0.27272727272727271</v>
      </c>
      <c r="F60" s="154">
        <f>IF($B60=" ","",IFERROR(INDEX(MMWR_RATING_STATE_ROLLUP_QST[],MATCH($B60,MMWR_RATING_STATE_ROLLUP_QST[MMWR_RATING_STATE_ROLLUP_QST],0),MATCH(F$9,MMWR_RATING_STATE_ROLLUP_QST[#Headers],0)),"ERROR"))</f>
        <v>36</v>
      </c>
      <c r="G60" s="154">
        <f>IF($B60=" ","",IFERROR(INDEX(MMWR_RATING_STATE_ROLLUP_QST[],MATCH($B60,MMWR_RATING_STATE_ROLLUP_QST[MMWR_RATING_STATE_ROLLUP_QST],0),MATCH(G$9,MMWR_RATING_STATE_ROLLUP_QST[#Headers],0)),"ERROR"))</f>
        <v>193</v>
      </c>
      <c r="H60" s="155">
        <f>IF($B60=" ","",IFERROR(INDEX(MMWR_RATING_STATE_ROLLUP_QST[],MATCH($B60,MMWR_RATING_STATE_ROLLUP_QST[MMWR_RATING_STATE_ROLLUP_QST],0),MATCH(H$9,MMWR_RATING_STATE_ROLLUP_QST[#Headers],0)),"ERROR"))</f>
        <v>153.0833333333</v>
      </c>
      <c r="I60" s="155">
        <f>IF($B60=" ","",IFERROR(INDEX(MMWR_RATING_STATE_ROLLUP_QST[],MATCH($B60,MMWR_RATING_STATE_ROLLUP_QST[MMWR_RATING_STATE_ROLLUP_QST],0),MATCH(I$9,MMWR_RATING_STATE_ROLLUP_QST[#Headers],0)),"ERROR"))</f>
        <v>137.22279792750001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583</v>
      </c>
      <c r="D61" s="155">
        <f>IF($B61=" ","",IFERROR(INDEX(MMWR_RATING_STATE_ROLLUP_QST[],MATCH($B61,MMWR_RATING_STATE_ROLLUP_QST[MMWR_RATING_STATE_ROLLUP_QST],0),MATCH(D$9,MMWR_RATING_STATE_ROLLUP_QST[#Headers],0)),"ERROR"))</f>
        <v>100.974271012</v>
      </c>
      <c r="E61" s="156">
        <f>IF($B61=" ","",IFERROR(INDEX(MMWR_RATING_STATE_ROLLUP_QST[],MATCH($B61,MMWR_RATING_STATE_ROLLUP_QST[MMWR_RATING_STATE_ROLLUP_QST],0),MATCH(E$9,MMWR_RATING_STATE_ROLLUP_QST[#Headers],0))/$C61,"ERROR"))</f>
        <v>0.307032590051458</v>
      </c>
      <c r="F61" s="154">
        <f>IF($B61=" ","",IFERROR(INDEX(MMWR_RATING_STATE_ROLLUP_QST[],MATCH($B61,MMWR_RATING_STATE_ROLLUP_QST[MMWR_RATING_STATE_ROLLUP_QST],0),MATCH(F$9,MMWR_RATING_STATE_ROLLUP_QST[#Headers],0)),"ERROR"))</f>
        <v>102</v>
      </c>
      <c r="G61" s="154">
        <f>IF($B61=" ","",IFERROR(INDEX(MMWR_RATING_STATE_ROLLUP_QST[],MATCH($B61,MMWR_RATING_STATE_ROLLUP_QST[MMWR_RATING_STATE_ROLLUP_QST],0),MATCH(G$9,MMWR_RATING_STATE_ROLLUP_QST[#Headers],0)),"ERROR"))</f>
        <v>472</v>
      </c>
      <c r="H61" s="155">
        <f>IF($B61=" ","",IFERROR(INDEX(MMWR_RATING_STATE_ROLLUP_QST[],MATCH($B61,MMWR_RATING_STATE_ROLLUP_QST[MMWR_RATING_STATE_ROLLUP_QST],0),MATCH(H$9,MMWR_RATING_STATE_ROLLUP_QST[#Headers],0)),"ERROR"))</f>
        <v>163.23529411760001</v>
      </c>
      <c r="I61" s="155">
        <f>IF($B61=" ","",IFERROR(INDEX(MMWR_RATING_STATE_ROLLUP_QST[],MATCH($B61,MMWR_RATING_STATE_ROLLUP_QST[MMWR_RATING_STATE_ROLLUP_QST],0),MATCH(I$9,MMWR_RATING_STATE_ROLLUP_QST[#Headers],0)),"ERROR"))</f>
        <v>154.031779661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195</v>
      </c>
      <c r="D62" s="155">
        <f>IF($B62=" ","",IFERROR(INDEX(MMWR_RATING_STATE_ROLLUP_QST[],MATCH($B62,MMWR_RATING_STATE_ROLLUP_QST[MMWR_RATING_STATE_ROLLUP_QST],0),MATCH(D$9,MMWR_RATING_STATE_ROLLUP_QST[#Headers],0)),"ERROR"))</f>
        <v>96.097435897400004</v>
      </c>
      <c r="E62" s="156">
        <f>IF($B62=" ","",IFERROR(INDEX(MMWR_RATING_STATE_ROLLUP_QST[],MATCH($B62,MMWR_RATING_STATE_ROLLUP_QST[MMWR_RATING_STATE_ROLLUP_QST],0),MATCH(E$9,MMWR_RATING_STATE_ROLLUP_QST[#Headers],0))/$C62,"ERROR"))</f>
        <v>0.32307692307692309</v>
      </c>
      <c r="F62" s="154">
        <f>IF($B62=" ","",IFERROR(INDEX(MMWR_RATING_STATE_ROLLUP_QST[],MATCH($B62,MMWR_RATING_STATE_ROLLUP_QST[MMWR_RATING_STATE_ROLLUP_QST],0),MATCH(F$9,MMWR_RATING_STATE_ROLLUP_QST[#Headers],0)),"ERROR"))</f>
        <v>36</v>
      </c>
      <c r="G62" s="154">
        <f>IF($B62=" ","",IFERROR(INDEX(MMWR_RATING_STATE_ROLLUP_QST[],MATCH($B62,MMWR_RATING_STATE_ROLLUP_QST[MMWR_RATING_STATE_ROLLUP_QST],0),MATCH(G$9,MMWR_RATING_STATE_ROLLUP_QST[#Headers],0)),"ERROR"))</f>
        <v>170</v>
      </c>
      <c r="H62" s="155">
        <f>IF($B62=" ","",IFERROR(INDEX(MMWR_RATING_STATE_ROLLUP_QST[],MATCH($B62,MMWR_RATING_STATE_ROLLUP_QST[MMWR_RATING_STATE_ROLLUP_QST],0),MATCH(H$9,MMWR_RATING_STATE_ROLLUP_QST[#Headers],0)),"ERROR"))</f>
        <v>160.2222222222</v>
      </c>
      <c r="I62" s="155">
        <f>IF($B62=" ","",IFERROR(INDEX(MMWR_RATING_STATE_ROLLUP_QST[],MATCH($B62,MMWR_RATING_STATE_ROLLUP_QST[MMWR_RATING_STATE_ROLLUP_QST],0),MATCH(I$9,MMWR_RATING_STATE_ROLLUP_QST[#Headers],0)),"ERROR"))</f>
        <v>144.1470588235</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89.166666666699996</v>
      </c>
      <c r="E63" s="156">
        <f>IF($B63=" ","",IFERROR(INDEX(MMWR_RATING_STATE_ROLLUP_QST[],MATCH($B63,MMWR_RATING_STATE_ROLLUP_QST[MMWR_RATING_STATE_ROLLUP_QST],0),MATCH(E$9,MMWR_RATING_STATE_ROLLUP_QST[#Headers],0))/$C63,"ERROR"))</f>
        <v>0.33333333333333331</v>
      </c>
      <c r="F63" s="154">
        <f>IF($B63=" ","",IFERROR(INDEX(MMWR_RATING_STATE_ROLLUP_QST[],MATCH($B63,MMWR_RATING_STATE_ROLLUP_QST[MMWR_RATING_STATE_ROLLUP_QST],0),MATCH(F$9,MMWR_RATING_STATE_ROLLUP_QST[#Headers],0)),"ERROR"))</f>
        <v>3</v>
      </c>
      <c r="G63" s="154">
        <f>IF($B63=" ","",IFERROR(INDEX(MMWR_RATING_STATE_ROLLUP_QST[],MATCH($B63,MMWR_RATING_STATE_ROLLUP_QST[MMWR_RATING_STATE_ROLLUP_QST],0),MATCH(G$9,MMWR_RATING_STATE_ROLLUP_QST[#Headers],0)),"ERROR"))</f>
        <v>11</v>
      </c>
      <c r="H63" s="155">
        <f>IF($B63=" ","",IFERROR(INDEX(MMWR_RATING_STATE_ROLLUP_QST[],MATCH($B63,MMWR_RATING_STATE_ROLLUP_QST[MMWR_RATING_STATE_ROLLUP_QST],0),MATCH(H$9,MMWR_RATING_STATE_ROLLUP_QST[#Headers],0)),"ERROR"))</f>
        <v>229.6666666667</v>
      </c>
      <c r="I63" s="155">
        <f>IF($B63=" ","",IFERROR(INDEX(MMWR_RATING_STATE_ROLLUP_QST[],MATCH($B63,MMWR_RATING_STATE_ROLLUP_QST[MMWR_RATING_STATE_ROLLUP_QST],0),MATCH(I$9,MMWR_RATING_STATE_ROLLUP_QST[#Headers],0)),"ERROR"))</f>
        <v>177.2727272727</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80.599999999999994</v>
      </c>
      <c r="E64" s="156">
        <f>IF($B64=" ","",IFERROR(INDEX(MMWR_RATING_STATE_ROLLUP_QST[],MATCH($B64,MMWR_RATING_STATE_ROLLUP_QST[MMWR_RATING_STATE_ROLLUP_QST],0),MATCH(E$9,MMWR_RATING_STATE_ROLLUP_QST[#Headers],0))/$C64,"ERROR"))</f>
        <v>0.4</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5</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125</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627</v>
      </c>
      <c r="D65" s="155">
        <f>IF($B65=" ","",IFERROR(INDEX(MMWR_RATING_STATE_ROLLUP_QST[],MATCH($B65,MMWR_RATING_STATE_ROLLUP_QST[MMWR_RATING_STATE_ROLLUP_QST],0),MATCH(D$9,MMWR_RATING_STATE_ROLLUP_QST[#Headers],0)),"ERROR"))</f>
        <v>99.311004784700003</v>
      </c>
      <c r="E65" s="156">
        <f>IF($B65=" ","",IFERROR(INDEX(MMWR_RATING_STATE_ROLLUP_QST[],MATCH($B65,MMWR_RATING_STATE_ROLLUP_QST[MMWR_RATING_STATE_ROLLUP_QST],0),MATCH(E$9,MMWR_RATING_STATE_ROLLUP_QST[#Headers],0))/$C65,"ERROR"))</f>
        <v>0.31419457735247208</v>
      </c>
      <c r="F65" s="154">
        <f>IF($B65=" ","",IFERROR(INDEX(MMWR_RATING_STATE_ROLLUP_QST[],MATCH($B65,MMWR_RATING_STATE_ROLLUP_QST[MMWR_RATING_STATE_ROLLUP_QST],0),MATCH(F$9,MMWR_RATING_STATE_ROLLUP_QST[#Headers],0)),"ERROR"))</f>
        <v>138</v>
      </c>
      <c r="G65" s="154">
        <f>IF($B65=" ","",IFERROR(INDEX(MMWR_RATING_STATE_ROLLUP_QST[],MATCH($B65,MMWR_RATING_STATE_ROLLUP_QST[MMWR_RATING_STATE_ROLLUP_QST],0),MATCH(G$9,MMWR_RATING_STATE_ROLLUP_QST[#Headers],0)),"ERROR"))</f>
        <v>542</v>
      </c>
      <c r="H65" s="155">
        <f>IF($B65=" ","",IFERROR(INDEX(MMWR_RATING_STATE_ROLLUP_QST[],MATCH($B65,MMWR_RATING_STATE_ROLLUP_QST[MMWR_RATING_STATE_ROLLUP_QST],0),MATCH(H$9,MMWR_RATING_STATE_ROLLUP_QST[#Headers],0)),"ERROR"))</f>
        <v>165.13043478259999</v>
      </c>
      <c r="I65" s="155">
        <f>IF($B65=" ","",IFERROR(INDEX(MMWR_RATING_STATE_ROLLUP_QST[],MATCH($B65,MMWR_RATING_STATE_ROLLUP_QST[MMWR_RATING_STATE_ROLLUP_QST],0),MATCH(I$9,MMWR_RATING_STATE_ROLLUP_QST[#Headers],0)),"ERROR"))</f>
        <v>166.11070110700001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96.904761904799997</v>
      </c>
      <c r="E66" s="156">
        <f>IF($B66=" ","",IFERROR(INDEX(MMWR_RATING_STATE_ROLLUP_QST[],MATCH($B66,MMWR_RATING_STATE_ROLLUP_QST[MMWR_RATING_STATE_ROLLUP_QST],0),MATCH(E$9,MMWR_RATING_STATE_ROLLUP_QST[#Headers],0))/$C66,"ERROR"))</f>
        <v>0.2857142857142857</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20</v>
      </c>
      <c r="H66" s="155">
        <f>IF($B66=" ","",IFERROR(INDEX(MMWR_RATING_STATE_ROLLUP_QST[],MATCH($B66,MMWR_RATING_STATE_ROLLUP_QST[MMWR_RATING_STATE_ROLLUP_QST],0),MATCH(H$9,MMWR_RATING_STATE_ROLLUP_QST[#Headers],0)),"ERROR"))</f>
        <v>142</v>
      </c>
      <c r="I66" s="155">
        <f>IF($B66=" ","",IFERROR(INDEX(MMWR_RATING_STATE_ROLLUP_QST[],MATCH($B66,MMWR_RATING_STATE_ROLLUP_QST[MMWR_RATING_STATE_ROLLUP_QST],0),MATCH(I$9,MMWR_RATING_STATE_ROLLUP_QST[#Headers],0)),"ERROR"))</f>
        <v>147.5</v>
      </c>
      <c r="J66" s="42"/>
      <c r="K66" s="42"/>
      <c r="L66" s="42"/>
      <c r="M66" s="42"/>
      <c r="N66" s="28"/>
    </row>
    <row r="67" spans="1:14" x14ac:dyDescent="0.2">
      <c r="A67" s="25"/>
      <c r="B67" s="377" t="s">
        <v>1041</v>
      </c>
      <c r="C67" s="378"/>
      <c r="D67" s="378"/>
      <c r="E67" s="378"/>
      <c r="F67" s="378"/>
      <c r="G67" s="378"/>
      <c r="H67" s="378"/>
      <c r="I67" s="378"/>
      <c r="J67" s="378"/>
      <c r="K67" s="378"/>
      <c r="L67" s="378"/>
      <c r="M67" s="387"/>
      <c r="N67" s="28"/>
    </row>
    <row r="68" spans="1:14" ht="25.5" x14ac:dyDescent="0.2">
      <c r="A68" s="25"/>
      <c r="B68" s="250" t="s">
        <v>1037</v>
      </c>
      <c r="C68" s="154">
        <f>IF($B68=" ","",IFERROR(INDEX(MMWR_RATING_STATE_ROLLUP_BDD[],MATCH($B68,MMWR_RATING_STATE_ROLLUP_BDD[MMWR_RATING_STATE_ROLLUP_BDD],0),MATCH(C$9,MMWR_RATING_STATE_ROLLUP_BDD[#Headers],0)),"ERROR"))</f>
        <v>10105</v>
      </c>
      <c r="D68" s="155">
        <f>IF($B68=" ","",IFERROR(INDEX(MMWR_RATING_STATE_ROLLUP_BDD[],MATCH($B68,MMWR_RATING_STATE_ROLLUP_BDD[MMWR_RATING_STATE_ROLLUP_BDD],0),MATCH(D$9,MMWR_RATING_STATE_ROLLUP_BDD[#Headers],0)),"ERROR"))</f>
        <v>89.376744185999996</v>
      </c>
      <c r="E68" s="156">
        <f>IF($B68=" ","",IFERROR(INDEX(MMWR_RATING_STATE_ROLLUP_BDD[],MATCH($B68,MMWR_RATING_STATE_ROLLUP_BDD[MMWR_RATING_STATE_ROLLUP_BDD],0),MATCH(E$9,MMWR_RATING_STATE_ROLLUP_BDD[#Headers],0))/$C68,"ERROR"))</f>
        <v>0.23107372587827807</v>
      </c>
      <c r="F68" s="154">
        <f>IF($B68=" ","",IFERROR(INDEX(MMWR_RATING_STATE_ROLLUP_BDD[],MATCH($B68,MMWR_RATING_STATE_ROLLUP_BDD[MMWR_RATING_STATE_ROLLUP_BDD],0),MATCH(F$9,MMWR_RATING_STATE_ROLLUP_BDD[#Headers],0)),"ERROR"))</f>
        <v>2444</v>
      </c>
      <c r="G68" s="154">
        <f>IF($B68=" ","",IFERROR(INDEX(MMWR_RATING_STATE_ROLLUP_BDD[],MATCH($B68,MMWR_RATING_STATE_ROLLUP_BDD[MMWR_RATING_STATE_ROLLUP_BDD],0),MATCH(G$9,MMWR_RATING_STATE_ROLLUP_BDD[#Headers],0)),"ERROR"))</f>
        <v>10537</v>
      </c>
      <c r="H68" s="155">
        <f>IF($B68=" ","",IFERROR(INDEX(MMWR_RATING_STATE_ROLLUP_BDD[],MATCH($B68,MMWR_RATING_STATE_ROLLUP_BDD[MMWR_RATING_STATE_ROLLUP_BDD],0),MATCH(H$9,MMWR_RATING_STATE_ROLLUP_BDD[#Headers],0)),"ERROR"))</f>
        <v>146.5388707038</v>
      </c>
      <c r="I68" s="155">
        <f>IF($B68=" ","",IFERROR(INDEX(MMWR_RATING_STATE_ROLLUP_BDD[],MATCH($B68,MMWR_RATING_STATE_ROLLUP_BDD[MMWR_RATING_STATE_ROLLUP_BDD],0),MATCH(I$9,MMWR_RATING_STATE_ROLLUP_BDD[#Headers],0)),"ERROR"))</f>
        <v>139.6254152036</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2955</v>
      </c>
      <c r="D69" s="155">
        <f>IF($B69=" ","",IFERROR(INDEX(MMWR_RATING_STATE_ROLLUP_BDD[],MATCH($B69,MMWR_RATING_STATE_ROLLUP_BDD[MMWR_RATING_STATE_ROLLUP_BDD],0),MATCH(D$9,MMWR_RATING_STATE_ROLLUP_BDD[#Headers],0)),"ERROR"))</f>
        <v>93.620642978000006</v>
      </c>
      <c r="E69" s="156">
        <f>IF($B69=" ","",IFERROR(INDEX(MMWR_RATING_STATE_ROLLUP_BDD[],MATCH($B69,MMWR_RATING_STATE_ROLLUP_BDD[MMWR_RATING_STATE_ROLLUP_BDD],0),MATCH(E$9,MMWR_RATING_STATE_ROLLUP_BDD[#Headers],0))/$C69,"ERROR"))</f>
        <v>0.26565143824027071</v>
      </c>
      <c r="F69" s="154">
        <f>IF($B69=" ","",IFERROR(INDEX(MMWR_RATING_STATE_ROLLUP_BDD[],MATCH($B69,MMWR_RATING_STATE_ROLLUP_BDD[MMWR_RATING_STATE_ROLLUP_BDD],0),MATCH(F$9,MMWR_RATING_STATE_ROLLUP_BDD[#Headers],0)),"ERROR"))</f>
        <v>652</v>
      </c>
      <c r="G69" s="154">
        <f>IF($B69=" ","",IFERROR(INDEX(MMWR_RATING_STATE_ROLLUP_BDD[],MATCH($B69,MMWR_RATING_STATE_ROLLUP_BDD[MMWR_RATING_STATE_ROLLUP_BDD],0),MATCH(G$9,MMWR_RATING_STATE_ROLLUP_BDD[#Headers],0)),"ERROR"))</f>
        <v>2779</v>
      </c>
      <c r="H69" s="155">
        <f>IF($B69=" ","",IFERROR(INDEX(MMWR_RATING_STATE_ROLLUP_BDD[],MATCH($B69,MMWR_RATING_STATE_ROLLUP_BDD[MMWR_RATING_STATE_ROLLUP_BDD],0),MATCH(H$9,MMWR_RATING_STATE_ROLLUP_BDD[#Headers],0)),"ERROR"))</f>
        <v>154.89570552149999</v>
      </c>
      <c r="I69" s="155">
        <f>IF($B69=" ","",IFERROR(INDEX(MMWR_RATING_STATE_ROLLUP_BDD[],MATCH($B69,MMWR_RATING_STATE_ROLLUP_BDD[MMWR_RATING_STATE_ROLLUP_BDD],0),MATCH(I$9,MMWR_RATING_STATE_ROLLUP_BDD[#Headers],0)),"ERROR"))</f>
        <v>148.76646275639999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50</v>
      </c>
      <c r="D70" s="155">
        <f>IF($B70=" ","",IFERROR(INDEX(MMWR_RATING_STATE_ROLLUP_BDD[],MATCH($B70,MMWR_RATING_STATE_ROLLUP_BDD[MMWR_RATING_STATE_ROLLUP_BDD],0),MATCH(D$9,MMWR_RATING_STATE_ROLLUP_BDD[#Headers],0)),"ERROR"))</f>
        <v>96.78</v>
      </c>
      <c r="E70" s="156">
        <f>IF($B70=" ","",IFERROR(INDEX(MMWR_RATING_STATE_ROLLUP_BDD[],MATCH($B70,MMWR_RATING_STATE_ROLLUP_BDD[MMWR_RATING_STATE_ROLLUP_BDD],0),MATCH(E$9,MMWR_RATING_STATE_ROLLUP_BDD[#Headers],0))/$C70,"ERROR"))</f>
        <v>0.34</v>
      </c>
      <c r="F70" s="154">
        <f>IF($B70=" ","",IFERROR(INDEX(MMWR_RATING_STATE_ROLLUP_BDD[],MATCH($B70,MMWR_RATING_STATE_ROLLUP_BDD[MMWR_RATING_STATE_ROLLUP_BDD],0),MATCH(F$9,MMWR_RATING_STATE_ROLLUP_BDD[#Headers],0)),"ERROR"))</f>
        <v>18</v>
      </c>
      <c r="G70" s="154">
        <f>IF($B70=" ","",IFERROR(INDEX(MMWR_RATING_STATE_ROLLUP_BDD[],MATCH($B70,MMWR_RATING_STATE_ROLLUP_BDD[MMWR_RATING_STATE_ROLLUP_BDD],0),MATCH(G$9,MMWR_RATING_STATE_ROLLUP_BDD[#Headers],0)),"ERROR"))</f>
        <v>64</v>
      </c>
      <c r="H70" s="155">
        <f>IF($B70=" ","",IFERROR(INDEX(MMWR_RATING_STATE_ROLLUP_BDD[],MATCH($B70,MMWR_RATING_STATE_ROLLUP_BDD[MMWR_RATING_STATE_ROLLUP_BDD],0),MATCH(H$9,MMWR_RATING_STATE_ROLLUP_BDD[#Headers],0)),"ERROR"))</f>
        <v>143.8333333333</v>
      </c>
      <c r="I70" s="155">
        <f>IF($B70=" ","",IFERROR(INDEX(MMWR_RATING_STATE_ROLLUP_BDD[],MATCH($B70,MMWR_RATING_STATE_ROLLUP_BDD[MMWR_RATING_STATE_ROLLUP_BDD],0),MATCH(I$9,MMWR_RATING_STATE_ROLLUP_BDD[#Headers],0)),"ERROR"))</f>
        <v>145.71875</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26</v>
      </c>
      <c r="D71" s="155">
        <f>IF($B71=" ","",IFERROR(INDEX(MMWR_RATING_STATE_ROLLUP_BDD[],MATCH($B71,MMWR_RATING_STATE_ROLLUP_BDD[MMWR_RATING_STATE_ROLLUP_BDD],0),MATCH(D$9,MMWR_RATING_STATE_ROLLUP_BDD[#Headers],0)),"ERROR"))</f>
        <v>112.3461538462</v>
      </c>
      <c r="E71" s="156">
        <f>IF($B71=" ","",IFERROR(INDEX(MMWR_RATING_STATE_ROLLUP_BDD[],MATCH($B71,MMWR_RATING_STATE_ROLLUP_BDD[MMWR_RATING_STATE_ROLLUP_BDD],0),MATCH(E$9,MMWR_RATING_STATE_ROLLUP_BDD[#Headers],0))/$C71,"ERROR"))</f>
        <v>0.5</v>
      </c>
      <c r="F71" s="154">
        <f>IF($B71=" ","",IFERROR(INDEX(MMWR_RATING_STATE_ROLLUP_BDD[],MATCH($B71,MMWR_RATING_STATE_ROLLUP_BDD[MMWR_RATING_STATE_ROLLUP_BDD],0),MATCH(F$9,MMWR_RATING_STATE_ROLLUP_BDD[#Headers],0)),"ERROR"))</f>
        <v>4</v>
      </c>
      <c r="G71" s="154">
        <f>IF($B71=" ","",IFERROR(INDEX(MMWR_RATING_STATE_ROLLUP_BDD[],MATCH($B71,MMWR_RATING_STATE_ROLLUP_BDD[MMWR_RATING_STATE_ROLLUP_BDD],0),MATCH(G$9,MMWR_RATING_STATE_ROLLUP_BDD[#Headers],0)),"ERROR"))</f>
        <v>18</v>
      </c>
      <c r="H71" s="155">
        <f>IF($B71=" ","",IFERROR(INDEX(MMWR_RATING_STATE_ROLLUP_BDD[],MATCH($B71,MMWR_RATING_STATE_ROLLUP_BDD[MMWR_RATING_STATE_ROLLUP_BDD],0),MATCH(H$9,MMWR_RATING_STATE_ROLLUP_BDD[#Headers],0)),"ERROR"))</f>
        <v>164.25</v>
      </c>
      <c r="I71" s="155">
        <f>IF($B71=" ","",IFERROR(INDEX(MMWR_RATING_STATE_ROLLUP_BDD[],MATCH($B71,MMWR_RATING_STATE_ROLLUP_BDD[MMWR_RATING_STATE_ROLLUP_BDD],0),MATCH(I$9,MMWR_RATING_STATE_ROLLUP_BDD[#Headers],0)),"ERROR"))</f>
        <v>157.1666666667</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24</v>
      </c>
      <c r="D72" s="155">
        <f>IF($B72=" ","",IFERROR(INDEX(MMWR_RATING_STATE_ROLLUP_BDD[],MATCH($B72,MMWR_RATING_STATE_ROLLUP_BDD[MMWR_RATING_STATE_ROLLUP_BDD],0),MATCH(D$9,MMWR_RATING_STATE_ROLLUP_BDD[#Headers],0)),"ERROR"))</f>
        <v>75.833333333300004</v>
      </c>
      <c r="E72" s="156">
        <f>IF($B72=" ","",IFERROR(INDEX(MMWR_RATING_STATE_ROLLUP_BDD[],MATCH($B72,MMWR_RATING_STATE_ROLLUP_BDD[MMWR_RATING_STATE_ROLLUP_BDD],0),MATCH(E$9,MMWR_RATING_STATE_ROLLUP_BDD[#Headers],0))/$C72,"ERROR"))</f>
        <v>0.125</v>
      </c>
      <c r="F72" s="154">
        <f>IF($B72=" ","",IFERROR(INDEX(MMWR_RATING_STATE_ROLLUP_BDD[],MATCH($B72,MMWR_RATING_STATE_ROLLUP_BDD[MMWR_RATING_STATE_ROLLUP_BDD],0),MATCH(F$9,MMWR_RATING_STATE_ROLLUP_BDD[#Headers],0)),"ERROR"))</f>
        <v>7</v>
      </c>
      <c r="G72" s="154">
        <f>IF($B72=" ","",IFERROR(INDEX(MMWR_RATING_STATE_ROLLUP_BDD[],MATCH($B72,MMWR_RATING_STATE_ROLLUP_BDD[MMWR_RATING_STATE_ROLLUP_BDD],0),MATCH(G$9,MMWR_RATING_STATE_ROLLUP_BDD[#Headers],0)),"ERROR"))</f>
        <v>26</v>
      </c>
      <c r="H72" s="155">
        <f>IF($B72=" ","",IFERROR(INDEX(MMWR_RATING_STATE_ROLLUP_BDD[],MATCH($B72,MMWR_RATING_STATE_ROLLUP_BDD[MMWR_RATING_STATE_ROLLUP_BDD],0),MATCH(H$9,MMWR_RATING_STATE_ROLLUP_BDD[#Headers],0)),"ERROR"))</f>
        <v>150.1428571429</v>
      </c>
      <c r="I72" s="155">
        <f>IF($B72=" ","",IFERROR(INDEX(MMWR_RATING_STATE_ROLLUP_BDD[],MATCH($B72,MMWR_RATING_STATE_ROLLUP_BDD[MMWR_RATING_STATE_ROLLUP_BDD],0),MATCH(I$9,MMWR_RATING_STATE_ROLLUP_BDD[#Headers],0)),"ERROR"))</f>
        <v>146.38461538460001</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13</v>
      </c>
      <c r="D73" s="155">
        <f>IF($B73=" ","",IFERROR(INDEX(MMWR_RATING_STATE_ROLLUP_BDD[],MATCH($B73,MMWR_RATING_STATE_ROLLUP_BDD[MMWR_RATING_STATE_ROLLUP_BDD],0),MATCH(D$9,MMWR_RATING_STATE_ROLLUP_BDD[#Headers],0)),"ERROR"))</f>
        <v>90.461538461499998</v>
      </c>
      <c r="E73" s="156">
        <f>IF($B73=" ","",IFERROR(INDEX(MMWR_RATING_STATE_ROLLUP_BDD[],MATCH($B73,MMWR_RATING_STATE_ROLLUP_BDD[MMWR_RATING_STATE_ROLLUP_BDD],0),MATCH(E$9,MMWR_RATING_STATE_ROLLUP_BDD[#Headers],0))/$C73,"ERROR"))</f>
        <v>0.23076923076923078</v>
      </c>
      <c r="F73" s="154">
        <f>IF($B73=" ","",IFERROR(INDEX(MMWR_RATING_STATE_ROLLUP_BDD[],MATCH($B73,MMWR_RATING_STATE_ROLLUP_BDD[MMWR_RATING_STATE_ROLLUP_BDD],0),MATCH(F$9,MMWR_RATING_STATE_ROLLUP_BDD[#Headers],0)),"ERROR"))</f>
        <v>6</v>
      </c>
      <c r="G73" s="154">
        <f>IF($B73=" ","",IFERROR(INDEX(MMWR_RATING_STATE_ROLLUP_BDD[],MATCH($B73,MMWR_RATING_STATE_ROLLUP_BDD[MMWR_RATING_STATE_ROLLUP_BDD],0),MATCH(G$9,MMWR_RATING_STATE_ROLLUP_BDD[#Headers],0)),"ERROR"))</f>
        <v>23</v>
      </c>
      <c r="H73" s="155">
        <f>IF($B73=" ","",IFERROR(INDEX(MMWR_RATING_STATE_ROLLUP_BDD[],MATCH($B73,MMWR_RATING_STATE_ROLLUP_BDD[MMWR_RATING_STATE_ROLLUP_BDD],0),MATCH(H$9,MMWR_RATING_STATE_ROLLUP_BDD[#Headers],0)),"ERROR"))</f>
        <v>167.8333333333</v>
      </c>
      <c r="I73" s="155">
        <f>IF($B73=" ","",IFERROR(INDEX(MMWR_RATING_STATE_ROLLUP_BDD[],MATCH($B73,MMWR_RATING_STATE_ROLLUP_BDD[MMWR_RATING_STATE_ROLLUP_BDD],0),MATCH(I$9,MMWR_RATING_STATE_ROLLUP_BDD[#Headers],0)),"ERROR"))</f>
        <v>164.5652173913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319</v>
      </c>
      <c r="D74" s="155">
        <f>IF($B74=" ","",IFERROR(INDEX(MMWR_RATING_STATE_ROLLUP_BDD[],MATCH($B74,MMWR_RATING_STATE_ROLLUP_BDD[MMWR_RATING_STATE_ROLLUP_BDD],0),MATCH(D$9,MMWR_RATING_STATE_ROLLUP_BDD[#Headers],0)),"ERROR"))</f>
        <v>90.8840125392</v>
      </c>
      <c r="E74" s="156">
        <f>IF($B74=" ","",IFERROR(INDEX(MMWR_RATING_STATE_ROLLUP_BDD[],MATCH($B74,MMWR_RATING_STATE_ROLLUP_BDD[MMWR_RATING_STATE_ROLLUP_BDD],0),MATCH(E$9,MMWR_RATING_STATE_ROLLUP_BDD[#Headers],0))/$C74,"ERROR"))</f>
        <v>0.23510971786833856</v>
      </c>
      <c r="F74" s="154">
        <f>IF($B74=" ","",IFERROR(INDEX(MMWR_RATING_STATE_ROLLUP_BDD[],MATCH($B74,MMWR_RATING_STATE_ROLLUP_BDD[MMWR_RATING_STATE_ROLLUP_BDD],0),MATCH(F$9,MMWR_RATING_STATE_ROLLUP_BDD[#Headers],0)),"ERROR"))</f>
        <v>82</v>
      </c>
      <c r="G74" s="154">
        <f>IF($B74=" ","",IFERROR(INDEX(MMWR_RATING_STATE_ROLLUP_BDD[],MATCH($B74,MMWR_RATING_STATE_ROLLUP_BDD[MMWR_RATING_STATE_ROLLUP_BDD],0),MATCH(G$9,MMWR_RATING_STATE_ROLLUP_BDD[#Headers],0)),"ERROR"))</f>
        <v>294</v>
      </c>
      <c r="H74" s="155">
        <f>IF($B74=" ","",IFERROR(INDEX(MMWR_RATING_STATE_ROLLUP_BDD[],MATCH($B74,MMWR_RATING_STATE_ROLLUP_BDD[MMWR_RATING_STATE_ROLLUP_BDD],0),MATCH(H$9,MMWR_RATING_STATE_ROLLUP_BDD[#Headers],0)),"ERROR"))</f>
        <v>154.18292682929999</v>
      </c>
      <c r="I74" s="155">
        <f>IF($B74=" ","",IFERROR(INDEX(MMWR_RATING_STATE_ROLLUP_BDD[],MATCH($B74,MMWR_RATING_STATE_ROLLUP_BDD[MMWR_RATING_STATE_ROLLUP_BDD],0),MATCH(I$9,MMWR_RATING_STATE_ROLLUP_BDD[#Headers],0)),"ERROR"))</f>
        <v>152.8945578231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38</v>
      </c>
      <c r="D75" s="155">
        <f>IF($B75=" ","",IFERROR(INDEX(MMWR_RATING_STATE_ROLLUP_BDD[],MATCH($B75,MMWR_RATING_STATE_ROLLUP_BDD[MMWR_RATING_STATE_ROLLUP_BDD],0),MATCH(D$9,MMWR_RATING_STATE_ROLLUP_BDD[#Headers],0)),"ERROR"))</f>
        <v>90.184210526300006</v>
      </c>
      <c r="E75" s="156">
        <f>IF($B75=" ","",IFERROR(INDEX(MMWR_RATING_STATE_ROLLUP_BDD[],MATCH($B75,MMWR_RATING_STATE_ROLLUP_BDD[MMWR_RATING_STATE_ROLLUP_BDD],0),MATCH(E$9,MMWR_RATING_STATE_ROLLUP_BDD[#Headers],0))/$C75,"ERROR"))</f>
        <v>0.26315789473684209</v>
      </c>
      <c r="F75" s="154">
        <f>IF($B75=" ","",IFERROR(INDEX(MMWR_RATING_STATE_ROLLUP_BDD[],MATCH($B75,MMWR_RATING_STATE_ROLLUP_BDD[MMWR_RATING_STATE_ROLLUP_BDD],0),MATCH(F$9,MMWR_RATING_STATE_ROLLUP_BDD[#Headers],0)),"ERROR"))</f>
        <v>12</v>
      </c>
      <c r="G75" s="154">
        <f>IF($B75=" ","",IFERROR(INDEX(MMWR_RATING_STATE_ROLLUP_BDD[],MATCH($B75,MMWR_RATING_STATE_ROLLUP_BDD[MMWR_RATING_STATE_ROLLUP_BDD],0),MATCH(G$9,MMWR_RATING_STATE_ROLLUP_BDD[#Headers],0)),"ERROR"))</f>
        <v>56</v>
      </c>
      <c r="H75" s="155">
        <f>IF($B75=" ","",IFERROR(INDEX(MMWR_RATING_STATE_ROLLUP_BDD[],MATCH($B75,MMWR_RATING_STATE_ROLLUP_BDD[MMWR_RATING_STATE_ROLLUP_BDD],0),MATCH(H$9,MMWR_RATING_STATE_ROLLUP_BDD[#Headers],0)),"ERROR"))</f>
        <v>157.0833333333</v>
      </c>
      <c r="I75" s="155">
        <f>IF($B75=" ","",IFERROR(INDEX(MMWR_RATING_STATE_ROLLUP_BDD[],MATCH($B75,MMWR_RATING_STATE_ROLLUP_BDD[MMWR_RATING_STATE_ROLLUP_BDD],0),MATCH(I$9,MMWR_RATING_STATE_ROLLUP_BDD[#Headers],0)),"ERROR"))</f>
        <v>131.66071428570001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15</v>
      </c>
      <c r="D76" s="155">
        <f>IF($B76=" ","",IFERROR(INDEX(MMWR_RATING_STATE_ROLLUP_BDD[],MATCH($B76,MMWR_RATING_STATE_ROLLUP_BDD[MMWR_RATING_STATE_ROLLUP_BDD],0),MATCH(D$9,MMWR_RATING_STATE_ROLLUP_BDD[#Headers],0)),"ERROR"))</f>
        <v>114.9333333333</v>
      </c>
      <c r="E76" s="156">
        <f>IF($B76=" ","",IFERROR(INDEX(MMWR_RATING_STATE_ROLLUP_BDD[],MATCH($B76,MMWR_RATING_STATE_ROLLUP_BDD[MMWR_RATING_STATE_ROLLUP_BDD],0),MATCH(E$9,MMWR_RATING_STATE_ROLLUP_BDD[#Headers],0))/$C76,"ERROR"))</f>
        <v>0.46666666666666667</v>
      </c>
      <c r="F76" s="154">
        <f>IF($B76=" ","",IFERROR(INDEX(MMWR_RATING_STATE_ROLLUP_BDD[],MATCH($B76,MMWR_RATING_STATE_ROLLUP_BDD[MMWR_RATING_STATE_ROLLUP_BDD],0),MATCH(F$9,MMWR_RATING_STATE_ROLLUP_BDD[#Headers],0)),"ERROR"))</f>
        <v>6</v>
      </c>
      <c r="G76" s="154">
        <f>IF($B76=" ","",IFERROR(INDEX(MMWR_RATING_STATE_ROLLUP_BDD[],MATCH($B76,MMWR_RATING_STATE_ROLLUP_BDD[MMWR_RATING_STATE_ROLLUP_BDD],0),MATCH(G$9,MMWR_RATING_STATE_ROLLUP_BDD[#Headers],0)),"ERROR"))</f>
        <v>25</v>
      </c>
      <c r="H76" s="155">
        <f>IF($B76=" ","",IFERROR(INDEX(MMWR_RATING_STATE_ROLLUP_BDD[],MATCH($B76,MMWR_RATING_STATE_ROLLUP_BDD[MMWR_RATING_STATE_ROLLUP_BDD],0),MATCH(H$9,MMWR_RATING_STATE_ROLLUP_BDD[#Headers],0)),"ERROR"))</f>
        <v>119.6666666667</v>
      </c>
      <c r="I76" s="155">
        <f>IF($B76=" ","",IFERROR(INDEX(MMWR_RATING_STATE_ROLLUP_BDD[],MATCH($B76,MMWR_RATING_STATE_ROLLUP_BDD[MMWR_RATING_STATE_ROLLUP_BDD],0),MATCH(I$9,MMWR_RATING_STATE_ROLLUP_BDD[#Headers],0)),"ERROR"))</f>
        <v>129.91999999999999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71</v>
      </c>
      <c r="D77" s="155">
        <f>IF($B77=" ","",IFERROR(INDEX(MMWR_RATING_STATE_ROLLUP_BDD[],MATCH($B77,MMWR_RATING_STATE_ROLLUP_BDD[MMWR_RATING_STATE_ROLLUP_BDD],0),MATCH(D$9,MMWR_RATING_STATE_ROLLUP_BDD[#Headers],0)),"ERROR"))</f>
        <v>87.971830985899999</v>
      </c>
      <c r="E77" s="156">
        <f>IF($B77=" ","",IFERROR(INDEX(MMWR_RATING_STATE_ROLLUP_BDD[],MATCH($B77,MMWR_RATING_STATE_ROLLUP_BDD[MMWR_RATING_STATE_ROLLUP_BDD],0),MATCH(E$9,MMWR_RATING_STATE_ROLLUP_BDD[#Headers],0))/$C77,"ERROR"))</f>
        <v>0.29577464788732394</v>
      </c>
      <c r="F77" s="154">
        <f>IF($B77=" ","",IFERROR(INDEX(MMWR_RATING_STATE_ROLLUP_BDD[],MATCH($B77,MMWR_RATING_STATE_ROLLUP_BDD[MMWR_RATING_STATE_ROLLUP_BDD],0),MATCH(F$9,MMWR_RATING_STATE_ROLLUP_BDD[#Headers],0)),"ERROR"))</f>
        <v>17</v>
      </c>
      <c r="G77" s="154">
        <f>IF($B77=" ","",IFERROR(INDEX(MMWR_RATING_STATE_ROLLUP_BDD[],MATCH($B77,MMWR_RATING_STATE_ROLLUP_BDD[MMWR_RATING_STATE_ROLLUP_BDD],0),MATCH(G$9,MMWR_RATING_STATE_ROLLUP_BDD[#Headers],0)),"ERROR"))</f>
        <v>91</v>
      </c>
      <c r="H77" s="155">
        <f>IF($B77=" ","",IFERROR(INDEX(MMWR_RATING_STATE_ROLLUP_BDD[],MATCH($B77,MMWR_RATING_STATE_ROLLUP_BDD[MMWR_RATING_STATE_ROLLUP_BDD],0),MATCH(H$9,MMWR_RATING_STATE_ROLLUP_BDD[#Headers],0)),"ERROR"))</f>
        <v>144.23529411760001</v>
      </c>
      <c r="I77" s="155">
        <f>IF($B77=" ","",IFERROR(INDEX(MMWR_RATING_STATE_ROLLUP_BDD[],MATCH($B77,MMWR_RATING_STATE_ROLLUP_BDD[MMWR_RATING_STATE_ROLLUP_BDD],0),MATCH(I$9,MMWR_RATING_STATE_ROLLUP_BDD[#Headers],0)),"ERROR"))</f>
        <v>139.2967032967</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138</v>
      </c>
      <c r="D78" s="155">
        <f>IF($B78=" ","",IFERROR(INDEX(MMWR_RATING_STATE_ROLLUP_BDD[],MATCH($B78,MMWR_RATING_STATE_ROLLUP_BDD[MMWR_RATING_STATE_ROLLUP_BDD],0),MATCH(D$9,MMWR_RATING_STATE_ROLLUP_BDD[#Headers],0)),"ERROR"))</f>
        <v>88.985507246400005</v>
      </c>
      <c r="E78" s="156">
        <f>IF($B78=" ","",IFERROR(INDEX(MMWR_RATING_STATE_ROLLUP_BDD[],MATCH($B78,MMWR_RATING_STATE_ROLLUP_BDD[MMWR_RATING_STATE_ROLLUP_BDD],0),MATCH(E$9,MMWR_RATING_STATE_ROLLUP_BDD[#Headers],0))/$C78,"ERROR"))</f>
        <v>0.2391304347826087</v>
      </c>
      <c r="F78" s="154">
        <f>IF($B78=" ","",IFERROR(INDEX(MMWR_RATING_STATE_ROLLUP_BDD[],MATCH($B78,MMWR_RATING_STATE_ROLLUP_BDD[MMWR_RATING_STATE_ROLLUP_BDD],0),MATCH(F$9,MMWR_RATING_STATE_ROLLUP_BDD[#Headers],0)),"ERROR"))</f>
        <v>45</v>
      </c>
      <c r="G78" s="154">
        <f>IF($B78=" ","",IFERROR(INDEX(MMWR_RATING_STATE_ROLLUP_BDD[],MATCH($B78,MMWR_RATING_STATE_ROLLUP_BDD[MMWR_RATING_STATE_ROLLUP_BDD],0),MATCH(G$9,MMWR_RATING_STATE_ROLLUP_BDD[#Headers],0)),"ERROR"))</f>
        <v>169</v>
      </c>
      <c r="H78" s="155">
        <f>IF($B78=" ","",IFERROR(INDEX(MMWR_RATING_STATE_ROLLUP_BDD[],MATCH($B78,MMWR_RATING_STATE_ROLLUP_BDD[MMWR_RATING_STATE_ROLLUP_BDD],0),MATCH(H$9,MMWR_RATING_STATE_ROLLUP_BDD[#Headers],0)),"ERROR"))</f>
        <v>130.44444444440001</v>
      </c>
      <c r="I78" s="155">
        <f>IF($B78=" ","",IFERROR(INDEX(MMWR_RATING_STATE_ROLLUP_BDD[],MATCH($B78,MMWR_RATING_STATE_ROLLUP_BDD[MMWR_RATING_STATE_ROLLUP_BDD],0),MATCH(I$9,MMWR_RATING_STATE_ROLLUP_BDD[#Headers],0)),"ERROR"))</f>
        <v>141.43195266270001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1064</v>
      </c>
      <c r="D79" s="155">
        <f>IF($B79=" ","",IFERROR(INDEX(MMWR_RATING_STATE_ROLLUP_BDD[],MATCH($B79,MMWR_RATING_STATE_ROLLUP_BDD[MMWR_RATING_STATE_ROLLUP_BDD],0),MATCH(D$9,MMWR_RATING_STATE_ROLLUP_BDD[#Headers],0)),"ERROR"))</f>
        <v>89.187969924800001</v>
      </c>
      <c r="E79" s="156">
        <f>IF($B79=" ","",IFERROR(INDEX(MMWR_RATING_STATE_ROLLUP_BDD[],MATCH($B79,MMWR_RATING_STATE_ROLLUP_BDD[MMWR_RATING_STATE_ROLLUP_BDD],0),MATCH(E$9,MMWR_RATING_STATE_ROLLUP_BDD[#Headers],0))/$C79,"ERROR"))</f>
        <v>0.23496240601503759</v>
      </c>
      <c r="F79" s="154">
        <f>IF($B79=" ","",IFERROR(INDEX(MMWR_RATING_STATE_ROLLUP_BDD[],MATCH($B79,MMWR_RATING_STATE_ROLLUP_BDD[MMWR_RATING_STATE_ROLLUP_BDD],0),MATCH(F$9,MMWR_RATING_STATE_ROLLUP_BDD[#Headers],0)),"ERROR"))</f>
        <v>197</v>
      </c>
      <c r="G79" s="154">
        <f>IF($B79=" ","",IFERROR(INDEX(MMWR_RATING_STATE_ROLLUP_BDD[],MATCH($B79,MMWR_RATING_STATE_ROLLUP_BDD[MMWR_RATING_STATE_ROLLUP_BDD],0),MATCH(G$9,MMWR_RATING_STATE_ROLLUP_BDD[#Headers],0)),"ERROR"))</f>
        <v>881</v>
      </c>
      <c r="H79" s="155">
        <f>IF($B79=" ","",IFERROR(INDEX(MMWR_RATING_STATE_ROLLUP_BDD[],MATCH($B79,MMWR_RATING_STATE_ROLLUP_BDD[MMWR_RATING_STATE_ROLLUP_BDD],0),MATCH(H$9,MMWR_RATING_STATE_ROLLUP_BDD[#Headers],0)),"ERROR"))</f>
        <v>154.0304568528</v>
      </c>
      <c r="I79" s="155">
        <f>IF($B79=" ","",IFERROR(INDEX(MMWR_RATING_STATE_ROLLUP_BDD[],MATCH($B79,MMWR_RATING_STATE_ROLLUP_BDD[MMWR_RATING_STATE_ROLLUP_BDD],0),MATCH(I$9,MMWR_RATING_STATE_ROLLUP_BDD[#Headers],0)),"ERROR"))</f>
        <v>147.43927355279999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114</v>
      </c>
      <c r="D80" s="155">
        <f>IF($B80=" ","",IFERROR(INDEX(MMWR_RATING_STATE_ROLLUP_BDD[],MATCH($B80,MMWR_RATING_STATE_ROLLUP_BDD[MMWR_RATING_STATE_ROLLUP_BDD],0),MATCH(D$9,MMWR_RATING_STATE_ROLLUP_BDD[#Headers],0)),"ERROR"))</f>
        <v>85.649122806999998</v>
      </c>
      <c r="E80" s="156">
        <f>IF($B80=" ","",IFERROR(INDEX(MMWR_RATING_STATE_ROLLUP_BDD[],MATCH($B80,MMWR_RATING_STATE_ROLLUP_BDD[MMWR_RATING_STATE_ROLLUP_BDD],0),MATCH(E$9,MMWR_RATING_STATE_ROLLUP_BDD[#Headers],0))/$C80,"ERROR"))</f>
        <v>0.21052631578947367</v>
      </c>
      <c r="F80" s="154">
        <f>IF($B80=" ","",IFERROR(INDEX(MMWR_RATING_STATE_ROLLUP_BDD[],MATCH($B80,MMWR_RATING_STATE_ROLLUP_BDD[MMWR_RATING_STATE_ROLLUP_BDD],0),MATCH(F$9,MMWR_RATING_STATE_ROLLUP_BDD[#Headers],0)),"ERROR"))</f>
        <v>29</v>
      </c>
      <c r="G80" s="154">
        <f>IF($B80=" ","",IFERROR(INDEX(MMWR_RATING_STATE_ROLLUP_BDD[],MATCH($B80,MMWR_RATING_STATE_ROLLUP_BDD[MMWR_RATING_STATE_ROLLUP_BDD],0),MATCH(G$9,MMWR_RATING_STATE_ROLLUP_BDD[#Headers],0)),"ERROR"))</f>
        <v>173</v>
      </c>
      <c r="H80" s="155">
        <f>IF($B80=" ","",IFERROR(INDEX(MMWR_RATING_STATE_ROLLUP_BDD[],MATCH($B80,MMWR_RATING_STATE_ROLLUP_BDD[MMWR_RATING_STATE_ROLLUP_BDD],0),MATCH(H$9,MMWR_RATING_STATE_ROLLUP_BDD[#Headers],0)),"ERROR"))</f>
        <v>146.5862068966</v>
      </c>
      <c r="I80" s="155">
        <f>IF($B80=" ","",IFERROR(INDEX(MMWR_RATING_STATE_ROLLUP_BDD[],MATCH($B80,MMWR_RATING_STATE_ROLLUP_BDD[MMWR_RATING_STATE_ROLLUP_BDD],0),MATCH(I$9,MMWR_RATING_STATE_ROLLUP_BDD[#Headers],0)),"ERROR"))</f>
        <v>133.41618497109999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7</v>
      </c>
      <c r="D81" s="155">
        <f>IF($B81=" ","",IFERROR(INDEX(MMWR_RATING_STATE_ROLLUP_BDD[],MATCH($B81,MMWR_RATING_STATE_ROLLUP_BDD[MMWR_RATING_STATE_ROLLUP_BDD],0),MATCH(D$9,MMWR_RATING_STATE_ROLLUP_BDD[#Headers],0)),"ERROR"))</f>
        <v>100.57142857140001</v>
      </c>
      <c r="E81" s="156">
        <f>IF($B81=" ","",IFERROR(INDEX(MMWR_RATING_STATE_ROLLUP_BDD[],MATCH($B81,MMWR_RATING_STATE_ROLLUP_BDD[MMWR_RATING_STATE_ROLLUP_BDD],0),MATCH(E$9,MMWR_RATING_STATE_ROLLUP_BDD[#Headers],0))/$C81,"ERROR"))</f>
        <v>0.42857142857142855</v>
      </c>
      <c r="F81" s="154">
        <f>IF($B81=" ","",IFERROR(INDEX(MMWR_RATING_STATE_ROLLUP_BDD[],MATCH($B81,MMWR_RATING_STATE_ROLLUP_BDD[MMWR_RATING_STATE_ROLLUP_BDD],0),MATCH(F$9,MMWR_RATING_STATE_ROLLUP_BDD[#Headers],0)),"ERROR"))</f>
        <v>3</v>
      </c>
      <c r="G81" s="154">
        <f>IF($B81=" ","",IFERROR(INDEX(MMWR_RATING_STATE_ROLLUP_BDD[],MATCH($B81,MMWR_RATING_STATE_ROLLUP_BDD[MMWR_RATING_STATE_ROLLUP_BDD],0),MATCH(G$9,MMWR_RATING_STATE_ROLLUP_BDD[#Headers],0)),"ERROR"))</f>
        <v>13</v>
      </c>
      <c r="H81" s="155">
        <f>IF($B81=" ","",IFERROR(INDEX(MMWR_RATING_STATE_ROLLUP_BDD[],MATCH($B81,MMWR_RATING_STATE_ROLLUP_BDD[MMWR_RATING_STATE_ROLLUP_BDD],0),MATCH(H$9,MMWR_RATING_STATE_ROLLUP_BDD[#Headers],0)),"ERROR"))</f>
        <v>127.6666666667</v>
      </c>
      <c r="I81" s="155">
        <f>IF($B81=" ","",IFERROR(INDEX(MMWR_RATING_STATE_ROLLUP_BDD[],MATCH($B81,MMWR_RATING_STATE_ROLLUP_BDD[MMWR_RATING_STATE_ROLLUP_BDD],0),MATCH(I$9,MMWR_RATING_STATE_ROLLUP_BDD[#Headers],0)),"ERROR"))</f>
        <v>124.8461538462</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85.5</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2</v>
      </c>
      <c r="G82" s="154">
        <f>IF($B82=" ","",IFERROR(INDEX(MMWR_RATING_STATE_ROLLUP_BDD[],MATCH($B82,MMWR_RATING_STATE_ROLLUP_BDD[MMWR_RATING_STATE_ROLLUP_BDD],0),MATCH(G$9,MMWR_RATING_STATE_ROLLUP_BDD[#Headers],0)),"ERROR"))</f>
        <v>8</v>
      </c>
      <c r="H82" s="155">
        <f>IF($B82=" ","",IFERROR(INDEX(MMWR_RATING_STATE_ROLLUP_BDD[],MATCH($B82,MMWR_RATING_STATE_ROLLUP_BDD[MMWR_RATING_STATE_ROLLUP_BDD],0),MATCH(H$9,MMWR_RATING_STATE_ROLLUP_BDD[#Headers],0)),"ERROR"))</f>
        <v>128.5</v>
      </c>
      <c r="I82" s="155">
        <f>IF($B82=" ","",IFERROR(INDEX(MMWR_RATING_STATE_ROLLUP_BDD[],MATCH($B82,MMWR_RATING_STATE_ROLLUP_BDD[MMWR_RATING_STATE_ROLLUP_BDD],0),MATCH(I$9,MMWR_RATING_STATE_ROLLUP_BDD[#Headers],0)),"ERROR"))</f>
        <v>111.625</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1047</v>
      </c>
      <c r="D83" s="155">
        <f>IF($B83=" ","",IFERROR(INDEX(MMWR_RATING_STATE_ROLLUP_BDD[],MATCH($B83,MMWR_RATING_STATE_ROLLUP_BDD[MMWR_RATING_STATE_ROLLUP_BDD],0),MATCH(D$9,MMWR_RATING_STATE_ROLLUP_BDD[#Headers],0)),"ERROR"))</f>
        <v>100.3457497612</v>
      </c>
      <c r="E83" s="156">
        <f>IF($B83=" ","",IFERROR(INDEX(MMWR_RATING_STATE_ROLLUP_BDD[],MATCH($B83,MMWR_RATING_STATE_ROLLUP_BDD[MMWR_RATING_STATE_ROLLUP_BDD],0),MATCH(E$9,MMWR_RATING_STATE_ROLLUP_BDD[#Headers],0))/$C83,"ERROR"))</f>
        <v>0.30563514804202485</v>
      </c>
      <c r="F83" s="154">
        <f>IF($B83=" ","",IFERROR(INDEX(MMWR_RATING_STATE_ROLLUP_BDD[],MATCH($B83,MMWR_RATING_STATE_ROLLUP_BDD[MMWR_RATING_STATE_ROLLUP_BDD],0),MATCH(F$9,MMWR_RATING_STATE_ROLLUP_BDD[#Headers],0)),"ERROR"))</f>
        <v>216</v>
      </c>
      <c r="G83" s="154">
        <f>IF($B83=" ","",IFERROR(INDEX(MMWR_RATING_STATE_ROLLUP_BDD[],MATCH($B83,MMWR_RATING_STATE_ROLLUP_BDD[MMWR_RATING_STATE_ROLLUP_BDD],0),MATCH(G$9,MMWR_RATING_STATE_ROLLUP_BDD[#Headers],0)),"ERROR"))</f>
        <v>908</v>
      </c>
      <c r="H83" s="155">
        <f>IF($B83=" ","",IFERROR(INDEX(MMWR_RATING_STATE_ROLLUP_BDD[],MATCH($B83,MMWR_RATING_STATE_ROLLUP_BDD[MMWR_RATING_STATE_ROLLUP_BDD],0),MATCH(H$9,MMWR_RATING_STATE_ROLLUP_BDD[#Headers],0)),"ERROR"))</f>
        <v>164.4074074074</v>
      </c>
      <c r="I83" s="155">
        <f>IF($B83=" ","",IFERROR(INDEX(MMWR_RATING_STATE_ROLLUP_BDD[],MATCH($B83,MMWR_RATING_STATE_ROLLUP_BDD[MMWR_RATING_STATE_ROLLUP_BDD],0),MATCH(I$9,MMWR_RATING_STATE_ROLLUP_BDD[#Headers],0)),"ERROR"))</f>
        <v>155.93392070479999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25</v>
      </c>
      <c r="D84" s="155">
        <f>IF($B84=" ","",IFERROR(INDEX(MMWR_RATING_STATE_ROLLUP_BDD[],MATCH($B84,MMWR_RATING_STATE_ROLLUP_BDD[MMWR_RATING_STATE_ROLLUP_BDD],0),MATCH(D$9,MMWR_RATING_STATE_ROLLUP_BDD[#Headers],0)),"ERROR"))</f>
        <v>98.24</v>
      </c>
      <c r="E84" s="156">
        <f>IF($B84=" ","",IFERROR(INDEX(MMWR_RATING_STATE_ROLLUP_BDD[],MATCH($B84,MMWR_RATING_STATE_ROLLUP_BDD[MMWR_RATING_STATE_ROLLUP_BDD],0),MATCH(E$9,MMWR_RATING_STATE_ROLLUP_BDD[#Headers],0))/$C84,"ERROR"))</f>
        <v>0.24</v>
      </c>
      <c r="F84" s="154">
        <f>IF($B84=" ","",IFERROR(INDEX(MMWR_RATING_STATE_ROLLUP_BDD[],MATCH($B84,MMWR_RATING_STATE_ROLLUP_BDD[MMWR_RATING_STATE_ROLLUP_BDD],0),MATCH(F$9,MMWR_RATING_STATE_ROLLUP_BDD[#Headers],0)),"ERROR"))</f>
        <v>8</v>
      </c>
      <c r="G84" s="154">
        <f>IF($B84=" ","",IFERROR(INDEX(MMWR_RATING_STATE_ROLLUP_BDD[],MATCH($B84,MMWR_RATING_STATE_ROLLUP_BDD[MMWR_RATING_STATE_ROLLUP_BDD],0),MATCH(G$9,MMWR_RATING_STATE_ROLLUP_BDD[#Headers],0)),"ERROR"))</f>
        <v>30</v>
      </c>
      <c r="H84" s="155">
        <f>IF($B84=" ","",IFERROR(INDEX(MMWR_RATING_STATE_ROLLUP_BDD[],MATCH($B84,MMWR_RATING_STATE_ROLLUP_BDD[MMWR_RATING_STATE_ROLLUP_BDD],0),MATCH(H$9,MMWR_RATING_STATE_ROLLUP_BDD[#Headers],0)),"ERROR"))</f>
        <v>171.625</v>
      </c>
      <c r="I84" s="155">
        <f>IF($B84=" ","",IFERROR(INDEX(MMWR_RATING_STATE_ROLLUP_BDD[],MATCH($B84,MMWR_RATING_STATE_ROLLUP_BDD[MMWR_RATING_STATE_ROLLUP_BDD],0),MATCH(I$9,MMWR_RATING_STATE_ROLLUP_BDD[#Headers],0)),"ERROR"))</f>
        <v>148.23333333330001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February 27,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489</v>
      </c>
      <c r="S6" s="436" t="s">
        <v>279</v>
      </c>
      <c r="T6" s="437"/>
      <c r="U6" s="65" t="s">
        <v>134</v>
      </c>
      <c r="V6" s="25"/>
    </row>
    <row r="7" spans="1:22" s="1" customFormat="1" ht="32.25" customHeight="1" thickBot="1" x14ac:dyDescent="0.25">
      <c r="A7" s="25"/>
      <c r="B7" s="401" t="s">
        <v>298</v>
      </c>
      <c r="C7" s="402"/>
      <c r="D7" s="402"/>
      <c r="E7" s="402"/>
      <c r="F7" s="166">
        <f>SUM(F8:F10)</f>
        <v>115696</v>
      </c>
      <c r="G7" s="167">
        <f>SUM(G8:G10)</f>
        <v>34140</v>
      </c>
      <c r="H7" s="168">
        <f t="shared" ref="H7:H44" si="0">IF(G7="--", 0, G7/F7)</f>
        <v>0.29508366754252524</v>
      </c>
      <c r="I7" s="25"/>
      <c r="J7" s="401" t="s">
        <v>264</v>
      </c>
      <c r="K7" s="402"/>
      <c r="L7" s="167">
        <f>SUM(L8:L10)</f>
        <v>31805</v>
      </c>
      <c r="M7" s="167">
        <f>SUM(M8:M10)</f>
        <v>5726</v>
      </c>
      <c r="N7" s="178">
        <f>IF(M7="--", 0, M7/L7)</f>
        <v>0.18003458575695647</v>
      </c>
      <c r="O7" s="66"/>
      <c r="P7" s="401" t="s">
        <v>967</v>
      </c>
      <c r="Q7" s="402"/>
      <c r="R7" s="179">
        <f>R8+R9+R10+R11+R12</f>
        <v>326759</v>
      </c>
      <c r="S7" s="401"/>
      <c r="T7" s="402"/>
      <c r="U7" s="67"/>
      <c r="V7" s="25"/>
    </row>
    <row r="8" spans="1:22" s="1" customFormat="1" ht="51" customHeight="1" x14ac:dyDescent="0.2">
      <c r="A8" s="25"/>
      <c r="B8" s="285" t="s">
        <v>249</v>
      </c>
      <c r="C8" s="286"/>
      <c r="D8" s="286"/>
      <c r="E8" s="427"/>
      <c r="F8" s="169">
        <f>IFERROR(VLOOKUP(MID(B8,4,3),MMWR_TRAD_AGG_NATIONAL[],2,0),"--")</f>
        <v>280</v>
      </c>
      <c r="G8" s="170">
        <f>IFERROR(VLOOKUP(MID(B8,4,3),MMWR_TRAD_AGG_NATIONAL[],3,0),"--")</f>
        <v>159</v>
      </c>
      <c r="H8" s="171">
        <f t="shared" si="0"/>
        <v>0.56785714285714284</v>
      </c>
      <c r="I8" s="25"/>
      <c r="J8" s="403" t="s">
        <v>266</v>
      </c>
      <c r="K8" s="404"/>
      <c r="L8" s="169">
        <f>IFERROR(VLOOKUP(MID(J8,4,3),MMWR_TRAD_AGG_NATIONAL[],2,0),"--")</f>
        <v>7834</v>
      </c>
      <c r="M8" s="170">
        <f>IFERROR(VLOOKUP(MID(J8,4,3),MMWR_TRAD_AGG_NATIONAL[],3,0),"--")</f>
        <v>721</v>
      </c>
      <c r="N8" s="171">
        <f>IF(M8="--", 0, M8/L8)</f>
        <v>9.2034720449323468E-2</v>
      </c>
      <c r="O8" s="68" t="s">
        <v>310</v>
      </c>
      <c r="P8" s="438" t="s">
        <v>240</v>
      </c>
      <c r="Q8" s="439"/>
      <c r="R8" s="180">
        <f>VLOOKUP(P8,MMWR_APP_NATIONAL[],2,0)</f>
        <v>236819</v>
      </c>
      <c r="S8" s="406" t="s">
        <v>229</v>
      </c>
      <c r="T8" s="405"/>
      <c r="U8" s="181">
        <f>VLOOKUP(P8,MMWR_APP_NATIONAL[],3,0)</f>
        <v>406.77227446820001</v>
      </c>
      <c r="V8" s="25"/>
    </row>
    <row r="9" spans="1:22" s="1" customFormat="1" ht="45" customHeight="1" x14ac:dyDescent="0.2">
      <c r="A9" s="25"/>
      <c r="B9" s="285" t="s">
        <v>247</v>
      </c>
      <c r="C9" s="286"/>
      <c r="D9" s="286"/>
      <c r="E9" s="427"/>
      <c r="F9" s="169">
        <f>IFERROR(VLOOKUP(MID(B9,4,3),MMWR_TRAD_AGG_NATIONAL[],2,0),"--")</f>
        <v>38380</v>
      </c>
      <c r="G9" s="170">
        <f>IFERROR(VLOOKUP(MID(B9,4,3),MMWR_TRAD_AGG_NATIONAL[],3,0),"--")</f>
        <v>13219</v>
      </c>
      <c r="H9" s="171">
        <f t="shared" si="0"/>
        <v>0.34442417926003127</v>
      </c>
      <c r="I9" s="68" t="s">
        <v>310</v>
      </c>
      <c r="J9" s="285" t="s">
        <v>265</v>
      </c>
      <c r="K9" s="286"/>
      <c r="L9" s="169">
        <f>IFERROR(VLOOKUP(MID(J9,4,3),MMWR_TRAD_AGG_NATIONAL[],2,0),"--")</f>
        <v>7850</v>
      </c>
      <c r="M9" s="170">
        <f>IFERROR(VLOOKUP(MID(J9,4,3),MMWR_TRAD_AGG_NATIONAL[],3,0),"--")</f>
        <v>530</v>
      </c>
      <c r="N9" s="171">
        <f>IF(M9="--", 0, M9/L9)</f>
        <v>6.751592356687898E-2</v>
      </c>
      <c r="O9" s="68" t="s">
        <v>310</v>
      </c>
      <c r="P9" s="449" t="s">
        <v>241</v>
      </c>
      <c r="Q9" s="450"/>
      <c r="R9" s="182">
        <f>VLOOKUP(P9,MMWR_APP_NATIONAL[],2,0)</f>
        <v>53662</v>
      </c>
      <c r="S9" s="451" t="s">
        <v>230</v>
      </c>
      <c r="T9" s="396"/>
      <c r="U9" s="183">
        <f>VLOOKUP(P9,MMWR_APP_NATIONAL[],3,0)</f>
        <v>598.97819686180003</v>
      </c>
      <c r="V9" s="25"/>
    </row>
    <row r="10" spans="1:22" s="1" customFormat="1" ht="63" customHeight="1" thickBot="1" x14ac:dyDescent="0.25">
      <c r="A10" s="25"/>
      <c r="B10" s="285" t="s">
        <v>248</v>
      </c>
      <c r="C10" s="286"/>
      <c r="D10" s="286"/>
      <c r="E10" s="427"/>
      <c r="F10" s="169">
        <f>IFERROR(VLOOKUP(MID(B10,4,3),MMWR_TRAD_AGG_NATIONAL[],2,0),"--")</f>
        <v>77036</v>
      </c>
      <c r="G10" s="170">
        <f>IFERROR(VLOOKUP(MID(B10,4,3),MMWR_TRAD_AGG_NATIONAL[],3,0),"--")</f>
        <v>20762</v>
      </c>
      <c r="H10" s="171">
        <f t="shared" si="0"/>
        <v>0.26951035879329144</v>
      </c>
      <c r="I10" s="68" t="s">
        <v>310</v>
      </c>
      <c r="J10" s="287" t="s">
        <v>267</v>
      </c>
      <c r="K10" s="288"/>
      <c r="L10" s="169">
        <f>IFERROR(VLOOKUP(MID(J10,4,3),MMWR_TRAD_AGG_NATIONAL[],2,0),"--")</f>
        <v>16121</v>
      </c>
      <c r="M10" s="170">
        <f>IFERROR(VLOOKUP(MID(J10,4,3),MMWR_TRAD_AGG_NATIONAL[],3,0),"--")</f>
        <v>4475</v>
      </c>
      <c r="N10" s="171">
        <f>IF(M10="--", 0, M10/L10)</f>
        <v>0.27758823894299361</v>
      </c>
      <c r="O10" s="69"/>
      <c r="P10" s="449" t="s">
        <v>242</v>
      </c>
      <c r="Q10" s="450"/>
      <c r="R10" s="182">
        <f>VLOOKUP(P10,MMWR_APP_NATIONAL[],2,0)</f>
        <v>24807</v>
      </c>
      <c r="S10" s="451" t="s">
        <v>231</v>
      </c>
      <c r="T10" s="396"/>
      <c r="U10" s="183">
        <f>VLOOKUP(P10,MMWR_APP_NATIONAL[],3,0)</f>
        <v>527.16813838149994</v>
      </c>
      <c r="V10" s="25"/>
    </row>
    <row r="11" spans="1:22" s="1" customFormat="1" ht="45" customHeight="1" thickBot="1" x14ac:dyDescent="0.25">
      <c r="A11" s="25"/>
      <c r="B11" s="401" t="s">
        <v>299</v>
      </c>
      <c r="C11" s="402"/>
      <c r="D11" s="402"/>
      <c r="E11" s="402"/>
      <c r="F11" s="166">
        <f>SUM(F12:F13)</f>
        <v>9699</v>
      </c>
      <c r="G11" s="167">
        <f>SUM(G12:G13)</f>
        <v>2428</v>
      </c>
      <c r="H11" s="168">
        <f t="shared" si="0"/>
        <v>0.25033508609134963</v>
      </c>
      <c r="I11" s="25"/>
      <c r="J11" s="401" t="s">
        <v>237</v>
      </c>
      <c r="K11" s="402"/>
      <c r="L11" s="166">
        <f>SUM(L12:L17)</f>
        <v>33018</v>
      </c>
      <c r="M11" s="166">
        <f>SUM(M12:M17)</f>
        <v>6595</v>
      </c>
      <c r="N11" s="159">
        <f>IF(M11="--", 0, M11/L11)</f>
        <v>0.19973953601066086</v>
      </c>
      <c r="O11" s="69"/>
      <c r="P11" s="449" t="s">
        <v>968</v>
      </c>
      <c r="Q11" s="450"/>
      <c r="R11" s="182">
        <f>VLOOKUP(P11,MMWR_APP_NATIONAL[],2,0)</f>
        <v>10955</v>
      </c>
      <c r="S11" s="451" t="s">
        <v>232</v>
      </c>
      <c r="T11" s="396"/>
      <c r="U11" s="183">
        <f>VLOOKUP(P11,MMWR_APP_NATIONAL[],3,0)</f>
        <v>179.63991600470001</v>
      </c>
      <c r="V11" s="25"/>
    </row>
    <row r="12" spans="1:22" s="1" customFormat="1" ht="46.5" customHeight="1" thickBot="1" x14ac:dyDescent="0.25">
      <c r="A12" s="25"/>
      <c r="B12" s="397" t="s">
        <v>269</v>
      </c>
      <c r="C12" s="398"/>
      <c r="D12" s="398"/>
      <c r="E12" s="399"/>
      <c r="F12" s="169">
        <f>IFERROR(VLOOKUP(MID(B12,4,3),MMWR_TRAD_AGG_NATIONAL[],2,0),"--")</f>
        <v>8535</v>
      </c>
      <c r="G12" s="170">
        <f>IFERROR(VLOOKUP(MID(B12,4,3),MMWR_TRAD_AGG_NATIONAL[],3,0),"--")</f>
        <v>1648</v>
      </c>
      <c r="H12" s="171">
        <f t="shared" si="0"/>
        <v>0.19308728763913299</v>
      </c>
      <c r="I12" s="68" t="s">
        <v>310</v>
      </c>
      <c r="J12" s="287" t="s">
        <v>259</v>
      </c>
      <c r="K12" s="396"/>
      <c r="L12" s="169">
        <f>IFERROR(VLOOKUP(MID(J12,4,3)&amp;"p",MMWR_TRAD_AGG_NATIONAL[],2,0),"--")</f>
        <v>1681</v>
      </c>
      <c r="M12" s="170">
        <f>IFERROR(VLOOKUP(MID(J12,4,3)&amp;"p",MMWR_TRAD_AGG_NATIONAL[],3,0),"--")</f>
        <v>285</v>
      </c>
      <c r="N12" s="171">
        <f t="shared" ref="N12:N17" si="1">IF(L12="--", 0,M12/L12)</f>
        <v>0.16954193932183223</v>
      </c>
      <c r="O12" s="69"/>
      <c r="P12" s="449" t="s">
        <v>949</v>
      </c>
      <c r="Q12" s="450"/>
      <c r="R12" s="182">
        <f>VLOOKUP(P12,MMWR_APP_NATIONAL[],2,0)</f>
        <v>516</v>
      </c>
      <c r="S12" s="452" t="s">
        <v>966</v>
      </c>
      <c r="T12" s="400"/>
      <c r="U12" s="183">
        <f>VLOOKUP(P12,MMWR_APP_NATIONAL[],3,0)</f>
        <v>449.80038759690001</v>
      </c>
      <c r="V12" s="25"/>
    </row>
    <row r="13" spans="1:22" s="1" customFormat="1" ht="49.5" customHeight="1" thickBot="1" x14ac:dyDescent="0.25">
      <c r="A13" s="25"/>
      <c r="B13" s="397" t="s">
        <v>1058</v>
      </c>
      <c r="C13" s="398"/>
      <c r="D13" s="398"/>
      <c r="E13" s="399"/>
      <c r="F13" s="169">
        <f>IFERROR(VLOOKUP(MID(B13,4,3),MMWR_TRAD_AGG_NATIONAL[],2,0),"--")</f>
        <v>1164</v>
      </c>
      <c r="G13" s="170">
        <f>IFERROR(VLOOKUP(MID(B13,4,3),MMWR_TRAD_AGG_NATIONAL[],3,0),"--")</f>
        <v>780</v>
      </c>
      <c r="H13" s="171">
        <f t="shared" si="0"/>
        <v>0.67010309278350511</v>
      </c>
      <c r="I13" s="25"/>
      <c r="J13" s="287" t="s">
        <v>268</v>
      </c>
      <c r="K13" s="396"/>
      <c r="L13" s="169">
        <f>IFERROR(VLOOKUP(MID(J13,4,3),MMWR_TRAD_AGG_NATIONAL[],2,0),"--")</f>
        <v>4654</v>
      </c>
      <c r="M13" s="170">
        <f>IFERROR(VLOOKUP(MID(J13,4,3),MMWR_TRAD_AGG_NATIONAL[],3,0),"--")</f>
        <v>830</v>
      </c>
      <c r="N13" s="171">
        <f t="shared" si="1"/>
        <v>0.17834121186076493</v>
      </c>
      <c r="O13" s="69"/>
      <c r="P13" s="401" t="s">
        <v>977</v>
      </c>
      <c r="Q13" s="402"/>
      <c r="R13" s="445"/>
      <c r="S13" s="446">
        <f>VLOOKUP(P13,MMWR_APP_NATIONAL[],2,0)</f>
        <v>25252</v>
      </c>
      <c r="T13" s="447"/>
      <c r="U13" s="448"/>
      <c r="V13" s="25"/>
    </row>
    <row r="14" spans="1:22" s="1" customFormat="1" ht="45" customHeight="1" thickBot="1" x14ac:dyDescent="0.25">
      <c r="A14" s="25"/>
      <c r="B14" s="401" t="s">
        <v>1</v>
      </c>
      <c r="C14" s="402"/>
      <c r="D14" s="402"/>
      <c r="E14" s="402"/>
      <c r="F14" s="166">
        <f>SUM(F15:F21)</f>
        <v>194212</v>
      </c>
      <c r="G14" s="167">
        <f>SUM(G15:G21)</f>
        <v>42293</v>
      </c>
      <c r="H14" s="168">
        <f t="shared" si="0"/>
        <v>0.21776718225444361</v>
      </c>
      <c r="I14" s="25"/>
      <c r="J14" s="287" t="s">
        <v>270</v>
      </c>
      <c r="K14" s="396"/>
      <c r="L14" s="169">
        <f>IFERROR(VLOOKUP(MID(J14,4,3),MMWR_TRAD_AGG_NATIONAL[],2,0),"--")</f>
        <v>17339</v>
      </c>
      <c r="M14" s="170">
        <f>IFERROR(VLOOKUP(MID(J14,4,3),MMWR_TRAD_AGG_NATIONAL[],3,0),"--")</f>
        <v>3038</v>
      </c>
      <c r="N14" s="171">
        <f t="shared" si="1"/>
        <v>0.17521194993944286</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193020</v>
      </c>
      <c r="G15" s="170">
        <f>IFERROR(VLOOKUP(MID(B15,4,3),MMWR_TRAD_AGG_NATIONAL[],3,0),"--")</f>
        <v>41845</v>
      </c>
      <c r="H15" s="171">
        <f t="shared" si="0"/>
        <v>0.21679100611335614</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958</v>
      </c>
      <c r="G16" s="170">
        <f>IFERROR(VLOOKUP(MID(B16,4,3),MMWR_TRAD_AGG_NATIONAL[],3,0),"--")</f>
        <v>274</v>
      </c>
      <c r="H16" s="171">
        <f t="shared" si="0"/>
        <v>0.28601252609603339</v>
      </c>
      <c r="I16" s="68" t="s">
        <v>310</v>
      </c>
      <c r="J16" s="287" t="s">
        <v>272</v>
      </c>
      <c r="K16" s="396"/>
      <c r="L16" s="169">
        <f>IFERROR(VLOOKUP(MID(J16,4,3),MMWR_TRAD_AGG_NATIONAL[],2,0),"--")</f>
        <v>3516</v>
      </c>
      <c r="M16" s="170">
        <f>IFERROR(VLOOKUP(MID(J16,4,3),MMWR_TRAD_AGG_NATIONAL[],3,0),"--")</f>
        <v>933</v>
      </c>
      <c r="N16" s="171">
        <f t="shared" si="1"/>
        <v>0.26535836177474403</v>
      </c>
      <c r="O16" s="69"/>
      <c r="P16" s="431" t="s">
        <v>950</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217</v>
      </c>
      <c r="G17" s="170">
        <f>IFERROR(VLOOKUP(MID(B17,4,3),MMWR_TRAD_AGG_NATIONAL[],3,0),"--")</f>
        <v>171</v>
      </c>
      <c r="H17" s="171">
        <f t="shared" si="0"/>
        <v>0.78801843317972353</v>
      </c>
      <c r="I17" s="25"/>
      <c r="J17" s="287" t="s">
        <v>273</v>
      </c>
      <c r="K17" s="396"/>
      <c r="L17" s="169">
        <f>IFERROR(VLOOKUP(MID(J17,4,3),MMWR_TRAD_AGG_NATIONAL[],2,0),"--")</f>
        <v>5827</v>
      </c>
      <c r="M17" s="170">
        <f>IFERROR(VLOOKUP(MID(J17,4,3),MMWR_TRAD_AGG_NATIONAL[],3,0),"--")</f>
        <v>1508</v>
      </c>
      <c r="N17" s="171">
        <f t="shared" si="1"/>
        <v>0.25879526342886561</v>
      </c>
      <c r="O17" s="72"/>
      <c r="P17" s="440" t="s">
        <v>245</v>
      </c>
      <c r="Q17" s="441"/>
      <c r="R17" s="441"/>
      <c r="S17" s="184">
        <f>IFERROR(VLOOKUP("160",MMWR_TRAD_AGG_NATIONAL[],2,0),"--")</f>
        <v>29254</v>
      </c>
      <c r="T17" s="28"/>
      <c r="U17" s="71"/>
      <c r="V17" s="25"/>
    </row>
    <row r="18" spans="1:22" s="1" customFormat="1" ht="32.25" customHeight="1" thickBot="1" x14ac:dyDescent="0.25">
      <c r="A18" s="25"/>
      <c r="B18" s="287" t="s">
        <v>253</v>
      </c>
      <c r="C18" s="288"/>
      <c r="D18" s="288"/>
      <c r="E18" s="396"/>
      <c r="F18" s="169">
        <f>IFERROR(VLOOKUP(MID(B18,4,3),MMWR_TRAD_AGG_NATIONAL[],2,0),"--")</f>
        <v>12</v>
      </c>
      <c r="G18" s="170">
        <f>IFERROR(VLOOKUP(MID(B18,4,3),MMWR_TRAD_AGG_NATIONAL[],3,0),"--")</f>
        <v>2</v>
      </c>
      <c r="H18" s="171">
        <f t="shared" si="0"/>
        <v>0.16666666666666666</v>
      </c>
      <c r="I18" s="68" t="s">
        <v>310</v>
      </c>
      <c r="J18" s="401" t="s">
        <v>15</v>
      </c>
      <c r="K18" s="402"/>
      <c r="L18" s="166">
        <f>SUM(L19:L21)</f>
        <v>355</v>
      </c>
      <c r="M18" s="166">
        <f>SUM(M19:M21)</f>
        <v>326</v>
      </c>
      <c r="N18" s="159">
        <f t="shared" ref="N18:N26" si="2">IF(M18="--", 0, M18/L18)</f>
        <v>0.91830985915492958</v>
      </c>
      <c r="O18" s="73"/>
      <c r="P18" s="442" t="s">
        <v>246</v>
      </c>
      <c r="Q18" s="443"/>
      <c r="R18" s="443"/>
      <c r="S18" s="185">
        <f>IFERROR(VLOOKUP("165",MMWR_TRAD_AGG_NATIONAL[],2,0),"--")</f>
        <v>10166</v>
      </c>
      <c r="T18" s="28"/>
      <c r="U18" s="71"/>
      <c r="V18" s="25"/>
    </row>
    <row r="19" spans="1:22" s="1" customFormat="1" ht="41.25" customHeight="1" x14ac:dyDescent="0.4">
      <c r="A19" s="25"/>
      <c r="B19" s="287" t="s">
        <v>254</v>
      </c>
      <c r="C19" s="288"/>
      <c r="D19" s="288"/>
      <c r="E19" s="396"/>
      <c r="F19" s="169">
        <f>IFERROR(VLOOKUP(MID(B19,4,3),MMWR_TRAD_AGG_NATIONAL[],2,0),"--")</f>
        <v>3</v>
      </c>
      <c r="G19" s="170">
        <f>IFERROR(VLOOKUP(MID(B19,4,3),MMWR_TRAD_AGG_NATIONAL[],3,0),"--")</f>
        <v>1</v>
      </c>
      <c r="H19" s="171">
        <f t="shared" si="0"/>
        <v>0.33333333333333331</v>
      </c>
      <c r="I19" s="68" t="s">
        <v>310</v>
      </c>
      <c r="J19" s="287" t="s">
        <v>274</v>
      </c>
      <c r="K19" s="396"/>
      <c r="L19" s="169">
        <f>IFERROR(VLOOKUP(MID(J19,4,3),MMWR_TRAD_AGG_NATIONAL[],2,0),"--")</f>
        <v>267</v>
      </c>
      <c r="M19" s="170">
        <f>IFERROR(VLOOKUP(MID(J19,4,3),MMWR_TRAD_AGG_NATIONAL[],3,0),"--")</f>
        <v>265</v>
      </c>
      <c r="N19" s="171">
        <f t="shared" si="2"/>
        <v>0.99250936329588013</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2</v>
      </c>
      <c r="G20" s="170">
        <f>IFERROR(VLOOKUP(MID(B20,4,3),MMWR_TRAD_AGG_NATIONAL[],3,0),"--")</f>
        <v>0</v>
      </c>
      <c r="H20" s="171">
        <f t="shared" si="0"/>
        <v>0</v>
      </c>
      <c r="I20" s="68" t="s">
        <v>310</v>
      </c>
      <c r="J20" s="287" t="s">
        <v>297</v>
      </c>
      <c r="K20" s="396"/>
      <c r="L20" s="169">
        <f>IFERROR(VLOOKUP(MID(J20,4,3),MMWR_TRAD_AGG_NATIONAL[],2,0),"--")</f>
        <v>64</v>
      </c>
      <c r="M20" s="170">
        <f>IFERROR(VLOOKUP(MID(J20,4,3),MMWR_TRAD_AGG_NATIONAL[],3,0),"--")</f>
        <v>48</v>
      </c>
      <c r="N20" s="171">
        <f t="shared" si="2"/>
        <v>0.75</v>
      </c>
      <c r="O20" s="56"/>
      <c r="P20" s="56"/>
      <c r="Q20" s="56"/>
      <c r="R20" s="56"/>
      <c r="S20" s="56"/>
      <c r="T20" s="56"/>
      <c r="U20" s="74"/>
      <c r="V20" s="25"/>
    </row>
    <row r="21" spans="1:22" s="1" customFormat="1" ht="39" customHeight="1" thickBot="1" x14ac:dyDescent="0.45">
      <c r="A21" s="25"/>
      <c r="B21" s="287" t="s">
        <v>256</v>
      </c>
      <c r="C21" s="288"/>
      <c r="D21" s="288"/>
      <c r="E21" s="396"/>
      <c r="F21" s="169" t="str">
        <f>IFERROR(VLOOKUP(MID(B21,4,3),MMWR_TRAD_AGG_NATIONAL[],2,0),"--")</f>
        <v>--</v>
      </c>
      <c r="G21" s="170" t="str">
        <f>IFERROR(VLOOKUP(MID(B21,4,3),MMWR_TRAD_AGG_NATIONAL[],3,0),"--")</f>
        <v>--</v>
      </c>
      <c r="H21" s="171">
        <f t="shared" si="0"/>
        <v>0</v>
      </c>
      <c r="I21" s="68" t="s">
        <v>310</v>
      </c>
      <c r="J21" s="287" t="s">
        <v>275</v>
      </c>
      <c r="K21" s="396"/>
      <c r="L21" s="169">
        <f>IFERROR(VLOOKUP(MID(J21,4,3),MMWR_TRAD_AGG_NATIONAL[],2,0),"--")</f>
        <v>24</v>
      </c>
      <c r="M21" s="170">
        <f>IFERROR(VLOOKUP(MID(J21,4,3),MMWR_TRAD_AGG_NATIONAL[],3,0),"--")</f>
        <v>13</v>
      </c>
      <c r="N21" s="171">
        <f t="shared" si="2"/>
        <v>0.54166666666666663</v>
      </c>
      <c r="O21" s="56"/>
      <c r="P21" s="56"/>
      <c r="Q21" s="56"/>
      <c r="R21" s="56"/>
      <c r="S21" s="56"/>
      <c r="T21" s="56"/>
      <c r="U21" s="74"/>
      <c r="V21" s="25"/>
    </row>
    <row r="22" spans="1:22" s="1" customFormat="1" ht="32.25" customHeight="1" thickBot="1" x14ac:dyDescent="0.45">
      <c r="A22" s="25"/>
      <c r="B22" s="401" t="s">
        <v>13</v>
      </c>
      <c r="C22" s="402"/>
      <c r="D22" s="402"/>
      <c r="E22" s="402"/>
      <c r="F22" s="166">
        <f>SUM(F23:F29)</f>
        <v>434286</v>
      </c>
      <c r="G22" s="167">
        <f>SUM(G23:G29)</f>
        <v>292545</v>
      </c>
      <c r="H22" s="168">
        <f t="shared" si="0"/>
        <v>0.67362291209018943</v>
      </c>
      <c r="I22" s="25"/>
      <c r="J22" s="401" t="s">
        <v>224</v>
      </c>
      <c r="K22" s="402"/>
      <c r="L22" s="166">
        <f>SUM(L23:L26)</f>
        <v>1692</v>
      </c>
      <c r="M22" s="166">
        <f>SUM(M23:M26)</f>
        <v>561</v>
      </c>
      <c r="N22" s="159">
        <f t="shared" si="2"/>
        <v>0.33156028368794327</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198136</v>
      </c>
      <c r="G23" s="170">
        <f>IFERROR(VLOOKUP(MID(B23,4,3),MMWR_TRAD_AGG_NATIONAL[],3,0),"--")</f>
        <v>141153</v>
      </c>
      <c r="H23" s="171">
        <f t="shared" si="0"/>
        <v>0.71240461097428032</v>
      </c>
      <c r="I23" s="25"/>
      <c r="J23" s="403" t="s">
        <v>278</v>
      </c>
      <c r="K23" s="405"/>
      <c r="L23" s="172">
        <f>IFERROR(VLOOKUP(MID(J23,4,3),MMWR_TRAD_AGG_NATIONAL[],2,0),"--")</f>
        <v>294</v>
      </c>
      <c r="M23" s="173">
        <f>IFERROR(VLOOKUP(MID(J23,4,3),MMWR_TRAD_AGG_NATIONAL[],3,0),"--")</f>
        <v>110</v>
      </c>
      <c r="N23" s="174">
        <f t="shared" si="2"/>
        <v>0.37414965986394561</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200</v>
      </c>
      <c r="G24" s="170">
        <f>IFERROR(VLOOKUP(MID(B24,4,3),MMWR_TRAD_AGG_NATIONAL[],3,0),"--")</f>
        <v>133</v>
      </c>
      <c r="H24" s="171">
        <f t="shared" si="0"/>
        <v>0.66500000000000004</v>
      </c>
      <c r="I24" s="25"/>
      <c r="J24" s="287" t="s">
        <v>277</v>
      </c>
      <c r="K24" s="396"/>
      <c r="L24" s="169">
        <f>IFERROR(VLOOKUP(MID(J24,4,3),MMWR_TRAD_AGG_NATIONAL[],2,0),"--")</f>
        <v>633</v>
      </c>
      <c r="M24" s="170">
        <f>IFERROR(VLOOKUP(MID(J24,4,3),MMWR_TRAD_AGG_NATIONAL[],3,0),"--")</f>
        <v>20</v>
      </c>
      <c r="N24" s="171">
        <f t="shared" si="2"/>
        <v>3.15955766192733E-2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284</v>
      </c>
      <c r="G25" s="170">
        <f>IFERROR(VLOOKUP(MID(B25,4,3),MMWR_TRAD_AGG_NATIONAL[],3,0),"--")</f>
        <v>198</v>
      </c>
      <c r="H25" s="171">
        <f t="shared" si="0"/>
        <v>0.69718309859154926</v>
      </c>
      <c r="I25" s="25"/>
      <c r="J25" s="287" t="s">
        <v>276</v>
      </c>
      <c r="K25" s="396"/>
      <c r="L25" s="169">
        <f>IFERROR(VLOOKUP(MID(J25,4,3),MMWR_TRAD_AGG_NATIONAL[],2,0),"--")</f>
        <v>724</v>
      </c>
      <c r="M25" s="170">
        <f>IFERROR(VLOOKUP(MID(J25,4,3),MMWR_TRAD_AGG_NATIONAL[],3,0),"--")</f>
        <v>400</v>
      </c>
      <c r="N25" s="171">
        <f t="shared" si="2"/>
        <v>0.5524861878453039</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101681</v>
      </c>
      <c r="G26" s="170">
        <f>IFERROR(VLOOKUP(MID(B26,4,3),MMWR_TRAD_AGG_NATIONAL[],3,0),"--")</f>
        <v>80454</v>
      </c>
      <c r="H26" s="171">
        <f t="shared" si="0"/>
        <v>0.79123926790649191</v>
      </c>
      <c r="I26" s="56"/>
      <c r="J26" s="292" t="s">
        <v>313</v>
      </c>
      <c r="K26" s="400"/>
      <c r="L26" s="175">
        <f>IFERROR(VLOOKUP(MID(J26,4,3),MMWR_TRAD_AGG_NATIONAL[],2,0),"--")</f>
        <v>41</v>
      </c>
      <c r="M26" s="176">
        <f>IFERROR(VLOOKUP(MID(J26,4,3),MMWR_TRAD_AGG_NATIONAL[],3,0),"--")</f>
        <v>31</v>
      </c>
      <c r="N26" s="177">
        <f t="shared" si="2"/>
        <v>0.75609756097560976</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386</v>
      </c>
      <c r="G27" s="170">
        <f>IFERROR(VLOOKUP(MID(B27,4,3),MMWR_TRAD_AGG_NATIONAL[],3,0),"--")</f>
        <v>206</v>
      </c>
      <c r="H27" s="171">
        <f t="shared" si="0"/>
        <v>0.53367875647668395</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14836</v>
      </c>
      <c r="G28" s="170">
        <f>IFERROR(VLOOKUP(MID(B28,4,3),MMWR_TRAD_AGG_NATIONAL[],3,0),"--")</f>
        <v>2449</v>
      </c>
      <c r="H28" s="171">
        <f t="shared" si="0"/>
        <v>0.16507144782960367</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118763</v>
      </c>
      <c r="G29" s="170">
        <f>IFERROR(VLOOKUP(MID(B29,4,3),MMWR_TRAD_AGG_NATIONAL[],3,0),"--")</f>
        <v>67952</v>
      </c>
      <c r="H29" s="171">
        <f t="shared" si="0"/>
        <v>0.57216473143992652</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118757</v>
      </c>
      <c r="G30" s="167">
        <f>SUM(G31:G37)</f>
        <v>79220</v>
      </c>
      <c r="H30" s="159">
        <f t="shared" si="0"/>
        <v>0.66707646707141477</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42</v>
      </c>
      <c r="G31" s="170">
        <f>IFERROR(VLOOKUP(MID(B31,4,3),MMWR_TRAD_AGG_NATIONAL[],3,0),"--")</f>
        <v>40</v>
      </c>
      <c r="H31" s="171">
        <f t="shared" si="0"/>
        <v>0.95238095238095233</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37085</v>
      </c>
      <c r="G32" s="170">
        <f>IFERROR(VLOOKUP(MID(B32,4,3),MMWR_TRAD_AGG_NATIONAL[],3,0),"--")</f>
        <v>11018</v>
      </c>
      <c r="H32" s="171">
        <f t="shared" si="0"/>
        <v>0.29710125387623026</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19803</v>
      </c>
      <c r="G36" s="170">
        <f>IFERROR(VLOOKUP(MID(B36,4,3),MMWR_TRAD_AGG_NATIONAL[],3,0),"--")</f>
        <v>14536</v>
      </c>
      <c r="H36" s="171">
        <f t="shared" si="0"/>
        <v>0.73403019744483156</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61827</v>
      </c>
      <c r="G37" s="170">
        <f>IFERROR(VLOOKUP(MID(B37,4,3)&amp;"G",MMWR_TRAD_AGG_NATIONAL[],3,0),"--")</f>
        <v>53626</v>
      </c>
      <c r="H37" s="171">
        <f t="shared" si="0"/>
        <v>0.86735568602714019</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159322</v>
      </c>
      <c r="G38" s="167">
        <f>SUM(G39:G44)</f>
        <v>104666</v>
      </c>
      <c r="H38" s="168">
        <f t="shared" si="0"/>
        <v>0.65694630998857662</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7350</v>
      </c>
      <c r="G39" s="173">
        <f>IFERROR(VLOOKUP(MID(B39,4,3),MMWR_TRAD_AGG_NATIONAL[],3,0),"--")</f>
        <v>5875</v>
      </c>
      <c r="H39" s="174">
        <f t="shared" si="0"/>
        <v>0.79931972789115646</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69376</v>
      </c>
      <c r="G40" s="170">
        <f>IFERROR(VLOOKUP(MID(B40,4,3),MMWR_TRAD_AGG_NATIONAL[],3,0),"--")</f>
        <v>52841</v>
      </c>
      <c r="H40" s="171">
        <f t="shared" si="0"/>
        <v>0.76166109317343178</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1344</v>
      </c>
      <c r="G41" s="170">
        <f>IFERROR(VLOOKUP(MID(B41,4,3),MMWR_TRAD_AGG_NATIONAL[],3,0),"--")</f>
        <v>404</v>
      </c>
      <c r="H41" s="171">
        <f t="shared" si="0"/>
        <v>0.30059523809523808</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60016</v>
      </c>
      <c r="G42" s="170">
        <f>IFERROR(VLOOKUP(MID(B42,4,3),MMWR_TRAD_AGG_NATIONAL[],3,0),"--")</f>
        <v>33341</v>
      </c>
      <c r="H42" s="171">
        <f t="shared" si="0"/>
        <v>0.55553519061583578</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20705</v>
      </c>
      <c r="G43" s="170">
        <f>IFERROR(VLOOKUP(MID(B43,4,3),MMWR_TRAD_AGG_NATIONAL[],3,0),"--")</f>
        <v>11771</v>
      </c>
      <c r="H43" s="171">
        <f t="shared" si="0"/>
        <v>0.56851002173388065</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531</v>
      </c>
      <c r="G44" s="176">
        <f>IFERROR(VLOOKUP(MID(B44,4,3),MMWR_TRAD_AGG_NATIONAL[],3,0),"--")</f>
        <v>434</v>
      </c>
      <c r="H44" s="177">
        <f t="shared" si="0"/>
        <v>0.81732580037664782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FEBRUARY 27,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300018</v>
      </c>
      <c r="D6" s="186">
        <f>IFERROR(VLOOKUP($B6,MMWR_TRAD_AGG_DISTRICT_COMP[],D$1,0),"ERROR")</f>
        <v>390.13682845699998</v>
      </c>
      <c r="E6" s="194">
        <f>IFERROR(VLOOKUP($B6,MMWR_TRAD_AGG_DISTRICT_COMP[],E$1,0),"ERROR")</f>
        <v>319607</v>
      </c>
      <c r="F6" s="188">
        <f>IFERROR(VLOOKUP($B6,MMWR_TRAD_AGG_DISTRICT_COMP[],F$1,0),"ERROR")</f>
        <v>78861</v>
      </c>
      <c r="G6" s="211">
        <f t="shared" ref="G6:G69" si="0">IFERROR(F6/E6,"0%")</f>
        <v>0.24674365705381923</v>
      </c>
      <c r="H6" s="187">
        <f>IFERROR(VLOOKUP($B6,MMWR_TRAD_AGG_DISTRICT_COMP[],H$1,0),"ERROR")</f>
        <v>434286</v>
      </c>
      <c r="I6" s="188">
        <f>IFERROR(VLOOKUP($B6,MMWR_TRAD_AGG_DISTRICT_COMP[],I$1,0),"ERROR")</f>
        <v>292545</v>
      </c>
      <c r="J6" s="211">
        <f t="shared" ref="J6:J69" si="1">IFERROR(I6/H6,"0%")</f>
        <v>0.67362291209018943</v>
      </c>
      <c r="K6" s="187">
        <f>IFERROR(VLOOKUP($B6,MMWR_TRAD_AGG_DISTRICT_COMP[],K$1,0),"ERROR")</f>
        <v>122535</v>
      </c>
      <c r="L6" s="188">
        <f>IFERROR(VLOOKUP($B6,MMWR_TRAD_AGG_DISTRICT_COMP[],L$1,0),"ERROR")</f>
        <v>82840</v>
      </c>
      <c r="M6" s="211">
        <f t="shared" ref="M6:M69" si="2">IFERROR(L6/K6,"0%")</f>
        <v>0.67605174031909254</v>
      </c>
      <c r="N6" s="187">
        <f>IFERROR(VLOOKUP($B6,MMWR_TRAD_AGG_DISTRICT_COMP[],N$1,0),"ERROR")</f>
        <v>160702</v>
      </c>
      <c r="O6" s="188">
        <f>IFERROR(VLOOKUP($B6,MMWR_TRAD_AGG_DISTRICT_COMP[],O$1,0),"ERROR")</f>
        <v>105444</v>
      </c>
      <c r="P6" s="211">
        <f t="shared" ref="P6:P69" si="3">IFERROR(O6/N6,"0%")</f>
        <v>0.6561461587285784</v>
      </c>
      <c r="Q6" s="200">
        <f>IFERROR(VLOOKUP($B6,MMWR_TRAD_AGG_DISTRICT_COMP[],Q$1,0),"ERROR")</f>
        <v>19748</v>
      </c>
      <c r="R6" s="200">
        <f>IFERROR(VLOOKUP($B6,MMWR_TRAD_AGG_DISTRICT_COMP[],R$1,0),"ERROR")</f>
        <v>4127</v>
      </c>
      <c r="S6" s="203">
        <f>S7+S25+S38+S49+S62+S70</f>
        <v>319711</v>
      </c>
      <c r="T6" s="25"/>
    </row>
    <row r="7" spans="1:20" x14ac:dyDescent="0.2">
      <c r="A7" s="92"/>
      <c r="B7" s="101" t="s">
        <v>370</v>
      </c>
      <c r="C7" s="212">
        <f>IFERROR(VLOOKUP($B7,MMWR_TRAD_AGG_DISTRICT_COMP[],C$1,0),"ERROR")</f>
        <v>91445</v>
      </c>
      <c r="D7" s="197">
        <f>IFERROR(VLOOKUP($B7,MMWR_TRAD_AGG_DISTRICT_COMP[],D$1,0),"ERROR")</f>
        <v>451.82445185630002</v>
      </c>
      <c r="E7" s="213">
        <f>IFERROR(VLOOKUP($B7,MMWR_TRAD_AGG_DISTRICT_COMP[],E$1,0),"ERROR")</f>
        <v>75708</v>
      </c>
      <c r="F7" s="212">
        <f>IFERROR(VLOOKUP($B7,MMWR_TRAD_AGG_DISTRICT_COMP[],F$1,0),"ERROR")</f>
        <v>20149</v>
      </c>
      <c r="G7" s="214">
        <f t="shared" si="0"/>
        <v>0.26614096264595549</v>
      </c>
      <c r="H7" s="212">
        <f>IFERROR(VLOOKUP($B7,MMWR_TRAD_AGG_DISTRICT_COMP[],H$1,0),"ERROR")</f>
        <v>124337</v>
      </c>
      <c r="I7" s="212">
        <f>IFERROR(VLOOKUP($B7,MMWR_TRAD_AGG_DISTRICT_COMP[],I$1,0),"ERROR")</f>
        <v>90860</v>
      </c>
      <c r="J7" s="214">
        <f t="shared" si="1"/>
        <v>0.73075592944980172</v>
      </c>
      <c r="K7" s="212">
        <f>IFERROR(VLOOKUP($B7,MMWR_TRAD_AGG_DISTRICT_COMP[],K$1,0),"ERROR")</f>
        <v>38701</v>
      </c>
      <c r="L7" s="212">
        <f>IFERROR(VLOOKUP($B7,MMWR_TRAD_AGG_DISTRICT_COMP[],L$1,0),"ERROR")</f>
        <v>26181</v>
      </c>
      <c r="M7" s="214">
        <f t="shared" si="2"/>
        <v>0.6764941474380507</v>
      </c>
      <c r="N7" s="212">
        <f>IFERROR(VLOOKUP($B7,MMWR_TRAD_AGG_DISTRICT_COMP[],N$1,0),"ERROR")</f>
        <v>27911</v>
      </c>
      <c r="O7" s="212">
        <f>IFERROR(VLOOKUP($B7,MMWR_TRAD_AGG_DISTRICT_COMP[],O$1,0),"ERROR")</f>
        <v>20177</v>
      </c>
      <c r="P7" s="214">
        <f t="shared" si="3"/>
        <v>0.72290494787001536</v>
      </c>
      <c r="Q7" s="212">
        <f>IFERROR(VLOOKUP($B7,MMWR_TRAD_AGG_DISTRICT_COMP[],Q$1,0),"ERROR")</f>
        <v>12533</v>
      </c>
      <c r="R7" s="215">
        <f>IFERROR(VLOOKUP($B7,MMWR_TRAD_AGG_DISTRICT_COMP[],R$1,0),"ERROR")</f>
        <v>51</v>
      </c>
      <c r="S7" s="215">
        <f>IFERROR(VLOOKUP($B7,MMWR_APP_RO[],S$1,0),"ERROR")</f>
        <v>56431</v>
      </c>
      <c r="T7" s="25"/>
    </row>
    <row r="8" spans="1:20" x14ac:dyDescent="0.2">
      <c r="A8" s="107"/>
      <c r="B8" s="108" t="s">
        <v>33</v>
      </c>
      <c r="C8" s="209">
        <f>IFERROR(VLOOKUP($B8,MMWR_TRAD_AGG_RO_COMP[],C$1,0),"ERROR")</f>
        <v>7814</v>
      </c>
      <c r="D8" s="198">
        <f>IFERROR(VLOOKUP($B8,MMWR_TRAD_AGG_RO_COMP[],D$1,0),"ERROR")</f>
        <v>734.98387509600002</v>
      </c>
      <c r="E8" s="195">
        <f>IFERROR(VLOOKUP($B8,MMWR_TRAD_AGG_RO_COMP[],E$1,0),"ERROR")</f>
        <v>4660</v>
      </c>
      <c r="F8" s="191">
        <f>IFERROR(VLOOKUP($B8,MMWR_TRAD_AGG_RO_COMP[],F$1,0),"ERROR")</f>
        <v>1202</v>
      </c>
      <c r="G8" s="216">
        <f t="shared" si="0"/>
        <v>0.25793991416309014</v>
      </c>
      <c r="H8" s="190">
        <f>IFERROR(VLOOKUP($B8,MMWR_TRAD_AGG_RO_COMP[],H$1,0),"ERROR")</f>
        <v>9231</v>
      </c>
      <c r="I8" s="191">
        <f>IFERROR(VLOOKUP($B8,MMWR_TRAD_AGG_RO_COMP[],I$1,0),"ERROR")</f>
        <v>7657</v>
      </c>
      <c r="J8" s="216">
        <f t="shared" si="1"/>
        <v>0.82948759614342971</v>
      </c>
      <c r="K8" s="204">
        <f>IFERROR(VLOOKUP($B8,MMWR_TRAD_AGG_RO_COMP[],K$1,0),"ERROR")</f>
        <v>1359</v>
      </c>
      <c r="L8" s="205">
        <f>IFERROR(VLOOKUP($B8,MMWR_TRAD_AGG_RO_COMP[],L$1,0),"ERROR")</f>
        <v>1145</v>
      </c>
      <c r="M8" s="216">
        <f t="shared" si="2"/>
        <v>0.8425312729948492</v>
      </c>
      <c r="N8" s="204">
        <f>IFERROR(VLOOKUP($B8,MMWR_TRAD_AGG_RO_COMP[],N$1,0),"ERROR")</f>
        <v>1506</v>
      </c>
      <c r="O8" s="205">
        <f>IFERROR(VLOOKUP($B8,MMWR_TRAD_AGG_RO_COMP[],O$1,0),"ERROR")</f>
        <v>1080</v>
      </c>
      <c r="P8" s="216">
        <f t="shared" si="3"/>
        <v>0.71713147410358569</v>
      </c>
      <c r="Q8" s="201">
        <f>IFERROR(VLOOKUP($B8,MMWR_TRAD_AGG_RO_COMP[],Q$1,0),"ERROR")</f>
        <v>0</v>
      </c>
      <c r="R8" s="201">
        <f>IFERROR(VLOOKUP($B8,MMWR_TRAD_AGG_RO_COMP[],R$1,0),"ERROR")</f>
        <v>5</v>
      </c>
      <c r="S8" s="201">
        <f>IFERROR(VLOOKUP($B8,MMWR_APP_RO[],S$1,0),"ERROR")</f>
        <v>5732</v>
      </c>
      <c r="T8" s="25"/>
    </row>
    <row r="9" spans="1:20" x14ac:dyDescent="0.2">
      <c r="A9" s="107"/>
      <c r="B9" s="108" t="s">
        <v>35</v>
      </c>
      <c r="C9" s="209">
        <f>IFERROR(VLOOKUP($B9,MMWR_TRAD_AGG_RO_COMP[],C$1,0),"ERROR")</f>
        <v>4215</v>
      </c>
      <c r="D9" s="198">
        <f>IFERROR(VLOOKUP($B9,MMWR_TRAD_AGG_RO_COMP[],D$1,0),"ERROR")</f>
        <v>620.33357058130002</v>
      </c>
      <c r="E9" s="195">
        <f>IFERROR(VLOOKUP($B9,MMWR_TRAD_AGG_RO_COMP[],E$1,0),"ERROR")</f>
        <v>3543</v>
      </c>
      <c r="F9" s="191">
        <f>IFERROR(VLOOKUP($B9,MMWR_TRAD_AGG_RO_COMP[],F$1,0),"ERROR")</f>
        <v>919</v>
      </c>
      <c r="G9" s="216">
        <f t="shared" si="0"/>
        <v>0.2593847022297488</v>
      </c>
      <c r="H9" s="190">
        <f>IFERROR(VLOOKUP($B9,MMWR_TRAD_AGG_RO_COMP[],H$1,0),"ERROR")</f>
        <v>5648</v>
      </c>
      <c r="I9" s="191">
        <f>IFERROR(VLOOKUP($B9,MMWR_TRAD_AGG_RO_COMP[],I$1,0),"ERROR")</f>
        <v>4408</v>
      </c>
      <c r="J9" s="216">
        <f t="shared" si="1"/>
        <v>0.78045325779036823</v>
      </c>
      <c r="K9" s="204">
        <f>IFERROR(VLOOKUP($B9,MMWR_TRAD_AGG_RO_COMP[],K$1,0),"ERROR")</f>
        <v>2697</v>
      </c>
      <c r="L9" s="205">
        <f>IFERROR(VLOOKUP($B9,MMWR_TRAD_AGG_RO_COMP[],L$1,0),"ERROR")</f>
        <v>2081</v>
      </c>
      <c r="M9" s="216">
        <f t="shared" si="2"/>
        <v>0.7715980719317761</v>
      </c>
      <c r="N9" s="204">
        <f>IFERROR(VLOOKUP($B9,MMWR_TRAD_AGG_RO_COMP[],N$1,0),"ERROR")</f>
        <v>800</v>
      </c>
      <c r="O9" s="205">
        <f>IFERROR(VLOOKUP($B9,MMWR_TRAD_AGG_RO_COMP[],O$1,0),"ERROR")</f>
        <v>640</v>
      </c>
      <c r="P9" s="216">
        <f t="shared" si="3"/>
        <v>0.8</v>
      </c>
      <c r="Q9" s="201">
        <f>IFERROR(VLOOKUP($B9,MMWR_TRAD_AGG_RO_COMP[],Q$1,0),"ERROR")</f>
        <v>0</v>
      </c>
      <c r="R9" s="201">
        <f>IFERROR(VLOOKUP($B9,MMWR_TRAD_AGG_RO_COMP[],R$1,0),"ERROR")</f>
        <v>1</v>
      </c>
      <c r="S9" s="201">
        <f>IFERROR(VLOOKUP($B9,MMWR_APP_RO[],S$1,0),"ERROR")</f>
        <v>3279</v>
      </c>
      <c r="T9" s="25"/>
    </row>
    <row r="10" spans="1:20" x14ac:dyDescent="0.2">
      <c r="A10" s="107"/>
      <c r="B10" s="108" t="s">
        <v>24</v>
      </c>
      <c r="C10" s="209">
        <f>IFERROR(VLOOKUP($B10,MMWR_TRAD_AGG_RO_COMP[],C$1,0),"ERROR")</f>
        <v>1082</v>
      </c>
      <c r="D10" s="198">
        <f>IFERROR(VLOOKUP($B10,MMWR_TRAD_AGG_RO_COMP[],D$1,0),"ERROR")</f>
        <v>167.2181146026</v>
      </c>
      <c r="E10" s="195">
        <f>IFERROR(VLOOKUP($B10,MMWR_TRAD_AGG_RO_COMP[],E$1,0),"ERROR")</f>
        <v>3902</v>
      </c>
      <c r="F10" s="191">
        <f>IFERROR(VLOOKUP($B10,MMWR_TRAD_AGG_RO_COMP[],F$1,0),"ERROR")</f>
        <v>740</v>
      </c>
      <c r="G10" s="216">
        <f t="shared" si="0"/>
        <v>0.18964633521271143</v>
      </c>
      <c r="H10" s="190">
        <f>IFERROR(VLOOKUP($B10,MMWR_TRAD_AGG_RO_COMP[],H$1,0),"ERROR")</f>
        <v>2233</v>
      </c>
      <c r="I10" s="191">
        <f>IFERROR(VLOOKUP($B10,MMWR_TRAD_AGG_RO_COMP[],I$1,0),"ERROR")</f>
        <v>870</v>
      </c>
      <c r="J10" s="216">
        <f t="shared" si="1"/>
        <v>0.38961038961038963</v>
      </c>
      <c r="K10" s="204">
        <f>IFERROR(VLOOKUP($B10,MMWR_TRAD_AGG_RO_COMP[],K$1,0),"ERROR")</f>
        <v>972</v>
      </c>
      <c r="L10" s="205">
        <f>IFERROR(VLOOKUP($B10,MMWR_TRAD_AGG_RO_COMP[],L$1,0),"ERROR")</f>
        <v>472</v>
      </c>
      <c r="M10" s="216">
        <f t="shared" si="2"/>
        <v>0.48559670781893005</v>
      </c>
      <c r="N10" s="204">
        <f>IFERROR(VLOOKUP($B10,MMWR_TRAD_AGG_RO_COMP[],N$1,0),"ERROR")</f>
        <v>488</v>
      </c>
      <c r="O10" s="205">
        <f>IFERROR(VLOOKUP($B10,MMWR_TRAD_AGG_RO_COMP[],O$1,0),"ERROR")</f>
        <v>259</v>
      </c>
      <c r="P10" s="216">
        <f t="shared" si="3"/>
        <v>0.53073770491803274</v>
      </c>
      <c r="Q10" s="201">
        <f>IFERROR(VLOOKUP($B10,MMWR_TRAD_AGG_RO_COMP[],Q$1,0),"ERROR")</f>
        <v>0</v>
      </c>
      <c r="R10" s="201">
        <f>IFERROR(VLOOKUP($B10,MMWR_TRAD_AGG_RO_COMP[],R$1,0),"ERROR")</f>
        <v>0</v>
      </c>
      <c r="S10" s="201">
        <f>IFERROR(VLOOKUP($B10,MMWR_APP_RO[],S$1,0),"ERROR")</f>
        <v>1881</v>
      </c>
      <c r="T10" s="25"/>
    </row>
    <row r="11" spans="1:20" x14ac:dyDescent="0.2">
      <c r="A11" s="107"/>
      <c r="B11" s="108" t="s">
        <v>44</v>
      </c>
      <c r="C11" s="209">
        <f>IFERROR(VLOOKUP($B11,MMWR_TRAD_AGG_RO_COMP[],C$1,0),"ERROR")</f>
        <v>1066</v>
      </c>
      <c r="D11" s="198">
        <f>IFERROR(VLOOKUP($B11,MMWR_TRAD_AGG_RO_COMP[],D$1,0),"ERROR")</f>
        <v>318.76078799250001</v>
      </c>
      <c r="E11" s="195">
        <f>IFERROR(VLOOKUP($B11,MMWR_TRAD_AGG_RO_COMP[],E$1,0),"ERROR")</f>
        <v>1874</v>
      </c>
      <c r="F11" s="191">
        <f>IFERROR(VLOOKUP($B11,MMWR_TRAD_AGG_RO_COMP[],F$1,0),"ERROR")</f>
        <v>477</v>
      </c>
      <c r="G11" s="216">
        <f t="shared" si="0"/>
        <v>0.25453575240128068</v>
      </c>
      <c r="H11" s="190">
        <f>IFERROR(VLOOKUP($B11,MMWR_TRAD_AGG_RO_COMP[],H$1,0),"ERROR")</f>
        <v>2676</v>
      </c>
      <c r="I11" s="191">
        <f>IFERROR(VLOOKUP($B11,MMWR_TRAD_AGG_RO_COMP[],I$1,0),"ERROR")</f>
        <v>1902</v>
      </c>
      <c r="J11" s="216">
        <f t="shared" si="1"/>
        <v>0.71076233183856508</v>
      </c>
      <c r="K11" s="204">
        <f>IFERROR(VLOOKUP($B11,MMWR_TRAD_AGG_RO_COMP[],K$1,0),"ERROR")</f>
        <v>512</v>
      </c>
      <c r="L11" s="205">
        <f>IFERROR(VLOOKUP($B11,MMWR_TRAD_AGG_RO_COMP[],L$1,0),"ERROR")</f>
        <v>314</v>
      </c>
      <c r="M11" s="216">
        <f t="shared" si="2"/>
        <v>0.61328125</v>
      </c>
      <c r="N11" s="204">
        <f>IFERROR(VLOOKUP($B11,MMWR_TRAD_AGG_RO_COMP[],N$1,0),"ERROR")</f>
        <v>822</v>
      </c>
      <c r="O11" s="205">
        <f>IFERROR(VLOOKUP($B11,MMWR_TRAD_AGG_RO_COMP[],O$1,0),"ERROR")</f>
        <v>594</v>
      </c>
      <c r="P11" s="216">
        <f t="shared" si="3"/>
        <v>0.72262773722627738</v>
      </c>
      <c r="Q11" s="201">
        <f>IFERROR(VLOOKUP($B11,MMWR_TRAD_AGG_RO_COMP[],Q$1,0),"ERROR")</f>
        <v>0</v>
      </c>
      <c r="R11" s="201">
        <f>IFERROR(VLOOKUP($B11,MMWR_TRAD_AGG_RO_COMP[],R$1,0),"ERROR")</f>
        <v>6</v>
      </c>
      <c r="S11" s="201">
        <f>IFERROR(VLOOKUP($B11,MMWR_APP_RO[],S$1,0),"ERROR")</f>
        <v>1079</v>
      </c>
      <c r="T11" s="25"/>
    </row>
    <row r="12" spans="1:20" x14ac:dyDescent="0.2">
      <c r="A12" s="107"/>
      <c r="B12" s="108" t="s">
        <v>47</v>
      </c>
      <c r="C12" s="209">
        <f>IFERROR(VLOOKUP($B12,MMWR_TRAD_AGG_RO_COMP[],C$1,0),"ERROR")</f>
        <v>2049</v>
      </c>
      <c r="D12" s="198">
        <f>IFERROR(VLOOKUP($B12,MMWR_TRAD_AGG_RO_COMP[],D$1,0),"ERROR")</f>
        <v>235.48365056119999</v>
      </c>
      <c r="E12" s="195">
        <f>IFERROR(VLOOKUP($B12,MMWR_TRAD_AGG_RO_COMP[],E$1,0),"ERROR")</f>
        <v>2344</v>
      </c>
      <c r="F12" s="191">
        <f>IFERROR(VLOOKUP($B12,MMWR_TRAD_AGG_RO_COMP[],F$1,0),"ERROR")</f>
        <v>525</v>
      </c>
      <c r="G12" s="216">
        <f t="shared" si="0"/>
        <v>0.22397610921501707</v>
      </c>
      <c r="H12" s="190">
        <f>IFERROR(VLOOKUP($B12,MMWR_TRAD_AGG_RO_COMP[],H$1,0),"ERROR")</f>
        <v>3275</v>
      </c>
      <c r="I12" s="191">
        <f>IFERROR(VLOOKUP($B12,MMWR_TRAD_AGG_RO_COMP[],I$1,0),"ERROR")</f>
        <v>2129</v>
      </c>
      <c r="J12" s="216">
        <f t="shared" si="1"/>
        <v>0.65007633587786262</v>
      </c>
      <c r="K12" s="204">
        <f>IFERROR(VLOOKUP($B12,MMWR_TRAD_AGG_RO_COMP[],K$1,0),"ERROR")</f>
        <v>491</v>
      </c>
      <c r="L12" s="205">
        <f>IFERROR(VLOOKUP($B12,MMWR_TRAD_AGG_RO_COMP[],L$1,0),"ERROR")</f>
        <v>93</v>
      </c>
      <c r="M12" s="216">
        <f t="shared" si="2"/>
        <v>0.18940936863543789</v>
      </c>
      <c r="N12" s="204">
        <f>IFERROR(VLOOKUP($B12,MMWR_TRAD_AGG_RO_COMP[],N$1,0),"ERROR")</f>
        <v>1243</v>
      </c>
      <c r="O12" s="205">
        <f>IFERROR(VLOOKUP($B12,MMWR_TRAD_AGG_RO_COMP[],O$1,0),"ERROR")</f>
        <v>905</v>
      </c>
      <c r="P12" s="216">
        <f t="shared" si="3"/>
        <v>0.72807723250201128</v>
      </c>
      <c r="Q12" s="201">
        <f>IFERROR(VLOOKUP($B12,MMWR_TRAD_AGG_RO_COMP[],Q$1,0),"ERROR")</f>
        <v>0</v>
      </c>
      <c r="R12" s="201">
        <f>IFERROR(VLOOKUP($B12,MMWR_TRAD_AGG_RO_COMP[],R$1,0),"ERROR")</f>
        <v>9</v>
      </c>
      <c r="S12" s="201">
        <f>IFERROR(VLOOKUP($B12,MMWR_APP_RO[],S$1,0),"ERROR")</f>
        <v>1955</v>
      </c>
      <c r="T12" s="25"/>
    </row>
    <row r="13" spans="1:20" x14ac:dyDescent="0.2">
      <c r="A13" s="107"/>
      <c r="B13" s="108" t="s">
        <v>54</v>
      </c>
      <c r="C13" s="209">
        <f>IFERROR(VLOOKUP($B13,MMWR_TRAD_AGG_RO_COMP[],C$1,0),"ERROR")</f>
        <v>1324</v>
      </c>
      <c r="D13" s="198">
        <f>IFERROR(VLOOKUP($B13,MMWR_TRAD_AGG_RO_COMP[],D$1,0),"ERROR")</f>
        <v>356.33232628399998</v>
      </c>
      <c r="E13" s="195">
        <f>IFERROR(VLOOKUP($B13,MMWR_TRAD_AGG_RO_COMP[],E$1,0),"ERROR")</f>
        <v>952</v>
      </c>
      <c r="F13" s="191">
        <f>IFERROR(VLOOKUP($B13,MMWR_TRAD_AGG_RO_COMP[],F$1,0),"ERROR")</f>
        <v>212</v>
      </c>
      <c r="G13" s="216">
        <f t="shared" si="0"/>
        <v>0.22268907563025211</v>
      </c>
      <c r="H13" s="190">
        <f>IFERROR(VLOOKUP($B13,MMWR_TRAD_AGG_RO_COMP[],H$1,0),"ERROR")</f>
        <v>1832</v>
      </c>
      <c r="I13" s="191">
        <f>IFERROR(VLOOKUP($B13,MMWR_TRAD_AGG_RO_COMP[],I$1,0),"ERROR")</f>
        <v>1182</v>
      </c>
      <c r="J13" s="216">
        <f t="shared" si="1"/>
        <v>0.64519650655021832</v>
      </c>
      <c r="K13" s="204">
        <f>IFERROR(VLOOKUP($B13,MMWR_TRAD_AGG_RO_COMP[],K$1,0),"ERROR")</f>
        <v>346</v>
      </c>
      <c r="L13" s="205">
        <f>IFERROR(VLOOKUP($B13,MMWR_TRAD_AGG_RO_COMP[],L$1,0),"ERROR")</f>
        <v>332</v>
      </c>
      <c r="M13" s="216">
        <f t="shared" si="2"/>
        <v>0.95953757225433522</v>
      </c>
      <c r="N13" s="204">
        <f>IFERROR(VLOOKUP($B13,MMWR_TRAD_AGG_RO_COMP[],N$1,0),"ERROR")</f>
        <v>80</v>
      </c>
      <c r="O13" s="205">
        <f>IFERROR(VLOOKUP($B13,MMWR_TRAD_AGG_RO_COMP[],O$1,0),"ERROR")</f>
        <v>49</v>
      </c>
      <c r="P13" s="216">
        <f t="shared" si="3"/>
        <v>0.61250000000000004</v>
      </c>
      <c r="Q13" s="201">
        <f>IFERROR(VLOOKUP($B13,MMWR_TRAD_AGG_RO_COMP[],Q$1,0),"ERROR")</f>
        <v>0</v>
      </c>
      <c r="R13" s="201">
        <f>IFERROR(VLOOKUP($B13,MMWR_TRAD_AGG_RO_COMP[],R$1,0),"ERROR")</f>
        <v>1</v>
      </c>
      <c r="S13" s="201">
        <f>IFERROR(VLOOKUP($B13,MMWR_APP_RO[],S$1,0),"ERROR")</f>
        <v>561</v>
      </c>
      <c r="T13" s="25"/>
    </row>
    <row r="14" spans="1:20" x14ac:dyDescent="0.2">
      <c r="A14" s="107"/>
      <c r="B14" s="108" t="s">
        <v>60</v>
      </c>
      <c r="C14" s="209">
        <f>IFERROR(VLOOKUP($B14,MMWR_TRAD_AGG_RO_COMP[],C$1,0),"ERROR")</f>
        <v>3647</v>
      </c>
      <c r="D14" s="198">
        <f>IFERROR(VLOOKUP($B14,MMWR_TRAD_AGG_RO_COMP[],D$1,0),"ERROR")</f>
        <v>310.56567041400001</v>
      </c>
      <c r="E14" s="195">
        <f>IFERROR(VLOOKUP($B14,MMWR_TRAD_AGG_RO_COMP[],E$1,0),"ERROR")</f>
        <v>4525</v>
      </c>
      <c r="F14" s="191">
        <f>IFERROR(VLOOKUP($B14,MMWR_TRAD_AGG_RO_COMP[],F$1,0),"ERROR")</f>
        <v>1324</v>
      </c>
      <c r="G14" s="216">
        <f t="shared" si="0"/>
        <v>0.29259668508287295</v>
      </c>
      <c r="H14" s="190">
        <f>IFERROR(VLOOKUP($B14,MMWR_TRAD_AGG_RO_COMP[],H$1,0),"ERROR")</f>
        <v>5065</v>
      </c>
      <c r="I14" s="191">
        <f>IFERROR(VLOOKUP($B14,MMWR_TRAD_AGG_RO_COMP[],I$1,0),"ERROR")</f>
        <v>3423</v>
      </c>
      <c r="J14" s="216">
        <f t="shared" si="1"/>
        <v>0.67581441263573538</v>
      </c>
      <c r="K14" s="204">
        <f>IFERROR(VLOOKUP($B14,MMWR_TRAD_AGG_RO_COMP[],K$1,0),"ERROR")</f>
        <v>3218</v>
      </c>
      <c r="L14" s="205">
        <f>IFERROR(VLOOKUP($B14,MMWR_TRAD_AGG_RO_COMP[],L$1,0),"ERROR")</f>
        <v>2717</v>
      </c>
      <c r="M14" s="216">
        <f t="shared" si="2"/>
        <v>0.84431323803604719</v>
      </c>
      <c r="N14" s="204">
        <f>IFERROR(VLOOKUP($B14,MMWR_TRAD_AGG_RO_COMP[],N$1,0),"ERROR")</f>
        <v>2483</v>
      </c>
      <c r="O14" s="205">
        <f>IFERROR(VLOOKUP($B14,MMWR_TRAD_AGG_RO_COMP[],O$1,0),"ERROR")</f>
        <v>216</v>
      </c>
      <c r="P14" s="216">
        <f t="shared" si="3"/>
        <v>8.6991542488924684E-2</v>
      </c>
      <c r="Q14" s="201">
        <f>IFERROR(VLOOKUP($B14,MMWR_TRAD_AGG_RO_COMP[],Q$1,0),"ERROR")</f>
        <v>0</v>
      </c>
      <c r="R14" s="201">
        <f>IFERROR(VLOOKUP($B14,MMWR_TRAD_AGG_RO_COMP[],R$1,0),"ERROR")</f>
        <v>1</v>
      </c>
      <c r="S14" s="201">
        <f>IFERROR(VLOOKUP($B14,MMWR_APP_RO[],S$1,0),"ERROR")</f>
        <v>3057</v>
      </c>
      <c r="T14" s="25"/>
    </row>
    <row r="15" spans="1:20" x14ac:dyDescent="0.2">
      <c r="A15" s="107"/>
      <c r="B15" s="108" t="s">
        <v>61</v>
      </c>
      <c r="C15" s="209">
        <f>IFERROR(VLOOKUP($B15,MMWR_TRAD_AGG_RO_COMP[],C$1,0),"ERROR")</f>
        <v>838</v>
      </c>
      <c r="D15" s="198">
        <f>IFERROR(VLOOKUP($B15,MMWR_TRAD_AGG_RO_COMP[],D$1,0),"ERROR")</f>
        <v>166.39618138419999</v>
      </c>
      <c r="E15" s="195">
        <f>IFERROR(VLOOKUP($B15,MMWR_TRAD_AGG_RO_COMP[],E$1,0),"ERROR")</f>
        <v>2411</v>
      </c>
      <c r="F15" s="191">
        <f>IFERROR(VLOOKUP($B15,MMWR_TRAD_AGG_RO_COMP[],F$1,0),"ERROR")</f>
        <v>555</v>
      </c>
      <c r="G15" s="216">
        <f t="shared" si="0"/>
        <v>0.23019493985897968</v>
      </c>
      <c r="H15" s="190">
        <f>IFERROR(VLOOKUP($B15,MMWR_TRAD_AGG_RO_COMP[],H$1,0),"ERROR")</f>
        <v>1433</v>
      </c>
      <c r="I15" s="191">
        <f>IFERROR(VLOOKUP($B15,MMWR_TRAD_AGG_RO_COMP[],I$1,0),"ERROR")</f>
        <v>789</v>
      </c>
      <c r="J15" s="216">
        <f t="shared" si="1"/>
        <v>0.55059316120027912</v>
      </c>
      <c r="K15" s="204">
        <f>IFERROR(VLOOKUP($B15,MMWR_TRAD_AGG_RO_COMP[],K$1,0),"ERROR")</f>
        <v>743</v>
      </c>
      <c r="L15" s="205">
        <f>IFERROR(VLOOKUP($B15,MMWR_TRAD_AGG_RO_COMP[],L$1,0),"ERROR")</f>
        <v>544</v>
      </c>
      <c r="M15" s="216">
        <f t="shared" si="2"/>
        <v>0.73216689098250332</v>
      </c>
      <c r="N15" s="204">
        <f>IFERROR(VLOOKUP($B15,MMWR_TRAD_AGG_RO_COMP[],N$1,0),"ERROR")</f>
        <v>1508</v>
      </c>
      <c r="O15" s="205">
        <f>IFERROR(VLOOKUP($B15,MMWR_TRAD_AGG_RO_COMP[],O$1,0),"ERROR")</f>
        <v>1137</v>
      </c>
      <c r="P15" s="216">
        <f t="shared" si="3"/>
        <v>0.75397877984084882</v>
      </c>
      <c r="Q15" s="201">
        <f>IFERROR(VLOOKUP($B15,MMWR_TRAD_AGG_RO_COMP[],Q$1,0),"ERROR")</f>
        <v>0</v>
      </c>
      <c r="R15" s="201">
        <f>IFERROR(VLOOKUP($B15,MMWR_TRAD_AGG_RO_COMP[],R$1,0),"ERROR")</f>
        <v>1</v>
      </c>
      <c r="S15" s="201">
        <f>IFERROR(VLOOKUP($B15,MMWR_APP_RO[],S$1,0),"ERROR")</f>
        <v>2537</v>
      </c>
      <c r="T15" s="25"/>
    </row>
    <row r="16" spans="1:20" x14ac:dyDescent="0.2">
      <c r="A16" s="107"/>
      <c r="B16" s="108" t="s">
        <v>63</v>
      </c>
      <c r="C16" s="209">
        <f>IFERROR(VLOOKUP($B16,MMWR_TRAD_AGG_RO_COMP[],C$1,0),"ERROR")</f>
        <v>5516</v>
      </c>
      <c r="D16" s="198">
        <f>IFERROR(VLOOKUP($B16,MMWR_TRAD_AGG_RO_COMP[],D$1,0),"ERROR")</f>
        <v>417.06254532269998</v>
      </c>
      <c r="E16" s="195">
        <f>IFERROR(VLOOKUP($B16,MMWR_TRAD_AGG_RO_COMP[],E$1,0),"ERROR")</f>
        <v>11213</v>
      </c>
      <c r="F16" s="191">
        <f>IFERROR(VLOOKUP($B16,MMWR_TRAD_AGG_RO_COMP[],F$1,0),"ERROR")</f>
        <v>3112</v>
      </c>
      <c r="G16" s="216">
        <f t="shared" si="0"/>
        <v>0.27753500401319897</v>
      </c>
      <c r="H16" s="190">
        <f>IFERROR(VLOOKUP($B16,MMWR_TRAD_AGG_RO_COMP[],H$1,0),"ERROR")</f>
        <v>8746</v>
      </c>
      <c r="I16" s="191">
        <f>IFERROR(VLOOKUP($B16,MMWR_TRAD_AGG_RO_COMP[],I$1,0),"ERROR")</f>
        <v>6602</v>
      </c>
      <c r="J16" s="216">
        <f t="shared" si="1"/>
        <v>0.75485936428081413</v>
      </c>
      <c r="K16" s="204">
        <f>IFERROR(VLOOKUP($B16,MMWR_TRAD_AGG_RO_COMP[],K$1,0),"ERROR")</f>
        <v>2487</v>
      </c>
      <c r="L16" s="205">
        <f>IFERROR(VLOOKUP($B16,MMWR_TRAD_AGG_RO_COMP[],L$1,0),"ERROR")</f>
        <v>844</v>
      </c>
      <c r="M16" s="216">
        <f t="shared" si="2"/>
        <v>0.33936469642139122</v>
      </c>
      <c r="N16" s="204">
        <f>IFERROR(VLOOKUP($B16,MMWR_TRAD_AGG_RO_COMP[],N$1,0),"ERROR")</f>
        <v>7276</v>
      </c>
      <c r="O16" s="205">
        <f>IFERROR(VLOOKUP($B16,MMWR_TRAD_AGG_RO_COMP[],O$1,0),"ERROR")</f>
        <v>6355</v>
      </c>
      <c r="P16" s="216">
        <f t="shared" si="3"/>
        <v>0.87341946124244085</v>
      </c>
      <c r="Q16" s="201">
        <f>IFERROR(VLOOKUP($B16,MMWR_TRAD_AGG_RO_COMP[],Q$1,0),"ERROR")</f>
        <v>12527</v>
      </c>
      <c r="R16" s="201">
        <f>IFERROR(VLOOKUP($B16,MMWR_TRAD_AGG_RO_COMP[],R$1,0),"ERROR")</f>
        <v>0</v>
      </c>
      <c r="S16" s="201">
        <f>IFERROR(VLOOKUP($B16,MMWR_APP_RO[],S$1,0),"ERROR")</f>
        <v>5610</v>
      </c>
      <c r="T16" s="25"/>
    </row>
    <row r="17" spans="1:20" x14ac:dyDescent="0.2">
      <c r="A17" s="107"/>
      <c r="B17" s="108" t="s">
        <v>65</v>
      </c>
      <c r="C17" s="209">
        <f>IFERROR(VLOOKUP($B17,MMWR_TRAD_AGG_RO_COMP[],C$1,0),"ERROR")</f>
        <v>4002</v>
      </c>
      <c r="D17" s="198">
        <f>IFERROR(VLOOKUP($B17,MMWR_TRAD_AGG_RO_COMP[],D$1,0),"ERROR")</f>
        <v>487.0167416292</v>
      </c>
      <c r="E17" s="195">
        <f>IFERROR(VLOOKUP($B17,MMWR_TRAD_AGG_RO_COMP[],E$1,0),"ERROR")</f>
        <v>4856</v>
      </c>
      <c r="F17" s="191">
        <f>IFERROR(VLOOKUP($B17,MMWR_TRAD_AGG_RO_COMP[],F$1,0),"ERROR")</f>
        <v>1567</v>
      </c>
      <c r="G17" s="216">
        <f t="shared" si="0"/>
        <v>0.32269357495881384</v>
      </c>
      <c r="H17" s="190">
        <f>IFERROR(VLOOKUP($B17,MMWR_TRAD_AGG_RO_COMP[],H$1,0),"ERROR")</f>
        <v>5458</v>
      </c>
      <c r="I17" s="191">
        <f>IFERROR(VLOOKUP($B17,MMWR_TRAD_AGG_RO_COMP[],I$1,0),"ERROR")</f>
        <v>4206</v>
      </c>
      <c r="J17" s="216">
        <f t="shared" si="1"/>
        <v>0.77061194576768044</v>
      </c>
      <c r="K17" s="204">
        <f>IFERROR(VLOOKUP($B17,MMWR_TRAD_AGG_RO_COMP[],K$1,0),"ERROR")</f>
        <v>798</v>
      </c>
      <c r="L17" s="205">
        <f>IFERROR(VLOOKUP($B17,MMWR_TRAD_AGG_RO_COMP[],L$1,0),"ERROR")</f>
        <v>437</v>
      </c>
      <c r="M17" s="216">
        <f t="shared" si="2"/>
        <v>0.54761904761904767</v>
      </c>
      <c r="N17" s="204">
        <f>IFERROR(VLOOKUP($B17,MMWR_TRAD_AGG_RO_COMP[],N$1,0),"ERROR")</f>
        <v>1026</v>
      </c>
      <c r="O17" s="205">
        <f>IFERROR(VLOOKUP($B17,MMWR_TRAD_AGG_RO_COMP[],O$1,0),"ERROR")</f>
        <v>690</v>
      </c>
      <c r="P17" s="216">
        <f t="shared" si="3"/>
        <v>0.67251461988304095</v>
      </c>
      <c r="Q17" s="201">
        <f>IFERROR(VLOOKUP($B17,MMWR_TRAD_AGG_RO_COMP[],Q$1,0),"ERROR")</f>
        <v>0</v>
      </c>
      <c r="R17" s="201">
        <f>IFERROR(VLOOKUP($B17,MMWR_TRAD_AGG_RO_COMP[],R$1,0),"ERROR")</f>
        <v>2</v>
      </c>
      <c r="S17" s="201">
        <f>IFERROR(VLOOKUP($B17,MMWR_APP_RO[],S$1,0),"ERROR")</f>
        <v>5074</v>
      </c>
      <c r="T17" s="25"/>
    </row>
    <row r="18" spans="1:20" x14ac:dyDescent="0.2">
      <c r="A18" s="107"/>
      <c r="B18" s="108" t="s">
        <v>67</v>
      </c>
      <c r="C18" s="209">
        <f>IFERROR(VLOOKUP($B18,MMWR_TRAD_AGG_RO_COMP[],C$1,0),"ERROR")</f>
        <v>857</v>
      </c>
      <c r="D18" s="198">
        <f>IFERROR(VLOOKUP($B18,MMWR_TRAD_AGG_RO_COMP[],D$1,0),"ERROR")</f>
        <v>182.9474912485</v>
      </c>
      <c r="E18" s="195">
        <f>IFERROR(VLOOKUP($B18,MMWR_TRAD_AGG_RO_COMP[],E$1,0),"ERROR")</f>
        <v>1950</v>
      </c>
      <c r="F18" s="191">
        <f>IFERROR(VLOOKUP($B18,MMWR_TRAD_AGG_RO_COMP[],F$1,0),"ERROR")</f>
        <v>419</v>
      </c>
      <c r="G18" s="216">
        <f t="shared" si="0"/>
        <v>0.21487179487179486</v>
      </c>
      <c r="H18" s="190">
        <f>IFERROR(VLOOKUP($B18,MMWR_TRAD_AGG_RO_COMP[],H$1,0),"ERROR")</f>
        <v>3917</v>
      </c>
      <c r="I18" s="191">
        <f>IFERROR(VLOOKUP($B18,MMWR_TRAD_AGG_RO_COMP[],I$1,0),"ERROR")</f>
        <v>1401</v>
      </c>
      <c r="J18" s="216">
        <f t="shared" si="1"/>
        <v>0.35767168751595607</v>
      </c>
      <c r="K18" s="204">
        <f>IFERROR(VLOOKUP($B18,MMWR_TRAD_AGG_RO_COMP[],K$1,0),"ERROR")</f>
        <v>2992</v>
      </c>
      <c r="L18" s="205">
        <f>IFERROR(VLOOKUP($B18,MMWR_TRAD_AGG_RO_COMP[],L$1,0),"ERROR")</f>
        <v>2213</v>
      </c>
      <c r="M18" s="216">
        <f t="shared" si="2"/>
        <v>0.73963903743315507</v>
      </c>
      <c r="N18" s="204">
        <f>IFERROR(VLOOKUP($B18,MMWR_TRAD_AGG_RO_COMP[],N$1,0),"ERROR")</f>
        <v>469</v>
      </c>
      <c r="O18" s="205">
        <f>IFERROR(VLOOKUP($B18,MMWR_TRAD_AGG_RO_COMP[],O$1,0),"ERROR")</f>
        <v>233</v>
      </c>
      <c r="P18" s="216">
        <f t="shared" si="3"/>
        <v>0.49680170575692961</v>
      </c>
      <c r="Q18" s="201">
        <f>IFERROR(VLOOKUP($B18,MMWR_TRAD_AGG_RO_COMP[],Q$1,0),"ERROR")</f>
        <v>0</v>
      </c>
      <c r="R18" s="201">
        <f>IFERROR(VLOOKUP($B18,MMWR_TRAD_AGG_RO_COMP[],R$1,0),"ERROR")</f>
        <v>0</v>
      </c>
      <c r="S18" s="201">
        <f>IFERROR(VLOOKUP($B18,MMWR_APP_RO[],S$1,0),"ERROR")</f>
        <v>360</v>
      </c>
      <c r="T18" s="25"/>
    </row>
    <row r="19" spans="1:20" x14ac:dyDescent="0.2">
      <c r="A19" s="107"/>
      <c r="B19" s="108" t="s">
        <v>69</v>
      </c>
      <c r="C19" s="209">
        <f>IFERROR(VLOOKUP($B19,MMWR_TRAD_AGG_RO_COMP[],C$1,0),"ERROR")</f>
        <v>14897</v>
      </c>
      <c r="D19" s="198">
        <f>IFERROR(VLOOKUP($B19,MMWR_TRAD_AGG_RO_COMP[],D$1,0),"ERROR")</f>
        <v>423.10995502449998</v>
      </c>
      <c r="E19" s="195">
        <f>IFERROR(VLOOKUP($B19,MMWR_TRAD_AGG_RO_COMP[],E$1,0),"ERROR")</f>
        <v>11194</v>
      </c>
      <c r="F19" s="191">
        <f>IFERROR(VLOOKUP($B19,MMWR_TRAD_AGG_RO_COMP[],F$1,0),"ERROR")</f>
        <v>3114</v>
      </c>
      <c r="G19" s="216">
        <f t="shared" si="0"/>
        <v>0.27818474182597819</v>
      </c>
      <c r="H19" s="190">
        <f>IFERROR(VLOOKUP($B19,MMWR_TRAD_AGG_RO_COMP[],H$1,0),"ERROR")</f>
        <v>17526</v>
      </c>
      <c r="I19" s="191">
        <f>IFERROR(VLOOKUP($B19,MMWR_TRAD_AGG_RO_COMP[],I$1,0),"ERROR")</f>
        <v>11854</v>
      </c>
      <c r="J19" s="216">
        <f t="shared" si="1"/>
        <v>0.6763665411388794</v>
      </c>
      <c r="K19" s="204">
        <f>IFERROR(VLOOKUP($B19,MMWR_TRAD_AGG_RO_COMP[],K$1,0),"ERROR")</f>
        <v>7794</v>
      </c>
      <c r="L19" s="205">
        <f>IFERROR(VLOOKUP($B19,MMWR_TRAD_AGG_RO_COMP[],L$1,0),"ERROR")</f>
        <v>5968</v>
      </c>
      <c r="M19" s="216">
        <f t="shared" si="2"/>
        <v>0.76571721837310747</v>
      </c>
      <c r="N19" s="204">
        <f>IFERROR(VLOOKUP($B19,MMWR_TRAD_AGG_RO_COMP[],N$1,0),"ERROR")</f>
        <v>4468</v>
      </c>
      <c r="O19" s="205">
        <f>IFERROR(VLOOKUP($B19,MMWR_TRAD_AGG_RO_COMP[],O$1,0),"ERROR")</f>
        <v>3827</v>
      </c>
      <c r="P19" s="216">
        <f t="shared" si="3"/>
        <v>0.85653536257833485</v>
      </c>
      <c r="Q19" s="201">
        <f>IFERROR(VLOOKUP($B19,MMWR_TRAD_AGG_RO_COMP[],Q$1,0),"ERROR")</f>
        <v>5</v>
      </c>
      <c r="R19" s="201">
        <f>IFERROR(VLOOKUP($B19,MMWR_TRAD_AGG_RO_COMP[],R$1,0),"ERROR")</f>
        <v>4</v>
      </c>
      <c r="S19" s="201">
        <f>IFERROR(VLOOKUP($B19,MMWR_APP_RO[],S$1,0),"ERROR")</f>
        <v>15407</v>
      </c>
      <c r="T19" s="25"/>
    </row>
    <row r="20" spans="1:20" x14ac:dyDescent="0.2">
      <c r="A20" s="107"/>
      <c r="B20" s="108" t="s">
        <v>78</v>
      </c>
      <c r="C20" s="209">
        <f>IFERROR(VLOOKUP($B20,MMWR_TRAD_AGG_RO_COMP[],C$1,0),"ERROR")</f>
        <v>1269</v>
      </c>
      <c r="D20" s="198">
        <f>IFERROR(VLOOKUP($B20,MMWR_TRAD_AGG_RO_COMP[],D$1,0),"ERROR")</f>
        <v>274.60362490149998</v>
      </c>
      <c r="E20" s="195">
        <f>IFERROR(VLOOKUP($B20,MMWR_TRAD_AGG_RO_COMP[],E$1,0),"ERROR")</f>
        <v>1299</v>
      </c>
      <c r="F20" s="191">
        <f>IFERROR(VLOOKUP($B20,MMWR_TRAD_AGG_RO_COMP[],F$1,0),"ERROR")</f>
        <v>169</v>
      </c>
      <c r="G20" s="216">
        <f t="shared" si="0"/>
        <v>0.13010007698229406</v>
      </c>
      <c r="H20" s="190">
        <f>IFERROR(VLOOKUP($B20,MMWR_TRAD_AGG_RO_COMP[],H$1,0),"ERROR")</f>
        <v>2003</v>
      </c>
      <c r="I20" s="191">
        <f>IFERROR(VLOOKUP($B20,MMWR_TRAD_AGG_RO_COMP[],I$1,0),"ERROR")</f>
        <v>1175</v>
      </c>
      <c r="J20" s="216">
        <f t="shared" si="1"/>
        <v>0.58662006989515725</v>
      </c>
      <c r="K20" s="204">
        <f>IFERROR(VLOOKUP($B20,MMWR_TRAD_AGG_RO_COMP[],K$1,0),"ERROR")</f>
        <v>1023</v>
      </c>
      <c r="L20" s="205">
        <f>IFERROR(VLOOKUP($B20,MMWR_TRAD_AGG_RO_COMP[],L$1,0),"ERROR")</f>
        <v>768</v>
      </c>
      <c r="M20" s="216">
        <f t="shared" si="2"/>
        <v>0.75073313782991202</v>
      </c>
      <c r="N20" s="204">
        <f>IFERROR(VLOOKUP($B20,MMWR_TRAD_AGG_RO_COMP[],N$1,0),"ERROR")</f>
        <v>363</v>
      </c>
      <c r="O20" s="205">
        <f>IFERROR(VLOOKUP($B20,MMWR_TRAD_AGG_RO_COMP[],O$1,0),"ERROR")</f>
        <v>178</v>
      </c>
      <c r="P20" s="216">
        <f t="shared" si="3"/>
        <v>0.4903581267217631</v>
      </c>
      <c r="Q20" s="201">
        <f>IFERROR(VLOOKUP($B20,MMWR_TRAD_AGG_RO_COMP[],Q$1,0),"ERROR")</f>
        <v>1</v>
      </c>
      <c r="R20" s="201">
        <f>IFERROR(VLOOKUP($B20,MMWR_TRAD_AGG_RO_COMP[],R$1,0),"ERROR")</f>
        <v>0</v>
      </c>
      <c r="S20" s="201">
        <f>IFERROR(VLOOKUP($B20,MMWR_APP_RO[],S$1,0),"ERROR")</f>
        <v>416</v>
      </c>
      <c r="T20" s="25"/>
    </row>
    <row r="21" spans="1:20" x14ac:dyDescent="0.2">
      <c r="A21" s="107"/>
      <c r="B21" s="108" t="s">
        <v>431</v>
      </c>
      <c r="C21" s="209">
        <f>IFERROR(VLOOKUP($B21,MMWR_TRAD_AGG_RO_COMP[],C$1,0),"ERROR")</f>
        <v>22864</v>
      </c>
      <c r="D21" s="198">
        <f>IFERROR(VLOOKUP($B21,MMWR_TRAD_AGG_RO_COMP[],D$1,0),"ERROR")</f>
        <v>552.24046536039998</v>
      </c>
      <c r="E21" s="195">
        <f>IFERROR(VLOOKUP($B21,MMWR_TRAD_AGG_RO_COMP[],E$1,0),"ERROR")</f>
        <v>1132</v>
      </c>
      <c r="F21" s="191">
        <f>IFERROR(VLOOKUP($B21,MMWR_TRAD_AGG_RO_COMP[],F$1,0),"ERROR")</f>
        <v>444</v>
      </c>
      <c r="G21" s="216">
        <f t="shared" si="0"/>
        <v>0.392226148409894</v>
      </c>
      <c r="H21" s="190">
        <f>IFERROR(VLOOKUP($B21,MMWR_TRAD_AGG_RO_COMP[],H$1,0),"ERROR")</f>
        <v>23305</v>
      </c>
      <c r="I21" s="191">
        <f>IFERROR(VLOOKUP($B21,MMWR_TRAD_AGG_RO_COMP[],I$1,0),"ERROR")</f>
        <v>22304</v>
      </c>
      <c r="J21" s="216">
        <f t="shared" si="1"/>
        <v>0.95704784381034114</v>
      </c>
      <c r="K21" s="204">
        <f>IFERROR(VLOOKUP($B21,MMWR_TRAD_AGG_RO_COMP[],K$1,0),"ERROR")</f>
        <v>1082</v>
      </c>
      <c r="L21" s="205">
        <f>IFERROR(VLOOKUP($B21,MMWR_TRAD_AGG_RO_COMP[],L$1,0),"ERROR")</f>
        <v>664</v>
      </c>
      <c r="M21" s="216">
        <f t="shared" si="2"/>
        <v>0.61367837338262476</v>
      </c>
      <c r="N21" s="204">
        <f>IFERROR(VLOOKUP($B21,MMWR_TRAD_AGG_RO_COMP[],N$1,0),"ERROR")</f>
        <v>1322</v>
      </c>
      <c r="O21" s="205">
        <f>IFERROR(VLOOKUP($B21,MMWR_TRAD_AGG_RO_COMP[],O$1,0),"ERROR")</f>
        <v>1219</v>
      </c>
      <c r="P21" s="216">
        <f t="shared" si="3"/>
        <v>0.92208774583963693</v>
      </c>
      <c r="Q21" s="201">
        <f>IFERROR(VLOOKUP($B21,MMWR_TRAD_AGG_RO_COMP[],Q$1,0),"ERROR")</f>
        <v>0</v>
      </c>
      <c r="R21" s="201">
        <f>IFERROR(VLOOKUP($B21,MMWR_TRAD_AGG_RO_COMP[],R$1,0),"ERROR")</f>
        <v>0</v>
      </c>
      <c r="S21" s="201">
        <f>IFERROR(VLOOKUP($B21,MMWR_APP_RO[],S$1,0),"ERROR")</f>
        <v>21</v>
      </c>
      <c r="T21" s="25"/>
    </row>
    <row r="22" spans="1:20" x14ac:dyDescent="0.2">
      <c r="A22" s="107"/>
      <c r="B22" s="108" t="s">
        <v>135</v>
      </c>
      <c r="C22" s="209">
        <f>IFERROR(VLOOKUP($B22,MMWR_TRAD_AGG_RO_COMP[],C$1,0),"ERROR")</f>
        <v>604</v>
      </c>
      <c r="D22" s="198">
        <f>IFERROR(VLOOKUP($B22,MMWR_TRAD_AGG_RO_COMP[],D$1,0),"ERROR")</f>
        <v>376.0695364238</v>
      </c>
      <c r="E22" s="195">
        <f>IFERROR(VLOOKUP($B22,MMWR_TRAD_AGG_RO_COMP[],E$1,0),"ERROR")</f>
        <v>471</v>
      </c>
      <c r="F22" s="191">
        <f>IFERROR(VLOOKUP($B22,MMWR_TRAD_AGG_RO_COMP[],F$1,0),"ERROR")</f>
        <v>131</v>
      </c>
      <c r="G22" s="216">
        <f t="shared" si="0"/>
        <v>0.2781316348195329</v>
      </c>
      <c r="H22" s="190">
        <f>IFERROR(VLOOKUP($B22,MMWR_TRAD_AGG_RO_COMP[],H$1,0),"ERROR")</f>
        <v>824</v>
      </c>
      <c r="I22" s="191">
        <f>IFERROR(VLOOKUP($B22,MMWR_TRAD_AGG_RO_COMP[],I$1,0),"ERROR")</f>
        <v>529</v>
      </c>
      <c r="J22" s="216">
        <f t="shared" si="1"/>
        <v>0.64199029126213591</v>
      </c>
      <c r="K22" s="204">
        <f>IFERROR(VLOOKUP($B22,MMWR_TRAD_AGG_RO_COMP[],K$1,0),"ERROR")</f>
        <v>168</v>
      </c>
      <c r="L22" s="205">
        <f>IFERROR(VLOOKUP($B22,MMWR_TRAD_AGG_RO_COMP[],L$1,0),"ERROR")</f>
        <v>71</v>
      </c>
      <c r="M22" s="216">
        <f t="shared" si="2"/>
        <v>0.42261904761904762</v>
      </c>
      <c r="N22" s="204">
        <f>IFERROR(VLOOKUP($B22,MMWR_TRAD_AGG_RO_COMP[],N$1,0),"ERROR")</f>
        <v>122</v>
      </c>
      <c r="O22" s="205">
        <f>IFERROR(VLOOKUP($B22,MMWR_TRAD_AGG_RO_COMP[],O$1,0),"ERROR")</f>
        <v>70</v>
      </c>
      <c r="P22" s="216">
        <f t="shared" si="3"/>
        <v>0.57377049180327866</v>
      </c>
      <c r="Q22" s="201">
        <f>IFERROR(VLOOKUP($B22,MMWR_TRAD_AGG_RO_COMP[],Q$1,0),"ERROR")</f>
        <v>0</v>
      </c>
      <c r="R22" s="201">
        <f>IFERROR(VLOOKUP($B22,MMWR_TRAD_AGG_RO_COMP[],R$1,0),"ERROR")</f>
        <v>1</v>
      </c>
      <c r="S22" s="201">
        <f>IFERROR(VLOOKUP($B22,MMWR_APP_RO[],S$1,0),"ERROR")</f>
        <v>99</v>
      </c>
      <c r="T22" s="25"/>
    </row>
    <row r="23" spans="1:20" x14ac:dyDescent="0.2">
      <c r="A23" s="107"/>
      <c r="B23" s="108" t="s">
        <v>82</v>
      </c>
      <c r="C23" s="209">
        <f>IFERROR(VLOOKUP($B23,MMWR_TRAD_AGG_RO_COMP[],C$1,0),"ERROR")</f>
        <v>620</v>
      </c>
      <c r="D23" s="198">
        <f>IFERROR(VLOOKUP($B23,MMWR_TRAD_AGG_RO_COMP[],D$1,0),"ERROR")</f>
        <v>401.23870967739998</v>
      </c>
      <c r="E23" s="195">
        <f>IFERROR(VLOOKUP($B23,MMWR_TRAD_AGG_RO_COMP[],E$1,0),"ERROR")</f>
        <v>704</v>
      </c>
      <c r="F23" s="191">
        <f>IFERROR(VLOOKUP($B23,MMWR_TRAD_AGG_RO_COMP[],F$1,0),"ERROR")</f>
        <v>191</v>
      </c>
      <c r="G23" s="216">
        <f t="shared" si="0"/>
        <v>0.27130681818181818</v>
      </c>
      <c r="H23" s="190">
        <f>IFERROR(VLOOKUP($B23,MMWR_TRAD_AGG_RO_COMP[],H$1,0),"ERROR")</f>
        <v>690</v>
      </c>
      <c r="I23" s="191">
        <f>IFERROR(VLOOKUP($B23,MMWR_TRAD_AGG_RO_COMP[],I$1,0),"ERROR")</f>
        <v>539</v>
      </c>
      <c r="J23" s="216">
        <f t="shared" si="1"/>
        <v>0.78115942028985508</v>
      </c>
      <c r="K23" s="204">
        <f>IFERROR(VLOOKUP($B23,MMWR_TRAD_AGG_RO_COMP[],K$1,0),"ERROR")</f>
        <v>52</v>
      </c>
      <c r="L23" s="205">
        <f>IFERROR(VLOOKUP($B23,MMWR_TRAD_AGG_RO_COMP[],L$1,0),"ERROR")</f>
        <v>14</v>
      </c>
      <c r="M23" s="216">
        <f t="shared" si="2"/>
        <v>0.26923076923076922</v>
      </c>
      <c r="N23" s="204">
        <f>IFERROR(VLOOKUP($B23,MMWR_TRAD_AGG_RO_COMP[],N$1,0),"ERROR")</f>
        <v>156</v>
      </c>
      <c r="O23" s="205">
        <f>IFERROR(VLOOKUP($B23,MMWR_TRAD_AGG_RO_COMP[],O$1,0),"ERROR")</f>
        <v>75</v>
      </c>
      <c r="P23" s="216">
        <f t="shared" si="3"/>
        <v>0.48076923076923078</v>
      </c>
      <c r="Q23" s="201">
        <f>IFERROR(VLOOKUP($B23,MMWR_TRAD_AGG_RO_COMP[],Q$1,0),"ERROR")</f>
        <v>0</v>
      </c>
      <c r="R23" s="201">
        <f>IFERROR(VLOOKUP($B23,MMWR_TRAD_AGG_RO_COMP[],R$1,0),"ERROR")</f>
        <v>0</v>
      </c>
      <c r="S23" s="201">
        <f>IFERROR(VLOOKUP($B23,MMWR_APP_RO[],S$1,0),"ERROR")</f>
        <v>182</v>
      </c>
      <c r="T23" s="25"/>
    </row>
    <row r="24" spans="1:20" x14ac:dyDescent="0.2">
      <c r="A24" s="92"/>
      <c r="B24" s="116" t="s">
        <v>83</v>
      </c>
      <c r="C24" s="210">
        <f>IFERROR(VLOOKUP($B24,MMWR_TRAD_AGG_RO_COMP[],C$1,0),"ERROR")</f>
        <v>18781</v>
      </c>
      <c r="D24" s="199">
        <f>IFERROR(VLOOKUP($B24,MMWR_TRAD_AGG_RO_COMP[],D$1,0),"ERROR")</f>
        <v>322.23523774030002</v>
      </c>
      <c r="E24" s="196">
        <f>IFERROR(VLOOKUP($B24,MMWR_TRAD_AGG_RO_COMP[],E$1,0),"ERROR")</f>
        <v>18678</v>
      </c>
      <c r="F24" s="193">
        <f>IFERROR(VLOOKUP($B24,MMWR_TRAD_AGG_RO_COMP[],F$1,0),"ERROR")</f>
        <v>5048</v>
      </c>
      <c r="G24" s="217">
        <f t="shared" si="0"/>
        <v>0.27026448227861655</v>
      </c>
      <c r="H24" s="192">
        <f>IFERROR(VLOOKUP($B24,MMWR_TRAD_AGG_RO_COMP[],H$1,0),"ERROR")</f>
        <v>30475</v>
      </c>
      <c r="I24" s="193">
        <f>IFERROR(VLOOKUP($B24,MMWR_TRAD_AGG_RO_COMP[],I$1,0),"ERROR")</f>
        <v>19890</v>
      </c>
      <c r="J24" s="217">
        <f t="shared" si="1"/>
        <v>0.65266611977030353</v>
      </c>
      <c r="K24" s="206">
        <f>IFERROR(VLOOKUP($B24,MMWR_TRAD_AGG_RO_COMP[],K$1,0),"ERROR")</f>
        <v>11967</v>
      </c>
      <c r="L24" s="207">
        <f>IFERROR(VLOOKUP($B24,MMWR_TRAD_AGG_RO_COMP[],L$1,0),"ERROR")</f>
        <v>7504</v>
      </c>
      <c r="M24" s="217">
        <f t="shared" si="2"/>
        <v>0.62705774212417487</v>
      </c>
      <c r="N24" s="206">
        <f>IFERROR(VLOOKUP($B24,MMWR_TRAD_AGG_RO_COMP[],N$1,0),"ERROR")</f>
        <v>3779</v>
      </c>
      <c r="O24" s="207">
        <f>IFERROR(VLOOKUP($B24,MMWR_TRAD_AGG_RO_COMP[],O$1,0),"ERROR")</f>
        <v>2650</v>
      </c>
      <c r="P24" s="217">
        <f t="shared" si="3"/>
        <v>0.70124371526858953</v>
      </c>
      <c r="Q24" s="202">
        <f>IFERROR(VLOOKUP($B24,MMWR_TRAD_AGG_RO_COMP[],Q$1,0),"ERROR")</f>
        <v>0</v>
      </c>
      <c r="R24" s="202">
        <f>IFERROR(VLOOKUP($B24,MMWR_TRAD_AGG_RO_COMP[],R$1,0),"ERROR")</f>
        <v>20</v>
      </c>
      <c r="S24" s="201">
        <f>IFERROR(VLOOKUP($B24,MMWR_APP_RO[],S$1,0),"ERROR")</f>
        <v>9181</v>
      </c>
      <c r="T24" s="25"/>
    </row>
    <row r="25" spans="1:20" x14ac:dyDescent="0.2">
      <c r="A25" s="107"/>
      <c r="B25" s="101" t="s">
        <v>391</v>
      </c>
      <c r="C25" s="212">
        <f>IFERROR(VLOOKUP($B25,MMWR_TRAD_AGG_DISTRICT_COMP[],C$1,0),"ERROR")</f>
        <v>36819</v>
      </c>
      <c r="D25" s="197">
        <f>IFERROR(VLOOKUP($B25,MMWR_TRAD_AGG_DISTRICT_COMP[],D$1,0),"ERROR")</f>
        <v>352.79162932179997</v>
      </c>
      <c r="E25" s="213">
        <f>IFERROR(VLOOKUP($B25,MMWR_TRAD_AGG_DISTRICT_COMP[],E$1,0),"ERROR")</f>
        <v>54622</v>
      </c>
      <c r="F25" s="218">
        <f>IFERROR(VLOOKUP($B25,MMWR_TRAD_AGG_DISTRICT_COMP[],F$1,0),"ERROR")</f>
        <v>12121</v>
      </c>
      <c r="G25" s="214">
        <f t="shared" si="0"/>
        <v>0.22190692395005676</v>
      </c>
      <c r="H25" s="218">
        <f>IFERROR(VLOOKUP($B25,MMWR_TRAD_AGG_DISTRICT_COMP[],H$1,0),"ERROR")</f>
        <v>62203</v>
      </c>
      <c r="I25" s="218">
        <f>IFERROR(VLOOKUP($B25,MMWR_TRAD_AGG_DISTRICT_COMP[],I$1,0),"ERROR")</f>
        <v>34759</v>
      </c>
      <c r="J25" s="214">
        <f t="shared" si="1"/>
        <v>0.55879941481922091</v>
      </c>
      <c r="K25" s="212">
        <f>IFERROR(VLOOKUP($B25,MMWR_TRAD_AGG_DISTRICT_COMP[],K$1,0),"ERROR")</f>
        <v>13639</v>
      </c>
      <c r="L25" s="212">
        <f>IFERROR(VLOOKUP($B25,MMWR_TRAD_AGG_DISTRICT_COMP[],L$1,0),"ERROR")</f>
        <v>8474</v>
      </c>
      <c r="M25" s="214">
        <f t="shared" si="2"/>
        <v>0.6213065474008358</v>
      </c>
      <c r="N25" s="212">
        <f>IFERROR(VLOOKUP($B25,MMWR_TRAD_AGG_DISTRICT_COMP[],N$1,0),"ERROR")</f>
        <v>14834</v>
      </c>
      <c r="O25" s="212">
        <f>IFERROR(VLOOKUP($B25,MMWR_TRAD_AGG_DISTRICT_COMP[],O$1,0),"ERROR")</f>
        <v>10168</v>
      </c>
      <c r="P25" s="214">
        <f t="shared" si="3"/>
        <v>0.68545233922070914</v>
      </c>
      <c r="Q25" s="212">
        <f>IFERROR(VLOOKUP($B25,MMWR_TRAD_AGG_DISTRICT_COMP[],Q$1,0),"ERROR")</f>
        <v>6591</v>
      </c>
      <c r="R25" s="215">
        <f>IFERROR(VLOOKUP($B25,MMWR_TRAD_AGG_DISTRICT_COMP[],R$1,0),"ERROR")</f>
        <v>1014</v>
      </c>
      <c r="S25" s="215">
        <f>IFERROR(VLOOKUP($B25,MMWR_APP_RO[],S$1,0),"ERROR")</f>
        <v>51063</v>
      </c>
      <c r="T25" s="25"/>
    </row>
    <row r="26" spans="1:20" x14ac:dyDescent="0.2">
      <c r="A26" s="107"/>
      <c r="B26" s="108" t="s">
        <v>37</v>
      </c>
      <c r="C26" s="209">
        <f>IFERROR(VLOOKUP($B26,MMWR_TRAD_AGG_RO_COMP[],C$1,0),"ERROR")</f>
        <v>5516</v>
      </c>
      <c r="D26" s="198">
        <f>IFERROR(VLOOKUP($B26,MMWR_TRAD_AGG_RO_COMP[],D$1,0),"ERROR")</f>
        <v>506.42820884700001</v>
      </c>
      <c r="E26" s="195">
        <f>IFERROR(VLOOKUP($B26,MMWR_TRAD_AGG_RO_COMP[],E$1,0),"ERROR")</f>
        <v>6134</v>
      </c>
      <c r="F26" s="191">
        <f>IFERROR(VLOOKUP($B26,MMWR_TRAD_AGG_RO_COMP[],F$1,0),"ERROR")</f>
        <v>1821</v>
      </c>
      <c r="G26" s="216">
        <f t="shared" si="0"/>
        <v>0.29686990544506031</v>
      </c>
      <c r="H26" s="190">
        <f>IFERROR(VLOOKUP($B26,MMWR_TRAD_AGG_RO_COMP[],H$1,0),"ERROR")</f>
        <v>7065</v>
      </c>
      <c r="I26" s="191">
        <f>IFERROR(VLOOKUP($B26,MMWR_TRAD_AGG_RO_COMP[],I$1,0),"ERROR")</f>
        <v>5347</v>
      </c>
      <c r="J26" s="216">
        <f t="shared" si="1"/>
        <v>0.75682944090587401</v>
      </c>
      <c r="K26" s="204">
        <f>IFERROR(VLOOKUP($B26,MMWR_TRAD_AGG_RO_COMP[],K$1,0),"ERROR")</f>
        <v>1789</v>
      </c>
      <c r="L26" s="205">
        <f>IFERROR(VLOOKUP($B26,MMWR_TRAD_AGG_RO_COMP[],L$1,0),"ERROR")</f>
        <v>1475</v>
      </c>
      <c r="M26" s="216">
        <f t="shared" si="2"/>
        <v>0.82448295136948013</v>
      </c>
      <c r="N26" s="204">
        <f>IFERROR(VLOOKUP($B26,MMWR_TRAD_AGG_RO_COMP[],N$1,0),"ERROR")</f>
        <v>1338</v>
      </c>
      <c r="O26" s="205">
        <f>IFERROR(VLOOKUP($B26,MMWR_TRAD_AGG_RO_COMP[],O$1,0),"ERROR")</f>
        <v>691</v>
      </c>
      <c r="P26" s="216">
        <f t="shared" si="3"/>
        <v>0.51644245142002987</v>
      </c>
      <c r="Q26" s="201">
        <f>IFERROR(VLOOKUP($B26,MMWR_TRAD_AGG_RO_COMP[],Q$1,0),"ERROR")</f>
        <v>0</v>
      </c>
      <c r="R26" s="201">
        <f>IFERROR(VLOOKUP($B26,MMWR_TRAD_AGG_RO_COMP[],R$1,0),"ERROR")</f>
        <v>218</v>
      </c>
      <c r="S26" s="201">
        <f>IFERROR(VLOOKUP($B26,MMWR_APP_RO[],S$1,0),"ERROR")</f>
        <v>8241</v>
      </c>
      <c r="T26" s="25"/>
    </row>
    <row r="27" spans="1:20" x14ac:dyDescent="0.2">
      <c r="A27" s="107"/>
      <c r="B27" s="108" t="s">
        <v>38</v>
      </c>
      <c r="C27" s="209">
        <f>IFERROR(VLOOKUP($B27,MMWR_TRAD_AGG_RO_COMP[],C$1,0),"ERROR")</f>
        <v>5169</v>
      </c>
      <c r="D27" s="198">
        <f>IFERROR(VLOOKUP($B27,MMWR_TRAD_AGG_RO_COMP[],D$1,0),"ERROR")</f>
        <v>432.88044109110001</v>
      </c>
      <c r="E27" s="195">
        <f>IFERROR(VLOOKUP($B27,MMWR_TRAD_AGG_RO_COMP[],E$1,0),"ERROR")</f>
        <v>7256</v>
      </c>
      <c r="F27" s="191">
        <f>IFERROR(VLOOKUP($B27,MMWR_TRAD_AGG_RO_COMP[],F$1,0),"ERROR")</f>
        <v>1995</v>
      </c>
      <c r="G27" s="216">
        <f t="shared" si="0"/>
        <v>0.27494487320837929</v>
      </c>
      <c r="H27" s="190">
        <f>IFERROR(VLOOKUP($B27,MMWR_TRAD_AGG_RO_COMP[],H$1,0),"ERROR")</f>
        <v>7455</v>
      </c>
      <c r="I27" s="191">
        <f>IFERROR(VLOOKUP($B27,MMWR_TRAD_AGG_RO_COMP[],I$1,0),"ERROR")</f>
        <v>4763</v>
      </c>
      <c r="J27" s="216">
        <f t="shared" si="1"/>
        <v>0.6389000670690812</v>
      </c>
      <c r="K27" s="204">
        <f>IFERROR(VLOOKUP($B27,MMWR_TRAD_AGG_RO_COMP[],K$1,0),"ERROR")</f>
        <v>1603</v>
      </c>
      <c r="L27" s="205">
        <f>IFERROR(VLOOKUP($B27,MMWR_TRAD_AGG_RO_COMP[],L$1,0),"ERROR")</f>
        <v>800</v>
      </c>
      <c r="M27" s="216">
        <f t="shared" si="2"/>
        <v>0.49906425452276981</v>
      </c>
      <c r="N27" s="204">
        <f>IFERROR(VLOOKUP($B27,MMWR_TRAD_AGG_RO_COMP[],N$1,0),"ERROR")</f>
        <v>3061</v>
      </c>
      <c r="O27" s="205">
        <f>IFERROR(VLOOKUP($B27,MMWR_TRAD_AGG_RO_COMP[],O$1,0),"ERROR")</f>
        <v>2280</v>
      </c>
      <c r="P27" s="216">
        <f t="shared" si="3"/>
        <v>0.74485462267232927</v>
      </c>
      <c r="Q27" s="201">
        <f>IFERROR(VLOOKUP($B27,MMWR_TRAD_AGG_RO_COMP[],Q$1,0),"ERROR")</f>
        <v>0</v>
      </c>
      <c r="R27" s="201">
        <f>IFERROR(VLOOKUP($B27,MMWR_TRAD_AGG_RO_COMP[],R$1,0),"ERROR")</f>
        <v>317</v>
      </c>
      <c r="S27" s="201">
        <f>IFERROR(VLOOKUP($B27,MMWR_APP_RO[],S$1,0),"ERROR")</f>
        <v>13503</v>
      </c>
      <c r="T27" s="25"/>
    </row>
    <row r="28" spans="1:20" x14ac:dyDescent="0.2">
      <c r="A28" s="107"/>
      <c r="B28" s="108" t="s">
        <v>41</v>
      </c>
      <c r="C28" s="209">
        <f>IFERROR(VLOOKUP($B28,MMWR_TRAD_AGG_RO_COMP[],C$1,0),"ERROR")</f>
        <v>911</v>
      </c>
      <c r="D28" s="198">
        <f>IFERROR(VLOOKUP($B28,MMWR_TRAD_AGG_RO_COMP[],D$1,0),"ERROR")</f>
        <v>129.57738748630001</v>
      </c>
      <c r="E28" s="195">
        <f>IFERROR(VLOOKUP($B28,MMWR_TRAD_AGG_RO_COMP[],E$1,0),"ERROR")</f>
        <v>2334</v>
      </c>
      <c r="F28" s="191">
        <f>IFERROR(VLOOKUP($B28,MMWR_TRAD_AGG_RO_COMP[],F$1,0),"ERROR")</f>
        <v>426</v>
      </c>
      <c r="G28" s="216">
        <f t="shared" si="0"/>
        <v>0.18251928020565553</v>
      </c>
      <c r="H28" s="190">
        <f>IFERROR(VLOOKUP($B28,MMWR_TRAD_AGG_RO_COMP[],H$1,0),"ERROR")</f>
        <v>1331</v>
      </c>
      <c r="I28" s="191">
        <f>IFERROR(VLOOKUP($B28,MMWR_TRAD_AGG_RO_COMP[],I$1,0),"ERROR")</f>
        <v>478</v>
      </c>
      <c r="J28" s="216">
        <f t="shared" si="1"/>
        <v>0.35912847483095417</v>
      </c>
      <c r="K28" s="204">
        <f>IFERROR(VLOOKUP($B28,MMWR_TRAD_AGG_RO_COMP[],K$1,0),"ERROR")</f>
        <v>307</v>
      </c>
      <c r="L28" s="205">
        <f>IFERROR(VLOOKUP($B28,MMWR_TRAD_AGG_RO_COMP[],L$1,0),"ERROR")</f>
        <v>67</v>
      </c>
      <c r="M28" s="216">
        <f t="shared" si="2"/>
        <v>0.21824104234527689</v>
      </c>
      <c r="N28" s="204">
        <f>IFERROR(VLOOKUP($B28,MMWR_TRAD_AGG_RO_COMP[],N$1,0),"ERROR")</f>
        <v>208</v>
      </c>
      <c r="O28" s="205">
        <f>IFERROR(VLOOKUP($B28,MMWR_TRAD_AGG_RO_COMP[],O$1,0),"ERROR")</f>
        <v>98</v>
      </c>
      <c r="P28" s="216">
        <f t="shared" si="3"/>
        <v>0.47115384615384615</v>
      </c>
      <c r="Q28" s="201">
        <f>IFERROR(VLOOKUP($B28,MMWR_TRAD_AGG_RO_COMP[],Q$1,0),"ERROR")</f>
        <v>0</v>
      </c>
      <c r="R28" s="201">
        <f>IFERROR(VLOOKUP($B28,MMWR_TRAD_AGG_RO_COMP[],R$1,0),"ERROR")</f>
        <v>5</v>
      </c>
      <c r="S28" s="201">
        <f>IFERROR(VLOOKUP($B28,MMWR_APP_RO[],S$1,0),"ERROR")</f>
        <v>1257</v>
      </c>
      <c r="T28" s="25"/>
    </row>
    <row r="29" spans="1:20" x14ac:dyDescent="0.2">
      <c r="A29" s="107"/>
      <c r="B29" s="108" t="s">
        <v>42</v>
      </c>
      <c r="C29" s="209">
        <f>IFERROR(VLOOKUP($B29,MMWR_TRAD_AGG_RO_COMP[],C$1,0),"ERROR")</f>
        <v>2938</v>
      </c>
      <c r="D29" s="198">
        <f>IFERROR(VLOOKUP($B29,MMWR_TRAD_AGG_RO_COMP[],D$1,0),"ERROR")</f>
        <v>308.05990469710002</v>
      </c>
      <c r="E29" s="195">
        <f>IFERROR(VLOOKUP($B29,MMWR_TRAD_AGG_RO_COMP[],E$1,0),"ERROR")</f>
        <v>6965</v>
      </c>
      <c r="F29" s="191">
        <f>IFERROR(VLOOKUP($B29,MMWR_TRAD_AGG_RO_COMP[],F$1,0),"ERROR")</f>
        <v>1675</v>
      </c>
      <c r="G29" s="216">
        <f t="shared" si="0"/>
        <v>0.24048815506101939</v>
      </c>
      <c r="H29" s="190">
        <f>IFERROR(VLOOKUP($B29,MMWR_TRAD_AGG_RO_COMP[],H$1,0),"ERROR")</f>
        <v>7967</v>
      </c>
      <c r="I29" s="191">
        <f>IFERROR(VLOOKUP($B29,MMWR_TRAD_AGG_RO_COMP[],I$1,0),"ERROR")</f>
        <v>3738</v>
      </c>
      <c r="J29" s="216">
        <f t="shared" si="1"/>
        <v>0.46918538973264717</v>
      </c>
      <c r="K29" s="204">
        <f>IFERROR(VLOOKUP($B29,MMWR_TRAD_AGG_RO_COMP[],K$1,0),"ERROR")</f>
        <v>1411</v>
      </c>
      <c r="L29" s="205">
        <f>IFERROR(VLOOKUP($B29,MMWR_TRAD_AGG_RO_COMP[],L$1,0),"ERROR")</f>
        <v>1058</v>
      </c>
      <c r="M29" s="216">
        <f t="shared" si="2"/>
        <v>0.74982282069454287</v>
      </c>
      <c r="N29" s="204">
        <f>IFERROR(VLOOKUP($B29,MMWR_TRAD_AGG_RO_COMP[],N$1,0),"ERROR")</f>
        <v>1082</v>
      </c>
      <c r="O29" s="205">
        <f>IFERROR(VLOOKUP($B29,MMWR_TRAD_AGG_RO_COMP[],O$1,0),"ERROR")</f>
        <v>467</v>
      </c>
      <c r="P29" s="216">
        <f t="shared" si="3"/>
        <v>0.43160813308687618</v>
      </c>
      <c r="Q29" s="201">
        <f>IFERROR(VLOOKUP($B29,MMWR_TRAD_AGG_RO_COMP[],Q$1,0),"ERROR")</f>
        <v>2</v>
      </c>
      <c r="R29" s="201">
        <f>IFERROR(VLOOKUP($B29,MMWR_TRAD_AGG_RO_COMP[],R$1,0),"ERROR")</f>
        <v>195</v>
      </c>
      <c r="S29" s="201">
        <f>IFERROR(VLOOKUP($B29,MMWR_APP_RO[],S$1,0),"ERROR")</f>
        <v>5276</v>
      </c>
      <c r="T29" s="25"/>
    </row>
    <row r="30" spans="1:20" x14ac:dyDescent="0.2">
      <c r="A30" s="107"/>
      <c r="B30" s="108" t="s">
        <v>43</v>
      </c>
      <c r="C30" s="209">
        <f>IFERROR(VLOOKUP($B30,MMWR_TRAD_AGG_RO_COMP[],C$1,0),"ERROR")</f>
        <v>78</v>
      </c>
      <c r="D30" s="198">
        <f>IFERROR(VLOOKUP($B30,MMWR_TRAD_AGG_RO_COMP[],D$1,0),"ERROR")</f>
        <v>86.423076923099998</v>
      </c>
      <c r="E30" s="195">
        <f>IFERROR(VLOOKUP($B30,MMWR_TRAD_AGG_RO_COMP[],E$1,0),"ERROR")</f>
        <v>859</v>
      </c>
      <c r="F30" s="191">
        <f>IFERROR(VLOOKUP($B30,MMWR_TRAD_AGG_RO_COMP[],F$1,0),"ERROR")</f>
        <v>152</v>
      </c>
      <c r="G30" s="216">
        <f t="shared" si="0"/>
        <v>0.17694994179278231</v>
      </c>
      <c r="H30" s="190">
        <f>IFERROR(VLOOKUP($B30,MMWR_TRAD_AGG_RO_COMP[],H$1,0),"ERROR")</f>
        <v>193</v>
      </c>
      <c r="I30" s="191">
        <f>IFERROR(VLOOKUP($B30,MMWR_TRAD_AGG_RO_COMP[],I$1,0),"ERROR")</f>
        <v>15</v>
      </c>
      <c r="J30" s="216">
        <f t="shared" si="1"/>
        <v>7.7720207253886009E-2</v>
      </c>
      <c r="K30" s="204">
        <f>IFERROR(VLOOKUP($B30,MMWR_TRAD_AGG_RO_COMP[],K$1,0),"ERROR")</f>
        <v>90</v>
      </c>
      <c r="L30" s="205">
        <f>IFERROR(VLOOKUP($B30,MMWR_TRAD_AGG_RO_COMP[],L$1,0),"ERROR")</f>
        <v>38</v>
      </c>
      <c r="M30" s="216">
        <f t="shared" si="2"/>
        <v>0.42222222222222222</v>
      </c>
      <c r="N30" s="204">
        <f>IFERROR(VLOOKUP($B30,MMWR_TRAD_AGG_RO_COMP[],N$1,0),"ERROR")</f>
        <v>67</v>
      </c>
      <c r="O30" s="205">
        <f>IFERROR(VLOOKUP($B30,MMWR_TRAD_AGG_RO_COMP[],O$1,0),"ERROR")</f>
        <v>38</v>
      </c>
      <c r="P30" s="216">
        <f t="shared" si="3"/>
        <v>0.56716417910447758</v>
      </c>
      <c r="Q30" s="201">
        <f>IFERROR(VLOOKUP($B30,MMWR_TRAD_AGG_RO_COMP[],Q$1,0),"ERROR")</f>
        <v>0</v>
      </c>
      <c r="R30" s="201">
        <f>IFERROR(VLOOKUP($B30,MMWR_TRAD_AGG_RO_COMP[],R$1,0),"ERROR")</f>
        <v>1</v>
      </c>
      <c r="S30" s="201">
        <f>IFERROR(VLOOKUP($B30,MMWR_APP_RO[],S$1,0),"ERROR")</f>
        <v>608</v>
      </c>
      <c r="T30" s="25"/>
    </row>
    <row r="31" spans="1:20" x14ac:dyDescent="0.2">
      <c r="A31" s="107"/>
      <c r="B31" s="108" t="s">
        <v>48</v>
      </c>
      <c r="C31" s="209">
        <f>IFERROR(VLOOKUP($B31,MMWR_TRAD_AGG_RO_COMP[],C$1,0),"ERROR")</f>
        <v>6867</v>
      </c>
      <c r="D31" s="198">
        <f>IFERROR(VLOOKUP($B31,MMWR_TRAD_AGG_RO_COMP[],D$1,0),"ERROR")</f>
        <v>578.65385175480003</v>
      </c>
      <c r="E31" s="195">
        <f>IFERROR(VLOOKUP($B31,MMWR_TRAD_AGG_RO_COMP[],E$1,0),"ERROR")</f>
        <v>4767</v>
      </c>
      <c r="F31" s="191">
        <f>IFERROR(VLOOKUP($B31,MMWR_TRAD_AGG_RO_COMP[],F$1,0),"ERROR")</f>
        <v>1020</v>
      </c>
      <c r="G31" s="216">
        <f t="shared" si="0"/>
        <v>0.21397105097545627</v>
      </c>
      <c r="H31" s="190">
        <f>IFERROR(VLOOKUP($B31,MMWR_TRAD_AGG_RO_COMP[],H$1,0),"ERROR")</f>
        <v>10428</v>
      </c>
      <c r="I31" s="191">
        <f>IFERROR(VLOOKUP($B31,MMWR_TRAD_AGG_RO_COMP[],I$1,0),"ERROR")</f>
        <v>8234</v>
      </c>
      <c r="J31" s="216">
        <f t="shared" si="1"/>
        <v>0.78960490985807441</v>
      </c>
      <c r="K31" s="204">
        <f>IFERROR(VLOOKUP($B31,MMWR_TRAD_AGG_RO_COMP[],K$1,0),"ERROR")</f>
        <v>1926</v>
      </c>
      <c r="L31" s="205">
        <f>IFERROR(VLOOKUP($B31,MMWR_TRAD_AGG_RO_COMP[],L$1,0),"ERROR")</f>
        <v>1354</v>
      </c>
      <c r="M31" s="216">
        <f t="shared" si="2"/>
        <v>0.70301142263759087</v>
      </c>
      <c r="N31" s="204">
        <f>IFERROR(VLOOKUP($B31,MMWR_TRAD_AGG_RO_COMP[],N$1,0),"ERROR")</f>
        <v>1919</v>
      </c>
      <c r="O31" s="205">
        <f>IFERROR(VLOOKUP($B31,MMWR_TRAD_AGG_RO_COMP[],O$1,0),"ERROR")</f>
        <v>1426</v>
      </c>
      <c r="P31" s="216">
        <f t="shared" si="3"/>
        <v>0.7430953621677957</v>
      </c>
      <c r="Q31" s="201">
        <f>IFERROR(VLOOKUP($B31,MMWR_TRAD_AGG_RO_COMP[],Q$1,0),"ERROR")</f>
        <v>1</v>
      </c>
      <c r="R31" s="201">
        <f>IFERROR(VLOOKUP($B31,MMWR_TRAD_AGG_RO_COMP[],R$1,0),"ERROR")</f>
        <v>206</v>
      </c>
      <c r="S31" s="201">
        <f>IFERROR(VLOOKUP($B31,MMWR_APP_RO[],S$1,0),"ERROR")</f>
        <v>8311</v>
      </c>
      <c r="T31" s="25"/>
    </row>
    <row r="32" spans="1:20" x14ac:dyDescent="0.2">
      <c r="A32" s="107"/>
      <c r="B32" s="108" t="s">
        <v>50</v>
      </c>
      <c r="C32" s="209">
        <f>IFERROR(VLOOKUP($B32,MMWR_TRAD_AGG_RO_COMP[],C$1,0),"ERROR")</f>
        <v>1743</v>
      </c>
      <c r="D32" s="198">
        <f>IFERROR(VLOOKUP($B32,MMWR_TRAD_AGG_RO_COMP[],D$1,0),"ERROR")</f>
        <v>136.05966724039999</v>
      </c>
      <c r="E32" s="195">
        <f>IFERROR(VLOOKUP($B32,MMWR_TRAD_AGG_RO_COMP[],E$1,0),"ERROR")</f>
        <v>2171</v>
      </c>
      <c r="F32" s="191">
        <f>IFERROR(VLOOKUP($B32,MMWR_TRAD_AGG_RO_COMP[],F$1,0),"ERROR")</f>
        <v>321</v>
      </c>
      <c r="G32" s="216">
        <f t="shared" si="0"/>
        <v>0.14785812989405803</v>
      </c>
      <c r="H32" s="190">
        <f>IFERROR(VLOOKUP($B32,MMWR_TRAD_AGG_RO_COMP[],H$1,0),"ERROR")</f>
        <v>2864</v>
      </c>
      <c r="I32" s="191">
        <f>IFERROR(VLOOKUP($B32,MMWR_TRAD_AGG_RO_COMP[],I$1,0),"ERROR")</f>
        <v>1171</v>
      </c>
      <c r="J32" s="216">
        <f t="shared" si="1"/>
        <v>0.40886871508379891</v>
      </c>
      <c r="K32" s="204">
        <f>IFERROR(VLOOKUP($B32,MMWR_TRAD_AGG_RO_COMP[],K$1,0),"ERROR")</f>
        <v>817</v>
      </c>
      <c r="L32" s="205">
        <f>IFERROR(VLOOKUP($B32,MMWR_TRAD_AGG_RO_COMP[],L$1,0),"ERROR")</f>
        <v>579</v>
      </c>
      <c r="M32" s="216">
        <f t="shared" si="2"/>
        <v>0.70869033047735619</v>
      </c>
      <c r="N32" s="204">
        <f>IFERROR(VLOOKUP($B32,MMWR_TRAD_AGG_RO_COMP[],N$1,0),"ERROR")</f>
        <v>825</v>
      </c>
      <c r="O32" s="205">
        <f>IFERROR(VLOOKUP($B32,MMWR_TRAD_AGG_RO_COMP[],O$1,0),"ERROR")</f>
        <v>328</v>
      </c>
      <c r="P32" s="216">
        <f t="shared" si="3"/>
        <v>0.39757575757575758</v>
      </c>
      <c r="Q32" s="201">
        <f>IFERROR(VLOOKUP($B32,MMWR_TRAD_AGG_RO_COMP[],Q$1,0),"ERROR")</f>
        <v>2</v>
      </c>
      <c r="R32" s="201">
        <f>IFERROR(VLOOKUP($B32,MMWR_TRAD_AGG_RO_COMP[],R$1,0),"ERROR")</f>
        <v>16</v>
      </c>
      <c r="S32" s="201">
        <f>IFERROR(VLOOKUP($B32,MMWR_APP_RO[],S$1,0),"ERROR")</f>
        <v>1025</v>
      </c>
      <c r="T32" s="25"/>
    </row>
    <row r="33" spans="1:20" x14ac:dyDescent="0.2">
      <c r="A33" s="107"/>
      <c r="B33" s="108" t="s">
        <v>56</v>
      </c>
      <c r="C33" s="209">
        <f>IFERROR(VLOOKUP($B33,MMWR_TRAD_AGG_RO_COMP[],C$1,0),"ERROR")</f>
        <v>4558</v>
      </c>
      <c r="D33" s="198">
        <f>IFERROR(VLOOKUP($B33,MMWR_TRAD_AGG_RO_COMP[],D$1,0),"ERROR")</f>
        <v>201.0412461606</v>
      </c>
      <c r="E33" s="195">
        <f>IFERROR(VLOOKUP($B33,MMWR_TRAD_AGG_RO_COMP[],E$1,0),"ERROR")</f>
        <v>6211</v>
      </c>
      <c r="F33" s="191">
        <f>IFERROR(VLOOKUP($B33,MMWR_TRAD_AGG_RO_COMP[],F$1,0),"ERROR")</f>
        <v>1231</v>
      </c>
      <c r="G33" s="216">
        <f t="shared" si="0"/>
        <v>0.19819674770568346</v>
      </c>
      <c r="H33" s="190">
        <f>IFERROR(VLOOKUP($B33,MMWR_TRAD_AGG_RO_COMP[],H$1,0),"ERROR")</f>
        <v>6008</v>
      </c>
      <c r="I33" s="191">
        <f>IFERROR(VLOOKUP($B33,MMWR_TRAD_AGG_RO_COMP[],I$1,0),"ERROR")</f>
        <v>2868</v>
      </c>
      <c r="J33" s="216">
        <f t="shared" si="1"/>
        <v>0.4773635153129161</v>
      </c>
      <c r="K33" s="204">
        <f>IFERROR(VLOOKUP($B33,MMWR_TRAD_AGG_RO_COMP[],K$1,0),"ERROR")</f>
        <v>609</v>
      </c>
      <c r="L33" s="205">
        <f>IFERROR(VLOOKUP($B33,MMWR_TRAD_AGG_RO_COMP[],L$1,0),"ERROR")</f>
        <v>420</v>
      </c>
      <c r="M33" s="216">
        <f t="shared" si="2"/>
        <v>0.68965517241379315</v>
      </c>
      <c r="N33" s="204">
        <f>IFERROR(VLOOKUP($B33,MMWR_TRAD_AGG_RO_COMP[],N$1,0),"ERROR")</f>
        <v>622</v>
      </c>
      <c r="O33" s="205">
        <f>IFERROR(VLOOKUP($B33,MMWR_TRAD_AGG_RO_COMP[],O$1,0),"ERROR")</f>
        <v>315</v>
      </c>
      <c r="P33" s="216">
        <f t="shared" si="3"/>
        <v>0.50643086816720262</v>
      </c>
      <c r="Q33" s="201">
        <f>IFERROR(VLOOKUP($B33,MMWR_TRAD_AGG_RO_COMP[],Q$1,0),"ERROR")</f>
        <v>6561</v>
      </c>
      <c r="R33" s="201">
        <f>IFERROR(VLOOKUP($B33,MMWR_TRAD_AGG_RO_COMP[],R$1,0),"ERROR")</f>
        <v>0</v>
      </c>
      <c r="S33" s="201">
        <f>IFERROR(VLOOKUP($B33,MMWR_APP_RO[],S$1,0),"ERROR")</f>
        <v>3247</v>
      </c>
      <c r="T33" s="25"/>
    </row>
    <row r="34" spans="1:20" x14ac:dyDescent="0.2">
      <c r="A34" s="107"/>
      <c r="B34" s="108" t="s">
        <v>74</v>
      </c>
      <c r="C34" s="209">
        <f>IFERROR(VLOOKUP($B34,MMWR_TRAD_AGG_RO_COMP[],C$1,0),"ERROR")</f>
        <v>272</v>
      </c>
      <c r="D34" s="198">
        <f>IFERROR(VLOOKUP($B34,MMWR_TRAD_AGG_RO_COMP[],D$1,0),"ERROR")</f>
        <v>108.3235294118</v>
      </c>
      <c r="E34" s="195">
        <f>IFERROR(VLOOKUP($B34,MMWR_TRAD_AGG_RO_COMP[],E$1,0),"ERROR")</f>
        <v>855</v>
      </c>
      <c r="F34" s="191">
        <f>IFERROR(VLOOKUP($B34,MMWR_TRAD_AGG_RO_COMP[],F$1,0),"ERROR")</f>
        <v>168</v>
      </c>
      <c r="G34" s="216">
        <f t="shared" si="0"/>
        <v>0.19649122807017544</v>
      </c>
      <c r="H34" s="190">
        <f>IFERROR(VLOOKUP($B34,MMWR_TRAD_AGG_RO_COMP[],H$1,0),"ERROR")</f>
        <v>491</v>
      </c>
      <c r="I34" s="191">
        <f>IFERROR(VLOOKUP($B34,MMWR_TRAD_AGG_RO_COMP[],I$1,0),"ERROR")</f>
        <v>109</v>
      </c>
      <c r="J34" s="216">
        <f t="shared" si="1"/>
        <v>0.2219959266802444</v>
      </c>
      <c r="K34" s="204">
        <f>IFERROR(VLOOKUP($B34,MMWR_TRAD_AGG_RO_COMP[],K$1,0),"ERROR")</f>
        <v>362</v>
      </c>
      <c r="L34" s="205">
        <f>IFERROR(VLOOKUP($B34,MMWR_TRAD_AGG_RO_COMP[],L$1,0),"ERROR")</f>
        <v>140</v>
      </c>
      <c r="M34" s="216">
        <f t="shared" si="2"/>
        <v>0.38674033149171272</v>
      </c>
      <c r="N34" s="204">
        <f>IFERROR(VLOOKUP($B34,MMWR_TRAD_AGG_RO_COMP[],N$1,0),"ERROR")</f>
        <v>45</v>
      </c>
      <c r="O34" s="205">
        <f>IFERROR(VLOOKUP($B34,MMWR_TRAD_AGG_RO_COMP[],O$1,0),"ERROR")</f>
        <v>14</v>
      </c>
      <c r="P34" s="216">
        <f t="shared" si="3"/>
        <v>0.31111111111111112</v>
      </c>
      <c r="Q34" s="201">
        <f>IFERROR(VLOOKUP($B34,MMWR_TRAD_AGG_RO_COMP[],Q$1,0),"ERROR")</f>
        <v>0</v>
      </c>
      <c r="R34" s="201">
        <f>IFERROR(VLOOKUP($B34,MMWR_TRAD_AGG_RO_COMP[],R$1,0),"ERROR")</f>
        <v>0</v>
      </c>
      <c r="S34" s="201">
        <f>IFERROR(VLOOKUP($B34,MMWR_APP_RO[],S$1,0),"ERROR")</f>
        <v>208</v>
      </c>
      <c r="T34" s="25"/>
    </row>
    <row r="35" spans="1:20" x14ac:dyDescent="0.2">
      <c r="A35" s="107"/>
      <c r="B35" s="108" t="s">
        <v>75</v>
      </c>
      <c r="C35" s="209">
        <f>IFERROR(VLOOKUP($B35,MMWR_TRAD_AGG_RO_COMP[],C$1,0),"ERROR")</f>
        <v>4314</v>
      </c>
      <c r="D35" s="198">
        <f>IFERROR(VLOOKUP($B35,MMWR_TRAD_AGG_RO_COMP[],D$1,0),"ERROR")</f>
        <v>239.06907742230001</v>
      </c>
      <c r="E35" s="195">
        <f>IFERROR(VLOOKUP($B35,MMWR_TRAD_AGG_RO_COMP[],E$1,0),"ERROR")</f>
        <v>5768</v>
      </c>
      <c r="F35" s="191">
        <f>IFERROR(VLOOKUP($B35,MMWR_TRAD_AGG_RO_COMP[],F$1,0),"ERROR")</f>
        <v>1276</v>
      </c>
      <c r="G35" s="216">
        <f t="shared" si="0"/>
        <v>0.22122052704576978</v>
      </c>
      <c r="H35" s="190">
        <f>IFERROR(VLOOKUP($B35,MMWR_TRAD_AGG_RO_COMP[],H$1,0),"ERROR")</f>
        <v>5916</v>
      </c>
      <c r="I35" s="191">
        <f>IFERROR(VLOOKUP($B35,MMWR_TRAD_AGG_RO_COMP[],I$1,0),"ERROR")</f>
        <v>3469</v>
      </c>
      <c r="J35" s="216">
        <f t="shared" si="1"/>
        <v>0.58637592968221774</v>
      </c>
      <c r="K35" s="204">
        <f>IFERROR(VLOOKUP($B35,MMWR_TRAD_AGG_RO_COMP[],K$1,0),"ERROR")</f>
        <v>2286</v>
      </c>
      <c r="L35" s="205">
        <f>IFERROR(VLOOKUP($B35,MMWR_TRAD_AGG_RO_COMP[],L$1,0),"ERROR")</f>
        <v>1754</v>
      </c>
      <c r="M35" s="216">
        <f t="shared" si="2"/>
        <v>0.76727909011373574</v>
      </c>
      <c r="N35" s="204">
        <f>IFERROR(VLOOKUP($B35,MMWR_TRAD_AGG_RO_COMP[],N$1,0),"ERROR")</f>
        <v>4239</v>
      </c>
      <c r="O35" s="205">
        <f>IFERROR(VLOOKUP($B35,MMWR_TRAD_AGG_RO_COMP[],O$1,0),"ERROR")</f>
        <v>3780</v>
      </c>
      <c r="P35" s="216">
        <f t="shared" si="3"/>
        <v>0.89171974522292996</v>
      </c>
      <c r="Q35" s="201">
        <f>IFERROR(VLOOKUP($B35,MMWR_TRAD_AGG_RO_COMP[],Q$1,0),"ERROR")</f>
        <v>0</v>
      </c>
      <c r="R35" s="201">
        <f>IFERROR(VLOOKUP($B35,MMWR_TRAD_AGG_RO_COMP[],R$1,0),"ERROR")</f>
        <v>50</v>
      </c>
      <c r="S35" s="201">
        <f>IFERROR(VLOOKUP($B35,MMWR_APP_RO[],S$1,0),"ERROR")</f>
        <v>6428</v>
      </c>
      <c r="T35" s="25"/>
    </row>
    <row r="36" spans="1:20" x14ac:dyDescent="0.2">
      <c r="A36" s="28"/>
      <c r="B36" s="108" t="s">
        <v>76</v>
      </c>
      <c r="C36" s="219">
        <f>IFERROR(VLOOKUP($B36,MMWR_TRAD_AGG_RO_COMP[],C$1,0),"ERROR")</f>
        <v>2820</v>
      </c>
      <c r="D36" s="220">
        <f>IFERROR(VLOOKUP($B36,MMWR_TRAD_AGG_RO_COMP[],D$1,0),"ERROR")</f>
        <v>151.67234042550001</v>
      </c>
      <c r="E36" s="221">
        <f>IFERROR(VLOOKUP($B36,MMWR_TRAD_AGG_RO_COMP[],E$1,0),"ERROR")</f>
        <v>8935</v>
      </c>
      <c r="F36" s="222">
        <f>IFERROR(VLOOKUP($B36,MMWR_TRAD_AGG_RO_COMP[],F$1,0),"ERROR")</f>
        <v>1596</v>
      </c>
      <c r="G36" s="223">
        <f t="shared" si="0"/>
        <v>0.17862339115836598</v>
      </c>
      <c r="H36" s="224">
        <f>IFERROR(VLOOKUP($B36,MMWR_TRAD_AGG_RO_COMP[],H$1,0),"ERROR")</f>
        <v>10155</v>
      </c>
      <c r="I36" s="222">
        <f>IFERROR(VLOOKUP($B36,MMWR_TRAD_AGG_RO_COMP[],I$1,0),"ERROR")</f>
        <v>3359</v>
      </c>
      <c r="J36" s="223">
        <f t="shared" si="1"/>
        <v>0.33077301821762678</v>
      </c>
      <c r="K36" s="225">
        <f>IFERROR(VLOOKUP($B36,MMWR_TRAD_AGG_RO_COMP[],K$1,0),"ERROR")</f>
        <v>1407</v>
      </c>
      <c r="L36" s="226">
        <f>IFERROR(VLOOKUP($B36,MMWR_TRAD_AGG_RO_COMP[],L$1,0),"ERROR")</f>
        <v>319</v>
      </c>
      <c r="M36" s="223">
        <f t="shared" si="2"/>
        <v>0.2267235252309879</v>
      </c>
      <c r="N36" s="225">
        <f>IFERROR(VLOOKUP($B36,MMWR_TRAD_AGG_RO_COMP[],N$1,0),"ERROR")</f>
        <v>1205</v>
      </c>
      <c r="O36" s="226">
        <f>IFERROR(VLOOKUP($B36,MMWR_TRAD_AGG_RO_COMP[],O$1,0),"ERROR")</f>
        <v>623</v>
      </c>
      <c r="P36" s="223">
        <f t="shared" si="3"/>
        <v>0.51701244813278013</v>
      </c>
      <c r="Q36" s="227">
        <f>IFERROR(VLOOKUP($B36,MMWR_TRAD_AGG_RO_COMP[],Q$1,0),"ERROR")</f>
        <v>25</v>
      </c>
      <c r="R36" s="227">
        <f>IFERROR(VLOOKUP($B36,MMWR_TRAD_AGG_RO_COMP[],R$1,0),"ERROR")</f>
        <v>0</v>
      </c>
      <c r="S36" s="201">
        <f>IFERROR(VLOOKUP($B36,MMWR_APP_RO[],S$1,0),"ERROR")</f>
        <v>1789</v>
      </c>
      <c r="T36" s="28"/>
    </row>
    <row r="37" spans="1:20" x14ac:dyDescent="0.2">
      <c r="A37" s="28"/>
      <c r="B37" s="116" t="s">
        <v>81</v>
      </c>
      <c r="C37" s="228">
        <f>IFERROR(VLOOKUP($B37,MMWR_TRAD_AGG_RO_COMP[],C$1,0),"ERROR")</f>
        <v>1633</v>
      </c>
      <c r="D37" s="229">
        <f>IFERROR(VLOOKUP($B37,MMWR_TRAD_AGG_RO_COMP[],D$1,0),"ERROR")</f>
        <v>191.61910594</v>
      </c>
      <c r="E37" s="230">
        <f>IFERROR(VLOOKUP($B37,MMWR_TRAD_AGG_RO_COMP[],E$1,0),"ERROR")</f>
        <v>2367</v>
      </c>
      <c r="F37" s="231">
        <f>IFERROR(VLOOKUP($B37,MMWR_TRAD_AGG_RO_COMP[],F$1,0),"ERROR")</f>
        <v>440</v>
      </c>
      <c r="G37" s="232">
        <f t="shared" si="0"/>
        <v>0.18588931136459655</v>
      </c>
      <c r="H37" s="233">
        <f>IFERROR(VLOOKUP($B37,MMWR_TRAD_AGG_RO_COMP[],H$1,0),"ERROR")</f>
        <v>2330</v>
      </c>
      <c r="I37" s="231">
        <f>IFERROR(VLOOKUP($B37,MMWR_TRAD_AGG_RO_COMP[],I$1,0),"ERROR")</f>
        <v>1208</v>
      </c>
      <c r="J37" s="232">
        <f t="shared" si="1"/>
        <v>0.51845493562231759</v>
      </c>
      <c r="K37" s="234">
        <f>IFERROR(VLOOKUP($B37,MMWR_TRAD_AGG_RO_COMP[],K$1,0),"ERROR")</f>
        <v>1032</v>
      </c>
      <c r="L37" s="235">
        <f>IFERROR(VLOOKUP($B37,MMWR_TRAD_AGG_RO_COMP[],L$1,0),"ERROR")</f>
        <v>470</v>
      </c>
      <c r="M37" s="232">
        <f t="shared" si="2"/>
        <v>0.45542635658914726</v>
      </c>
      <c r="N37" s="234">
        <f>IFERROR(VLOOKUP($B37,MMWR_TRAD_AGG_RO_COMP[],N$1,0),"ERROR")</f>
        <v>223</v>
      </c>
      <c r="O37" s="235">
        <f>IFERROR(VLOOKUP($B37,MMWR_TRAD_AGG_RO_COMP[],O$1,0),"ERROR")</f>
        <v>108</v>
      </c>
      <c r="P37" s="232">
        <f t="shared" si="3"/>
        <v>0.48430493273542602</v>
      </c>
      <c r="Q37" s="236">
        <f>IFERROR(VLOOKUP($B37,MMWR_TRAD_AGG_RO_COMP[],Q$1,0),"ERROR")</f>
        <v>0</v>
      </c>
      <c r="R37" s="236">
        <f>IFERROR(VLOOKUP($B37,MMWR_TRAD_AGG_RO_COMP[],R$1,0),"ERROR")</f>
        <v>6</v>
      </c>
      <c r="S37" s="201">
        <f>IFERROR(VLOOKUP($B37,MMWR_APP_RO[],S$1,0),"ERROR")</f>
        <v>1170</v>
      </c>
      <c r="T37" s="28"/>
    </row>
    <row r="38" spans="1:20" x14ac:dyDescent="0.2">
      <c r="A38" s="28"/>
      <c r="B38" s="101" t="s">
        <v>386</v>
      </c>
      <c r="C38" s="212">
        <f>IFERROR(VLOOKUP($B38,MMWR_TRAD_AGG_DISTRICT_COMP[],C$1,0),"ERROR")</f>
        <v>52662</v>
      </c>
      <c r="D38" s="197">
        <f>IFERROR(VLOOKUP($B38,MMWR_TRAD_AGG_DISTRICT_COMP[],D$1,0),"ERROR")</f>
        <v>366.54471915229999</v>
      </c>
      <c r="E38" s="213">
        <f>IFERROR(VLOOKUP($B38,MMWR_TRAD_AGG_DISTRICT_COMP[],E$1,0),"ERROR")</f>
        <v>63401</v>
      </c>
      <c r="F38" s="218">
        <f>IFERROR(VLOOKUP($B38,MMWR_TRAD_AGG_DISTRICT_COMP[],F$1,0),"ERROR")</f>
        <v>15271</v>
      </c>
      <c r="G38" s="214">
        <f t="shared" si="0"/>
        <v>0.24086370877430954</v>
      </c>
      <c r="H38" s="218">
        <f>IFERROR(VLOOKUP($B38,MMWR_TRAD_AGG_DISTRICT_COMP[],H$1,0),"ERROR")</f>
        <v>79911</v>
      </c>
      <c r="I38" s="218">
        <f>IFERROR(VLOOKUP($B38,MMWR_TRAD_AGG_DISTRICT_COMP[],I$1,0),"ERROR")</f>
        <v>51564</v>
      </c>
      <c r="J38" s="214">
        <f t="shared" si="1"/>
        <v>0.64526786049480045</v>
      </c>
      <c r="K38" s="212">
        <f>IFERROR(VLOOKUP($B38,MMWR_TRAD_AGG_DISTRICT_COMP[],K$1,0),"ERROR")</f>
        <v>19860</v>
      </c>
      <c r="L38" s="212">
        <f>IFERROR(VLOOKUP($B38,MMWR_TRAD_AGG_DISTRICT_COMP[],L$1,0),"ERROR")</f>
        <v>13006</v>
      </c>
      <c r="M38" s="214">
        <f t="shared" si="2"/>
        <v>0.65488418932527692</v>
      </c>
      <c r="N38" s="212">
        <f>IFERROR(VLOOKUP($B38,MMWR_TRAD_AGG_DISTRICT_COMP[],N$1,0),"ERROR")</f>
        <v>17287</v>
      </c>
      <c r="O38" s="212">
        <f>IFERROR(VLOOKUP($B38,MMWR_TRAD_AGG_DISTRICT_COMP[],O$1,0),"ERROR")</f>
        <v>9168</v>
      </c>
      <c r="P38" s="214">
        <f t="shared" si="3"/>
        <v>0.53034071845895758</v>
      </c>
      <c r="Q38" s="212">
        <f>IFERROR(VLOOKUP($B38,MMWR_TRAD_AGG_DISTRICT_COMP[],Q$1,0),"ERROR")</f>
        <v>55</v>
      </c>
      <c r="R38" s="215">
        <f>IFERROR(VLOOKUP($B38,MMWR_TRAD_AGG_DISTRICT_COMP[],R$1,0),"ERROR")</f>
        <v>1118</v>
      </c>
      <c r="S38" s="215">
        <f>IFERROR(VLOOKUP($B38,MMWR_APP_RO[],S$1,0),"ERROR")</f>
        <v>68198</v>
      </c>
      <c r="T38" s="28"/>
    </row>
    <row r="39" spans="1:20" x14ac:dyDescent="0.2">
      <c r="A39" s="28"/>
      <c r="B39" s="108" t="s">
        <v>36</v>
      </c>
      <c r="C39" s="219">
        <f>IFERROR(VLOOKUP($B39,MMWR_TRAD_AGG_RO_COMP[],C$1,0),"ERROR")</f>
        <v>326</v>
      </c>
      <c r="D39" s="220">
        <f>IFERROR(VLOOKUP($B39,MMWR_TRAD_AGG_RO_COMP[],D$1,0),"ERROR")</f>
        <v>263.5644171779</v>
      </c>
      <c r="E39" s="221">
        <f>IFERROR(VLOOKUP($B39,MMWR_TRAD_AGG_RO_COMP[],E$1,0),"ERROR")</f>
        <v>809</v>
      </c>
      <c r="F39" s="222">
        <f>IFERROR(VLOOKUP($B39,MMWR_TRAD_AGG_RO_COMP[],F$1,0),"ERROR")</f>
        <v>93</v>
      </c>
      <c r="G39" s="223">
        <f t="shared" si="0"/>
        <v>0.11495673671199011</v>
      </c>
      <c r="H39" s="224">
        <f>IFERROR(VLOOKUP($B39,MMWR_TRAD_AGG_RO_COMP[],H$1,0),"ERROR")</f>
        <v>546</v>
      </c>
      <c r="I39" s="222">
        <f>IFERROR(VLOOKUP($B39,MMWR_TRAD_AGG_RO_COMP[],I$1,0),"ERROR")</f>
        <v>318</v>
      </c>
      <c r="J39" s="223">
        <f t="shared" si="1"/>
        <v>0.58241758241758246</v>
      </c>
      <c r="K39" s="225">
        <f>IFERROR(VLOOKUP($B39,MMWR_TRAD_AGG_RO_COMP[],K$1,0),"ERROR")</f>
        <v>136</v>
      </c>
      <c r="L39" s="226">
        <f>IFERROR(VLOOKUP($B39,MMWR_TRAD_AGG_RO_COMP[],L$1,0),"ERROR")</f>
        <v>56</v>
      </c>
      <c r="M39" s="223">
        <f t="shared" si="2"/>
        <v>0.41176470588235292</v>
      </c>
      <c r="N39" s="225">
        <f>IFERROR(VLOOKUP($B39,MMWR_TRAD_AGG_RO_COMP[],N$1,0),"ERROR")</f>
        <v>93</v>
      </c>
      <c r="O39" s="226">
        <f>IFERROR(VLOOKUP($B39,MMWR_TRAD_AGG_RO_COMP[],O$1,0),"ERROR")</f>
        <v>37</v>
      </c>
      <c r="P39" s="223">
        <f t="shared" si="3"/>
        <v>0.39784946236559138</v>
      </c>
      <c r="Q39" s="227">
        <f>IFERROR(VLOOKUP($B39,MMWR_TRAD_AGG_RO_COMP[],Q$1,0),"ERROR")</f>
        <v>2</v>
      </c>
      <c r="R39" s="227">
        <f>IFERROR(VLOOKUP($B39,MMWR_TRAD_AGG_RO_COMP[],R$1,0),"ERROR")</f>
        <v>4</v>
      </c>
      <c r="S39" s="201">
        <f>IFERROR(VLOOKUP($B39,MMWR_APP_RO[],S$1,0),"ERROR")</f>
        <v>244</v>
      </c>
      <c r="T39" s="28"/>
    </row>
    <row r="40" spans="1:20" x14ac:dyDescent="0.2">
      <c r="A40" s="28"/>
      <c r="B40" s="108" t="s">
        <v>40</v>
      </c>
      <c r="C40" s="219">
        <f>IFERROR(VLOOKUP($B40,MMWR_TRAD_AGG_RO_COMP[],C$1,0),"ERROR")</f>
        <v>7538</v>
      </c>
      <c r="D40" s="220">
        <f>IFERROR(VLOOKUP($B40,MMWR_TRAD_AGG_RO_COMP[],D$1,0),"ERROR")</f>
        <v>489.95250729639997</v>
      </c>
      <c r="E40" s="221">
        <f>IFERROR(VLOOKUP($B40,MMWR_TRAD_AGG_RO_COMP[],E$1,0),"ERROR")</f>
        <v>8127</v>
      </c>
      <c r="F40" s="222">
        <f>IFERROR(VLOOKUP($B40,MMWR_TRAD_AGG_RO_COMP[],F$1,0),"ERROR")</f>
        <v>2728</v>
      </c>
      <c r="G40" s="223">
        <f t="shared" si="0"/>
        <v>0.33567121939214961</v>
      </c>
      <c r="H40" s="224">
        <f>IFERROR(VLOOKUP($B40,MMWR_TRAD_AGG_RO_COMP[],H$1,0),"ERROR")</f>
        <v>9787</v>
      </c>
      <c r="I40" s="222">
        <f>IFERROR(VLOOKUP($B40,MMWR_TRAD_AGG_RO_COMP[],I$1,0),"ERROR")</f>
        <v>7357</v>
      </c>
      <c r="J40" s="223">
        <f t="shared" si="1"/>
        <v>0.75171145396955141</v>
      </c>
      <c r="K40" s="225">
        <f>IFERROR(VLOOKUP($B40,MMWR_TRAD_AGG_RO_COMP[],K$1,0),"ERROR")</f>
        <v>3143</v>
      </c>
      <c r="L40" s="226">
        <f>IFERROR(VLOOKUP($B40,MMWR_TRAD_AGG_RO_COMP[],L$1,0),"ERROR")</f>
        <v>2170</v>
      </c>
      <c r="M40" s="223">
        <f t="shared" si="2"/>
        <v>0.69042316258351888</v>
      </c>
      <c r="N40" s="225">
        <f>IFERROR(VLOOKUP($B40,MMWR_TRAD_AGG_RO_COMP[],N$1,0),"ERROR")</f>
        <v>819</v>
      </c>
      <c r="O40" s="226">
        <f>IFERROR(VLOOKUP($B40,MMWR_TRAD_AGG_RO_COMP[],O$1,0),"ERROR")</f>
        <v>416</v>
      </c>
      <c r="P40" s="223">
        <f t="shared" si="3"/>
        <v>0.50793650793650791</v>
      </c>
      <c r="Q40" s="227">
        <f>IFERROR(VLOOKUP($B40,MMWR_TRAD_AGG_RO_COMP[],Q$1,0),"ERROR")</f>
        <v>0</v>
      </c>
      <c r="R40" s="227">
        <f>IFERROR(VLOOKUP($B40,MMWR_TRAD_AGG_RO_COMP[],R$1,0),"ERROR")</f>
        <v>52</v>
      </c>
      <c r="S40" s="201">
        <f>IFERROR(VLOOKUP($B40,MMWR_APP_RO[],S$1,0),"ERROR")</f>
        <v>6407</v>
      </c>
      <c r="T40" s="28"/>
    </row>
    <row r="41" spans="1:20" x14ac:dyDescent="0.2">
      <c r="A41" s="28"/>
      <c r="B41" s="108" t="s">
        <v>181</v>
      </c>
      <c r="C41" s="219">
        <f>IFERROR(VLOOKUP($B41,MMWR_TRAD_AGG_RO_COMP[],C$1,0),"ERROR")</f>
        <v>430</v>
      </c>
      <c r="D41" s="220">
        <f>IFERROR(VLOOKUP($B41,MMWR_TRAD_AGG_RO_COMP[],D$1,0),"ERROR")</f>
        <v>149.1837209302</v>
      </c>
      <c r="E41" s="221">
        <f>IFERROR(VLOOKUP($B41,MMWR_TRAD_AGG_RO_COMP[],E$1,0),"ERROR")</f>
        <v>592</v>
      </c>
      <c r="F41" s="222">
        <f>IFERROR(VLOOKUP($B41,MMWR_TRAD_AGG_RO_COMP[],F$1,0),"ERROR")</f>
        <v>51</v>
      </c>
      <c r="G41" s="223">
        <f t="shared" si="0"/>
        <v>8.6148648648648643E-2</v>
      </c>
      <c r="H41" s="224">
        <f>IFERROR(VLOOKUP($B41,MMWR_TRAD_AGG_RO_COMP[],H$1,0),"ERROR")</f>
        <v>612</v>
      </c>
      <c r="I41" s="222">
        <f>IFERROR(VLOOKUP($B41,MMWR_TRAD_AGG_RO_COMP[],I$1,0),"ERROR")</f>
        <v>196</v>
      </c>
      <c r="J41" s="223">
        <f t="shared" si="1"/>
        <v>0.3202614379084967</v>
      </c>
      <c r="K41" s="225">
        <f>IFERROR(VLOOKUP($B41,MMWR_TRAD_AGG_RO_COMP[],K$1,0),"ERROR")</f>
        <v>437</v>
      </c>
      <c r="L41" s="226">
        <f>IFERROR(VLOOKUP($B41,MMWR_TRAD_AGG_RO_COMP[],L$1,0),"ERROR")</f>
        <v>127</v>
      </c>
      <c r="M41" s="223">
        <f t="shared" si="2"/>
        <v>0.29061784897025172</v>
      </c>
      <c r="N41" s="225">
        <f>IFERROR(VLOOKUP($B41,MMWR_TRAD_AGG_RO_COMP[],N$1,0),"ERROR")</f>
        <v>170</v>
      </c>
      <c r="O41" s="226">
        <f>IFERROR(VLOOKUP($B41,MMWR_TRAD_AGG_RO_COMP[],O$1,0),"ERROR")</f>
        <v>68</v>
      </c>
      <c r="P41" s="223">
        <f t="shared" si="3"/>
        <v>0.4</v>
      </c>
      <c r="Q41" s="227">
        <f>IFERROR(VLOOKUP($B41,MMWR_TRAD_AGG_RO_COMP[],Q$1,0),"ERROR")</f>
        <v>0</v>
      </c>
      <c r="R41" s="227">
        <f>IFERROR(VLOOKUP($B41,MMWR_TRAD_AGG_RO_COMP[],R$1,0),"ERROR")</f>
        <v>3</v>
      </c>
      <c r="S41" s="201">
        <f>IFERROR(VLOOKUP($B41,MMWR_APP_RO[],S$1,0),"ERROR")</f>
        <v>366</v>
      </c>
      <c r="T41" s="28"/>
    </row>
    <row r="42" spans="1:20" x14ac:dyDescent="0.2">
      <c r="A42" s="28"/>
      <c r="B42" s="108" t="s">
        <v>46</v>
      </c>
      <c r="C42" s="219">
        <f>IFERROR(VLOOKUP($B42,MMWR_TRAD_AGG_RO_COMP[],C$1,0),"ERROR")</f>
        <v>13150</v>
      </c>
      <c r="D42" s="220">
        <f>IFERROR(VLOOKUP($B42,MMWR_TRAD_AGG_RO_COMP[],D$1,0),"ERROR")</f>
        <v>351.05475285170002</v>
      </c>
      <c r="E42" s="221">
        <f>IFERROR(VLOOKUP($B42,MMWR_TRAD_AGG_RO_COMP[],E$1,0),"ERROR")</f>
        <v>15765</v>
      </c>
      <c r="F42" s="222">
        <f>IFERROR(VLOOKUP($B42,MMWR_TRAD_AGG_RO_COMP[],F$1,0),"ERROR")</f>
        <v>3920</v>
      </c>
      <c r="G42" s="223">
        <f t="shared" si="0"/>
        <v>0.24865207738661593</v>
      </c>
      <c r="H42" s="224">
        <f>IFERROR(VLOOKUP($B42,MMWR_TRAD_AGG_RO_COMP[],H$1,0),"ERROR")</f>
        <v>17352</v>
      </c>
      <c r="I42" s="222">
        <f>IFERROR(VLOOKUP($B42,MMWR_TRAD_AGG_RO_COMP[],I$1,0),"ERROR")</f>
        <v>12086</v>
      </c>
      <c r="J42" s="223">
        <f t="shared" si="1"/>
        <v>0.69651913324112491</v>
      </c>
      <c r="K42" s="225">
        <f>IFERROR(VLOOKUP($B42,MMWR_TRAD_AGG_RO_COMP[],K$1,0),"ERROR")</f>
        <v>3138</v>
      </c>
      <c r="L42" s="226">
        <f>IFERROR(VLOOKUP($B42,MMWR_TRAD_AGG_RO_COMP[],L$1,0),"ERROR")</f>
        <v>1819</v>
      </c>
      <c r="M42" s="223">
        <f t="shared" si="2"/>
        <v>0.57966857871255573</v>
      </c>
      <c r="N42" s="225">
        <f>IFERROR(VLOOKUP($B42,MMWR_TRAD_AGG_RO_COMP[],N$1,0),"ERROR")</f>
        <v>3439</v>
      </c>
      <c r="O42" s="226">
        <f>IFERROR(VLOOKUP($B42,MMWR_TRAD_AGG_RO_COMP[],O$1,0),"ERROR")</f>
        <v>2569</v>
      </c>
      <c r="P42" s="223">
        <f t="shared" si="3"/>
        <v>0.74701948240767668</v>
      </c>
      <c r="Q42" s="227">
        <f>IFERROR(VLOOKUP($B42,MMWR_TRAD_AGG_RO_COMP[],Q$1,0),"ERROR")</f>
        <v>1</v>
      </c>
      <c r="R42" s="227">
        <f>IFERROR(VLOOKUP($B42,MMWR_TRAD_AGG_RO_COMP[],R$1,0),"ERROR")</f>
        <v>230</v>
      </c>
      <c r="S42" s="201">
        <f>IFERROR(VLOOKUP($B42,MMWR_APP_RO[],S$1,0),"ERROR")</f>
        <v>20371</v>
      </c>
      <c r="T42" s="28"/>
    </row>
    <row r="43" spans="1:20" x14ac:dyDescent="0.2">
      <c r="A43" s="28"/>
      <c r="B43" s="108" t="s">
        <v>49</v>
      </c>
      <c r="C43" s="219">
        <f>IFERROR(VLOOKUP($B43,MMWR_TRAD_AGG_RO_COMP[],C$1,0),"ERROR")</f>
        <v>3829</v>
      </c>
      <c r="D43" s="220">
        <f>IFERROR(VLOOKUP($B43,MMWR_TRAD_AGG_RO_COMP[],D$1,0),"ERROR")</f>
        <v>416.1352833638</v>
      </c>
      <c r="E43" s="221">
        <f>IFERROR(VLOOKUP($B43,MMWR_TRAD_AGG_RO_COMP[],E$1,0),"ERROR")</f>
        <v>4107</v>
      </c>
      <c r="F43" s="222">
        <f>IFERROR(VLOOKUP($B43,MMWR_TRAD_AGG_RO_COMP[],F$1,0),"ERROR")</f>
        <v>1376</v>
      </c>
      <c r="G43" s="223">
        <f t="shared" si="0"/>
        <v>0.33503774044314583</v>
      </c>
      <c r="H43" s="224">
        <f>IFERROR(VLOOKUP($B43,MMWR_TRAD_AGG_RO_COMP[],H$1,0),"ERROR")</f>
        <v>5954</v>
      </c>
      <c r="I43" s="222">
        <f>IFERROR(VLOOKUP($B43,MMWR_TRAD_AGG_RO_COMP[],I$1,0),"ERROR")</f>
        <v>4486</v>
      </c>
      <c r="J43" s="223">
        <f t="shared" si="1"/>
        <v>0.75344306348673162</v>
      </c>
      <c r="K43" s="225">
        <f>IFERROR(VLOOKUP($B43,MMWR_TRAD_AGG_RO_COMP[],K$1,0),"ERROR")</f>
        <v>2115</v>
      </c>
      <c r="L43" s="226">
        <f>IFERROR(VLOOKUP($B43,MMWR_TRAD_AGG_RO_COMP[],L$1,0),"ERROR")</f>
        <v>1611</v>
      </c>
      <c r="M43" s="223">
        <f t="shared" si="2"/>
        <v>0.76170212765957446</v>
      </c>
      <c r="N43" s="225">
        <f>IFERROR(VLOOKUP($B43,MMWR_TRAD_AGG_RO_COMP[],N$1,0),"ERROR")</f>
        <v>2027</v>
      </c>
      <c r="O43" s="226">
        <f>IFERROR(VLOOKUP($B43,MMWR_TRAD_AGG_RO_COMP[],O$1,0),"ERROR")</f>
        <v>1661</v>
      </c>
      <c r="P43" s="223">
        <f t="shared" si="3"/>
        <v>0.81943759250123338</v>
      </c>
      <c r="Q43" s="227">
        <f>IFERROR(VLOOKUP($B43,MMWR_TRAD_AGG_RO_COMP[],Q$1,0),"ERROR")</f>
        <v>46</v>
      </c>
      <c r="R43" s="227">
        <f>IFERROR(VLOOKUP($B43,MMWR_TRAD_AGG_RO_COMP[],R$1,0),"ERROR")</f>
        <v>198</v>
      </c>
      <c r="S43" s="201">
        <f>IFERROR(VLOOKUP($B43,MMWR_APP_RO[],S$1,0),"ERROR")</f>
        <v>4634</v>
      </c>
      <c r="T43" s="28"/>
    </row>
    <row r="44" spans="1:20" x14ac:dyDescent="0.2">
      <c r="A44" s="28"/>
      <c r="B44" s="108" t="s">
        <v>51</v>
      </c>
      <c r="C44" s="219">
        <f>IFERROR(VLOOKUP($B44,MMWR_TRAD_AGG_RO_COMP[],C$1,0),"ERROR")</f>
        <v>3949</v>
      </c>
      <c r="D44" s="220">
        <f>IFERROR(VLOOKUP($B44,MMWR_TRAD_AGG_RO_COMP[],D$1,0),"ERROR")</f>
        <v>372.07900734359998</v>
      </c>
      <c r="E44" s="221">
        <f>IFERROR(VLOOKUP($B44,MMWR_TRAD_AGG_RO_COMP[],E$1,0),"ERROR")</f>
        <v>3288</v>
      </c>
      <c r="F44" s="222">
        <f>IFERROR(VLOOKUP($B44,MMWR_TRAD_AGG_RO_COMP[],F$1,0),"ERROR")</f>
        <v>555</v>
      </c>
      <c r="G44" s="223">
        <f t="shared" si="0"/>
        <v>0.16879562043795621</v>
      </c>
      <c r="H44" s="224">
        <f>IFERROR(VLOOKUP($B44,MMWR_TRAD_AGG_RO_COMP[],H$1,0),"ERROR")</f>
        <v>7516</v>
      </c>
      <c r="I44" s="222">
        <f>IFERROR(VLOOKUP($B44,MMWR_TRAD_AGG_RO_COMP[],I$1,0),"ERROR")</f>
        <v>4314</v>
      </c>
      <c r="J44" s="223">
        <f t="shared" si="1"/>
        <v>0.57397551889302822</v>
      </c>
      <c r="K44" s="225">
        <f>IFERROR(VLOOKUP($B44,MMWR_TRAD_AGG_RO_COMP[],K$1,0),"ERROR")</f>
        <v>3980</v>
      </c>
      <c r="L44" s="226">
        <f>IFERROR(VLOOKUP($B44,MMWR_TRAD_AGG_RO_COMP[],L$1,0),"ERROR")</f>
        <v>3244</v>
      </c>
      <c r="M44" s="223">
        <f t="shared" si="2"/>
        <v>0.81507537688442211</v>
      </c>
      <c r="N44" s="225">
        <f>IFERROR(VLOOKUP($B44,MMWR_TRAD_AGG_RO_COMP[],N$1,0),"ERROR")</f>
        <v>1469</v>
      </c>
      <c r="O44" s="226">
        <f>IFERROR(VLOOKUP($B44,MMWR_TRAD_AGG_RO_COMP[],O$1,0),"ERROR")</f>
        <v>762</v>
      </c>
      <c r="P44" s="223">
        <f t="shared" si="3"/>
        <v>0.51872021783526212</v>
      </c>
      <c r="Q44" s="227">
        <f>IFERROR(VLOOKUP($B44,MMWR_TRAD_AGG_RO_COMP[],Q$1,0),"ERROR")</f>
        <v>2</v>
      </c>
      <c r="R44" s="227">
        <f>IFERROR(VLOOKUP($B44,MMWR_TRAD_AGG_RO_COMP[],R$1,0),"ERROR")</f>
        <v>98</v>
      </c>
      <c r="S44" s="201">
        <f>IFERROR(VLOOKUP($B44,MMWR_APP_RO[],S$1,0),"ERROR")</f>
        <v>5309</v>
      </c>
      <c r="T44" s="28"/>
    </row>
    <row r="45" spans="1:20" x14ac:dyDescent="0.2">
      <c r="A45" s="28"/>
      <c r="B45" s="108" t="s">
        <v>27</v>
      </c>
      <c r="C45" s="219">
        <f>IFERROR(VLOOKUP($B45,MMWR_TRAD_AGG_RO_COMP[],C$1,0),"ERROR")</f>
        <v>1507</v>
      </c>
      <c r="D45" s="220">
        <f>IFERROR(VLOOKUP($B45,MMWR_TRAD_AGG_RO_COMP[],D$1,0),"ERROR")</f>
        <v>99.106171201099997</v>
      </c>
      <c r="E45" s="221">
        <f>IFERROR(VLOOKUP($B45,MMWR_TRAD_AGG_RO_COMP[],E$1,0),"ERROR")</f>
        <v>5445</v>
      </c>
      <c r="F45" s="222">
        <f>IFERROR(VLOOKUP($B45,MMWR_TRAD_AGG_RO_COMP[],F$1,0),"ERROR")</f>
        <v>933</v>
      </c>
      <c r="G45" s="223">
        <f t="shared" si="0"/>
        <v>0.17134986225895316</v>
      </c>
      <c r="H45" s="224">
        <f>IFERROR(VLOOKUP($B45,MMWR_TRAD_AGG_RO_COMP[],H$1,0),"ERROR")</f>
        <v>6804</v>
      </c>
      <c r="I45" s="222">
        <f>IFERROR(VLOOKUP($B45,MMWR_TRAD_AGG_RO_COMP[],I$1,0),"ERROR")</f>
        <v>2620</v>
      </c>
      <c r="J45" s="223">
        <f t="shared" si="1"/>
        <v>0.38506760728982953</v>
      </c>
      <c r="K45" s="225">
        <f>IFERROR(VLOOKUP($B45,MMWR_TRAD_AGG_RO_COMP[],K$1,0),"ERROR")</f>
        <v>1321</v>
      </c>
      <c r="L45" s="226">
        <f>IFERROR(VLOOKUP($B45,MMWR_TRAD_AGG_RO_COMP[],L$1,0),"ERROR")</f>
        <v>540</v>
      </c>
      <c r="M45" s="223">
        <f t="shared" si="2"/>
        <v>0.40878122634367903</v>
      </c>
      <c r="N45" s="225">
        <f>IFERROR(VLOOKUP($B45,MMWR_TRAD_AGG_RO_COMP[],N$1,0),"ERROR")</f>
        <v>1380</v>
      </c>
      <c r="O45" s="226">
        <f>IFERROR(VLOOKUP($B45,MMWR_TRAD_AGG_RO_COMP[],O$1,0),"ERROR")</f>
        <v>651</v>
      </c>
      <c r="P45" s="223">
        <f t="shared" si="3"/>
        <v>0.47173913043478261</v>
      </c>
      <c r="Q45" s="227">
        <f>IFERROR(VLOOKUP($B45,MMWR_TRAD_AGG_RO_COMP[],Q$1,0),"ERROR")</f>
        <v>0</v>
      </c>
      <c r="R45" s="227">
        <f>IFERROR(VLOOKUP($B45,MMWR_TRAD_AGG_RO_COMP[],R$1,0),"ERROR")</f>
        <v>72</v>
      </c>
      <c r="S45" s="201">
        <f>IFERROR(VLOOKUP($B45,MMWR_APP_RO[],S$1,0),"ERROR")</f>
        <v>4364</v>
      </c>
      <c r="T45" s="28"/>
    </row>
    <row r="46" spans="1:20" x14ac:dyDescent="0.2">
      <c r="A46" s="28"/>
      <c r="B46" s="108" t="s">
        <v>59</v>
      </c>
      <c r="C46" s="219">
        <f>IFERROR(VLOOKUP($B46,MMWR_TRAD_AGG_RO_COMP[],C$1,0),"ERROR")</f>
        <v>4315</v>
      </c>
      <c r="D46" s="220">
        <f>IFERROR(VLOOKUP($B46,MMWR_TRAD_AGG_RO_COMP[],D$1,0),"ERROR")</f>
        <v>445.03986095020002</v>
      </c>
      <c r="E46" s="221">
        <f>IFERROR(VLOOKUP($B46,MMWR_TRAD_AGG_RO_COMP[],E$1,0),"ERROR")</f>
        <v>5576</v>
      </c>
      <c r="F46" s="222">
        <f>IFERROR(VLOOKUP($B46,MMWR_TRAD_AGG_RO_COMP[],F$1,0),"ERROR")</f>
        <v>1435</v>
      </c>
      <c r="G46" s="223">
        <f t="shared" si="0"/>
        <v>0.25735294117647056</v>
      </c>
      <c r="H46" s="224">
        <f>IFERROR(VLOOKUP($B46,MMWR_TRAD_AGG_RO_COMP[],H$1,0),"ERROR")</f>
        <v>5554</v>
      </c>
      <c r="I46" s="222">
        <f>IFERROR(VLOOKUP($B46,MMWR_TRAD_AGG_RO_COMP[],I$1,0),"ERROR")</f>
        <v>3959</v>
      </c>
      <c r="J46" s="223">
        <f t="shared" si="1"/>
        <v>0.71281958948505586</v>
      </c>
      <c r="K46" s="225">
        <f>IFERROR(VLOOKUP($B46,MMWR_TRAD_AGG_RO_COMP[],K$1,0),"ERROR")</f>
        <v>981</v>
      </c>
      <c r="L46" s="226">
        <f>IFERROR(VLOOKUP($B46,MMWR_TRAD_AGG_RO_COMP[],L$1,0),"ERROR")</f>
        <v>627</v>
      </c>
      <c r="M46" s="223">
        <f t="shared" si="2"/>
        <v>0.63914373088685017</v>
      </c>
      <c r="N46" s="225">
        <f>IFERROR(VLOOKUP($B46,MMWR_TRAD_AGG_RO_COMP[],N$1,0),"ERROR")</f>
        <v>1335</v>
      </c>
      <c r="O46" s="226">
        <f>IFERROR(VLOOKUP($B46,MMWR_TRAD_AGG_RO_COMP[],O$1,0),"ERROR")</f>
        <v>907</v>
      </c>
      <c r="P46" s="223">
        <f t="shared" si="3"/>
        <v>0.67940074906367043</v>
      </c>
      <c r="Q46" s="227">
        <f>IFERROR(VLOOKUP($B46,MMWR_TRAD_AGG_RO_COMP[],Q$1,0),"ERROR")</f>
        <v>2</v>
      </c>
      <c r="R46" s="227">
        <f>IFERROR(VLOOKUP($B46,MMWR_TRAD_AGG_RO_COMP[],R$1,0),"ERROR")</f>
        <v>256</v>
      </c>
      <c r="S46" s="201">
        <f>IFERROR(VLOOKUP($B46,MMWR_APP_RO[],S$1,0),"ERROR")</f>
        <v>5772</v>
      </c>
      <c r="T46" s="28"/>
    </row>
    <row r="47" spans="1:20" x14ac:dyDescent="0.2">
      <c r="A47" s="28"/>
      <c r="B47" s="108" t="s">
        <v>70</v>
      </c>
      <c r="C47" s="219">
        <f>IFERROR(VLOOKUP($B47,MMWR_TRAD_AGG_RO_COMP[],C$1,0),"ERROR")</f>
        <v>6132</v>
      </c>
      <c r="D47" s="220">
        <f>IFERROR(VLOOKUP($B47,MMWR_TRAD_AGG_RO_COMP[],D$1,0),"ERROR")</f>
        <v>267.72031963469999</v>
      </c>
      <c r="E47" s="221">
        <f>IFERROR(VLOOKUP($B47,MMWR_TRAD_AGG_RO_COMP[],E$1,0),"ERROR")</f>
        <v>2311</v>
      </c>
      <c r="F47" s="222">
        <f>IFERROR(VLOOKUP($B47,MMWR_TRAD_AGG_RO_COMP[],F$1,0),"ERROR")</f>
        <v>578</v>
      </c>
      <c r="G47" s="223">
        <f t="shared" si="0"/>
        <v>0.2501081782778018</v>
      </c>
      <c r="H47" s="224">
        <f>IFERROR(VLOOKUP($B47,MMWR_TRAD_AGG_RO_COMP[],H$1,0),"ERROR")</f>
        <v>12116</v>
      </c>
      <c r="I47" s="222">
        <f>IFERROR(VLOOKUP($B47,MMWR_TRAD_AGG_RO_COMP[],I$1,0),"ERROR")</f>
        <v>7337</v>
      </c>
      <c r="J47" s="223">
        <f t="shared" si="1"/>
        <v>0.60556289204357872</v>
      </c>
      <c r="K47" s="225">
        <f>IFERROR(VLOOKUP($B47,MMWR_TRAD_AGG_RO_COMP[],K$1,0),"ERROR")</f>
        <v>1182</v>
      </c>
      <c r="L47" s="226">
        <f>IFERROR(VLOOKUP($B47,MMWR_TRAD_AGG_RO_COMP[],L$1,0),"ERROR")</f>
        <v>609</v>
      </c>
      <c r="M47" s="223">
        <f t="shared" si="2"/>
        <v>0.51522842639593913</v>
      </c>
      <c r="N47" s="225">
        <f>IFERROR(VLOOKUP($B47,MMWR_TRAD_AGG_RO_COMP[],N$1,0),"ERROR")</f>
        <v>326</v>
      </c>
      <c r="O47" s="226">
        <f>IFERROR(VLOOKUP($B47,MMWR_TRAD_AGG_RO_COMP[],O$1,0),"ERROR")</f>
        <v>122</v>
      </c>
      <c r="P47" s="223">
        <f t="shared" si="3"/>
        <v>0.37423312883435583</v>
      </c>
      <c r="Q47" s="227">
        <f>IFERROR(VLOOKUP($B47,MMWR_TRAD_AGG_RO_COMP[],Q$1,0),"ERROR")</f>
        <v>0</v>
      </c>
      <c r="R47" s="227">
        <f>IFERROR(VLOOKUP($B47,MMWR_TRAD_AGG_RO_COMP[],R$1,0),"ERROR")</f>
        <v>1</v>
      </c>
      <c r="S47" s="201">
        <f>IFERROR(VLOOKUP($B47,MMWR_APP_RO[],S$1,0),"ERROR")</f>
        <v>1231</v>
      </c>
      <c r="T47" s="28"/>
    </row>
    <row r="48" spans="1:20" x14ac:dyDescent="0.2">
      <c r="A48" s="28"/>
      <c r="B48" s="116" t="s">
        <v>79</v>
      </c>
      <c r="C48" s="228">
        <f>IFERROR(VLOOKUP($B48,MMWR_TRAD_AGG_RO_COMP[],C$1,0),"ERROR")</f>
        <v>11486</v>
      </c>
      <c r="D48" s="229">
        <f>IFERROR(VLOOKUP($B48,MMWR_TRAD_AGG_RO_COMP[],D$1,0),"ERROR")</f>
        <v>354.27407278430002</v>
      </c>
      <c r="E48" s="230">
        <f>IFERROR(VLOOKUP($B48,MMWR_TRAD_AGG_RO_COMP[],E$1,0),"ERROR")</f>
        <v>17381</v>
      </c>
      <c r="F48" s="231">
        <f>IFERROR(VLOOKUP($B48,MMWR_TRAD_AGG_RO_COMP[],F$1,0),"ERROR")</f>
        <v>3602</v>
      </c>
      <c r="G48" s="232">
        <f t="shared" si="0"/>
        <v>0.20723778838962084</v>
      </c>
      <c r="H48" s="233">
        <f>IFERROR(VLOOKUP($B48,MMWR_TRAD_AGG_RO_COMP[],H$1,0),"ERROR")</f>
        <v>13670</v>
      </c>
      <c r="I48" s="231">
        <f>IFERROR(VLOOKUP($B48,MMWR_TRAD_AGG_RO_COMP[],I$1,0),"ERROR")</f>
        <v>8891</v>
      </c>
      <c r="J48" s="232">
        <f t="shared" si="1"/>
        <v>0.65040234089246529</v>
      </c>
      <c r="K48" s="234">
        <f>IFERROR(VLOOKUP($B48,MMWR_TRAD_AGG_RO_COMP[],K$1,0),"ERROR")</f>
        <v>3427</v>
      </c>
      <c r="L48" s="235">
        <f>IFERROR(VLOOKUP($B48,MMWR_TRAD_AGG_RO_COMP[],L$1,0),"ERROR")</f>
        <v>2203</v>
      </c>
      <c r="M48" s="232">
        <f t="shared" si="2"/>
        <v>0.64283629997081992</v>
      </c>
      <c r="N48" s="234">
        <f>IFERROR(VLOOKUP($B48,MMWR_TRAD_AGG_RO_COMP[],N$1,0),"ERROR")</f>
        <v>6229</v>
      </c>
      <c r="O48" s="235">
        <f>IFERROR(VLOOKUP($B48,MMWR_TRAD_AGG_RO_COMP[],O$1,0),"ERROR")</f>
        <v>1975</v>
      </c>
      <c r="P48" s="232">
        <f t="shared" si="3"/>
        <v>0.3170653395408573</v>
      </c>
      <c r="Q48" s="236">
        <f>IFERROR(VLOOKUP($B48,MMWR_TRAD_AGG_RO_COMP[],Q$1,0),"ERROR")</f>
        <v>2</v>
      </c>
      <c r="R48" s="236">
        <f>IFERROR(VLOOKUP($B48,MMWR_TRAD_AGG_RO_COMP[],R$1,0),"ERROR")</f>
        <v>204</v>
      </c>
      <c r="S48" s="201">
        <f>IFERROR(VLOOKUP($B48,MMWR_APP_RO[],S$1,0),"ERROR")</f>
        <v>19500</v>
      </c>
      <c r="T48" s="28"/>
    </row>
    <row r="49" spans="1:20" x14ac:dyDescent="0.2">
      <c r="A49" s="28"/>
      <c r="B49" s="101" t="s">
        <v>405</v>
      </c>
      <c r="C49" s="212">
        <f>IFERROR(VLOOKUP($B49,MMWR_TRAD_AGG_DISTRICT_COMP[],C$1,0),"ERROR")</f>
        <v>55207</v>
      </c>
      <c r="D49" s="197">
        <f>IFERROR(VLOOKUP($B49,MMWR_TRAD_AGG_DISTRICT_COMP[],D$1,0),"ERROR")</f>
        <v>383.69956708389998</v>
      </c>
      <c r="E49" s="213">
        <f>IFERROR(VLOOKUP($B49,MMWR_TRAD_AGG_DISTRICT_COMP[],E$1,0),"ERROR")</f>
        <v>58412</v>
      </c>
      <c r="F49" s="218">
        <f>IFERROR(VLOOKUP($B49,MMWR_TRAD_AGG_DISTRICT_COMP[],F$1,0),"ERROR")</f>
        <v>13504</v>
      </c>
      <c r="G49" s="214">
        <f t="shared" si="0"/>
        <v>0.23118537286858865</v>
      </c>
      <c r="H49" s="218">
        <f>IFERROR(VLOOKUP($B49,MMWR_TRAD_AGG_DISTRICT_COMP[],H$1,0),"ERROR")</f>
        <v>80283</v>
      </c>
      <c r="I49" s="218">
        <f>IFERROR(VLOOKUP($B49,MMWR_TRAD_AGG_DISTRICT_COMP[],I$1,0),"ERROR")</f>
        <v>55355</v>
      </c>
      <c r="J49" s="214">
        <f t="shared" si="1"/>
        <v>0.6894983994120798</v>
      </c>
      <c r="K49" s="212">
        <f>IFERROR(VLOOKUP($B49,MMWR_TRAD_AGG_DISTRICT_COMP[],K$1,0),"ERROR")</f>
        <v>23876</v>
      </c>
      <c r="L49" s="212">
        <f>IFERROR(VLOOKUP($B49,MMWR_TRAD_AGG_DISTRICT_COMP[],L$1,0),"ERROR")</f>
        <v>17245</v>
      </c>
      <c r="M49" s="214">
        <f t="shared" si="2"/>
        <v>0.72227341263193168</v>
      </c>
      <c r="N49" s="212">
        <f>IFERROR(VLOOKUP($B49,MMWR_TRAD_AGG_DISTRICT_COMP[],N$1,0),"ERROR")</f>
        <v>19566</v>
      </c>
      <c r="O49" s="212">
        <f>IFERROR(VLOOKUP($B49,MMWR_TRAD_AGG_DISTRICT_COMP[],O$1,0),"ERROR")</f>
        <v>14147</v>
      </c>
      <c r="P49" s="214">
        <f t="shared" si="3"/>
        <v>0.72303996729019726</v>
      </c>
      <c r="Q49" s="212">
        <f>IFERROR(VLOOKUP($B49,MMWR_TRAD_AGG_DISTRICT_COMP[],Q$1,0),"ERROR")</f>
        <v>419</v>
      </c>
      <c r="R49" s="215">
        <f>IFERROR(VLOOKUP($B49,MMWR_TRAD_AGG_DISTRICT_COMP[],R$1,0),"ERROR")</f>
        <v>703</v>
      </c>
      <c r="S49" s="215">
        <f>IFERROR(VLOOKUP($B49,MMWR_APP_RO[],S$1,0),"ERROR")</f>
        <v>44065</v>
      </c>
      <c r="T49" s="28"/>
    </row>
    <row r="50" spans="1:20" x14ac:dyDescent="0.2">
      <c r="A50" s="28"/>
      <c r="B50" s="108" t="s">
        <v>31</v>
      </c>
      <c r="C50" s="219">
        <f>IFERROR(VLOOKUP($B50,MMWR_TRAD_AGG_RO_COMP[],C$1,0),"ERROR")</f>
        <v>958</v>
      </c>
      <c r="D50" s="220">
        <f>IFERROR(VLOOKUP($B50,MMWR_TRAD_AGG_RO_COMP[],D$1,0),"ERROR")</f>
        <v>136.95093945720001</v>
      </c>
      <c r="E50" s="221">
        <f>IFERROR(VLOOKUP($B50,MMWR_TRAD_AGG_RO_COMP[],E$1,0),"ERROR")</f>
        <v>2727</v>
      </c>
      <c r="F50" s="222">
        <f>IFERROR(VLOOKUP($B50,MMWR_TRAD_AGG_RO_COMP[],F$1,0),"ERROR")</f>
        <v>737</v>
      </c>
      <c r="G50" s="223">
        <f t="shared" si="0"/>
        <v>0.27026035936927029</v>
      </c>
      <c r="H50" s="224">
        <f>IFERROR(VLOOKUP($B50,MMWR_TRAD_AGG_RO_COMP[],H$1,0),"ERROR")</f>
        <v>1367</v>
      </c>
      <c r="I50" s="222">
        <f>IFERROR(VLOOKUP($B50,MMWR_TRAD_AGG_RO_COMP[],I$1,0),"ERROR")</f>
        <v>442</v>
      </c>
      <c r="J50" s="223">
        <f t="shared" si="1"/>
        <v>0.32333577176298461</v>
      </c>
      <c r="K50" s="225">
        <f>IFERROR(VLOOKUP($B50,MMWR_TRAD_AGG_RO_COMP[],K$1,0),"ERROR")</f>
        <v>341</v>
      </c>
      <c r="L50" s="226">
        <f>IFERROR(VLOOKUP($B50,MMWR_TRAD_AGG_RO_COMP[],L$1,0),"ERROR")</f>
        <v>105</v>
      </c>
      <c r="M50" s="223">
        <f t="shared" si="2"/>
        <v>0.30791788856304986</v>
      </c>
      <c r="N50" s="225">
        <f>IFERROR(VLOOKUP($B50,MMWR_TRAD_AGG_RO_COMP[],N$1,0),"ERROR")</f>
        <v>446</v>
      </c>
      <c r="O50" s="226">
        <f>IFERROR(VLOOKUP($B50,MMWR_TRAD_AGG_RO_COMP[],O$1,0),"ERROR")</f>
        <v>278</v>
      </c>
      <c r="P50" s="223">
        <f t="shared" si="3"/>
        <v>0.62331838565022424</v>
      </c>
      <c r="Q50" s="227">
        <f>IFERROR(VLOOKUP($B50,MMWR_TRAD_AGG_RO_COMP[],Q$1,0),"ERROR")</f>
        <v>0</v>
      </c>
      <c r="R50" s="227">
        <f>IFERROR(VLOOKUP($B50,MMWR_TRAD_AGG_RO_COMP[],R$1,0),"ERROR")</f>
        <v>10</v>
      </c>
      <c r="S50" s="201">
        <f>IFERROR(VLOOKUP($B50,MMWR_APP_RO[],S$1,0),"ERROR")</f>
        <v>1731</v>
      </c>
      <c r="T50" s="28"/>
    </row>
    <row r="51" spans="1:20" x14ac:dyDescent="0.2">
      <c r="A51" s="28"/>
      <c r="B51" s="108" t="s">
        <v>32</v>
      </c>
      <c r="C51" s="219">
        <f>IFERROR(VLOOKUP($B51,MMWR_TRAD_AGG_RO_COMP[],C$1,0),"ERROR")</f>
        <v>2023</v>
      </c>
      <c r="D51" s="220">
        <f>IFERROR(VLOOKUP($B51,MMWR_TRAD_AGG_RO_COMP[],D$1,0),"ERROR")</f>
        <v>473.57834898670001</v>
      </c>
      <c r="E51" s="221">
        <f>IFERROR(VLOOKUP($B51,MMWR_TRAD_AGG_RO_COMP[],E$1,0),"ERROR")</f>
        <v>1202</v>
      </c>
      <c r="F51" s="222">
        <f>IFERROR(VLOOKUP($B51,MMWR_TRAD_AGG_RO_COMP[],F$1,0),"ERROR")</f>
        <v>353</v>
      </c>
      <c r="G51" s="223">
        <f t="shared" si="0"/>
        <v>0.29367720465890185</v>
      </c>
      <c r="H51" s="224">
        <f>IFERROR(VLOOKUP($B51,MMWR_TRAD_AGG_RO_COMP[],H$1,0),"ERROR")</f>
        <v>2746</v>
      </c>
      <c r="I51" s="222">
        <f>IFERROR(VLOOKUP($B51,MMWR_TRAD_AGG_RO_COMP[],I$1,0),"ERROR")</f>
        <v>2081</v>
      </c>
      <c r="J51" s="223">
        <f t="shared" si="1"/>
        <v>0.75782957028404951</v>
      </c>
      <c r="K51" s="225">
        <f>IFERROR(VLOOKUP($B51,MMWR_TRAD_AGG_RO_COMP[],K$1,0),"ERROR")</f>
        <v>2100</v>
      </c>
      <c r="L51" s="226">
        <f>IFERROR(VLOOKUP($B51,MMWR_TRAD_AGG_RO_COMP[],L$1,0),"ERROR")</f>
        <v>1749</v>
      </c>
      <c r="M51" s="223">
        <f t="shared" si="2"/>
        <v>0.83285714285714285</v>
      </c>
      <c r="N51" s="225">
        <f>IFERROR(VLOOKUP($B51,MMWR_TRAD_AGG_RO_COMP[],N$1,0),"ERROR")</f>
        <v>551</v>
      </c>
      <c r="O51" s="226">
        <f>IFERROR(VLOOKUP($B51,MMWR_TRAD_AGG_RO_COMP[],O$1,0),"ERROR")</f>
        <v>270</v>
      </c>
      <c r="P51" s="223">
        <f t="shared" si="3"/>
        <v>0.49001814882032668</v>
      </c>
      <c r="Q51" s="227">
        <f>IFERROR(VLOOKUP($B51,MMWR_TRAD_AGG_RO_COMP[],Q$1,0),"ERROR")</f>
        <v>0</v>
      </c>
      <c r="R51" s="227">
        <f>IFERROR(VLOOKUP($B51,MMWR_TRAD_AGG_RO_COMP[],R$1,0),"ERROR")</f>
        <v>2</v>
      </c>
      <c r="S51" s="201">
        <f>IFERROR(VLOOKUP($B51,MMWR_APP_RO[],S$1,0),"ERROR")</f>
        <v>211</v>
      </c>
      <c r="T51" s="28"/>
    </row>
    <row r="52" spans="1:20" x14ac:dyDescent="0.2">
      <c r="A52" s="28"/>
      <c r="B52" s="108" t="s">
        <v>34</v>
      </c>
      <c r="C52" s="219">
        <f>IFERROR(VLOOKUP($B52,MMWR_TRAD_AGG_RO_COMP[],C$1,0),"ERROR")</f>
        <v>144</v>
      </c>
      <c r="D52" s="220">
        <f>IFERROR(VLOOKUP($B52,MMWR_TRAD_AGG_RO_COMP[],D$1,0),"ERROR")</f>
        <v>75.041666666699996</v>
      </c>
      <c r="E52" s="221">
        <f>IFERROR(VLOOKUP($B52,MMWR_TRAD_AGG_RO_COMP[],E$1,0),"ERROR")</f>
        <v>1326</v>
      </c>
      <c r="F52" s="222">
        <f>IFERROR(VLOOKUP($B52,MMWR_TRAD_AGG_RO_COMP[],F$1,0),"ERROR")</f>
        <v>279</v>
      </c>
      <c r="G52" s="223">
        <f t="shared" si="0"/>
        <v>0.21040723981900453</v>
      </c>
      <c r="H52" s="224">
        <f>IFERROR(VLOOKUP($B52,MMWR_TRAD_AGG_RO_COMP[],H$1,0),"ERROR")</f>
        <v>326</v>
      </c>
      <c r="I52" s="222">
        <f>IFERROR(VLOOKUP($B52,MMWR_TRAD_AGG_RO_COMP[],I$1,0),"ERROR")</f>
        <v>45</v>
      </c>
      <c r="J52" s="223">
        <f t="shared" si="1"/>
        <v>0.13803680981595093</v>
      </c>
      <c r="K52" s="225">
        <f>IFERROR(VLOOKUP($B52,MMWR_TRAD_AGG_RO_COMP[],K$1,0),"ERROR")</f>
        <v>224</v>
      </c>
      <c r="L52" s="226">
        <f>IFERROR(VLOOKUP($B52,MMWR_TRAD_AGG_RO_COMP[],L$1,0),"ERROR")</f>
        <v>21</v>
      </c>
      <c r="M52" s="223">
        <f t="shared" si="2"/>
        <v>9.375E-2</v>
      </c>
      <c r="N52" s="225">
        <f>IFERROR(VLOOKUP($B52,MMWR_TRAD_AGG_RO_COMP[],N$1,0),"ERROR")</f>
        <v>183</v>
      </c>
      <c r="O52" s="226">
        <f>IFERROR(VLOOKUP($B52,MMWR_TRAD_AGG_RO_COMP[],O$1,0),"ERROR")</f>
        <v>57</v>
      </c>
      <c r="P52" s="223">
        <f t="shared" si="3"/>
        <v>0.31147540983606559</v>
      </c>
      <c r="Q52" s="227">
        <f>IFERROR(VLOOKUP($B52,MMWR_TRAD_AGG_RO_COMP[],Q$1,0),"ERROR")</f>
        <v>0</v>
      </c>
      <c r="R52" s="227">
        <f>IFERROR(VLOOKUP($B52,MMWR_TRAD_AGG_RO_COMP[],R$1,0),"ERROR")</f>
        <v>2</v>
      </c>
      <c r="S52" s="201">
        <f>IFERROR(VLOOKUP($B52,MMWR_APP_RO[],S$1,0),"ERROR")</f>
        <v>943</v>
      </c>
      <c r="T52" s="28"/>
    </row>
    <row r="53" spans="1:20" x14ac:dyDescent="0.2">
      <c r="A53" s="28"/>
      <c r="B53" s="108" t="s">
        <v>45</v>
      </c>
      <c r="C53" s="219">
        <f>IFERROR(VLOOKUP($B53,MMWR_TRAD_AGG_RO_COMP[],C$1,0),"ERROR")</f>
        <v>1513</v>
      </c>
      <c r="D53" s="220">
        <f>IFERROR(VLOOKUP($B53,MMWR_TRAD_AGG_RO_COMP[],D$1,0),"ERROR")</f>
        <v>273.32055518840002</v>
      </c>
      <c r="E53" s="221">
        <f>IFERROR(VLOOKUP($B53,MMWR_TRAD_AGG_RO_COMP[],E$1,0),"ERROR")</f>
        <v>1977</v>
      </c>
      <c r="F53" s="222">
        <f>IFERROR(VLOOKUP($B53,MMWR_TRAD_AGG_RO_COMP[],F$1,0),"ERROR")</f>
        <v>427</v>
      </c>
      <c r="G53" s="223">
        <f t="shared" si="0"/>
        <v>0.21598381385938289</v>
      </c>
      <c r="H53" s="224">
        <f>IFERROR(VLOOKUP($B53,MMWR_TRAD_AGG_RO_COMP[],H$1,0),"ERROR")</f>
        <v>1875</v>
      </c>
      <c r="I53" s="222">
        <f>IFERROR(VLOOKUP($B53,MMWR_TRAD_AGG_RO_COMP[],I$1,0),"ERROR")</f>
        <v>1314</v>
      </c>
      <c r="J53" s="223">
        <f t="shared" si="1"/>
        <v>0.70079999999999998</v>
      </c>
      <c r="K53" s="225">
        <f>IFERROR(VLOOKUP($B53,MMWR_TRAD_AGG_RO_COMP[],K$1,0),"ERROR")</f>
        <v>981</v>
      </c>
      <c r="L53" s="226">
        <f>IFERROR(VLOOKUP($B53,MMWR_TRAD_AGG_RO_COMP[],L$1,0),"ERROR")</f>
        <v>548</v>
      </c>
      <c r="M53" s="223">
        <f t="shared" si="2"/>
        <v>0.55861365953109077</v>
      </c>
      <c r="N53" s="225">
        <f>IFERROR(VLOOKUP($B53,MMWR_TRAD_AGG_RO_COMP[],N$1,0),"ERROR")</f>
        <v>289</v>
      </c>
      <c r="O53" s="226">
        <f>IFERROR(VLOOKUP($B53,MMWR_TRAD_AGG_RO_COMP[],O$1,0),"ERROR")</f>
        <v>98</v>
      </c>
      <c r="P53" s="223">
        <f t="shared" si="3"/>
        <v>0.33910034602076122</v>
      </c>
      <c r="Q53" s="227">
        <f>IFERROR(VLOOKUP($B53,MMWR_TRAD_AGG_RO_COMP[],Q$1,0),"ERROR")</f>
        <v>0</v>
      </c>
      <c r="R53" s="227">
        <f>IFERROR(VLOOKUP($B53,MMWR_TRAD_AGG_RO_COMP[],R$1,0),"ERROR")</f>
        <v>1</v>
      </c>
      <c r="S53" s="201">
        <f>IFERROR(VLOOKUP($B53,MMWR_APP_RO[],S$1,0),"ERROR")</f>
        <v>1476</v>
      </c>
      <c r="T53" s="28"/>
    </row>
    <row r="54" spans="1:20" x14ac:dyDescent="0.2">
      <c r="A54" s="28"/>
      <c r="B54" s="108" t="s">
        <v>52</v>
      </c>
      <c r="C54" s="219">
        <f>IFERROR(VLOOKUP($B54,MMWR_TRAD_AGG_RO_COMP[],C$1,0),"ERROR")</f>
        <v>7469</v>
      </c>
      <c r="D54" s="220">
        <f>IFERROR(VLOOKUP($B54,MMWR_TRAD_AGG_RO_COMP[],D$1,0),"ERROR")</f>
        <v>393.92796893830001</v>
      </c>
      <c r="E54" s="221">
        <f>IFERROR(VLOOKUP($B54,MMWR_TRAD_AGG_RO_COMP[],E$1,0),"ERROR")</f>
        <v>9172</v>
      </c>
      <c r="F54" s="222">
        <f>IFERROR(VLOOKUP($B54,MMWR_TRAD_AGG_RO_COMP[],F$1,0),"ERROR")</f>
        <v>2069</v>
      </c>
      <c r="G54" s="223">
        <f t="shared" si="0"/>
        <v>0.22557784561709551</v>
      </c>
      <c r="H54" s="224">
        <f>IFERROR(VLOOKUP($B54,MMWR_TRAD_AGG_RO_COMP[],H$1,0),"ERROR")</f>
        <v>8969</v>
      </c>
      <c r="I54" s="222">
        <f>IFERROR(VLOOKUP($B54,MMWR_TRAD_AGG_RO_COMP[],I$1,0),"ERROR")</f>
        <v>6591</v>
      </c>
      <c r="J54" s="223">
        <f t="shared" si="1"/>
        <v>0.73486453339279745</v>
      </c>
      <c r="K54" s="225">
        <f>IFERROR(VLOOKUP($B54,MMWR_TRAD_AGG_RO_COMP[],K$1,0),"ERROR")</f>
        <v>1044</v>
      </c>
      <c r="L54" s="226">
        <f>IFERROR(VLOOKUP($B54,MMWR_TRAD_AGG_RO_COMP[],L$1,0),"ERROR")</f>
        <v>884</v>
      </c>
      <c r="M54" s="223">
        <f t="shared" si="2"/>
        <v>0.84674329501915713</v>
      </c>
      <c r="N54" s="225">
        <f>IFERROR(VLOOKUP($B54,MMWR_TRAD_AGG_RO_COMP[],N$1,0),"ERROR")</f>
        <v>3955</v>
      </c>
      <c r="O54" s="226">
        <f>IFERROR(VLOOKUP($B54,MMWR_TRAD_AGG_RO_COMP[],O$1,0),"ERROR")</f>
        <v>3315</v>
      </c>
      <c r="P54" s="223">
        <f t="shared" si="3"/>
        <v>0.83817951959544879</v>
      </c>
      <c r="Q54" s="227">
        <f>IFERROR(VLOOKUP($B54,MMWR_TRAD_AGG_RO_COMP[],Q$1,0),"ERROR")</f>
        <v>4</v>
      </c>
      <c r="R54" s="227">
        <f>IFERROR(VLOOKUP($B54,MMWR_TRAD_AGG_RO_COMP[],R$1,0),"ERROR")</f>
        <v>30</v>
      </c>
      <c r="S54" s="201">
        <f>IFERROR(VLOOKUP($B54,MMWR_APP_RO[],S$1,0),"ERROR")</f>
        <v>4867</v>
      </c>
      <c r="T54" s="28"/>
    </row>
    <row r="55" spans="1:20" x14ac:dyDescent="0.2">
      <c r="A55" s="28"/>
      <c r="B55" s="108" t="s">
        <v>55</v>
      </c>
      <c r="C55" s="219">
        <f>IFERROR(VLOOKUP($B55,MMWR_TRAD_AGG_RO_COMP[],C$1,0),"ERROR")</f>
        <v>747</v>
      </c>
      <c r="D55" s="220">
        <f>IFERROR(VLOOKUP($B55,MMWR_TRAD_AGG_RO_COMP[],D$1,0),"ERROR")</f>
        <v>189.18607764390001</v>
      </c>
      <c r="E55" s="221">
        <f>IFERROR(VLOOKUP($B55,MMWR_TRAD_AGG_RO_COMP[],E$1,0),"ERROR")</f>
        <v>864</v>
      </c>
      <c r="F55" s="222">
        <f>IFERROR(VLOOKUP($B55,MMWR_TRAD_AGG_RO_COMP[],F$1,0),"ERROR")</f>
        <v>245</v>
      </c>
      <c r="G55" s="223">
        <f t="shared" si="0"/>
        <v>0.28356481481481483</v>
      </c>
      <c r="H55" s="224">
        <f>IFERROR(VLOOKUP($B55,MMWR_TRAD_AGG_RO_COMP[],H$1,0),"ERROR")</f>
        <v>897</v>
      </c>
      <c r="I55" s="222">
        <f>IFERROR(VLOOKUP($B55,MMWR_TRAD_AGG_RO_COMP[],I$1,0),"ERROR")</f>
        <v>536</v>
      </c>
      <c r="J55" s="223">
        <f t="shared" si="1"/>
        <v>0.59754738015607578</v>
      </c>
      <c r="K55" s="225">
        <f>IFERROR(VLOOKUP($B55,MMWR_TRAD_AGG_RO_COMP[],K$1,0),"ERROR")</f>
        <v>268</v>
      </c>
      <c r="L55" s="226">
        <f>IFERROR(VLOOKUP($B55,MMWR_TRAD_AGG_RO_COMP[],L$1,0),"ERROR")</f>
        <v>102</v>
      </c>
      <c r="M55" s="223">
        <f t="shared" si="2"/>
        <v>0.38059701492537312</v>
      </c>
      <c r="N55" s="225">
        <f>IFERROR(VLOOKUP($B55,MMWR_TRAD_AGG_RO_COMP[],N$1,0),"ERROR")</f>
        <v>914</v>
      </c>
      <c r="O55" s="226">
        <f>IFERROR(VLOOKUP($B55,MMWR_TRAD_AGG_RO_COMP[],O$1,0),"ERROR")</f>
        <v>585</v>
      </c>
      <c r="P55" s="223">
        <f t="shared" si="3"/>
        <v>0.64004376367614879</v>
      </c>
      <c r="Q55" s="227">
        <f>IFERROR(VLOOKUP($B55,MMWR_TRAD_AGG_RO_COMP[],Q$1,0),"ERROR")</f>
        <v>412</v>
      </c>
      <c r="R55" s="227">
        <f>IFERROR(VLOOKUP($B55,MMWR_TRAD_AGG_RO_COMP[],R$1,0),"ERROR")</f>
        <v>150</v>
      </c>
      <c r="S55" s="201">
        <f>IFERROR(VLOOKUP($B55,MMWR_APP_RO[],S$1,0),"ERROR")</f>
        <v>947</v>
      </c>
      <c r="T55" s="28"/>
    </row>
    <row r="56" spans="1:20" x14ac:dyDescent="0.2">
      <c r="A56" s="28"/>
      <c r="B56" s="108" t="s">
        <v>62</v>
      </c>
      <c r="C56" s="219">
        <f>IFERROR(VLOOKUP($B56,MMWR_TRAD_AGG_RO_COMP[],C$1,0),"ERROR")</f>
        <v>11129</v>
      </c>
      <c r="D56" s="220">
        <f>IFERROR(VLOOKUP($B56,MMWR_TRAD_AGG_RO_COMP[],D$1,0),"ERROR")</f>
        <v>418.8762692066</v>
      </c>
      <c r="E56" s="221">
        <f>IFERROR(VLOOKUP($B56,MMWR_TRAD_AGG_RO_COMP[],E$1,0),"ERROR")</f>
        <v>11194</v>
      </c>
      <c r="F56" s="222">
        <f>IFERROR(VLOOKUP($B56,MMWR_TRAD_AGG_RO_COMP[],F$1,0),"ERROR")</f>
        <v>3071</v>
      </c>
      <c r="G56" s="223">
        <f t="shared" si="0"/>
        <v>0.27434339824906201</v>
      </c>
      <c r="H56" s="224">
        <f>IFERROR(VLOOKUP($B56,MMWR_TRAD_AGG_RO_COMP[],H$1,0),"ERROR")</f>
        <v>14496</v>
      </c>
      <c r="I56" s="222">
        <f>IFERROR(VLOOKUP($B56,MMWR_TRAD_AGG_RO_COMP[],I$1,0),"ERROR")</f>
        <v>11109</v>
      </c>
      <c r="J56" s="223">
        <f t="shared" si="1"/>
        <v>0.76634933774834435</v>
      </c>
      <c r="K56" s="225">
        <f>IFERROR(VLOOKUP($B56,MMWR_TRAD_AGG_RO_COMP[],K$1,0),"ERROR")</f>
        <v>4435</v>
      </c>
      <c r="L56" s="226">
        <f>IFERROR(VLOOKUP($B56,MMWR_TRAD_AGG_RO_COMP[],L$1,0),"ERROR")</f>
        <v>3699</v>
      </c>
      <c r="M56" s="223">
        <f t="shared" si="2"/>
        <v>0.83404735062006763</v>
      </c>
      <c r="N56" s="225">
        <f>IFERROR(VLOOKUP($B56,MMWR_TRAD_AGG_RO_COMP[],N$1,0),"ERROR")</f>
        <v>2327</v>
      </c>
      <c r="O56" s="226">
        <f>IFERROR(VLOOKUP($B56,MMWR_TRAD_AGG_RO_COMP[],O$1,0),"ERROR")</f>
        <v>1832</v>
      </c>
      <c r="P56" s="223">
        <f t="shared" si="3"/>
        <v>0.7872797593467985</v>
      </c>
      <c r="Q56" s="227">
        <f>IFERROR(VLOOKUP($B56,MMWR_TRAD_AGG_RO_COMP[],Q$1,0),"ERROR")</f>
        <v>0</v>
      </c>
      <c r="R56" s="227">
        <f>IFERROR(VLOOKUP($B56,MMWR_TRAD_AGG_RO_COMP[],R$1,0),"ERROR")</f>
        <v>30</v>
      </c>
      <c r="S56" s="201">
        <f>IFERROR(VLOOKUP($B56,MMWR_APP_RO[],S$1,0),"ERROR")</f>
        <v>8617</v>
      </c>
      <c r="T56" s="28"/>
    </row>
    <row r="57" spans="1:20" x14ac:dyDescent="0.2">
      <c r="A57" s="28"/>
      <c r="B57" s="108" t="s">
        <v>64</v>
      </c>
      <c r="C57" s="219">
        <f>IFERROR(VLOOKUP($B57,MMWR_TRAD_AGG_RO_COMP[],C$1,0),"ERROR")</f>
        <v>3814</v>
      </c>
      <c r="D57" s="220">
        <f>IFERROR(VLOOKUP($B57,MMWR_TRAD_AGG_RO_COMP[],D$1,0),"ERROR")</f>
        <v>254.76271630830001</v>
      </c>
      <c r="E57" s="221">
        <f>IFERROR(VLOOKUP($B57,MMWR_TRAD_AGG_RO_COMP[],E$1,0),"ERROR")</f>
        <v>3932</v>
      </c>
      <c r="F57" s="222">
        <f>IFERROR(VLOOKUP($B57,MMWR_TRAD_AGG_RO_COMP[],F$1,0),"ERROR")</f>
        <v>966</v>
      </c>
      <c r="G57" s="223">
        <f t="shared" si="0"/>
        <v>0.24567650050864701</v>
      </c>
      <c r="H57" s="224">
        <f>IFERROR(VLOOKUP($B57,MMWR_TRAD_AGG_RO_COMP[],H$1,0),"ERROR")</f>
        <v>4640</v>
      </c>
      <c r="I57" s="222">
        <f>IFERROR(VLOOKUP($B57,MMWR_TRAD_AGG_RO_COMP[],I$1,0),"ERROR")</f>
        <v>2827</v>
      </c>
      <c r="J57" s="223">
        <f t="shared" si="1"/>
        <v>0.60926724137931032</v>
      </c>
      <c r="K57" s="225">
        <f>IFERROR(VLOOKUP($B57,MMWR_TRAD_AGG_RO_COMP[],K$1,0),"ERROR")</f>
        <v>980</v>
      </c>
      <c r="L57" s="226">
        <f>IFERROR(VLOOKUP($B57,MMWR_TRAD_AGG_RO_COMP[],L$1,0),"ERROR")</f>
        <v>309</v>
      </c>
      <c r="M57" s="223">
        <f t="shared" si="2"/>
        <v>0.3153061224489796</v>
      </c>
      <c r="N57" s="225">
        <f>IFERROR(VLOOKUP($B57,MMWR_TRAD_AGG_RO_COMP[],N$1,0),"ERROR")</f>
        <v>1122</v>
      </c>
      <c r="O57" s="226">
        <f>IFERROR(VLOOKUP($B57,MMWR_TRAD_AGG_RO_COMP[],O$1,0),"ERROR")</f>
        <v>634</v>
      </c>
      <c r="P57" s="223">
        <f t="shared" si="3"/>
        <v>0.56506238859180036</v>
      </c>
      <c r="Q57" s="227">
        <f>IFERROR(VLOOKUP($B57,MMWR_TRAD_AGG_RO_COMP[],Q$1,0),"ERROR")</f>
        <v>0</v>
      </c>
      <c r="R57" s="227">
        <f>IFERROR(VLOOKUP($B57,MMWR_TRAD_AGG_RO_COMP[],R$1,0),"ERROR")</f>
        <v>67</v>
      </c>
      <c r="S57" s="201">
        <f>IFERROR(VLOOKUP($B57,MMWR_APP_RO[],S$1,0),"ERROR")</f>
        <v>7220</v>
      </c>
      <c r="T57" s="28"/>
    </row>
    <row r="58" spans="1:20" x14ac:dyDescent="0.2">
      <c r="A58" s="28"/>
      <c r="B58" s="108" t="s">
        <v>66</v>
      </c>
      <c r="C58" s="219">
        <f>IFERROR(VLOOKUP($B58,MMWR_TRAD_AGG_RO_COMP[],C$1,0),"ERROR")</f>
        <v>6556</v>
      </c>
      <c r="D58" s="220">
        <f>IFERROR(VLOOKUP($B58,MMWR_TRAD_AGG_RO_COMP[],D$1,0),"ERROR")</f>
        <v>461.73215375230001</v>
      </c>
      <c r="E58" s="221">
        <f>IFERROR(VLOOKUP($B58,MMWR_TRAD_AGG_RO_COMP[],E$1,0),"ERROR")</f>
        <v>4452</v>
      </c>
      <c r="F58" s="222">
        <f>IFERROR(VLOOKUP($B58,MMWR_TRAD_AGG_RO_COMP[],F$1,0),"ERROR")</f>
        <v>1094</v>
      </c>
      <c r="G58" s="223">
        <f t="shared" si="0"/>
        <v>0.24573225516621744</v>
      </c>
      <c r="H58" s="224">
        <f>IFERROR(VLOOKUP($B58,MMWR_TRAD_AGG_RO_COMP[],H$1,0),"ERROR")</f>
        <v>8033</v>
      </c>
      <c r="I58" s="222">
        <f>IFERROR(VLOOKUP($B58,MMWR_TRAD_AGG_RO_COMP[],I$1,0),"ERROR")</f>
        <v>6224</v>
      </c>
      <c r="J58" s="223">
        <f t="shared" si="1"/>
        <v>0.77480393377318557</v>
      </c>
      <c r="K58" s="225">
        <f>IFERROR(VLOOKUP($B58,MMWR_TRAD_AGG_RO_COMP[],K$1,0),"ERROR")</f>
        <v>2935</v>
      </c>
      <c r="L58" s="226">
        <f>IFERROR(VLOOKUP($B58,MMWR_TRAD_AGG_RO_COMP[],L$1,0),"ERROR")</f>
        <v>2744</v>
      </c>
      <c r="M58" s="223">
        <f t="shared" si="2"/>
        <v>0.93492333901192504</v>
      </c>
      <c r="N58" s="225">
        <f>IFERROR(VLOOKUP($B58,MMWR_TRAD_AGG_RO_COMP[],N$1,0),"ERROR")</f>
        <v>1960</v>
      </c>
      <c r="O58" s="226">
        <f>IFERROR(VLOOKUP($B58,MMWR_TRAD_AGG_RO_COMP[],O$1,0),"ERROR")</f>
        <v>1164</v>
      </c>
      <c r="P58" s="223">
        <f t="shared" si="3"/>
        <v>0.59387755102040818</v>
      </c>
      <c r="Q58" s="227">
        <f>IFERROR(VLOOKUP($B58,MMWR_TRAD_AGG_RO_COMP[],Q$1,0),"ERROR")</f>
        <v>1</v>
      </c>
      <c r="R58" s="227">
        <f>IFERROR(VLOOKUP($B58,MMWR_TRAD_AGG_RO_COMP[],R$1,0),"ERROR")</f>
        <v>80</v>
      </c>
      <c r="S58" s="201">
        <f>IFERROR(VLOOKUP($B58,MMWR_APP_RO[],S$1,0),"ERROR")</f>
        <v>5425</v>
      </c>
      <c r="T58" s="28"/>
    </row>
    <row r="59" spans="1:20" x14ac:dyDescent="0.2">
      <c r="A59" s="28"/>
      <c r="B59" s="108" t="s">
        <v>68</v>
      </c>
      <c r="C59" s="219">
        <f>IFERROR(VLOOKUP($B59,MMWR_TRAD_AGG_RO_COMP[],C$1,0),"ERROR")</f>
        <v>2923</v>
      </c>
      <c r="D59" s="220">
        <f>IFERROR(VLOOKUP($B59,MMWR_TRAD_AGG_RO_COMP[],D$1,0),"ERROR")</f>
        <v>427.41703729049999</v>
      </c>
      <c r="E59" s="221">
        <f>IFERROR(VLOOKUP($B59,MMWR_TRAD_AGG_RO_COMP[],E$1,0),"ERROR")</f>
        <v>3366</v>
      </c>
      <c r="F59" s="222">
        <f>IFERROR(VLOOKUP($B59,MMWR_TRAD_AGG_RO_COMP[],F$1,0),"ERROR")</f>
        <v>815</v>
      </c>
      <c r="G59" s="223">
        <f t="shared" si="0"/>
        <v>0.24212715389185976</v>
      </c>
      <c r="H59" s="224">
        <f>IFERROR(VLOOKUP($B59,MMWR_TRAD_AGG_RO_COMP[],H$1,0),"ERROR")</f>
        <v>3467</v>
      </c>
      <c r="I59" s="222">
        <f>IFERROR(VLOOKUP($B59,MMWR_TRAD_AGG_RO_COMP[],I$1,0),"ERROR")</f>
        <v>2467</v>
      </c>
      <c r="J59" s="223">
        <f t="shared" si="1"/>
        <v>0.7115661955581194</v>
      </c>
      <c r="K59" s="225">
        <f>IFERROR(VLOOKUP($B59,MMWR_TRAD_AGG_RO_COMP[],K$1,0),"ERROR")</f>
        <v>586</v>
      </c>
      <c r="L59" s="226">
        <f>IFERROR(VLOOKUP($B59,MMWR_TRAD_AGG_RO_COMP[],L$1,0),"ERROR")</f>
        <v>404</v>
      </c>
      <c r="M59" s="223">
        <f t="shared" si="2"/>
        <v>0.68941979522184305</v>
      </c>
      <c r="N59" s="225">
        <f>IFERROR(VLOOKUP($B59,MMWR_TRAD_AGG_RO_COMP[],N$1,0),"ERROR")</f>
        <v>1154</v>
      </c>
      <c r="O59" s="226">
        <f>IFERROR(VLOOKUP($B59,MMWR_TRAD_AGG_RO_COMP[],O$1,0),"ERROR")</f>
        <v>865</v>
      </c>
      <c r="P59" s="223">
        <f t="shared" si="3"/>
        <v>0.74956672443674177</v>
      </c>
      <c r="Q59" s="227">
        <f>IFERROR(VLOOKUP($B59,MMWR_TRAD_AGG_RO_COMP[],Q$1,0),"ERROR")</f>
        <v>0</v>
      </c>
      <c r="R59" s="227">
        <f>IFERROR(VLOOKUP($B59,MMWR_TRAD_AGG_RO_COMP[],R$1,0),"ERROR")</f>
        <v>120</v>
      </c>
      <c r="S59" s="201">
        <f>IFERROR(VLOOKUP($B59,MMWR_APP_RO[],S$1,0),"ERROR")</f>
        <v>3101</v>
      </c>
      <c r="T59" s="28"/>
    </row>
    <row r="60" spans="1:20" x14ac:dyDescent="0.2">
      <c r="A60" s="28"/>
      <c r="B60" s="108" t="s">
        <v>71</v>
      </c>
      <c r="C60" s="219">
        <f>IFERROR(VLOOKUP($B60,MMWR_TRAD_AGG_RO_COMP[],C$1,0),"ERROR")</f>
        <v>6864</v>
      </c>
      <c r="D60" s="220">
        <f>IFERROR(VLOOKUP($B60,MMWR_TRAD_AGG_RO_COMP[],D$1,0),"ERROR")</f>
        <v>352.56089743590002</v>
      </c>
      <c r="E60" s="221">
        <f>IFERROR(VLOOKUP($B60,MMWR_TRAD_AGG_RO_COMP[],E$1,0),"ERROR")</f>
        <v>11060</v>
      </c>
      <c r="F60" s="222">
        <f>IFERROR(VLOOKUP($B60,MMWR_TRAD_AGG_RO_COMP[],F$1,0),"ERROR")</f>
        <v>2211</v>
      </c>
      <c r="G60" s="223">
        <f t="shared" si="0"/>
        <v>0.19990958408679926</v>
      </c>
      <c r="H60" s="224">
        <f>IFERROR(VLOOKUP($B60,MMWR_TRAD_AGG_RO_COMP[],H$1,0),"ERROR")</f>
        <v>17475</v>
      </c>
      <c r="I60" s="222">
        <f>IFERROR(VLOOKUP($B60,MMWR_TRAD_AGG_RO_COMP[],I$1,0),"ERROR")</f>
        <v>10281</v>
      </c>
      <c r="J60" s="223">
        <f t="shared" si="1"/>
        <v>0.58832618025751071</v>
      </c>
      <c r="K60" s="225">
        <f>IFERROR(VLOOKUP($B60,MMWR_TRAD_AGG_RO_COMP[],K$1,0),"ERROR")</f>
        <v>5085</v>
      </c>
      <c r="L60" s="226">
        <f>IFERROR(VLOOKUP($B60,MMWR_TRAD_AGG_RO_COMP[],L$1,0),"ERROR")</f>
        <v>3110</v>
      </c>
      <c r="M60" s="223">
        <f t="shared" si="2"/>
        <v>0.61160275319567359</v>
      </c>
      <c r="N60" s="225">
        <f>IFERROR(VLOOKUP($B60,MMWR_TRAD_AGG_RO_COMP[],N$1,0),"ERROR")</f>
        <v>2336</v>
      </c>
      <c r="O60" s="226">
        <f>IFERROR(VLOOKUP($B60,MMWR_TRAD_AGG_RO_COMP[],O$1,0),"ERROR")</f>
        <v>1500</v>
      </c>
      <c r="P60" s="223">
        <f t="shared" si="3"/>
        <v>0.64212328767123283</v>
      </c>
      <c r="Q60" s="227">
        <f>IFERROR(VLOOKUP($B60,MMWR_TRAD_AGG_RO_COMP[],Q$1,0),"ERROR")</f>
        <v>0</v>
      </c>
      <c r="R60" s="227">
        <f>IFERROR(VLOOKUP($B60,MMWR_TRAD_AGG_RO_COMP[],R$1,0),"ERROR")</f>
        <v>60</v>
      </c>
      <c r="S60" s="201">
        <f>IFERROR(VLOOKUP($B60,MMWR_APP_RO[],S$1,0),"ERROR")</f>
        <v>4344</v>
      </c>
      <c r="T60" s="28"/>
    </row>
    <row r="61" spans="1:20" x14ac:dyDescent="0.2">
      <c r="A61" s="28"/>
      <c r="B61" s="116" t="s">
        <v>73</v>
      </c>
      <c r="C61" s="228">
        <f>IFERROR(VLOOKUP($B61,MMWR_TRAD_AGG_RO_COMP[],C$1,0),"ERROR")</f>
        <v>11067</v>
      </c>
      <c r="D61" s="229">
        <f>IFERROR(VLOOKUP($B61,MMWR_TRAD_AGG_RO_COMP[],D$1,0),"ERROR")</f>
        <v>384.56410951480001</v>
      </c>
      <c r="E61" s="230">
        <f>IFERROR(VLOOKUP($B61,MMWR_TRAD_AGG_RO_COMP[],E$1,0),"ERROR")</f>
        <v>7140</v>
      </c>
      <c r="F61" s="231">
        <f>IFERROR(VLOOKUP($B61,MMWR_TRAD_AGG_RO_COMP[],F$1,0),"ERROR")</f>
        <v>1237</v>
      </c>
      <c r="G61" s="232">
        <f t="shared" si="0"/>
        <v>0.17324929971988795</v>
      </c>
      <c r="H61" s="233">
        <f>IFERROR(VLOOKUP($B61,MMWR_TRAD_AGG_RO_COMP[],H$1,0),"ERROR")</f>
        <v>15992</v>
      </c>
      <c r="I61" s="231">
        <f>IFERROR(VLOOKUP($B61,MMWR_TRAD_AGG_RO_COMP[],I$1,0),"ERROR")</f>
        <v>11438</v>
      </c>
      <c r="J61" s="232">
        <f t="shared" si="1"/>
        <v>0.71523261630815405</v>
      </c>
      <c r="K61" s="234">
        <f>IFERROR(VLOOKUP($B61,MMWR_TRAD_AGG_RO_COMP[],K$1,0),"ERROR")</f>
        <v>4897</v>
      </c>
      <c r="L61" s="235">
        <f>IFERROR(VLOOKUP($B61,MMWR_TRAD_AGG_RO_COMP[],L$1,0),"ERROR")</f>
        <v>3570</v>
      </c>
      <c r="M61" s="232">
        <f t="shared" si="2"/>
        <v>0.7290177659791709</v>
      </c>
      <c r="N61" s="234">
        <f>IFERROR(VLOOKUP($B61,MMWR_TRAD_AGG_RO_COMP[],N$1,0),"ERROR")</f>
        <v>4329</v>
      </c>
      <c r="O61" s="235">
        <f>IFERROR(VLOOKUP($B61,MMWR_TRAD_AGG_RO_COMP[],O$1,0),"ERROR")</f>
        <v>3549</v>
      </c>
      <c r="P61" s="232">
        <f t="shared" si="3"/>
        <v>0.81981981981981977</v>
      </c>
      <c r="Q61" s="236">
        <f>IFERROR(VLOOKUP($B61,MMWR_TRAD_AGG_RO_COMP[],Q$1,0),"ERROR")</f>
        <v>2</v>
      </c>
      <c r="R61" s="236">
        <f>IFERROR(VLOOKUP($B61,MMWR_TRAD_AGG_RO_COMP[],R$1,0),"ERROR")</f>
        <v>151</v>
      </c>
      <c r="S61" s="201">
        <f>IFERROR(VLOOKUP($B61,MMWR_APP_RO[],S$1,0),"ERROR")</f>
        <v>5183</v>
      </c>
      <c r="T61" s="28"/>
    </row>
    <row r="62" spans="1:20" x14ac:dyDescent="0.2">
      <c r="A62" s="28"/>
      <c r="B62" s="101" t="s">
        <v>381</v>
      </c>
      <c r="C62" s="212">
        <f>IFERROR(VLOOKUP($B62,MMWR_TRAD_AGG_DISTRICT_COMP[],C$1,0),"ERROR")</f>
        <v>63828</v>
      </c>
      <c r="D62" s="197">
        <f>IFERROR(VLOOKUP($B62,MMWR_TRAD_AGG_DISTRICT_COMP[],D$1,0),"ERROR")</f>
        <v>347.70660211820001</v>
      </c>
      <c r="E62" s="213">
        <f>IFERROR(VLOOKUP($B62,MMWR_TRAD_AGG_DISTRICT_COMP[],E$1,0),"ERROR")</f>
        <v>67447</v>
      </c>
      <c r="F62" s="218">
        <f>IFERROR(VLOOKUP($B62,MMWR_TRAD_AGG_DISTRICT_COMP[],F$1,0),"ERROR")</f>
        <v>17814</v>
      </c>
      <c r="G62" s="214">
        <f t="shared" si="0"/>
        <v>0.26411849303897877</v>
      </c>
      <c r="H62" s="218">
        <f>IFERROR(VLOOKUP($B62,MMWR_TRAD_AGG_DISTRICT_COMP[],H$1,0),"ERROR")</f>
        <v>87491</v>
      </c>
      <c r="I62" s="218">
        <f>IFERROR(VLOOKUP($B62,MMWR_TRAD_AGG_DISTRICT_COMP[],I$1,0),"ERROR")</f>
        <v>59949</v>
      </c>
      <c r="J62" s="214">
        <f t="shared" si="1"/>
        <v>0.68520190648180956</v>
      </c>
      <c r="K62" s="212">
        <f>IFERROR(VLOOKUP($B62,MMWR_TRAD_AGG_DISTRICT_COMP[],K$1,0),"ERROR")</f>
        <v>26449</v>
      </c>
      <c r="L62" s="212">
        <f>IFERROR(VLOOKUP($B62,MMWR_TRAD_AGG_DISTRICT_COMP[],L$1,0),"ERROR")</f>
        <v>17926</v>
      </c>
      <c r="M62" s="214">
        <f t="shared" si="2"/>
        <v>0.67775719308858562</v>
      </c>
      <c r="N62" s="212">
        <f>IFERROR(VLOOKUP($B62,MMWR_TRAD_AGG_DISTRICT_COMP[],N$1,0),"ERROR")</f>
        <v>30335</v>
      </c>
      <c r="O62" s="212">
        <f>IFERROR(VLOOKUP($B62,MMWR_TRAD_AGG_DISTRICT_COMP[],O$1,0),"ERROR")</f>
        <v>22477</v>
      </c>
      <c r="P62" s="214">
        <f t="shared" si="3"/>
        <v>0.74095928795121146</v>
      </c>
      <c r="Q62" s="212">
        <f>IFERROR(VLOOKUP($B62,MMWR_TRAD_AGG_DISTRICT_COMP[],Q$1,0),"ERROR")</f>
        <v>150</v>
      </c>
      <c r="R62" s="215">
        <f>IFERROR(VLOOKUP($B62,MMWR_TRAD_AGG_DISTRICT_COMP[],R$1,0),"ERROR")</f>
        <v>1240</v>
      </c>
      <c r="S62" s="215">
        <f>IFERROR(VLOOKUP($B62,MMWR_APP_RO[],S$1,0),"ERROR")</f>
        <v>88999</v>
      </c>
      <c r="T62" s="28"/>
    </row>
    <row r="63" spans="1:20" x14ac:dyDescent="0.2">
      <c r="A63" s="28"/>
      <c r="B63" s="108" t="s">
        <v>25</v>
      </c>
      <c r="C63" s="219">
        <f>IFERROR(VLOOKUP($B63,MMWR_TRAD_AGG_RO_COMP[],C$1,0),"ERROR")</f>
        <v>12990</v>
      </c>
      <c r="D63" s="220">
        <f>IFERROR(VLOOKUP($B63,MMWR_TRAD_AGG_RO_COMP[],D$1,0),"ERROR")</f>
        <v>349.2929176289</v>
      </c>
      <c r="E63" s="221">
        <f>IFERROR(VLOOKUP($B63,MMWR_TRAD_AGG_RO_COMP[],E$1,0),"ERROR")</f>
        <v>16041</v>
      </c>
      <c r="F63" s="222">
        <f>IFERROR(VLOOKUP($B63,MMWR_TRAD_AGG_RO_COMP[],F$1,0),"ERROR")</f>
        <v>4485</v>
      </c>
      <c r="G63" s="223">
        <f t="shared" si="0"/>
        <v>0.27959603515990272</v>
      </c>
      <c r="H63" s="224">
        <f>IFERROR(VLOOKUP($B63,MMWR_TRAD_AGG_RO_COMP[],H$1,0),"ERROR")</f>
        <v>18432</v>
      </c>
      <c r="I63" s="222">
        <f>IFERROR(VLOOKUP($B63,MMWR_TRAD_AGG_RO_COMP[],I$1,0),"ERROR")</f>
        <v>13357</v>
      </c>
      <c r="J63" s="223">
        <f t="shared" si="1"/>
        <v>0.72466362847222221</v>
      </c>
      <c r="K63" s="225">
        <f>IFERROR(VLOOKUP($B63,MMWR_TRAD_AGG_RO_COMP[],K$1,0),"ERROR")</f>
        <v>7495</v>
      </c>
      <c r="L63" s="226">
        <f>IFERROR(VLOOKUP($B63,MMWR_TRAD_AGG_RO_COMP[],L$1,0),"ERROR")</f>
        <v>4974</v>
      </c>
      <c r="M63" s="223">
        <f t="shared" si="2"/>
        <v>0.66364242828552367</v>
      </c>
      <c r="N63" s="225">
        <f>IFERROR(VLOOKUP($B63,MMWR_TRAD_AGG_RO_COMP[],N$1,0),"ERROR")</f>
        <v>10843</v>
      </c>
      <c r="O63" s="226">
        <f>IFERROR(VLOOKUP($B63,MMWR_TRAD_AGG_RO_COMP[],O$1,0),"ERROR")</f>
        <v>10044</v>
      </c>
      <c r="P63" s="223">
        <f t="shared" si="3"/>
        <v>0.92631190629899474</v>
      </c>
      <c r="Q63" s="227">
        <f>IFERROR(VLOOKUP($B63,MMWR_TRAD_AGG_RO_COMP[],Q$1,0),"ERROR")</f>
        <v>63</v>
      </c>
      <c r="R63" s="227">
        <f>IFERROR(VLOOKUP($B63,MMWR_TRAD_AGG_RO_COMP[],R$1,0),"ERROR")</f>
        <v>9</v>
      </c>
      <c r="S63" s="201">
        <f>IFERROR(VLOOKUP($B63,MMWR_APP_RO[],S$1,0),"ERROR")</f>
        <v>17914</v>
      </c>
      <c r="T63" s="28"/>
    </row>
    <row r="64" spans="1:20" x14ac:dyDescent="0.2">
      <c r="A64" s="28"/>
      <c r="B64" s="108" t="s">
        <v>39</v>
      </c>
      <c r="C64" s="219">
        <f>IFERROR(VLOOKUP($B64,MMWR_TRAD_AGG_RO_COMP[],C$1,0),"ERROR")</f>
        <v>9446</v>
      </c>
      <c r="D64" s="220">
        <f>IFERROR(VLOOKUP($B64,MMWR_TRAD_AGG_RO_COMP[],D$1,0),"ERROR")</f>
        <v>293.32913402499997</v>
      </c>
      <c r="E64" s="221">
        <f>IFERROR(VLOOKUP($B64,MMWR_TRAD_AGG_RO_COMP[],E$1,0),"ERROR")</f>
        <v>8815</v>
      </c>
      <c r="F64" s="222">
        <f>IFERROR(VLOOKUP($B64,MMWR_TRAD_AGG_RO_COMP[],F$1,0),"ERROR")</f>
        <v>2406</v>
      </c>
      <c r="G64" s="223">
        <f t="shared" si="0"/>
        <v>0.27294384571752695</v>
      </c>
      <c r="H64" s="224">
        <f>IFERROR(VLOOKUP($B64,MMWR_TRAD_AGG_RO_COMP[],H$1,0),"ERROR")</f>
        <v>15399</v>
      </c>
      <c r="I64" s="222">
        <f>IFERROR(VLOOKUP($B64,MMWR_TRAD_AGG_RO_COMP[],I$1,0),"ERROR")</f>
        <v>10382</v>
      </c>
      <c r="J64" s="223">
        <f t="shared" si="1"/>
        <v>0.67419962335216577</v>
      </c>
      <c r="K64" s="225">
        <f>IFERROR(VLOOKUP($B64,MMWR_TRAD_AGG_RO_COMP[],K$1,0),"ERROR")</f>
        <v>2800</v>
      </c>
      <c r="L64" s="226">
        <f>IFERROR(VLOOKUP($B64,MMWR_TRAD_AGG_RO_COMP[],L$1,0),"ERROR")</f>
        <v>1767</v>
      </c>
      <c r="M64" s="223">
        <f t="shared" si="2"/>
        <v>0.63107142857142862</v>
      </c>
      <c r="N64" s="225">
        <f>IFERROR(VLOOKUP($B64,MMWR_TRAD_AGG_RO_COMP[],N$1,0),"ERROR")</f>
        <v>1366</v>
      </c>
      <c r="O64" s="226">
        <f>IFERROR(VLOOKUP($B64,MMWR_TRAD_AGG_RO_COMP[],O$1,0),"ERROR")</f>
        <v>537</v>
      </c>
      <c r="P64" s="223">
        <f t="shared" si="3"/>
        <v>0.39311859443631042</v>
      </c>
      <c r="Q64" s="227">
        <f>IFERROR(VLOOKUP($B64,MMWR_TRAD_AGG_RO_COMP[],Q$1,0),"ERROR")</f>
        <v>1</v>
      </c>
      <c r="R64" s="227">
        <f>IFERROR(VLOOKUP($B64,MMWR_TRAD_AGG_RO_COMP[],R$1,0),"ERROR")</f>
        <v>56</v>
      </c>
      <c r="S64" s="201">
        <f>IFERROR(VLOOKUP($B64,MMWR_APP_RO[],S$1,0),"ERROR")</f>
        <v>13090</v>
      </c>
      <c r="T64" s="28"/>
    </row>
    <row r="65" spans="1:20" x14ac:dyDescent="0.2">
      <c r="A65" s="28"/>
      <c r="B65" s="108" t="s">
        <v>53</v>
      </c>
      <c r="C65" s="219">
        <f>IFERROR(VLOOKUP($B65,MMWR_TRAD_AGG_RO_COMP[],C$1,0),"ERROR")</f>
        <v>7653</v>
      </c>
      <c r="D65" s="220">
        <f>IFERROR(VLOOKUP($B65,MMWR_TRAD_AGG_RO_COMP[],D$1,0),"ERROR")</f>
        <v>500.96184502810002</v>
      </c>
      <c r="E65" s="221">
        <f>IFERROR(VLOOKUP($B65,MMWR_TRAD_AGG_RO_COMP[],E$1,0),"ERROR")</f>
        <v>3894</v>
      </c>
      <c r="F65" s="222">
        <f>IFERROR(VLOOKUP($B65,MMWR_TRAD_AGG_RO_COMP[],F$1,0),"ERROR")</f>
        <v>948</v>
      </c>
      <c r="G65" s="223">
        <f t="shared" si="0"/>
        <v>0.24345146379044685</v>
      </c>
      <c r="H65" s="224">
        <f>IFERROR(VLOOKUP($B65,MMWR_TRAD_AGG_RO_COMP[],H$1,0),"ERROR")</f>
        <v>11261</v>
      </c>
      <c r="I65" s="222">
        <f>IFERROR(VLOOKUP($B65,MMWR_TRAD_AGG_RO_COMP[],I$1,0),"ERROR")</f>
        <v>8003</v>
      </c>
      <c r="J65" s="223">
        <f t="shared" si="1"/>
        <v>0.71068288784299793</v>
      </c>
      <c r="K65" s="225">
        <f>IFERROR(VLOOKUP($B65,MMWR_TRAD_AGG_RO_COMP[],K$1,0),"ERROR")</f>
        <v>3296</v>
      </c>
      <c r="L65" s="226">
        <f>IFERROR(VLOOKUP($B65,MMWR_TRAD_AGG_RO_COMP[],L$1,0),"ERROR")</f>
        <v>2793</v>
      </c>
      <c r="M65" s="223">
        <f t="shared" si="2"/>
        <v>0.84739077669902918</v>
      </c>
      <c r="N65" s="225">
        <f>IFERROR(VLOOKUP($B65,MMWR_TRAD_AGG_RO_COMP[],N$1,0),"ERROR")</f>
        <v>1258</v>
      </c>
      <c r="O65" s="226">
        <f>IFERROR(VLOOKUP($B65,MMWR_TRAD_AGG_RO_COMP[],O$1,0),"ERROR")</f>
        <v>596</v>
      </c>
      <c r="P65" s="223">
        <f t="shared" si="3"/>
        <v>0.47376788553259142</v>
      </c>
      <c r="Q65" s="227">
        <f>IFERROR(VLOOKUP($B65,MMWR_TRAD_AGG_RO_COMP[],Q$1,0),"ERROR")</f>
        <v>79</v>
      </c>
      <c r="R65" s="227">
        <f>IFERROR(VLOOKUP($B65,MMWR_TRAD_AGG_RO_COMP[],R$1,0),"ERROR")</f>
        <v>278</v>
      </c>
      <c r="S65" s="201">
        <f>IFERROR(VLOOKUP($B65,MMWR_APP_RO[],S$1,0),"ERROR")</f>
        <v>4859</v>
      </c>
      <c r="T65" s="28"/>
    </row>
    <row r="66" spans="1:20" x14ac:dyDescent="0.2">
      <c r="A66" s="28"/>
      <c r="B66" s="108" t="s">
        <v>57</v>
      </c>
      <c r="C66" s="219">
        <f>IFERROR(VLOOKUP($B66,MMWR_TRAD_AGG_RO_COMP[],C$1,0),"ERROR")</f>
        <v>12096</v>
      </c>
      <c r="D66" s="220">
        <f>IFERROR(VLOOKUP($B66,MMWR_TRAD_AGG_RO_COMP[],D$1,0),"ERROR")</f>
        <v>381.65343915339997</v>
      </c>
      <c r="E66" s="221">
        <f>IFERROR(VLOOKUP($B66,MMWR_TRAD_AGG_RO_COMP[],E$1,0),"ERROR")</f>
        <v>6963</v>
      </c>
      <c r="F66" s="222">
        <f>IFERROR(VLOOKUP($B66,MMWR_TRAD_AGG_RO_COMP[],F$1,0),"ERROR")</f>
        <v>1627</v>
      </c>
      <c r="G66" s="223">
        <f t="shared" si="0"/>
        <v>0.2336636507252621</v>
      </c>
      <c r="H66" s="224">
        <f>IFERROR(VLOOKUP($B66,MMWR_TRAD_AGG_RO_COMP[],H$1,0),"ERROR")</f>
        <v>13442</v>
      </c>
      <c r="I66" s="222">
        <f>IFERROR(VLOOKUP($B66,MMWR_TRAD_AGG_RO_COMP[],I$1,0),"ERROR")</f>
        <v>9989</v>
      </c>
      <c r="J66" s="223">
        <f t="shared" si="1"/>
        <v>0.74311858354411542</v>
      </c>
      <c r="K66" s="225">
        <f>IFERROR(VLOOKUP($B66,MMWR_TRAD_AGG_RO_COMP[],K$1,0),"ERROR")</f>
        <v>4579</v>
      </c>
      <c r="L66" s="226">
        <f>IFERROR(VLOOKUP($B66,MMWR_TRAD_AGG_RO_COMP[],L$1,0),"ERROR")</f>
        <v>3710</v>
      </c>
      <c r="M66" s="223">
        <f t="shared" si="2"/>
        <v>0.81022057217733134</v>
      </c>
      <c r="N66" s="225">
        <f>IFERROR(VLOOKUP($B66,MMWR_TRAD_AGG_RO_COMP[],N$1,0),"ERROR")</f>
        <v>1743</v>
      </c>
      <c r="O66" s="226">
        <f>IFERROR(VLOOKUP($B66,MMWR_TRAD_AGG_RO_COMP[],O$1,0),"ERROR")</f>
        <v>1081</v>
      </c>
      <c r="P66" s="223">
        <f t="shared" si="3"/>
        <v>0.62019506597819851</v>
      </c>
      <c r="Q66" s="227">
        <f>IFERROR(VLOOKUP($B66,MMWR_TRAD_AGG_RO_COMP[],Q$1,0),"ERROR")</f>
        <v>0</v>
      </c>
      <c r="R66" s="227">
        <f>IFERROR(VLOOKUP($B66,MMWR_TRAD_AGG_RO_COMP[],R$1,0),"ERROR")</f>
        <v>375</v>
      </c>
      <c r="S66" s="201">
        <f>IFERROR(VLOOKUP($B66,MMWR_APP_RO[],S$1,0),"ERROR")</f>
        <v>10214</v>
      </c>
      <c r="T66" s="28"/>
    </row>
    <row r="67" spans="1:20" x14ac:dyDescent="0.2">
      <c r="A67" s="28"/>
      <c r="B67" s="108" t="s">
        <v>58</v>
      </c>
      <c r="C67" s="219">
        <f>IFERROR(VLOOKUP($B67,MMWR_TRAD_AGG_RO_COMP[],C$1,0),"ERROR")</f>
        <v>4360</v>
      </c>
      <c r="D67" s="220">
        <f>IFERROR(VLOOKUP($B67,MMWR_TRAD_AGG_RO_COMP[],D$1,0),"ERROR")</f>
        <v>221.64678899079999</v>
      </c>
      <c r="E67" s="221">
        <f>IFERROR(VLOOKUP($B67,MMWR_TRAD_AGG_RO_COMP[],E$1,0),"ERROR")</f>
        <v>9530</v>
      </c>
      <c r="F67" s="222">
        <f>IFERROR(VLOOKUP($B67,MMWR_TRAD_AGG_RO_COMP[],F$1,0),"ERROR")</f>
        <v>2219</v>
      </c>
      <c r="G67" s="223">
        <f t="shared" si="0"/>
        <v>0.2328436516264428</v>
      </c>
      <c r="H67" s="224">
        <f>IFERROR(VLOOKUP($B67,MMWR_TRAD_AGG_RO_COMP[],H$1,0),"ERROR")</f>
        <v>7211</v>
      </c>
      <c r="I67" s="222">
        <f>IFERROR(VLOOKUP($B67,MMWR_TRAD_AGG_RO_COMP[],I$1,0),"ERROR")</f>
        <v>3533</v>
      </c>
      <c r="J67" s="223">
        <f t="shared" si="1"/>
        <v>0.48994591596172515</v>
      </c>
      <c r="K67" s="225">
        <f>IFERROR(VLOOKUP($B67,MMWR_TRAD_AGG_RO_COMP[],K$1,0),"ERROR")</f>
        <v>2890</v>
      </c>
      <c r="L67" s="226">
        <f>IFERROR(VLOOKUP($B67,MMWR_TRAD_AGG_RO_COMP[],L$1,0),"ERROR")</f>
        <v>1648</v>
      </c>
      <c r="M67" s="223">
        <f t="shared" si="2"/>
        <v>0.57024221453287194</v>
      </c>
      <c r="N67" s="225">
        <f>IFERROR(VLOOKUP($B67,MMWR_TRAD_AGG_RO_COMP[],N$1,0),"ERROR")</f>
        <v>1668</v>
      </c>
      <c r="O67" s="226">
        <f>IFERROR(VLOOKUP($B67,MMWR_TRAD_AGG_RO_COMP[],O$1,0),"ERROR")</f>
        <v>1086</v>
      </c>
      <c r="P67" s="223">
        <f t="shared" si="3"/>
        <v>0.65107913669064743</v>
      </c>
      <c r="Q67" s="227">
        <f>IFERROR(VLOOKUP($B67,MMWR_TRAD_AGG_RO_COMP[],Q$1,0),"ERROR")</f>
        <v>1</v>
      </c>
      <c r="R67" s="227">
        <f>IFERROR(VLOOKUP($B67,MMWR_TRAD_AGG_RO_COMP[],R$1,0),"ERROR")</f>
        <v>261</v>
      </c>
      <c r="S67" s="201">
        <f>IFERROR(VLOOKUP($B67,MMWR_APP_RO[],S$1,0),"ERROR")</f>
        <v>6629</v>
      </c>
      <c r="T67" s="28"/>
    </row>
    <row r="68" spans="1:20" x14ac:dyDescent="0.2">
      <c r="A68" s="28"/>
      <c r="B68" s="108" t="s">
        <v>72</v>
      </c>
      <c r="C68" s="219">
        <f>IFERROR(VLOOKUP($B68,MMWR_TRAD_AGG_RO_COMP[],C$1,0),"ERROR")</f>
        <v>1493</v>
      </c>
      <c r="D68" s="220">
        <f>IFERROR(VLOOKUP($B68,MMWR_TRAD_AGG_RO_COMP[],D$1,0),"ERROR")</f>
        <v>312.6651038178</v>
      </c>
      <c r="E68" s="221">
        <f>IFERROR(VLOOKUP($B68,MMWR_TRAD_AGG_RO_COMP[],E$1,0),"ERROR")</f>
        <v>3088</v>
      </c>
      <c r="F68" s="222">
        <f>IFERROR(VLOOKUP($B68,MMWR_TRAD_AGG_RO_COMP[],F$1,0),"ERROR")</f>
        <v>920</v>
      </c>
      <c r="G68" s="223">
        <f t="shared" si="0"/>
        <v>0.29792746113989638</v>
      </c>
      <c r="H68" s="224">
        <f>IFERROR(VLOOKUP($B68,MMWR_TRAD_AGG_RO_COMP[],H$1,0),"ERROR")</f>
        <v>2476</v>
      </c>
      <c r="I68" s="222">
        <f>IFERROR(VLOOKUP($B68,MMWR_TRAD_AGG_RO_COMP[],I$1,0),"ERROR")</f>
        <v>1844</v>
      </c>
      <c r="J68" s="223">
        <f t="shared" si="1"/>
        <v>0.74474959612277869</v>
      </c>
      <c r="K68" s="225">
        <f>IFERROR(VLOOKUP($B68,MMWR_TRAD_AGG_RO_COMP[],K$1,0),"ERROR")</f>
        <v>841</v>
      </c>
      <c r="L68" s="226">
        <f>IFERROR(VLOOKUP($B68,MMWR_TRAD_AGG_RO_COMP[],L$1,0),"ERROR")</f>
        <v>613</v>
      </c>
      <c r="M68" s="223">
        <f t="shared" si="2"/>
        <v>0.7288941736028538</v>
      </c>
      <c r="N68" s="225">
        <f>IFERROR(VLOOKUP($B68,MMWR_TRAD_AGG_RO_COMP[],N$1,0),"ERROR")</f>
        <v>1112</v>
      </c>
      <c r="O68" s="226">
        <f>IFERROR(VLOOKUP($B68,MMWR_TRAD_AGG_RO_COMP[],O$1,0),"ERROR")</f>
        <v>814</v>
      </c>
      <c r="P68" s="223">
        <f t="shared" si="3"/>
        <v>0.73201438848920863</v>
      </c>
      <c r="Q68" s="227">
        <f>IFERROR(VLOOKUP($B68,MMWR_TRAD_AGG_RO_COMP[],Q$1,0),"ERROR")</f>
        <v>0</v>
      </c>
      <c r="R68" s="227">
        <f>IFERROR(VLOOKUP($B68,MMWR_TRAD_AGG_RO_COMP[],R$1,0),"ERROR")</f>
        <v>3</v>
      </c>
      <c r="S68" s="201">
        <f>IFERROR(VLOOKUP($B68,MMWR_APP_RO[],S$1,0),"ERROR")</f>
        <v>5867</v>
      </c>
      <c r="T68" s="28"/>
    </row>
    <row r="69" spans="1:20" x14ac:dyDescent="0.2">
      <c r="A69" s="28"/>
      <c r="B69" s="116" t="s">
        <v>77</v>
      </c>
      <c r="C69" s="228">
        <f>IFERROR(VLOOKUP($B69,MMWR_TRAD_AGG_RO_COMP[],C$1,0),"ERROR")</f>
        <v>15790</v>
      </c>
      <c r="D69" s="229">
        <f>IFERROR(VLOOKUP($B69,MMWR_TRAD_AGG_RO_COMP[],D$1,0),"ERROR")</f>
        <v>316.76915769470003</v>
      </c>
      <c r="E69" s="230">
        <f>IFERROR(VLOOKUP($B69,MMWR_TRAD_AGG_RO_COMP[],E$1,0),"ERROR")</f>
        <v>19116</v>
      </c>
      <c r="F69" s="231">
        <f>IFERROR(VLOOKUP($B69,MMWR_TRAD_AGG_RO_COMP[],F$1,0),"ERROR")</f>
        <v>5209</v>
      </c>
      <c r="G69" s="232">
        <f t="shared" si="0"/>
        <v>0.27249424565808744</v>
      </c>
      <c r="H69" s="233">
        <f>IFERROR(VLOOKUP($B69,MMWR_TRAD_AGG_RO_COMP[],H$1,0),"ERROR")</f>
        <v>19270</v>
      </c>
      <c r="I69" s="231">
        <f>IFERROR(VLOOKUP($B69,MMWR_TRAD_AGG_RO_COMP[],I$1,0),"ERROR")</f>
        <v>12841</v>
      </c>
      <c r="J69" s="232">
        <f t="shared" si="1"/>
        <v>0.66637259989621178</v>
      </c>
      <c r="K69" s="234">
        <f>IFERROR(VLOOKUP($B69,MMWR_TRAD_AGG_RO_COMP[],K$1,0),"ERROR")</f>
        <v>4548</v>
      </c>
      <c r="L69" s="235">
        <f>IFERROR(VLOOKUP($B69,MMWR_TRAD_AGG_RO_COMP[],L$1,0),"ERROR")</f>
        <v>2421</v>
      </c>
      <c r="M69" s="232">
        <f t="shared" si="2"/>
        <v>0.53232189973614774</v>
      </c>
      <c r="N69" s="234">
        <f>IFERROR(VLOOKUP($B69,MMWR_TRAD_AGG_RO_COMP[],N$1,0),"ERROR")</f>
        <v>12345</v>
      </c>
      <c r="O69" s="235">
        <f>IFERROR(VLOOKUP($B69,MMWR_TRAD_AGG_RO_COMP[],O$1,0),"ERROR")</f>
        <v>8319</v>
      </c>
      <c r="P69" s="232">
        <f t="shared" si="3"/>
        <v>0.67387606318347504</v>
      </c>
      <c r="Q69" s="236">
        <f>IFERROR(VLOOKUP($B69,MMWR_TRAD_AGG_RO_COMP[],Q$1,0),"ERROR")</f>
        <v>6</v>
      </c>
      <c r="R69" s="236">
        <f>IFERROR(VLOOKUP($B69,MMWR_TRAD_AGG_RO_COMP[],R$1,0),"ERROR")</f>
        <v>258</v>
      </c>
      <c r="S69" s="201">
        <f>IFERROR(VLOOKUP($B69,MMWR_APP_RO[],S$1,0),"ERROR")</f>
        <v>30426</v>
      </c>
      <c r="T69" s="28"/>
    </row>
    <row r="70" spans="1:20" x14ac:dyDescent="0.2">
      <c r="A70" s="28"/>
      <c r="B70" s="101" t="s">
        <v>8</v>
      </c>
      <c r="C70" s="212">
        <f>IFERROR(VLOOKUP($B70,MMWR_TRAD_AGG_RO_COMP[],C$1,0),"ERROR")</f>
        <v>57</v>
      </c>
      <c r="D70" s="197">
        <f>IFERROR(VLOOKUP($B70,MMWR_TRAD_AGG_RO_COMP[],D$1,0),"ERROR")</f>
        <v>1092.1403508772</v>
      </c>
      <c r="E70" s="213">
        <f>IFERROR(VLOOKUP($B70,MMWR_TRAD_AGG_RO_COMP[],E$1,0),"ERROR")</f>
        <v>17</v>
      </c>
      <c r="F70" s="218">
        <f>IFERROR(VLOOKUP($B70,MMWR_TRAD_AGG_RO_COMP[],F$1,0),"ERROR")</f>
        <v>2</v>
      </c>
      <c r="G70" s="214">
        <f>IFERROR(F70/E70,"0%")</f>
        <v>0.11764705882352941</v>
      </c>
      <c r="H70" s="218">
        <f>IFERROR(VLOOKUP($B70,MMWR_TRAD_AGG_RO_COMP[],H$1,0),"ERROR")</f>
        <v>61</v>
      </c>
      <c r="I70" s="218">
        <f>IFERROR(VLOOKUP($B70,MMWR_TRAD_AGG_RO_COMP[],I$1,0),"ERROR")</f>
        <v>58</v>
      </c>
      <c r="J70" s="214">
        <f>IFERROR(I70/H70,"0%")</f>
        <v>0.95081967213114749</v>
      </c>
      <c r="K70" s="212">
        <f>IFERROR(VLOOKUP($B70,MMWR_TRAD_AGG_RO_COMP[],K$1,0),"ERROR")</f>
        <v>10</v>
      </c>
      <c r="L70" s="212">
        <f>IFERROR(VLOOKUP($B70,MMWR_TRAD_AGG_RO_COMP[],L$1,0),"ERROR")</f>
        <v>8</v>
      </c>
      <c r="M70" s="214">
        <f>IFERROR(L70/K70,"0%")</f>
        <v>0.8</v>
      </c>
      <c r="N70" s="212">
        <f>IFERROR(VLOOKUP($B70,MMWR_TRAD_AGG_RO_COMP[],N$1,0),"ERROR")</f>
        <v>50769</v>
      </c>
      <c r="O70" s="212">
        <f>IFERROR(VLOOKUP($B70,MMWR_TRAD_AGG_RO_COMP[],O$1,0),"ERROR")</f>
        <v>29307</v>
      </c>
      <c r="P70" s="214">
        <f>IFERROR(O70/N70,"0%")</f>
        <v>0.57726171482597644</v>
      </c>
      <c r="Q70" s="212">
        <f>IFERROR(VLOOKUP($B70,MMWR_TRAD_AGG_RO_COMP[],Q$1,0),"ERROR")</f>
        <v>0</v>
      </c>
      <c r="R70" s="215">
        <f>IFERROR(VLOOKUP($B70,MMWR_TRAD_AGG_RO_COMP[],R$1,0),"ERROR")</f>
        <v>1</v>
      </c>
      <c r="S70" s="215">
        <f>IFERROR(VLOOKUP($B70,MMWR_APP_RO[],S$1,0),"ERROR")</f>
        <v>10955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25120</v>
      </c>
      <c r="D75" s="238">
        <f>IFERROR(VLOOKUP($B75,MMWR_TRAD_AGG_RO_PEN[],D$1,0),"ERROR")</f>
        <v>74.674721337600005</v>
      </c>
      <c r="E75" s="237">
        <f>IFERROR(VLOOKUP($B75,MMWR_TRAD_AGG_RO_PEN[],E$1,0),"ERROR")</f>
        <v>31805</v>
      </c>
      <c r="F75" s="237">
        <f>IFERROR(VLOOKUP($B75,MMWR_TRAD_AGG_RO_PEN[],F$1,0),"ERROR")</f>
        <v>5726</v>
      </c>
      <c r="G75" s="239">
        <f>IFERROR(F75/E75,"0%")</f>
        <v>0.18003458575695647</v>
      </c>
      <c r="H75" s="237">
        <f>IFERROR(VLOOKUP($B75,MMWR_TRAD_AGG_RO_PEN[],H$1,0),"ERROR")</f>
        <v>33018</v>
      </c>
      <c r="I75" s="237">
        <f>IFERROR(VLOOKUP($B75,MMWR_TRAD_AGG_RO_PEN[],I$1,0),"ERROR")</f>
        <v>6595</v>
      </c>
      <c r="J75" s="239">
        <f>IFERROR(I75/H75,"0%")</f>
        <v>0.19973953601066086</v>
      </c>
      <c r="K75" s="237">
        <f>IFERROR(VLOOKUP($B75,MMWR_TRAD_AGG_RO_PEN[],K$1,0),"ERROR")</f>
        <v>355</v>
      </c>
      <c r="L75" s="237">
        <f>IFERROR(VLOOKUP($B75,MMWR_TRAD_AGG_RO_PEN[],L$1,0),"ERROR")</f>
        <v>326</v>
      </c>
      <c r="M75" s="239">
        <f>IFERROR(L75/K75,"0%")</f>
        <v>0.91830985915492958</v>
      </c>
      <c r="N75" s="237">
        <f>IFERROR(VLOOKUP($B75,MMWR_TRAD_AGG_RO_PEN[],N$1,0),"ERROR")</f>
        <v>1692</v>
      </c>
      <c r="O75" s="237">
        <f>IFERROR(VLOOKUP($B75,MMWR_TRAD_AGG_RO_PEN[],O$1,0),"ERROR")</f>
        <v>561</v>
      </c>
      <c r="P75" s="239">
        <f>IFERROR(O75/N75,"0%")</f>
        <v>0.33156028368794327</v>
      </c>
      <c r="Q75" s="237">
        <f>IFERROR(VLOOKUP($B75,MMWR_TRAD_AGG_RO_PEN[],Q$1,0),"ERROR")</f>
        <v>9506</v>
      </c>
      <c r="R75" s="240">
        <f>IFERROR(VLOOKUP($B75,MMWR_TRAD_AGG_RO_PEN[],R$1,0),"ERROR")</f>
        <v>6039</v>
      </c>
      <c r="S75" s="240">
        <f>IFERROR(VLOOKUP($B75,MMWR_APP_RO[],S$1,0),"ERROR")</f>
        <v>7048</v>
      </c>
      <c r="T75" s="28"/>
    </row>
    <row r="76" spans="1:20" x14ac:dyDescent="0.2">
      <c r="A76" s="107"/>
      <c r="B76" s="122" t="s">
        <v>210</v>
      </c>
      <c r="C76" s="241">
        <f>IFERROR(VLOOKUP($B76,MMWR_TRAD_AGG_RO_PEN[],C$1,0),"ERROR")</f>
        <v>14872</v>
      </c>
      <c r="D76" s="242">
        <f>IFERROR(VLOOKUP($B76,MMWR_TRAD_AGG_RO_PEN[],D$1,0),"ERROR")</f>
        <v>93.301775147900003</v>
      </c>
      <c r="E76" s="241">
        <f>IFERROR(VLOOKUP($B76,MMWR_TRAD_AGG_RO_PEN[],E$1,0),"ERROR")</f>
        <v>18038</v>
      </c>
      <c r="F76" s="241">
        <f>IFERROR(VLOOKUP($B76,MMWR_TRAD_AGG_RO_PEN[],F$1,0),"ERROR")</f>
        <v>4467</v>
      </c>
      <c r="G76" s="223">
        <f>IFERROR(F76/E76,"0%")</f>
        <v>0.24764386295598181</v>
      </c>
      <c r="H76" s="241">
        <f>IFERROR(VLOOKUP($B76,MMWR_TRAD_AGG_RO_PEN[],H$1,0),"ERROR")</f>
        <v>18969</v>
      </c>
      <c r="I76" s="241">
        <f>IFERROR(VLOOKUP($B76,MMWR_TRAD_AGG_RO_PEN[],I$1,0),"ERROR")</f>
        <v>5795</v>
      </c>
      <c r="J76" s="223">
        <f>IFERROR(I76/H76,"0%")</f>
        <v>0.30549844483104011</v>
      </c>
      <c r="K76" s="241">
        <f>IFERROR(VLOOKUP($B76,MMWR_TRAD_AGG_RO_PEN[],K$1,0),"ERROR")</f>
        <v>93</v>
      </c>
      <c r="L76" s="241">
        <f>IFERROR(VLOOKUP($B76,MMWR_TRAD_AGG_RO_PEN[],L$1,0),"ERROR")</f>
        <v>90</v>
      </c>
      <c r="M76" s="223">
        <f>IFERROR(L76/K76,"0%")</f>
        <v>0.967741935483871</v>
      </c>
      <c r="N76" s="241">
        <f>IFERROR(VLOOKUP($B76,MMWR_TRAD_AGG_RO_PEN[],N$1,0),"ERROR")</f>
        <v>850</v>
      </c>
      <c r="O76" s="241">
        <f>IFERROR(VLOOKUP($B76,MMWR_TRAD_AGG_RO_PEN[],O$1,0),"ERROR")</f>
        <v>272</v>
      </c>
      <c r="P76" s="223">
        <f>IFERROR(O76/N76,"0%")</f>
        <v>0.32</v>
      </c>
      <c r="Q76" s="241">
        <f>IFERROR(VLOOKUP($B76,MMWR_TRAD_AGG_RO_PEN[],Q$1,0),"ERROR")</f>
        <v>1475</v>
      </c>
      <c r="R76" s="241">
        <f>IFERROR(VLOOKUP($B76,MMWR_TRAD_AGG_RO_PEN[],R$1,0),"ERROR")</f>
        <v>4201</v>
      </c>
      <c r="S76" s="243">
        <f>IFERROR(VLOOKUP($B76,MMWR_APP_RO[],S$1,0),"ERROR")</f>
        <v>2727</v>
      </c>
      <c r="T76" s="28"/>
    </row>
    <row r="77" spans="1:20" x14ac:dyDescent="0.2">
      <c r="A77" s="107"/>
      <c r="B77" s="122" t="s">
        <v>209</v>
      </c>
      <c r="C77" s="241">
        <f>IFERROR(VLOOKUP($B77,MMWR_TRAD_AGG_RO_PEN[],C$1,0),"ERROR")</f>
        <v>6566</v>
      </c>
      <c r="D77" s="242">
        <f>IFERROR(VLOOKUP($B77,MMWR_TRAD_AGG_RO_PEN[],D$1,0),"ERROR")</f>
        <v>47.870240633599998</v>
      </c>
      <c r="E77" s="241">
        <f>IFERROR(VLOOKUP($B77,MMWR_TRAD_AGG_RO_PEN[],E$1,0),"ERROR")</f>
        <v>7472</v>
      </c>
      <c r="F77" s="241">
        <f>IFERROR(VLOOKUP($B77,MMWR_TRAD_AGG_RO_PEN[],F$1,0),"ERROR")</f>
        <v>890</v>
      </c>
      <c r="G77" s="223">
        <f>IFERROR(F77/E77,"0%")</f>
        <v>0.11911134903640257</v>
      </c>
      <c r="H77" s="241">
        <f>IFERROR(VLOOKUP($B77,MMWR_TRAD_AGG_RO_PEN[],H$1,0),"ERROR")</f>
        <v>8682</v>
      </c>
      <c r="I77" s="241">
        <f>IFERROR(VLOOKUP($B77,MMWR_TRAD_AGG_RO_PEN[],I$1,0),"ERROR")</f>
        <v>373</v>
      </c>
      <c r="J77" s="223">
        <f>IFERROR(I77/H77,"0%")</f>
        <v>4.296245104814559E-2</v>
      </c>
      <c r="K77" s="241">
        <f>IFERROR(VLOOKUP($B77,MMWR_TRAD_AGG_RO_PEN[],K$1,0),"ERROR")</f>
        <v>3</v>
      </c>
      <c r="L77" s="241">
        <f>IFERROR(VLOOKUP($B77,MMWR_TRAD_AGG_RO_PEN[],L$1,0),"ERROR")</f>
        <v>3</v>
      </c>
      <c r="M77" s="223">
        <f>IFERROR(L77/K77,"0%")</f>
        <v>1</v>
      </c>
      <c r="N77" s="241">
        <f>IFERROR(VLOOKUP($B77,MMWR_TRAD_AGG_RO_PEN[],N$1,0),"ERROR")</f>
        <v>471</v>
      </c>
      <c r="O77" s="241">
        <f>IFERROR(VLOOKUP($B77,MMWR_TRAD_AGG_RO_PEN[],O$1,0),"ERROR")</f>
        <v>90</v>
      </c>
      <c r="P77" s="223">
        <f>IFERROR(O77/N77,"0%")</f>
        <v>0.19108280254777071</v>
      </c>
      <c r="Q77" s="241">
        <f>IFERROR(VLOOKUP($B77,MMWR_TRAD_AGG_RO_PEN[],Q$1,0),"ERROR")</f>
        <v>1046</v>
      </c>
      <c r="R77" s="241">
        <f>IFERROR(VLOOKUP($B77,MMWR_TRAD_AGG_RO_PEN[],R$1,0),"ERROR")</f>
        <v>805</v>
      </c>
      <c r="S77" s="243">
        <f>IFERROR(VLOOKUP($B77,MMWR_APP_RO[],S$1,0),"ERROR")</f>
        <v>2656</v>
      </c>
      <c r="T77" s="28"/>
    </row>
    <row r="78" spans="1:20" x14ac:dyDescent="0.2">
      <c r="A78" s="107"/>
      <c r="B78" s="122" t="s">
        <v>212</v>
      </c>
      <c r="C78" s="241">
        <f>IFERROR(VLOOKUP($B78,MMWR_TRAD_AGG_RO_PEN[],C$1,0),"ERROR")</f>
        <v>3682</v>
      </c>
      <c r="D78" s="242">
        <f>IFERROR(VLOOKUP($B78,MMWR_TRAD_AGG_RO_PEN[],D$1,0),"ERROR")</f>
        <v>47.2376425856</v>
      </c>
      <c r="E78" s="241">
        <f>IFERROR(VLOOKUP($B78,MMWR_TRAD_AGG_RO_PEN[],E$1,0),"ERROR")</f>
        <v>6008</v>
      </c>
      <c r="F78" s="241">
        <f>IFERROR(VLOOKUP($B78,MMWR_TRAD_AGG_RO_PEN[],F$1,0),"ERROR")</f>
        <v>239</v>
      </c>
      <c r="G78" s="223">
        <f>IFERROR(F78/E78,"0%")</f>
        <v>3.978029294274301E-2</v>
      </c>
      <c r="H78" s="241">
        <f>IFERROR(VLOOKUP($B78,MMWR_TRAD_AGG_RO_PEN[],H$1,0),"ERROR")</f>
        <v>4859</v>
      </c>
      <c r="I78" s="241">
        <f>IFERROR(VLOOKUP($B78,MMWR_TRAD_AGG_RO_PEN[],I$1,0),"ERROR")</f>
        <v>75</v>
      </c>
      <c r="J78" s="223">
        <f>IFERROR(I78/H78,"0%")</f>
        <v>1.5435274747890512E-2</v>
      </c>
      <c r="K78" s="241">
        <f>IFERROR(VLOOKUP($B78,MMWR_TRAD_AGG_RO_PEN[],K$1,0),"ERROR")</f>
        <v>40</v>
      </c>
      <c r="L78" s="241">
        <f>IFERROR(VLOOKUP($B78,MMWR_TRAD_AGG_RO_PEN[],L$1,0),"ERROR")</f>
        <v>17</v>
      </c>
      <c r="M78" s="223">
        <f>IFERROR(L78/K78,"0%")</f>
        <v>0.42499999999999999</v>
      </c>
      <c r="N78" s="241">
        <f>IFERROR(VLOOKUP($B78,MMWR_TRAD_AGG_RO_PEN[],N$1,0),"ERROR")</f>
        <v>212</v>
      </c>
      <c r="O78" s="241">
        <f>IFERROR(VLOOKUP($B78,MMWR_TRAD_AGG_RO_PEN[],O$1,0),"ERROR")</f>
        <v>69</v>
      </c>
      <c r="P78" s="223">
        <f>IFERROR(O78/N78,"0%")</f>
        <v>0.32547169811320753</v>
      </c>
      <c r="Q78" s="241">
        <f>IFERROR(VLOOKUP($B78,MMWR_TRAD_AGG_RO_PEN[],Q$1,0),"ERROR")</f>
        <v>6980</v>
      </c>
      <c r="R78" s="241">
        <f>IFERROR(VLOOKUP($B78,MMWR_TRAD_AGG_RO_PEN[],R$1,0),"ERROR")</f>
        <v>1033</v>
      </c>
      <c r="S78" s="243">
        <f>IFERROR(VLOOKUP($B78,MMWR_APP_RO[],S$1,0),"ERROR")</f>
        <v>1665</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287</v>
      </c>
      <c r="F79" s="218">
        <f>IFERROR(VLOOKUP($B79,MMWR_TRAD_AGG_RO_PEN[],F$1,0),"ERROR")</f>
        <v>130</v>
      </c>
      <c r="G79" s="214">
        <f>IFERROR(F79/E79,"0%")</f>
        <v>0.45296167247386759</v>
      </c>
      <c r="H79" s="218">
        <f>IFERROR(VLOOKUP($B79,MMWR_TRAD_AGG_RO_PEN[],H$1,0),"ERROR")</f>
        <v>508</v>
      </c>
      <c r="I79" s="218">
        <f>IFERROR(VLOOKUP($B79,MMWR_TRAD_AGG_RO_PEN[],I$1,0),"ERROR")</f>
        <v>352</v>
      </c>
      <c r="J79" s="214">
        <f>IFERROR(I79/H79,"0%")</f>
        <v>0.69291338582677164</v>
      </c>
      <c r="K79" s="218">
        <f>IFERROR(VLOOKUP($B79,MMWR_TRAD_AGG_RO_PEN[],K$1,0),"ERROR")</f>
        <v>219</v>
      </c>
      <c r="L79" s="218">
        <f>IFERROR(VLOOKUP($B79,MMWR_TRAD_AGG_RO_PEN[],L$1,0),"ERROR")</f>
        <v>216</v>
      </c>
      <c r="M79" s="214">
        <f>IFERROR(L79/K79,"0%")</f>
        <v>0.98630136986301364</v>
      </c>
      <c r="N79" s="218">
        <f>IFERROR(VLOOKUP($B79,MMWR_TRAD_AGG_RO_PEN[],N$1,0),"ERROR")</f>
        <v>159</v>
      </c>
      <c r="O79" s="218">
        <f>IFERROR(VLOOKUP($B79,MMWR_TRAD_AGG_RO_PEN[],O$1,0),"ERROR")</f>
        <v>130</v>
      </c>
      <c r="P79" s="214">
        <f>IFERROR(O79/N79,"0%")</f>
        <v>0.8176100628930818</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FEBRUARY 27,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300018</v>
      </c>
      <c r="D6" s="95">
        <f>IFERROR(VLOOKUP($B6,MMWR_TRAD_AGG_ST_DISTRICT_COMP[],D$1,0),"ERROR")</f>
        <v>390.13682845699998</v>
      </c>
      <c r="E6" s="96">
        <f>IFERROR(VLOOKUP($B6,MMWR_TRAD_AGG_ST_DISTRICT_COMP[],E$1,0),"ERROR")</f>
        <v>319607</v>
      </c>
      <c r="F6" s="97">
        <f>IFERROR(VLOOKUP($B6,MMWR_TRAD_AGG_ST_DISTRICT_COMP[],F$1,0),"ERROR")</f>
        <v>78861</v>
      </c>
      <c r="G6" s="98">
        <f t="shared" ref="G6:G37" si="0">IFERROR(F6/E6,"0%")</f>
        <v>0.24674365705381923</v>
      </c>
      <c r="H6" s="96">
        <f>IFERROR(VLOOKUP($B6,MMWR_TRAD_AGG_ST_DISTRICT_COMP[],H$1,0),"ERROR")</f>
        <v>434286</v>
      </c>
      <c r="I6" s="97">
        <f>IFERROR(VLOOKUP($B6,MMWR_TRAD_AGG_ST_DISTRICT_COMP[],I$1,0),"ERROR")</f>
        <v>292545</v>
      </c>
      <c r="J6" s="99">
        <f t="shared" ref="J6:J37" si="1">IFERROR(I6/H6,"0%")</f>
        <v>0.67362291209018943</v>
      </c>
      <c r="K6" s="96">
        <f>IFERROR(VLOOKUP($B6,MMWR_TRAD_AGG_ST_DISTRICT_COMP[],K$1,0),"ERROR")</f>
        <v>122535</v>
      </c>
      <c r="L6" s="97">
        <f>IFERROR(VLOOKUP($B6,MMWR_TRAD_AGG_ST_DISTRICT_COMP[],L$1,0),"ERROR")</f>
        <v>82840</v>
      </c>
      <c r="M6" s="99">
        <f t="shared" ref="M6:M37" si="2">IFERROR(L6/K6,"0%")</f>
        <v>0.67605174031909254</v>
      </c>
      <c r="N6" s="96">
        <f>IFERROR(VLOOKUP($B6,MMWR_TRAD_AGG_ST_DISTRICT_COMP[],N$1,0),"ERROR")</f>
        <v>160702</v>
      </c>
      <c r="O6" s="97">
        <f>IFERROR(VLOOKUP($B6,MMWR_TRAD_AGG_ST_DISTRICT_COMP[],O$1,0),"ERROR")</f>
        <v>105444</v>
      </c>
      <c r="P6" s="99">
        <f t="shared" ref="P6:P37" si="3">IFERROR(O6/N6,"0%")</f>
        <v>0.6561461587285784</v>
      </c>
      <c r="Q6" s="100">
        <f>IFERROR(VLOOKUP($B6,MMWR_TRAD_AGG_ST_DISTRICT_COMP[],Q$1,0),"ERROR")</f>
        <v>19748</v>
      </c>
      <c r="R6" s="100">
        <f>IFERROR(VLOOKUP($B6,MMWR_TRAD_AGG_ST_DISTRICT_COMP[],R$1,0),"ERROR")</f>
        <v>4127</v>
      </c>
      <c r="S6" s="100">
        <f>S7+S23+S36+S46+S56+S64</f>
        <v>315072</v>
      </c>
      <c r="T6" s="28"/>
    </row>
    <row r="7" spans="1:20" s="123" customFormat="1" x14ac:dyDescent="0.2">
      <c r="A7" s="92"/>
      <c r="B7" s="126" t="s">
        <v>370</v>
      </c>
      <c r="C7" s="102">
        <f>IF(SUM(C8:C22)&lt;&gt;VLOOKUP($B7,MMWR_TRAD_AGG_ST_DISTRICT_COMP[],C$1,0),"ERROR",
VLOOKUP($B7,MMWR_TRAD_AGG_ST_DISTRICT_COMP[],C$1,0))</f>
        <v>68168</v>
      </c>
      <c r="D7" s="103">
        <f>IFERROR(VLOOKUP($B7,MMWR_TRAD_AGG_ST_DISTRICT_COMP[],D$1,0),"ERROR")</f>
        <v>427.00293392790002</v>
      </c>
      <c r="E7" s="102">
        <f>IF(SUM(E8:E22)&lt;&gt;VLOOKUP($B7,MMWR_TRAD_AGG_ST_DISTRICT_COMP[],E$1,0),"ERROR",
VLOOKUP($B7,MMWR_TRAD_AGG_ST_DISTRICT_COMP[],E$1,0))</f>
        <v>69873</v>
      </c>
      <c r="F7" s="102">
        <f>IFERROR(VLOOKUP($B7,MMWR_TRAD_AGG_ST_DISTRICT_COMP[],F$1,0),"ERROR")</f>
        <v>18210</v>
      </c>
      <c r="G7" s="104">
        <f t="shared" si="0"/>
        <v>0.26061568846335492</v>
      </c>
      <c r="H7" s="102">
        <f>IF(SUM(H8:H22)&lt;&gt;VLOOKUP($B7,MMWR_TRAD_AGG_ST_DISTRICT_COMP[],H$1,0),"ERROR",
VLOOKUP($B7,MMWR_TRAD_AGG_ST_DISTRICT_COMP[],H$1,0))</f>
        <v>98366</v>
      </c>
      <c r="I7" s="102">
        <f>IF(SUM(I8:I22)&lt;&gt;VLOOKUP($B7,MMWR_TRAD_AGG_ST_DISTRICT_COMP[],I$1,0),"ERROR",
VLOOKUP($B7,MMWR_TRAD_AGG_ST_DISTRICT_COMP[],I$1,0))</f>
        <v>67407</v>
      </c>
      <c r="J7" s="105">
        <f t="shared" si="1"/>
        <v>0.68526726714515174</v>
      </c>
      <c r="K7" s="102">
        <f>IF(SUM(K8:K22)&lt;&gt;VLOOKUP($B7,MMWR_TRAD_AGG_ST_DISTRICT_COMP[],K$1,0),"ERROR",
VLOOKUP($B7,MMWR_TRAD_AGG_ST_DISTRICT_COMP[],K$1,0))</f>
        <v>35002</v>
      </c>
      <c r="L7" s="102">
        <f>IF(SUM(L8:L22)&lt;&gt;VLOOKUP($B7,MMWR_TRAD_AGG_ST_DISTRICT_COMP[],L$1,0),"ERROR",
VLOOKUP($B7,MMWR_TRAD_AGG_ST_DISTRICT_COMP[],L$1,0))</f>
        <v>24541</v>
      </c>
      <c r="M7" s="105">
        <f t="shared" si="2"/>
        <v>0.70113136392206155</v>
      </c>
      <c r="N7" s="102">
        <f>IF(SUM(N8:N22)&lt;&gt;VLOOKUP($B7,MMWR_TRAD_AGG_ST_DISTRICT_COMP[],N$1,0),"ERROR",
VLOOKUP($B7,MMWR_TRAD_AGG_ST_DISTRICT_COMP[],N$1,0))</f>
        <v>35389</v>
      </c>
      <c r="O7" s="102">
        <f>IF(SUM(O8:O22)&lt;&gt;VLOOKUP($B7,MMWR_TRAD_AGG_ST_DISTRICT_COMP[],O$1,0),"ERROR",
VLOOKUP($B7,MMWR_TRAD_AGG_ST_DISTRICT_COMP[],O$1,0))</f>
        <v>23732</v>
      </c>
      <c r="P7" s="105">
        <f t="shared" si="3"/>
        <v>0.67060385995648364</v>
      </c>
      <c r="Q7" s="102">
        <f>IF(SUM(Q8:Q22)&lt;&gt;VLOOKUP($B7,MMWR_TRAD_AGG_ST_DISTRICT_COMP[],Q$1,0),"ERROR",
VLOOKUP($B7,MMWR_TRAD_AGG_ST_DISTRICT_COMP[],Q$1,0))</f>
        <v>8373</v>
      </c>
      <c r="R7" s="106">
        <f>IFERROR(VLOOKUP($B7,MMWR_TRAD_AGG_ST_DISTRICT_COMP[],R$1,0),"ERROR")</f>
        <v>131</v>
      </c>
      <c r="S7" s="106">
        <f>SUM(S8:S22)</f>
        <v>57195</v>
      </c>
      <c r="T7" s="28"/>
    </row>
    <row r="8" spans="1:20" s="123" customFormat="1" x14ac:dyDescent="0.2">
      <c r="A8" s="107"/>
      <c r="B8" s="127" t="s">
        <v>374</v>
      </c>
      <c r="C8" s="109">
        <f>IFERROR(VLOOKUP($B8,MMWR_TRAD_AGG_STATE_COMP[],C$1,0),"ERROR")</f>
        <v>1231</v>
      </c>
      <c r="D8" s="110">
        <f>IFERROR(VLOOKUP($B8,MMWR_TRAD_AGG_STATE_COMP[],D$1,0),"ERROR")</f>
        <v>328.29082047119999</v>
      </c>
      <c r="E8" s="111">
        <f>IFERROR(VLOOKUP($B8,MMWR_TRAD_AGG_STATE_COMP[],E$1,0),"ERROR")</f>
        <v>1978</v>
      </c>
      <c r="F8" s="112">
        <f>IFERROR(VLOOKUP($B8,MMWR_TRAD_AGG_STATE_COMP[],F$1,0),"ERROR")</f>
        <v>492</v>
      </c>
      <c r="G8" s="113">
        <f t="shared" si="0"/>
        <v>0.24873609706774519</v>
      </c>
      <c r="H8" s="111">
        <f>IFERROR(VLOOKUP($B8,MMWR_TRAD_AGG_STATE_COMP[],H$1,0),"ERROR")</f>
        <v>2816</v>
      </c>
      <c r="I8" s="112">
        <f>IFERROR(VLOOKUP($B8,MMWR_TRAD_AGG_STATE_COMP[],I$1,0),"ERROR")</f>
        <v>1993</v>
      </c>
      <c r="J8" s="114">
        <f t="shared" si="1"/>
        <v>0.70774147727272729</v>
      </c>
      <c r="K8" s="111">
        <f>IFERROR(VLOOKUP($B8,MMWR_TRAD_AGG_STATE_COMP[],K$1,0),"ERROR")</f>
        <v>577</v>
      </c>
      <c r="L8" s="112">
        <f>IFERROR(VLOOKUP($B8,MMWR_TRAD_AGG_STATE_COMP[],L$1,0),"ERROR")</f>
        <v>369</v>
      </c>
      <c r="M8" s="114">
        <f t="shared" si="2"/>
        <v>0.63951473136915082</v>
      </c>
      <c r="N8" s="111">
        <f>IFERROR(VLOOKUP($B8,MMWR_TRAD_AGG_STATE_COMP[],N$1,0),"ERROR")</f>
        <v>1032</v>
      </c>
      <c r="O8" s="112">
        <f>IFERROR(VLOOKUP($B8,MMWR_TRAD_AGG_STATE_COMP[],O$1,0),"ERROR")</f>
        <v>734</v>
      </c>
      <c r="P8" s="114">
        <f t="shared" si="3"/>
        <v>0.71124031007751942</v>
      </c>
      <c r="Q8" s="115">
        <f>IFERROR(VLOOKUP($B8,MMWR_TRAD_AGG_STATE_COMP[],Q$1,0),"ERROR")</f>
        <v>290</v>
      </c>
      <c r="R8" s="115">
        <f>IFERROR(VLOOKUP($B8,MMWR_TRAD_AGG_STATE_COMP[],R$1,0),"ERROR")</f>
        <v>6</v>
      </c>
      <c r="S8" s="115">
        <f>IFERROR(VLOOKUP($B8,MMWR_APP_STATE_COMP[],S$1,0),"ERROR")</f>
        <v>1202</v>
      </c>
      <c r="T8" s="28"/>
    </row>
    <row r="9" spans="1:20" s="123" customFormat="1" x14ac:dyDescent="0.2">
      <c r="A9" s="107"/>
      <c r="B9" s="127" t="s">
        <v>424</v>
      </c>
      <c r="C9" s="109">
        <f>IFERROR(VLOOKUP($B9,MMWR_TRAD_AGG_STATE_COMP[],C$1,0),"ERROR")</f>
        <v>829</v>
      </c>
      <c r="D9" s="110">
        <f>IFERROR(VLOOKUP($B9,MMWR_TRAD_AGG_STATE_COMP[],D$1,0),"ERROR")</f>
        <v>418.2484921592</v>
      </c>
      <c r="E9" s="111">
        <f>IFERROR(VLOOKUP($B9,MMWR_TRAD_AGG_STATE_COMP[],E$1,0),"ERROR")</f>
        <v>886</v>
      </c>
      <c r="F9" s="112">
        <f>IFERROR(VLOOKUP($B9,MMWR_TRAD_AGG_STATE_COMP[],F$1,0),"ERROR")</f>
        <v>241</v>
      </c>
      <c r="G9" s="113">
        <f t="shared" si="0"/>
        <v>0.27200902934537247</v>
      </c>
      <c r="H9" s="111">
        <f>IFERROR(VLOOKUP($B9,MMWR_TRAD_AGG_STATE_COMP[],H$1,0),"ERROR")</f>
        <v>1094</v>
      </c>
      <c r="I9" s="112">
        <f>IFERROR(VLOOKUP($B9,MMWR_TRAD_AGG_STATE_COMP[],I$1,0),"ERROR")</f>
        <v>794</v>
      </c>
      <c r="J9" s="114">
        <f t="shared" si="1"/>
        <v>0.72577696526508229</v>
      </c>
      <c r="K9" s="111">
        <f>IFERROR(VLOOKUP($B9,MMWR_TRAD_AGG_STATE_COMP[],K$1,0),"ERROR")</f>
        <v>237</v>
      </c>
      <c r="L9" s="112">
        <f>IFERROR(VLOOKUP($B9,MMWR_TRAD_AGG_STATE_COMP[],L$1,0),"ERROR")</f>
        <v>139</v>
      </c>
      <c r="M9" s="114">
        <f t="shared" si="2"/>
        <v>0.5864978902953587</v>
      </c>
      <c r="N9" s="111">
        <f>IFERROR(VLOOKUP($B9,MMWR_TRAD_AGG_STATE_COMP[],N$1,0),"ERROR")</f>
        <v>353</v>
      </c>
      <c r="O9" s="112">
        <f>IFERROR(VLOOKUP($B9,MMWR_TRAD_AGG_STATE_COMP[],O$1,0),"ERROR")</f>
        <v>216</v>
      </c>
      <c r="P9" s="114">
        <f t="shared" si="3"/>
        <v>0.61189801699716717</v>
      </c>
      <c r="Q9" s="115">
        <f>IFERROR(VLOOKUP($B9,MMWR_TRAD_AGG_STATE_COMP[],Q$1,0),"ERROR")</f>
        <v>81</v>
      </c>
      <c r="R9" s="115">
        <f>IFERROR(VLOOKUP($B9,MMWR_TRAD_AGG_STATE_COMP[],R$1,0),"ERROR")</f>
        <v>1</v>
      </c>
      <c r="S9" s="115">
        <f>IFERROR(VLOOKUP($B9,MMWR_APP_STATE_COMP[],S$1,0),"ERROR")</f>
        <v>608</v>
      </c>
      <c r="T9" s="28"/>
    </row>
    <row r="10" spans="1:20" s="123" customFormat="1" x14ac:dyDescent="0.2">
      <c r="A10" s="107"/>
      <c r="B10" s="127" t="s">
        <v>415</v>
      </c>
      <c r="C10" s="109">
        <f>IFERROR(VLOOKUP($B10,MMWR_TRAD_AGG_STATE_COMP[],C$1,0),"ERROR")</f>
        <v>470</v>
      </c>
      <c r="D10" s="110">
        <f>IFERROR(VLOOKUP($B10,MMWR_TRAD_AGG_STATE_COMP[],D$1,0),"ERROR")</f>
        <v>516.22553191489999</v>
      </c>
      <c r="E10" s="111">
        <f>IFERROR(VLOOKUP($B10,MMWR_TRAD_AGG_STATE_COMP[],E$1,0),"ERROR")</f>
        <v>416</v>
      </c>
      <c r="F10" s="112">
        <f>IFERROR(VLOOKUP($B10,MMWR_TRAD_AGG_STATE_COMP[],F$1,0),"ERROR")</f>
        <v>118</v>
      </c>
      <c r="G10" s="113">
        <f t="shared" si="0"/>
        <v>0.28365384615384615</v>
      </c>
      <c r="H10" s="111">
        <f>IFERROR(VLOOKUP($B10,MMWR_TRAD_AGG_STATE_COMP[],H$1,0),"ERROR")</f>
        <v>652</v>
      </c>
      <c r="I10" s="112">
        <f>IFERROR(VLOOKUP($B10,MMWR_TRAD_AGG_STATE_COMP[],I$1,0),"ERROR")</f>
        <v>474</v>
      </c>
      <c r="J10" s="114">
        <f t="shared" si="1"/>
        <v>0.72699386503067487</v>
      </c>
      <c r="K10" s="111">
        <f>IFERROR(VLOOKUP($B10,MMWR_TRAD_AGG_STATE_COMP[],K$1,0),"ERROR")</f>
        <v>215</v>
      </c>
      <c r="L10" s="112">
        <f>IFERROR(VLOOKUP($B10,MMWR_TRAD_AGG_STATE_COMP[],L$1,0),"ERROR")</f>
        <v>165</v>
      </c>
      <c r="M10" s="114">
        <f t="shared" si="2"/>
        <v>0.76744186046511631</v>
      </c>
      <c r="N10" s="111">
        <f>IFERROR(VLOOKUP($B10,MMWR_TRAD_AGG_STATE_COMP[],N$1,0),"ERROR")</f>
        <v>344</v>
      </c>
      <c r="O10" s="112">
        <f>IFERROR(VLOOKUP($B10,MMWR_TRAD_AGG_STATE_COMP[],O$1,0),"ERROR")</f>
        <v>257</v>
      </c>
      <c r="P10" s="114">
        <f t="shared" si="3"/>
        <v>0.74709302325581395</v>
      </c>
      <c r="Q10" s="115">
        <f>IFERROR(VLOOKUP($B10,MMWR_TRAD_AGG_STATE_COMP[],Q$1,0),"ERROR")</f>
        <v>34</v>
      </c>
      <c r="R10" s="115">
        <f>IFERROR(VLOOKUP($B10,MMWR_TRAD_AGG_STATE_COMP[],R$1,0),"ERROR")</f>
        <v>0</v>
      </c>
      <c r="S10" s="115">
        <f>IFERROR(VLOOKUP($B10,MMWR_APP_STATE_COMP[],S$1,0),"ERROR")</f>
        <v>588</v>
      </c>
      <c r="T10" s="28"/>
    </row>
    <row r="11" spans="1:20" s="123" customFormat="1" x14ac:dyDescent="0.2">
      <c r="A11" s="107"/>
      <c r="B11" s="127" t="s">
        <v>417</v>
      </c>
      <c r="C11" s="109">
        <f>IFERROR(VLOOKUP($B11,MMWR_TRAD_AGG_STATE_COMP[],C$1,0),"ERROR")</f>
        <v>1236</v>
      </c>
      <c r="D11" s="110">
        <f>IFERROR(VLOOKUP($B11,MMWR_TRAD_AGG_STATE_COMP[],D$1,0),"ERROR")</f>
        <v>311.58009708740002</v>
      </c>
      <c r="E11" s="111">
        <f>IFERROR(VLOOKUP($B11,MMWR_TRAD_AGG_STATE_COMP[],E$1,0),"ERROR")</f>
        <v>1397</v>
      </c>
      <c r="F11" s="112">
        <f>IFERROR(VLOOKUP($B11,MMWR_TRAD_AGG_STATE_COMP[],F$1,0),"ERROR")</f>
        <v>196</v>
      </c>
      <c r="G11" s="113">
        <f t="shared" si="0"/>
        <v>0.14030064423765212</v>
      </c>
      <c r="H11" s="111">
        <f>IFERROR(VLOOKUP($B11,MMWR_TRAD_AGG_STATE_COMP[],H$1,0),"ERROR")</f>
        <v>1959</v>
      </c>
      <c r="I11" s="112">
        <f>IFERROR(VLOOKUP($B11,MMWR_TRAD_AGG_STATE_COMP[],I$1,0),"ERROR")</f>
        <v>1089</v>
      </c>
      <c r="J11" s="114">
        <f t="shared" si="1"/>
        <v>0.555895865237366</v>
      </c>
      <c r="K11" s="111">
        <f>IFERROR(VLOOKUP($B11,MMWR_TRAD_AGG_STATE_COMP[],K$1,0),"ERROR")</f>
        <v>988</v>
      </c>
      <c r="L11" s="112">
        <f>IFERROR(VLOOKUP($B11,MMWR_TRAD_AGG_STATE_COMP[],L$1,0),"ERROR")</f>
        <v>740</v>
      </c>
      <c r="M11" s="114">
        <f t="shared" si="2"/>
        <v>0.74898785425101211</v>
      </c>
      <c r="N11" s="111">
        <f>IFERROR(VLOOKUP($B11,MMWR_TRAD_AGG_STATE_COMP[],N$1,0),"ERROR")</f>
        <v>381</v>
      </c>
      <c r="O11" s="112">
        <f>IFERROR(VLOOKUP($B11,MMWR_TRAD_AGG_STATE_COMP[],O$1,0),"ERROR")</f>
        <v>244</v>
      </c>
      <c r="P11" s="114">
        <f t="shared" si="3"/>
        <v>0.64041994750656173</v>
      </c>
      <c r="Q11" s="115">
        <f>IFERROR(VLOOKUP($B11,MMWR_TRAD_AGG_STATE_COMP[],Q$1,0),"ERROR")</f>
        <v>337</v>
      </c>
      <c r="R11" s="115">
        <f>IFERROR(VLOOKUP($B11,MMWR_TRAD_AGG_STATE_COMP[],R$1,0),"ERROR")</f>
        <v>3</v>
      </c>
      <c r="S11" s="115">
        <f>IFERROR(VLOOKUP($B11,MMWR_APP_STATE_COMP[],S$1,0),"ERROR")</f>
        <v>447</v>
      </c>
      <c r="T11" s="28"/>
    </row>
    <row r="12" spans="1:20" s="123" customFormat="1" x14ac:dyDescent="0.2">
      <c r="A12" s="107"/>
      <c r="B12" s="127" t="s">
        <v>377</v>
      </c>
      <c r="C12" s="109">
        <f>IFERROR(VLOOKUP($B12,MMWR_TRAD_AGG_STATE_COMP[],C$1,0),"ERROR")</f>
        <v>8094</v>
      </c>
      <c r="D12" s="110">
        <f>IFERROR(VLOOKUP($B12,MMWR_TRAD_AGG_STATE_COMP[],D$1,0),"ERROR")</f>
        <v>655.66580182849998</v>
      </c>
      <c r="E12" s="111">
        <f>IFERROR(VLOOKUP($B12,MMWR_TRAD_AGG_STATE_COMP[],E$1,0),"ERROR")</f>
        <v>5577</v>
      </c>
      <c r="F12" s="112">
        <f>IFERROR(VLOOKUP($B12,MMWR_TRAD_AGG_STATE_COMP[],F$1,0),"ERROR")</f>
        <v>1474</v>
      </c>
      <c r="G12" s="113">
        <f t="shared" si="0"/>
        <v>0.26429980276134124</v>
      </c>
      <c r="H12" s="111">
        <f>IFERROR(VLOOKUP($B12,MMWR_TRAD_AGG_STATE_COMP[],H$1,0),"ERROR")</f>
        <v>11161</v>
      </c>
      <c r="I12" s="112">
        <f>IFERROR(VLOOKUP($B12,MMWR_TRAD_AGG_STATE_COMP[],I$1,0),"ERROR")</f>
        <v>8323</v>
      </c>
      <c r="J12" s="114">
        <f t="shared" si="1"/>
        <v>0.74572170952423622</v>
      </c>
      <c r="K12" s="111">
        <f>IFERROR(VLOOKUP($B12,MMWR_TRAD_AGG_STATE_COMP[],K$1,0),"ERROR")</f>
        <v>2955</v>
      </c>
      <c r="L12" s="112">
        <f>IFERROR(VLOOKUP($B12,MMWR_TRAD_AGG_STATE_COMP[],L$1,0),"ERROR")</f>
        <v>2304</v>
      </c>
      <c r="M12" s="114">
        <f t="shared" si="2"/>
        <v>0.7796954314720812</v>
      </c>
      <c r="N12" s="111">
        <f>IFERROR(VLOOKUP($B12,MMWR_TRAD_AGG_STATE_COMP[],N$1,0),"ERROR")</f>
        <v>3028</v>
      </c>
      <c r="O12" s="112">
        <f>IFERROR(VLOOKUP($B12,MMWR_TRAD_AGG_STATE_COMP[],O$1,0),"ERROR")</f>
        <v>1958</v>
      </c>
      <c r="P12" s="114">
        <f t="shared" si="3"/>
        <v>0.6466314398943197</v>
      </c>
      <c r="Q12" s="115">
        <f>IFERROR(VLOOKUP($B12,MMWR_TRAD_AGG_STATE_COMP[],Q$1,0),"ERROR")</f>
        <v>404</v>
      </c>
      <c r="R12" s="115">
        <f>IFERROR(VLOOKUP($B12,MMWR_TRAD_AGG_STATE_COMP[],R$1,0),"ERROR")</f>
        <v>6</v>
      </c>
      <c r="S12" s="115">
        <f>IFERROR(VLOOKUP($B12,MMWR_APP_STATE_COMP[],S$1,0),"ERROR")</f>
        <v>5715</v>
      </c>
      <c r="T12" s="28"/>
    </row>
    <row r="13" spans="1:20" s="123" customFormat="1" x14ac:dyDescent="0.2">
      <c r="A13" s="107"/>
      <c r="B13" s="127" t="s">
        <v>372</v>
      </c>
      <c r="C13" s="109">
        <f>IFERROR(VLOOKUP($B13,MMWR_TRAD_AGG_STATE_COMP[],C$1,0),"ERROR")</f>
        <v>4376</v>
      </c>
      <c r="D13" s="110">
        <f>IFERROR(VLOOKUP($B13,MMWR_TRAD_AGG_STATE_COMP[],D$1,0),"ERROR")</f>
        <v>727.56398537480004</v>
      </c>
      <c r="E13" s="111">
        <f>IFERROR(VLOOKUP($B13,MMWR_TRAD_AGG_STATE_COMP[],E$1,0),"ERROR")</f>
        <v>4487</v>
      </c>
      <c r="F13" s="112">
        <f>IFERROR(VLOOKUP($B13,MMWR_TRAD_AGG_STATE_COMP[],F$1,0),"ERROR")</f>
        <v>1157</v>
      </c>
      <c r="G13" s="113">
        <f t="shared" si="0"/>
        <v>0.25785602852685535</v>
      </c>
      <c r="H13" s="111">
        <f>IFERROR(VLOOKUP($B13,MMWR_TRAD_AGG_STATE_COMP[],H$1,0),"ERROR")</f>
        <v>6444</v>
      </c>
      <c r="I13" s="112">
        <f>IFERROR(VLOOKUP($B13,MMWR_TRAD_AGG_STATE_COMP[],I$1,0),"ERROR")</f>
        <v>4967</v>
      </c>
      <c r="J13" s="114">
        <f t="shared" si="1"/>
        <v>0.77079453755431404</v>
      </c>
      <c r="K13" s="111">
        <f>IFERROR(VLOOKUP($B13,MMWR_TRAD_AGG_STATE_COMP[],K$1,0),"ERROR")</f>
        <v>3003</v>
      </c>
      <c r="L13" s="112">
        <f>IFERROR(VLOOKUP($B13,MMWR_TRAD_AGG_STATE_COMP[],L$1,0),"ERROR")</f>
        <v>2327</v>
      </c>
      <c r="M13" s="114">
        <f t="shared" si="2"/>
        <v>0.77489177489177485</v>
      </c>
      <c r="N13" s="111">
        <f>IFERROR(VLOOKUP($B13,MMWR_TRAD_AGG_STATE_COMP[],N$1,0),"ERROR")</f>
        <v>1440</v>
      </c>
      <c r="O13" s="112">
        <f>IFERROR(VLOOKUP($B13,MMWR_TRAD_AGG_STATE_COMP[],O$1,0),"ERROR")</f>
        <v>1034</v>
      </c>
      <c r="P13" s="114">
        <f t="shared" si="3"/>
        <v>0.71805555555555556</v>
      </c>
      <c r="Q13" s="115">
        <f>IFERROR(VLOOKUP($B13,MMWR_TRAD_AGG_STATE_COMP[],Q$1,0),"ERROR")</f>
        <v>714</v>
      </c>
      <c r="R13" s="115">
        <f>IFERROR(VLOOKUP($B13,MMWR_TRAD_AGG_STATE_COMP[],R$1,0),"ERROR")</f>
        <v>10</v>
      </c>
      <c r="S13" s="115">
        <f>IFERROR(VLOOKUP($B13,MMWR_APP_STATE_COMP[],S$1,0),"ERROR")</f>
        <v>3391</v>
      </c>
      <c r="T13" s="28"/>
    </row>
    <row r="14" spans="1:20" s="123" customFormat="1" x14ac:dyDescent="0.2">
      <c r="A14" s="107"/>
      <c r="B14" s="127" t="s">
        <v>416</v>
      </c>
      <c r="C14" s="109">
        <f>IFERROR(VLOOKUP($B14,MMWR_TRAD_AGG_STATE_COMP[],C$1,0),"ERROR")</f>
        <v>1392</v>
      </c>
      <c r="D14" s="110">
        <f>IFERROR(VLOOKUP($B14,MMWR_TRAD_AGG_STATE_COMP[],D$1,0),"ERROR")</f>
        <v>366.58117816089998</v>
      </c>
      <c r="E14" s="111">
        <f>IFERROR(VLOOKUP($B14,MMWR_TRAD_AGG_STATE_COMP[],E$1,0),"ERROR")</f>
        <v>1103</v>
      </c>
      <c r="F14" s="112">
        <f>IFERROR(VLOOKUP($B14,MMWR_TRAD_AGG_STATE_COMP[],F$1,0),"ERROR")</f>
        <v>265</v>
      </c>
      <c r="G14" s="113">
        <f t="shared" si="0"/>
        <v>0.24025385312783318</v>
      </c>
      <c r="H14" s="111">
        <f>IFERROR(VLOOKUP($B14,MMWR_TRAD_AGG_STATE_COMP[],H$1,0),"ERROR")</f>
        <v>2070</v>
      </c>
      <c r="I14" s="112">
        <f>IFERROR(VLOOKUP($B14,MMWR_TRAD_AGG_STATE_COMP[],I$1,0),"ERROR")</f>
        <v>1349</v>
      </c>
      <c r="J14" s="114">
        <f t="shared" si="1"/>
        <v>0.65169082125603861</v>
      </c>
      <c r="K14" s="111">
        <f>IFERROR(VLOOKUP($B14,MMWR_TRAD_AGG_STATE_COMP[],K$1,0),"ERROR")</f>
        <v>470</v>
      </c>
      <c r="L14" s="112">
        <f>IFERROR(VLOOKUP($B14,MMWR_TRAD_AGG_STATE_COMP[],L$1,0),"ERROR")</f>
        <v>401</v>
      </c>
      <c r="M14" s="114">
        <f t="shared" si="2"/>
        <v>0.85319148936170208</v>
      </c>
      <c r="N14" s="111">
        <f>IFERROR(VLOOKUP($B14,MMWR_TRAD_AGG_STATE_COMP[],N$1,0),"ERROR")</f>
        <v>240</v>
      </c>
      <c r="O14" s="112">
        <f>IFERROR(VLOOKUP($B14,MMWR_TRAD_AGG_STATE_COMP[],O$1,0),"ERROR")</f>
        <v>142</v>
      </c>
      <c r="P14" s="114">
        <f t="shared" si="3"/>
        <v>0.59166666666666667</v>
      </c>
      <c r="Q14" s="115">
        <f>IFERROR(VLOOKUP($B14,MMWR_TRAD_AGG_STATE_COMP[],Q$1,0),"ERROR")</f>
        <v>156</v>
      </c>
      <c r="R14" s="115">
        <f>IFERROR(VLOOKUP($B14,MMWR_TRAD_AGG_STATE_COMP[],R$1,0),"ERROR")</f>
        <v>4</v>
      </c>
      <c r="S14" s="115">
        <f>IFERROR(VLOOKUP($B14,MMWR_APP_STATE_COMP[],S$1,0),"ERROR")</f>
        <v>620</v>
      </c>
      <c r="T14" s="28"/>
    </row>
    <row r="15" spans="1:20" s="123" customFormat="1" x14ac:dyDescent="0.2">
      <c r="A15" s="107"/>
      <c r="B15" s="127" t="s">
        <v>375</v>
      </c>
      <c r="C15" s="109">
        <f>IFERROR(VLOOKUP($B15,MMWR_TRAD_AGG_STATE_COMP[],C$1,0),"ERROR")</f>
        <v>2306</v>
      </c>
      <c r="D15" s="110">
        <f>IFERROR(VLOOKUP($B15,MMWR_TRAD_AGG_STATE_COMP[],D$1,0),"ERROR")</f>
        <v>327.77493495229999</v>
      </c>
      <c r="E15" s="111">
        <f>IFERROR(VLOOKUP($B15,MMWR_TRAD_AGG_STATE_COMP[],E$1,0),"ERROR")</f>
        <v>3880</v>
      </c>
      <c r="F15" s="112">
        <f>IFERROR(VLOOKUP($B15,MMWR_TRAD_AGG_STATE_COMP[],F$1,0),"ERROR")</f>
        <v>1022</v>
      </c>
      <c r="G15" s="113">
        <f t="shared" si="0"/>
        <v>0.26340206185567011</v>
      </c>
      <c r="H15" s="111">
        <f>IFERROR(VLOOKUP($B15,MMWR_TRAD_AGG_STATE_COMP[],H$1,0),"ERROR")</f>
        <v>3704</v>
      </c>
      <c r="I15" s="112">
        <f>IFERROR(VLOOKUP($B15,MMWR_TRAD_AGG_STATE_COMP[],I$1,0),"ERROR")</f>
        <v>2403</v>
      </c>
      <c r="J15" s="114">
        <f t="shared" si="1"/>
        <v>0.64875809935205186</v>
      </c>
      <c r="K15" s="111">
        <f>IFERROR(VLOOKUP($B15,MMWR_TRAD_AGG_STATE_COMP[],K$1,0),"ERROR")</f>
        <v>1313</v>
      </c>
      <c r="L15" s="112">
        <f>IFERROR(VLOOKUP($B15,MMWR_TRAD_AGG_STATE_COMP[],L$1,0),"ERROR")</f>
        <v>877</v>
      </c>
      <c r="M15" s="114">
        <f t="shared" si="2"/>
        <v>0.66793602437166799</v>
      </c>
      <c r="N15" s="111">
        <f>IFERROR(VLOOKUP($B15,MMWR_TRAD_AGG_STATE_COMP[],N$1,0),"ERROR")</f>
        <v>2179</v>
      </c>
      <c r="O15" s="112">
        <f>IFERROR(VLOOKUP($B15,MMWR_TRAD_AGG_STATE_COMP[],O$1,0),"ERROR")</f>
        <v>1567</v>
      </c>
      <c r="P15" s="114">
        <f t="shared" si="3"/>
        <v>0.71913721890775584</v>
      </c>
      <c r="Q15" s="115">
        <f>IFERROR(VLOOKUP($B15,MMWR_TRAD_AGG_STATE_COMP[],Q$1,0),"ERROR")</f>
        <v>698</v>
      </c>
      <c r="R15" s="115">
        <f>IFERROR(VLOOKUP($B15,MMWR_TRAD_AGG_STATE_COMP[],R$1,0),"ERROR")</f>
        <v>4</v>
      </c>
      <c r="S15" s="115">
        <f>IFERROR(VLOOKUP($B15,MMWR_APP_STATE_COMP[],S$1,0),"ERROR")</f>
        <v>4075</v>
      </c>
      <c r="T15" s="28"/>
    </row>
    <row r="16" spans="1:20" s="123" customFormat="1" x14ac:dyDescent="0.2">
      <c r="A16" s="107"/>
      <c r="B16" s="127" t="s">
        <v>60</v>
      </c>
      <c r="C16" s="109">
        <f>IFERROR(VLOOKUP($B16,MMWR_TRAD_AGG_STATE_COMP[],C$1,0),"ERROR")</f>
        <v>5246</v>
      </c>
      <c r="D16" s="110">
        <f>IFERROR(VLOOKUP($B16,MMWR_TRAD_AGG_STATE_COMP[],D$1,0),"ERROR")</f>
        <v>302.65554708349998</v>
      </c>
      <c r="E16" s="111">
        <f>IFERROR(VLOOKUP($B16,MMWR_TRAD_AGG_STATE_COMP[],E$1,0),"ERROR")</f>
        <v>8742</v>
      </c>
      <c r="F16" s="112">
        <f>IFERROR(VLOOKUP($B16,MMWR_TRAD_AGG_STATE_COMP[],F$1,0),"ERROR")</f>
        <v>2099</v>
      </c>
      <c r="G16" s="113">
        <f t="shared" si="0"/>
        <v>0.24010523907572637</v>
      </c>
      <c r="H16" s="111">
        <f>IFERROR(VLOOKUP($B16,MMWR_TRAD_AGG_STATE_COMP[],H$1,0),"ERROR")</f>
        <v>8765</v>
      </c>
      <c r="I16" s="112">
        <f>IFERROR(VLOOKUP($B16,MMWR_TRAD_AGG_STATE_COMP[],I$1,0),"ERROR")</f>
        <v>5114</v>
      </c>
      <c r="J16" s="114">
        <f t="shared" si="1"/>
        <v>0.58345693097547058</v>
      </c>
      <c r="K16" s="111">
        <f>IFERROR(VLOOKUP($B16,MMWR_TRAD_AGG_STATE_COMP[],K$1,0),"ERROR")</f>
        <v>4062</v>
      </c>
      <c r="L16" s="112">
        <f>IFERROR(VLOOKUP($B16,MMWR_TRAD_AGG_STATE_COMP[],L$1,0),"ERROR")</f>
        <v>2951</v>
      </c>
      <c r="M16" s="114">
        <f t="shared" si="2"/>
        <v>0.72648941408173318</v>
      </c>
      <c r="N16" s="111">
        <f>IFERROR(VLOOKUP($B16,MMWR_TRAD_AGG_STATE_COMP[],N$1,0),"ERROR")</f>
        <v>4426</v>
      </c>
      <c r="O16" s="112">
        <f>IFERROR(VLOOKUP($B16,MMWR_TRAD_AGG_STATE_COMP[],O$1,0),"ERROR")</f>
        <v>1640</v>
      </c>
      <c r="P16" s="114">
        <f t="shared" si="3"/>
        <v>0.37053773158608222</v>
      </c>
      <c r="Q16" s="115">
        <f>IFERROR(VLOOKUP($B16,MMWR_TRAD_AGG_STATE_COMP[],Q$1,0),"ERROR")</f>
        <v>1520</v>
      </c>
      <c r="R16" s="115">
        <f>IFERROR(VLOOKUP($B16,MMWR_TRAD_AGG_STATE_COMP[],R$1,0),"ERROR")</f>
        <v>8</v>
      </c>
      <c r="S16" s="115">
        <f>IFERROR(VLOOKUP($B16,MMWR_APP_STATE_COMP[],S$1,0),"ERROR")</f>
        <v>5347</v>
      </c>
      <c r="T16" s="28"/>
    </row>
    <row r="17" spans="1:20" s="123" customFormat="1" x14ac:dyDescent="0.2">
      <c r="A17" s="107"/>
      <c r="B17" s="127" t="s">
        <v>383</v>
      </c>
      <c r="C17" s="109">
        <f>IFERROR(VLOOKUP($B17,MMWR_TRAD_AGG_STATE_COMP[],C$1,0),"ERROR")</f>
        <v>16145</v>
      </c>
      <c r="D17" s="110">
        <f>IFERROR(VLOOKUP($B17,MMWR_TRAD_AGG_STATE_COMP[],D$1,0),"ERROR")</f>
        <v>312.4677609167</v>
      </c>
      <c r="E17" s="111">
        <f>IFERROR(VLOOKUP($B17,MMWR_TRAD_AGG_STATE_COMP[],E$1,0),"ERROR")</f>
        <v>17462</v>
      </c>
      <c r="F17" s="112">
        <f>IFERROR(VLOOKUP($B17,MMWR_TRAD_AGG_STATE_COMP[],F$1,0),"ERROR")</f>
        <v>4575</v>
      </c>
      <c r="G17" s="113">
        <f t="shared" si="0"/>
        <v>0.26199748024281294</v>
      </c>
      <c r="H17" s="111">
        <f>IFERROR(VLOOKUP($B17,MMWR_TRAD_AGG_STATE_COMP[],H$1,0),"ERROR")</f>
        <v>21744</v>
      </c>
      <c r="I17" s="112">
        <f>IFERROR(VLOOKUP($B17,MMWR_TRAD_AGG_STATE_COMP[],I$1,0),"ERROR")</f>
        <v>14542</v>
      </c>
      <c r="J17" s="114">
        <f t="shared" si="1"/>
        <v>0.66878219278881534</v>
      </c>
      <c r="K17" s="111">
        <f>IFERROR(VLOOKUP($B17,MMWR_TRAD_AGG_STATE_COMP[],K$1,0),"ERROR")</f>
        <v>9534</v>
      </c>
      <c r="L17" s="112">
        <f>IFERROR(VLOOKUP($B17,MMWR_TRAD_AGG_STATE_COMP[],L$1,0),"ERROR")</f>
        <v>6123</v>
      </c>
      <c r="M17" s="114">
        <f t="shared" si="2"/>
        <v>0.64222781623662684</v>
      </c>
      <c r="N17" s="111">
        <f>IFERROR(VLOOKUP($B17,MMWR_TRAD_AGG_STATE_COMP[],N$1,0),"ERROR")</f>
        <v>6782</v>
      </c>
      <c r="O17" s="112">
        <f>IFERROR(VLOOKUP($B17,MMWR_TRAD_AGG_STATE_COMP[],O$1,0),"ERROR")</f>
        <v>4328</v>
      </c>
      <c r="P17" s="114">
        <f t="shared" si="3"/>
        <v>0.63815983485697436</v>
      </c>
      <c r="Q17" s="115">
        <f>IFERROR(VLOOKUP($B17,MMWR_TRAD_AGG_STATE_COMP[],Q$1,0),"ERROR")</f>
        <v>1201</v>
      </c>
      <c r="R17" s="115">
        <f>IFERROR(VLOOKUP($B17,MMWR_TRAD_AGG_STATE_COMP[],R$1,0),"ERROR")</f>
        <v>47</v>
      </c>
      <c r="S17" s="115">
        <f>IFERROR(VLOOKUP($B17,MMWR_APP_STATE_COMP[],S$1,0),"ERROR")</f>
        <v>10163</v>
      </c>
      <c r="T17" s="28"/>
    </row>
    <row r="18" spans="1:20" s="123" customFormat="1" x14ac:dyDescent="0.2">
      <c r="A18" s="107"/>
      <c r="B18" s="127" t="s">
        <v>376</v>
      </c>
      <c r="C18" s="109">
        <f>IFERROR(VLOOKUP($B18,MMWR_TRAD_AGG_STATE_COMP[],C$1,0),"ERROR")</f>
        <v>7171</v>
      </c>
      <c r="D18" s="110">
        <f>IFERROR(VLOOKUP($B18,MMWR_TRAD_AGG_STATE_COMP[],D$1,0),"ERROR")</f>
        <v>465.64872402729998</v>
      </c>
      <c r="E18" s="111">
        <f>IFERROR(VLOOKUP($B18,MMWR_TRAD_AGG_STATE_COMP[],E$1,0),"ERROR")</f>
        <v>8468</v>
      </c>
      <c r="F18" s="112">
        <f>IFERROR(VLOOKUP($B18,MMWR_TRAD_AGG_STATE_COMP[],F$1,0),"ERROR")</f>
        <v>2470</v>
      </c>
      <c r="G18" s="113">
        <f t="shared" si="0"/>
        <v>0.29168634860651865</v>
      </c>
      <c r="H18" s="111">
        <f>IFERROR(VLOOKUP($B18,MMWR_TRAD_AGG_STATE_COMP[],H$1,0),"ERROR")</f>
        <v>11208</v>
      </c>
      <c r="I18" s="112">
        <f>IFERROR(VLOOKUP($B18,MMWR_TRAD_AGG_STATE_COMP[],I$1,0),"ERROR")</f>
        <v>8403</v>
      </c>
      <c r="J18" s="114">
        <f t="shared" si="1"/>
        <v>0.74973233404710926</v>
      </c>
      <c r="K18" s="111">
        <f>IFERROR(VLOOKUP($B18,MMWR_TRAD_AGG_STATE_COMP[],K$1,0),"ERROR")</f>
        <v>2055</v>
      </c>
      <c r="L18" s="112">
        <f>IFERROR(VLOOKUP($B18,MMWR_TRAD_AGG_STATE_COMP[],L$1,0),"ERROR")</f>
        <v>1262</v>
      </c>
      <c r="M18" s="114">
        <f t="shared" si="2"/>
        <v>0.6141119221411192</v>
      </c>
      <c r="N18" s="111">
        <f>IFERROR(VLOOKUP($B18,MMWR_TRAD_AGG_STATE_COMP[],N$1,0),"ERROR")</f>
        <v>6483</v>
      </c>
      <c r="O18" s="112">
        <f>IFERROR(VLOOKUP($B18,MMWR_TRAD_AGG_STATE_COMP[],O$1,0),"ERROR")</f>
        <v>5138</v>
      </c>
      <c r="P18" s="114">
        <f t="shared" si="3"/>
        <v>0.79253432053061856</v>
      </c>
      <c r="Q18" s="115">
        <f>IFERROR(VLOOKUP($B18,MMWR_TRAD_AGG_STATE_COMP[],Q$1,0),"ERROR")</f>
        <v>1435</v>
      </c>
      <c r="R18" s="115">
        <f>IFERROR(VLOOKUP($B18,MMWR_TRAD_AGG_STATE_COMP[],R$1,0),"ERROR")</f>
        <v>12</v>
      </c>
      <c r="S18" s="115">
        <f>IFERROR(VLOOKUP($B18,MMWR_APP_STATE_COMP[],S$1,0),"ERROR")</f>
        <v>7169</v>
      </c>
      <c r="T18" s="28"/>
    </row>
    <row r="19" spans="1:20" s="123" customFormat="1" x14ac:dyDescent="0.2">
      <c r="A19" s="107"/>
      <c r="B19" s="127" t="s">
        <v>373</v>
      </c>
      <c r="C19" s="109">
        <f>IFERROR(VLOOKUP($B19,MMWR_TRAD_AGG_STATE_COMP[],C$1,0),"ERROR")</f>
        <v>270</v>
      </c>
      <c r="D19" s="110">
        <f>IFERROR(VLOOKUP($B19,MMWR_TRAD_AGG_STATE_COMP[],D$1,0),"ERROR")</f>
        <v>270.51481481479999</v>
      </c>
      <c r="E19" s="111">
        <f>IFERROR(VLOOKUP($B19,MMWR_TRAD_AGG_STATE_COMP[],E$1,0),"ERROR")</f>
        <v>832</v>
      </c>
      <c r="F19" s="112">
        <f>IFERROR(VLOOKUP($B19,MMWR_TRAD_AGG_STATE_COMP[],F$1,0),"ERROR")</f>
        <v>199</v>
      </c>
      <c r="G19" s="113">
        <f t="shared" si="0"/>
        <v>0.23918269230769232</v>
      </c>
      <c r="H19" s="111">
        <f>IFERROR(VLOOKUP($B19,MMWR_TRAD_AGG_STATE_COMP[],H$1,0),"ERROR")</f>
        <v>591</v>
      </c>
      <c r="I19" s="112">
        <f>IFERROR(VLOOKUP($B19,MMWR_TRAD_AGG_STATE_COMP[],I$1,0),"ERROR")</f>
        <v>310</v>
      </c>
      <c r="J19" s="114">
        <f t="shared" si="1"/>
        <v>0.52453468697123518</v>
      </c>
      <c r="K19" s="111">
        <f>IFERROR(VLOOKUP($B19,MMWR_TRAD_AGG_STATE_COMP[],K$1,0),"ERROR")</f>
        <v>276</v>
      </c>
      <c r="L19" s="112">
        <f>IFERROR(VLOOKUP($B19,MMWR_TRAD_AGG_STATE_COMP[],L$1,0),"ERROR")</f>
        <v>172</v>
      </c>
      <c r="M19" s="114">
        <f t="shared" si="2"/>
        <v>0.62318840579710144</v>
      </c>
      <c r="N19" s="111">
        <f>IFERROR(VLOOKUP($B19,MMWR_TRAD_AGG_STATE_COMP[],N$1,0),"ERROR")</f>
        <v>210</v>
      </c>
      <c r="O19" s="112">
        <f>IFERROR(VLOOKUP($B19,MMWR_TRAD_AGG_STATE_COMP[],O$1,0),"ERROR")</f>
        <v>115</v>
      </c>
      <c r="P19" s="114">
        <f t="shared" si="3"/>
        <v>0.54761904761904767</v>
      </c>
      <c r="Q19" s="115">
        <f>IFERROR(VLOOKUP($B19,MMWR_TRAD_AGG_STATE_COMP[],Q$1,0),"ERROR")</f>
        <v>197</v>
      </c>
      <c r="R19" s="115">
        <f>IFERROR(VLOOKUP($B19,MMWR_TRAD_AGG_STATE_COMP[],R$1,0),"ERROR")</f>
        <v>2</v>
      </c>
      <c r="S19" s="115">
        <f>IFERROR(VLOOKUP($B19,MMWR_APP_STATE_COMP[],S$1,0),"ERROR")</f>
        <v>270</v>
      </c>
      <c r="T19" s="28"/>
    </row>
    <row r="20" spans="1:20" s="123" customFormat="1" x14ac:dyDescent="0.2">
      <c r="A20" s="107"/>
      <c r="B20" s="127" t="s">
        <v>418</v>
      </c>
      <c r="C20" s="109">
        <f>IFERROR(VLOOKUP($B20,MMWR_TRAD_AGG_STATE_COMP[],C$1,0),"ERROR")</f>
        <v>527</v>
      </c>
      <c r="D20" s="110">
        <f>IFERROR(VLOOKUP($B20,MMWR_TRAD_AGG_STATE_COMP[],D$1,0),"ERROR")</f>
        <v>372.44592030360002</v>
      </c>
      <c r="E20" s="111">
        <f>IFERROR(VLOOKUP($B20,MMWR_TRAD_AGG_STATE_COMP[],E$1,0),"ERROR")</f>
        <v>459</v>
      </c>
      <c r="F20" s="112">
        <f>IFERROR(VLOOKUP($B20,MMWR_TRAD_AGG_STATE_COMP[],F$1,0),"ERROR")</f>
        <v>113</v>
      </c>
      <c r="G20" s="113">
        <f t="shared" si="0"/>
        <v>0.24618736383442266</v>
      </c>
      <c r="H20" s="111">
        <f>IFERROR(VLOOKUP($B20,MMWR_TRAD_AGG_STATE_COMP[],H$1,0),"ERROR")</f>
        <v>990</v>
      </c>
      <c r="I20" s="112">
        <f>IFERROR(VLOOKUP($B20,MMWR_TRAD_AGG_STATE_COMP[],I$1,0),"ERROR")</f>
        <v>560</v>
      </c>
      <c r="J20" s="114">
        <f t="shared" si="1"/>
        <v>0.56565656565656564</v>
      </c>
      <c r="K20" s="111">
        <f>IFERROR(VLOOKUP($B20,MMWR_TRAD_AGG_STATE_COMP[],K$1,0),"ERROR")</f>
        <v>248</v>
      </c>
      <c r="L20" s="112">
        <f>IFERROR(VLOOKUP($B20,MMWR_TRAD_AGG_STATE_COMP[],L$1,0),"ERROR")</f>
        <v>146</v>
      </c>
      <c r="M20" s="114">
        <f t="shared" si="2"/>
        <v>0.58870967741935487</v>
      </c>
      <c r="N20" s="111">
        <f>IFERROR(VLOOKUP($B20,MMWR_TRAD_AGG_STATE_COMP[],N$1,0),"ERROR")</f>
        <v>126</v>
      </c>
      <c r="O20" s="112">
        <f>IFERROR(VLOOKUP($B20,MMWR_TRAD_AGG_STATE_COMP[],O$1,0),"ERROR")</f>
        <v>87</v>
      </c>
      <c r="P20" s="114">
        <f t="shared" si="3"/>
        <v>0.69047619047619047</v>
      </c>
      <c r="Q20" s="115">
        <f>IFERROR(VLOOKUP($B20,MMWR_TRAD_AGG_STATE_COMP[],Q$1,0),"ERROR")</f>
        <v>73</v>
      </c>
      <c r="R20" s="115">
        <f>IFERROR(VLOOKUP($B20,MMWR_TRAD_AGG_STATE_COMP[],R$1,0),"ERROR")</f>
        <v>1</v>
      </c>
      <c r="S20" s="115">
        <f>IFERROR(VLOOKUP($B20,MMWR_APP_STATE_COMP[],S$1,0),"ERROR")</f>
        <v>116</v>
      </c>
      <c r="T20" s="28"/>
    </row>
    <row r="21" spans="1:20" s="123" customFormat="1" x14ac:dyDescent="0.2">
      <c r="A21" s="107"/>
      <c r="B21" s="127" t="s">
        <v>379</v>
      </c>
      <c r="C21" s="109">
        <f>IFERROR(VLOOKUP($B21,MMWR_TRAD_AGG_STATE_COMP[],C$1,0),"ERROR")</f>
        <v>16759</v>
      </c>
      <c r="D21" s="110">
        <f>IFERROR(VLOOKUP($B21,MMWR_TRAD_AGG_STATE_COMP[],D$1,0),"ERROR")</f>
        <v>427.32734650039998</v>
      </c>
      <c r="E21" s="111">
        <f>IFERROR(VLOOKUP($B21,MMWR_TRAD_AGG_STATE_COMP[],E$1,0),"ERROR")</f>
        <v>11648</v>
      </c>
      <c r="F21" s="112">
        <f>IFERROR(VLOOKUP($B21,MMWR_TRAD_AGG_STATE_COMP[],F$1,0),"ERROR")</f>
        <v>3202</v>
      </c>
      <c r="G21" s="113">
        <f t="shared" si="0"/>
        <v>0.27489697802197804</v>
      </c>
      <c r="H21" s="111">
        <f>IFERROR(VLOOKUP($B21,MMWR_TRAD_AGG_STATE_COMP[],H$1,0),"ERROR")</f>
        <v>21669</v>
      </c>
      <c r="I21" s="112">
        <f>IFERROR(VLOOKUP($B21,MMWR_TRAD_AGG_STATE_COMP[],I$1,0),"ERROR")</f>
        <v>14863</v>
      </c>
      <c r="J21" s="114">
        <f t="shared" si="1"/>
        <v>0.68591074807328445</v>
      </c>
      <c r="K21" s="111">
        <f>IFERROR(VLOOKUP($B21,MMWR_TRAD_AGG_STATE_COMP[],K$1,0),"ERROR")</f>
        <v>8600</v>
      </c>
      <c r="L21" s="112">
        <f>IFERROR(VLOOKUP($B21,MMWR_TRAD_AGG_STATE_COMP[],L$1,0),"ERROR")</f>
        <v>6352</v>
      </c>
      <c r="M21" s="114">
        <f t="shared" si="2"/>
        <v>0.73860465116279073</v>
      </c>
      <c r="N21" s="111">
        <f>IFERROR(VLOOKUP($B21,MMWR_TRAD_AGG_STATE_COMP[],N$1,0),"ERROR")</f>
        <v>7037</v>
      </c>
      <c r="O21" s="112">
        <f>IFERROR(VLOOKUP($B21,MMWR_TRAD_AGG_STATE_COMP[],O$1,0),"ERROR")</f>
        <v>5248</v>
      </c>
      <c r="P21" s="114">
        <f t="shared" si="3"/>
        <v>0.74577234617024302</v>
      </c>
      <c r="Q21" s="115">
        <f>IFERROR(VLOOKUP($B21,MMWR_TRAD_AGG_STATE_COMP[],Q$1,0),"ERROR")</f>
        <v>888</v>
      </c>
      <c r="R21" s="115">
        <f>IFERROR(VLOOKUP($B21,MMWR_TRAD_AGG_STATE_COMP[],R$1,0),"ERROR")</f>
        <v>15</v>
      </c>
      <c r="S21" s="115">
        <f>IFERROR(VLOOKUP($B21,MMWR_APP_STATE_COMP[],S$1,0),"ERROR")</f>
        <v>15184</v>
      </c>
      <c r="T21" s="28"/>
    </row>
    <row r="22" spans="1:20" s="123" customFormat="1" x14ac:dyDescent="0.2">
      <c r="A22" s="107"/>
      <c r="B22" s="127" t="s">
        <v>380</v>
      </c>
      <c r="C22" s="109">
        <f>IFERROR(VLOOKUP($B22,MMWR_TRAD_AGG_STATE_COMP[],C$1,0),"ERROR")</f>
        <v>2116</v>
      </c>
      <c r="D22" s="110">
        <f>IFERROR(VLOOKUP($B22,MMWR_TRAD_AGG_STATE_COMP[],D$1,0),"ERROR")</f>
        <v>269.30387523629997</v>
      </c>
      <c r="E22" s="111">
        <f>IFERROR(VLOOKUP($B22,MMWR_TRAD_AGG_STATE_COMP[],E$1,0),"ERROR")</f>
        <v>2538</v>
      </c>
      <c r="F22" s="112">
        <f>IFERROR(VLOOKUP($B22,MMWR_TRAD_AGG_STATE_COMP[],F$1,0),"ERROR")</f>
        <v>587</v>
      </c>
      <c r="G22" s="113">
        <f t="shared" si="0"/>
        <v>0.23128447596532703</v>
      </c>
      <c r="H22" s="111">
        <f>IFERROR(VLOOKUP($B22,MMWR_TRAD_AGG_STATE_COMP[],H$1,0),"ERROR")</f>
        <v>3499</v>
      </c>
      <c r="I22" s="112">
        <f>IFERROR(VLOOKUP($B22,MMWR_TRAD_AGG_STATE_COMP[],I$1,0),"ERROR")</f>
        <v>2223</v>
      </c>
      <c r="J22" s="114">
        <f t="shared" si="1"/>
        <v>0.63532437839382683</v>
      </c>
      <c r="K22" s="111">
        <f>IFERROR(VLOOKUP($B22,MMWR_TRAD_AGG_STATE_COMP[],K$1,0),"ERROR")</f>
        <v>469</v>
      </c>
      <c r="L22" s="112">
        <f>IFERROR(VLOOKUP($B22,MMWR_TRAD_AGG_STATE_COMP[],L$1,0),"ERROR")</f>
        <v>213</v>
      </c>
      <c r="M22" s="114">
        <f t="shared" si="2"/>
        <v>0.45415778251599148</v>
      </c>
      <c r="N22" s="111">
        <f>IFERROR(VLOOKUP($B22,MMWR_TRAD_AGG_STATE_COMP[],N$1,0),"ERROR")</f>
        <v>1328</v>
      </c>
      <c r="O22" s="112">
        <f>IFERROR(VLOOKUP($B22,MMWR_TRAD_AGG_STATE_COMP[],O$1,0),"ERROR")</f>
        <v>1024</v>
      </c>
      <c r="P22" s="114">
        <f t="shared" si="3"/>
        <v>0.77108433734939763</v>
      </c>
      <c r="Q22" s="115">
        <f>IFERROR(VLOOKUP($B22,MMWR_TRAD_AGG_STATE_COMP[],Q$1,0),"ERROR")</f>
        <v>345</v>
      </c>
      <c r="R22" s="115">
        <f>IFERROR(VLOOKUP($B22,MMWR_TRAD_AGG_STATE_COMP[],R$1,0),"ERROR")</f>
        <v>12</v>
      </c>
      <c r="S22" s="115">
        <f>IFERROR(VLOOKUP($B22,MMWR_APP_STATE_COMP[],S$1,0),"ERROR")</f>
        <v>2300</v>
      </c>
      <c r="T22" s="28"/>
    </row>
    <row r="23" spans="1:20" s="123" customFormat="1" x14ac:dyDescent="0.2">
      <c r="A23" s="107"/>
      <c r="B23" s="126" t="s">
        <v>391</v>
      </c>
      <c r="C23" s="102">
        <f>IF(SUM(C24:C35)&lt;&gt;VLOOKUP($B23,MMWR_TRAD_AGG_ST_DISTRICT_COMP[],C$1,0),"ERROR",
VLOOKUP($B23,MMWR_TRAD_AGG_ST_DISTRICT_COMP[],C$1,0))</f>
        <v>38326</v>
      </c>
      <c r="D23" s="103">
        <f>IFERROR(VLOOKUP($B23,MMWR_TRAD_AGG_ST_DISTRICT_COMP[],D$1,0),"ERROR")</f>
        <v>386.95997495170002</v>
      </c>
      <c r="E23" s="102">
        <f>IF(SUM(E24:E35)&lt;&gt;VLOOKUP($B23,MMWR_TRAD_AGG_ST_DISTRICT_COMP[],E$1,0),"ERROR",
VLOOKUP($B23,MMWR_TRAD_AGG_ST_DISTRICT_COMP[],E$1,0))</f>
        <v>50397</v>
      </c>
      <c r="F23" s="102">
        <f>IF(SUM(F24:F35)&lt;&gt;VLOOKUP($B23,MMWR_TRAD_AGG_ST_DISTRICT_COMP[],F$1,0),"ERROR",
VLOOKUP($B23,MMWR_TRAD_AGG_ST_DISTRICT_COMP[],F$1,0))</f>
        <v>11619</v>
      </c>
      <c r="G23" s="104">
        <f t="shared" si="0"/>
        <v>0.23054943746651588</v>
      </c>
      <c r="H23" s="102">
        <f>IF(SUM(H24:H35)&lt;&gt;VLOOKUP($B23,MMWR_TRAD_AGG_ST_DISTRICT_COMP[],H$1,0),"ERROR",
VLOOKUP($B23,MMWR_TRAD_AGG_ST_DISTRICT_COMP[],H$1,0))</f>
        <v>60260</v>
      </c>
      <c r="I23" s="102">
        <f>IF(SUM(I24:I35)&lt;&gt;VLOOKUP($B23,MMWR_TRAD_AGG_ST_DISTRICT_COMP[],I$1,0),"ERROR",
VLOOKUP($B23,MMWR_TRAD_AGG_ST_DISTRICT_COMP[],I$1,0))</f>
        <v>37025</v>
      </c>
      <c r="J23" s="105">
        <f t="shared" si="1"/>
        <v>0.61442084301360766</v>
      </c>
      <c r="K23" s="102">
        <f>IF(SUM(K24:K35)&lt;&gt;VLOOKUP($B23,MMWR_TRAD_AGG_ST_DISTRICT_COMP[],K$1,0),"ERROR",
VLOOKUP($B23,MMWR_TRAD_AGG_ST_DISTRICT_COMP[],K$1,0))</f>
        <v>13582</v>
      </c>
      <c r="L23" s="102">
        <f>IF(SUM(L24:L35)&lt;&gt;VLOOKUP($B23,MMWR_TRAD_AGG_ST_DISTRICT_COMP[],L$1,0),"ERROR",
VLOOKUP($B23,MMWR_TRAD_AGG_ST_DISTRICT_COMP[],L$1,0))</f>
        <v>9113</v>
      </c>
      <c r="M23" s="105">
        <f t="shared" si="2"/>
        <v>0.6709615667795612</v>
      </c>
      <c r="N23" s="102">
        <f>IF(SUM(N24:N35)&lt;&gt;VLOOKUP($B23,MMWR_TRAD_AGG_ST_DISTRICT_COMP[],N$1,0),"ERROR",
VLOOKUP($B23,MMWR_TRAD_AGG_ST_DISTRICT_COMP[],N$1,0))</f>
        <v>23592</v>
      </c>
      <c r="O23" s="102">
        <f>IF(SUM(O24:O35)&lt;&gt;VLOOKUP($B23,MMWR_TRAD_AGG_ST_DISTRICT_COMP[],O$1,0),"ERROR",
VLOOKUP($B23,MMWR_TRAD_AGG_ST_DISTRICT_COMP[],O$1,0))</f>
        <v>15503</v>
      </c>
      <c r="P23" s="105">
        <f t="shared" si="3"/>
        <v>0.65712953543574093</v>
      </c>
      <c r="Q23" s="102">
        <f>IF(SUM(Q24:Q35)&lt;&gt;VLOOKUP($B23,MMWR_TRAD_AGG_ST_DISTRICT_COMP[],Q$1,0),"ERROR",
VLOOKUP($B23,MMWR_TRAD_AGG_ST_DISTRICT_COMP[],Q$1,0))</f>
        <v>4171</v>
      </c>
      <c r="R23" s="102">
        <f>IF(SUM(R24:R35)&lt;&gt;VLOOKUP($B23,MMWR_TRAD_AGG_ST_DISTRICT_COMP[],R$1,0),"ERROR",
VLOOKUP($B23,MMWR_TRAD_AGG_ST_DISTRICT_COMP[],R$1,0))</f>
        <v>1043</v>
      </c>
      <c r="S23" s="106">
        <f>SUM(S24:S35)</f>
        <v>52450</v>
      </c>
      <c r="T23" s="28"/>
    </row>
    <row r="24" spans="1:20" s="123" customFormat="1" x14ac:dyDescent="0.2">
      <c r="A24" s="92"/>
      <c r="B24" s="127" t="s">
        <v>395</v>
      </c>
      <c r="C24" s="109">
        <f>IFERROR(VLOOKUP($B24,MMWR_TRAD_AGG_STATE_COMP[],C$1,0),"ERROR")</f>
        <v>6582</v>
      </c>
      <c r="D24" s="110">
        <f>IFERROR(VLOOKUP($B24,MMWR_TRAD_AGG_STATE_COMP[],D$1,0),"ERROR")</f>
        <v>484.12093588570002</v>
      </c>
      <c r="E24" s="111">
        <f>IFERROR(VLOOKUP($B24,MMWR_TRAD_AGG_STATE_COMP[],E$1,0),"ERROR")</f>
        <v>6911</v>
      </c>
      <c r="F24" s="112">
        <f>IFERROR(VLOOKUP($B24,MMWR_TRAD_AGG_STATE_COMP[],F$1,0),"ERROR")</f>
        <v>2009</v>
      </c>
      <c r="G24" s="113">
        <f t="shared" si="0"/>
        <v>0.29069599189697581</v>
      </c>
      <c r="H24" s="111">
        <f>IFERROR(VLOOKUP($B24,MMWR_TRAD_AGG_STATE_COMP[],H$1,0),"ERROR")</f>
        <v>9417</v>
      </c>
      <c r="I24" s="112">
        <f>IFERROR(VLOOKUP($B24,MMWR_TRAD_AGG_STATE_COMP[],I$1,0),"ERROR")</f>
        <v>6503</v>
      </c>
      <c r="J24" s="114">
        <f t="shared" si="1"/>
        <v>0.69055962620792188</v>
      </c>
      <c r="K24" s="111">
        <f>IFERROR(VLOOKUP($B24,MMWR_TRAD_AGG_STATE_COMP[],K$1,0),"ERROR")</f>
        <v>2132</v>
      </c>
      <c r="L24" s="112">
        <f>IFERROR(VLOOKUP($B24,MMWR_TRAD_AGG_STATE_COMP[],L$1,0),"ERROR")</f>
        <v>1663</v>
      </c>
      <c r="M24" s="114">
        <f t="shared" si="2"/>
        <v>0.78001876172607876</v>
      </c>
      <c r="N24" s="111">
        <f>IFERROR(VLOOKUP($B24,MMWR_TRAD_AGG_STATE_COMP[],N$1,0),"ERROR")</f>
        <v>3033</v>
      </c>
      <c r="O24" s="112">
        <f>IFERROR(VLOOKUP($B24,MMWR_TRAD_AGG_STATE_COMP[],O$1,0),"ERROR")</f>
        <v>1571</v>
      </c>
      <c r="P24" s="114">
        <f t="shared" si="3"/>
        <v>0.51796900758325093</v>
      </c>
      <c r="Q24" s="115">
        <f>IFERROR(VLOOKUP($B24,MMWR_TRAD_AGG_STATE_COMP[],Q$1,0),"ERROR")</f>
        <v>765</v>
      </c>
      <c r="R24" s="115">
        <f>IFERROR(VLOOKUP($B24,MMWR_TRAD_AGG_STATE_COMP[],R$1,0),"ERROR")</f>
        <v>216</v>
      </c>
      <c r="S24" s="115">
        <f>IFERROR(VLOOKUP($B24,MMWR_APP_STATE_COMP[],S$1,0),"ERROR")</f>
        <v>8406</v>
      </c>
      <c r="T24" s="28"/>
    </row>
    <row r="25" spans="1:20" s="123" customFormat="1" x14ac:dyDescent="0.2">
      <c r="A25" s="107"/>
      <c r="B25" s="127" t="s">
        <v>393</v>
      </c>
      <c r="C25" s="109">
        <f>IFERROR(VLOOKUP($B25,MMWR_TRAD_AGG_STATE_COMP[],C$1,0),"ERROR")</f>
        <v>6524</v>
      </c>
      <c r="D25" s="110">
        <f>IFERROR(VLOOKUP($B25,MMWR_TRAD_AGG_STATE_COMP[],D$1,0),"ERROR")</f>
        <v>616.9748620478</v>
      </c>
      <c r="E25" s="111">
        <f>IFERROR(VLOOKUP($B25,MMWR_TRAD_AGG_STATE_COMP[],E$1,0),"ERROR")</f>
        <v>5204</v>
      </c>
      <c r="F25" s="112">
        <f>IFERROR(VLOOKUP($B25,MMWR_TRAD_AGG_STATE_COMP[],F$1,0),"ERROR")</f>
        <v>1126</v>
      </c>
      <c r="G25" s="113">
        <f t="shared" si="0"/>
        <v>0.21637202152190624</v>
      </c>
      <c r="H25" s="111">
        <f>IFERROR(VLOOKUP($B25,MMWR_TRAD_AGG_STATE_COMP[],H$1,0),"ERROR")</f>
        <v>9817</v>
      </c>
      <c r="I25" s="112">
        <f>IFERROR(VLOOKUP($B25,MMWR_TRAD_AGG_STATE_COMP[],I$1,0),"ERROR")</f>
        <v>7463</v>
      </c>
      <c r="J25" s="114">
        <f t="shared" si="1"/>
        <v>0.76021187735560758</v>
      </c>
      <c r="K25" s="111">
        <f>IFERROR(VLOOKUP($B25,MMWR_TRAD_AGG_STATE_COMP[],K$1,0),"ERROR")</f>
        <v>2017</v>
      </c>
      <c r="L25" s="112">
        <f>IFERROR(VLOOKUP($B25,MMWR_TRAD_AGG_STATE_COMP[],L$1,0),"ERROR")</f>
        <v>1557</v>
      </c>
      <c r="M25" s="114">
        <f t="shared" si="2"/>
        <v>0.77193852255825479</v>
      </c>
      <c r="N25" s="111">
        <f>IFERROR(VLOOKUP($B25,MMWR_TRAD_AGG_STATE_COMP[],N$1,0),"ERROR")</f>
        <v>2882</v>
      </c>
      <c r="O25" s="112">
        <f>IFERROR(VLOOKUP($B25,MMWR_TRAD_AGG_STATE_COMP[],O$1,0),"ERROR")</f>
        <v>2036</v>
      </c>
      <c r="P25" s="114">
        <f t="shared" si="3"/>
        <v>0.70645385149201945</v>
      </c>
      <c r="Q25" s="115">
        <f>IFERROR(VLOOKUP($B25,MMWR_TRAD_AGG_STATE_COMP[],Q$1,0),"ERROR")</f>
        <v>572</v>
      </c>
      <c r="R25" s="115">
        <f>IFERROR(VLOOKUP($B25,MMWR_TRAD_AGG_STATE_COMP[],R$1,0),"ERROR")</f>
        <v>203</v>
      </c>
      <c r="S25" s="115">
        <f>IFERROR(VLOOKUP($B25,MMWR_APP_STATE_COMP[],S$1,0),"ERROR")</f>
        <v>8192</v>
      </c>
      <c r="T25" s="28"/>
    </row>
    <row r="26" spans="1:20" s="123" customFormat="1" x14ac:dyDescent="0.2">
      <c r="A26" s="107"/>
      <c r="B26" s="127" t="s">
        <v>400</v>
      </c>
      <c r="C26" s="109">
        <f>IFERROR(VLOOKUP($B26,MMWR_TRAD_AGG_STATE_COMP[],C$1,0),"ERROR")</f>
        <v>1208</v>
      </c>
      <c r="D26" s="110">
        <f>IFERROR(VLOOKUP($B26,MMWR_TRAD_AGG_STATE_COMP[],D$1,0),"ERROR")</f>
        <v>205.55711920530001</v>
      </c>
      <c r="E26" s="111">
        <f>IFERROR(VLOOKUP($B26,MMWR_TRAD_AGG_STATE_COMP[],E$1,0),"ERROR")</f>
        <v>2524</v>
      </c>
      <c r="F26" s="112">
        <f>IFERROR(VLOOKUP($B26,MMWR_TRAD_AGG_STATE_COMP[],F$1,0),"ERROR")</f>
        <v>479</v>
      </c>
      <c r="G26" s="113">
        <f t="shared" si="0"/>
        <v>0.18977812995245641</v>
      </c>
      <c r="H26" s="111">
        <f>IFERROR(VLOOKUP($B26,MMWR_TRAD_AGG_STATE_COMP[],H$1,0),"ERROR")</f>
        <v>1759</v>
      </c>
      <c r="I26" s="112">
        <f>IFERROR(VLOOKUP($B26,MMWR_TRAD_AGG_STATE_COMP[],I$1,0),"ERROR")</f>
        <v>806</v>
      </c>
      <c r="J26" s="114">
        <f t="shared" si="1"/>
        <v>0.45821489482660605</v>
      </c>
      <c r="K26" s="111">
        <f>IFERROR(VLOOKUP($B26,MMWR_TRAD_AGG_STATE_COMP[],K$1,0),"ERROR")</f>
        <v>381</v>
      </c>
      <c r="L26" s="112">
        <f>IFERROR(VLOOKUP($B26,MMWR_TRAD_AGG_STATE_COMP[],L$1,0),"ERROR")</f>
        <v>168</v>
      </c>
      <c r="M26" s="114">
        <f t="shared" si="2"/>
        <v>0.44094488188976377</v>
      </c>
      <c r="N26" s="111">
        <f>IFERROR(VLOOKUP($B26,MMWR_TRAD_AGG_STATE_COMP[],N$1,0),"ERROR")</f>
        <v>447</v>
      </c>
      <c r="O26" s="112">
        <f>IFERROR(VLOOKUP($B26,MMWR_TRAD_AGG_STATE_COMP[],O$1,0),"ERROR")</f>
        <v>280</v>
      </c>
      <c r="P26" s="114">
        <f t="shared" si="3"/>
        <v>0.62639821029082776</v>
      </c>
      <c r="Q26" s="115">
        <f>IFERROR(VLOOKUP($B26,MMWR_TRAD_AGG_STATE_COMP[],Q$1,0),"ERROR")</f>
        <v>1</v>
      </c>
      <c r="R26" s="115">
        <f>IFERROR(VLOOKUP($B26,MMWR_TRAD_AGG_STATE_COMP[],R$1,0),"ERROR")</f>
        <v>7</v>
      </c>
      <c r="S26" s="115">
        <f>IFERROR(VLOOKUP($B26,MMWR_APP_STATE_COMP[],S$1,0),"ERROR")</f>
        <v>1364</v>
      </c>
      <c r="T26" s="28"/>
    </row>
    <row r="27" spans="1:20" s="123" customFormat="1" x14ac:dyDescent="0.2">
      <c r="A27" s="107"/>
      <c r="B27" s="127" t="s">
        <v>423</v>
      </c>
      <c r="C27" s="109">
        <f>IFERROR(VLOOKUP($B27,MMWR_TRAD_AGG_STATE_COMP[],C$1,0),"ERROR")</f>
        <v>1940</v>
      </c>
      <c r="D27" s="110">
        <f>IFERROR(VLOOKUP($B27,MMWR_TRAD_AGG_STATE_COMP[],D$1,0),"ERROR")</f>
        <v>244.4896907216</v>
      </c>
      <c r="E27" s="111">
        <f>IFERROR(VLOOKUP($B27,MMWR_TRAD_AGG_STATE_COMP[],E$1,0),"ERROR")</f>
        <v>2315</v>
      </c>
      <c r="F27" s="112">
        <f>IFERROR(VLOOKUP($B27,MMWR_TRAD_AGG_STATE_COMP[],F$1,0),"ERROR")</f>
        <v>445</v>
      </c>
      <c r="G27" s="113">
        <f t="shared" si="0"/>
        <v>0.19222462203023757</v>
      </c>
      <c r="H27" s="111">
        <f>IFERROR(VLOOKUP($B27,MMWR_TRAD_AGG_STATE_COMP[],H$1,0),"ERROR")</f>
        <v>2900</v>
      </c>
      <c r="I27" s="112">
        <f>IFERROR(VLOOKUP($B27,MMWR_TRAD_AGG_STATE_COMP[],I$1,0),"ERROR")</f>
        <v>1620</v>
      </c>
      <c r="J27" s="114">
        <f t="shared" si="1"/>
        <v>0.55862068965517242</v>
      </c>
      <c r="K27" s="111">
        <f>IFERROR(VLOOKUP($B27,MMWR_TRAD_AGG_STATE_COMP[],K$1,0),"ERROR")</f>
        <v>1025</v>
      </c>
      <c r="L27" s="112">
        <f>IFERROR(VLOOKUP($B27,MMWR_TRAD_AGG_STATE_COMP[],L$1,0),"ERROR")</f>
        <v>487</v>
      </c>
      <c r="M27" s="114">
        <f t="shared" si="2"/>
        <v>0.47512195121951217</v>
      </c>
      <c r="N27" s="111">
        <f>IFERROR(VLOOKUP($B27,MMWR_TRAD_AGG_STATE_COMP[],N$1,0),"ERROR")</f>
        <v>648</v>
      </c>
      <c r="O27" s="112">
        <f>IFERROR(VLOOKUP($B27,MMWR_TRAD_AGG_STATE_COMP[],O$1,0),"ERROR")</f>
        <v>379</v>
      </c>
      <c r="P27" s="114">
        <f t="shared" si="3"/>
        <v>0.58487654320987659</v>
      </c>
      <c r="Q27" s="115">
        <f>IFERROR(VLOOKUP($B27,MMWR_TRAD_AGG_STATE_COMP[],Q$1,0),"ERROR")</f>
        <v>11</v>
      </c>
      <c r="R27" s="115">
        <f>IFERROR(VLOOKUP($B27,MMWR_TRAD_AGG_STATE_COMP[],R$1,0),"ERROR")</f>
        <v>14</v>
      </c>
      <c r="S27" s="115">
        <f>IFERROR(VLOOKUP($B27,MMWR_APP_STATE_COMP[],S$1,0),"ERROR")</f>
        <v>1310</v>
      </c>
      <c r="T27" s="28"/>
    </row>
    <row r="28" spans="1:20" s="123" customFormat="1" x14ac:dyDescent="0.2">
      <c r="A28" s="107"/>
      <c r="B28" s="127" t="s">
        <v>396</v>
      </c>
      <c r="C28" s="109">
        <f>IFERROR(VLOOKUP($B28,MMWR_TRAD_AGG_STATE_COMP[],C$1,0),"ERROR")</f>
        <v>3590</v>
      </c>
      <c r="D28" s="110">
        <f>IFERROR(VLOOKUP($B28,MMWR_TRAD_AGG_STATE_COMP[],D$1,0),"ERROR")</f>
        <v>310.27075208909997</v>
      </c>
      <c r="E28" s="111">
        <f>IFERROR(VLOOKUP($B28,MMWR_TRAD_AGG_STATE_COMP[],E$1,0),"ERROR")</f>
        <v>7546</v>
      </c>
      <c r="F28" s="112">
        <f>IFERROR(VLOOKUP($B28,MMWR_TRAD_AGG_STATE_COMP[],F$1,0),"ERROR")</f>
        <v>1818</v>
      </c>
      <c r="G28" s="113">
        <f t="shared" si="0"/>
        <v>0.24092234296315929</v>
      </c>
      <c r="H28" s="111">
        <f>IFERROR(VLOOKUP($B28,MMWR_TRAD_AGG_STATE_COMP[],H$1,0),"ERROR")</f>
        <v>6664</v>
      </c>
      <c r="I28" s="112">
        <f>IFERROR(VLOOKUP($B28,MMWR_TRAD_AGG_STATE_COMP[],I$1,0),"ERROR")</f>
        <v>4262</v>
      </c>
      <c r="J28" s="114">
        <f t="shared" si="1"/>
        <v>0.6395558223289316</v>
      </c>
      <c r="K28" s="111">
        <f>IFERROR(VLOOKUP($B28,MMWR_TRAD_AGG_STATE_COMP[],K$1,0),"ERROR")</f>
        <v>1223</v>
      </c>
      <c r="L28" s="112">
        <f>IFERROR(VLOOKUP($B28,MMWR_TRAD_AGG_STATE_COMP[],L$1,0),"ERROR")</f>
        <v>893</v>
      </c>
      <c r="M28" s="114">
        <f t="shared" si="2"/>
        <v>0.73017170891251026</v>
      </c>
      <c r="N28" s="111">
        <f>IFERROR(VLOOKUP($B28,MMWR_TRAD_AGG_STATE_COMP[],N$1,0),"ERROR")</f>
        <v>2103</v>
      </c>
      <c r="O28" s="112">
        <f>IFERROR(VLOOKUP($B28,MMWR_TRAD_AGG_STATE_COMP[],O$1,0),"ERROR")</f>
        <v>1185</v>
      </c>
      <c r="P28" s="114">
        <f t="shared" si="3"/>
        <v>0.56348074179743224</v>
      </c>
      <c r="Q28" s="115">
        <f>IFERROR(VLOOKUP($B28,MMWR_TRAD_AGG_STATE_COMP[],Q$1,0),"ERROR")</f>
        <v>794</v>
      </c>
      <c r="R28" s="115">
        <f>IFERROR(VLOOKUP($B28,MMWR_TRAD_AGG_STATE_COMP[],R$1,0),"ERROR")</f>
        <v>194</v>
      </c>
      <c r="S28" s="115">
        <f>IFERROR(VLOOKUP($B28,MMWR_APP_STATE_COMP[],S$1,0),"ERROR")</f>
        <v>5577</v>
      </c>
      <c r="T28" s="28"/>
    </row>
    <row r="29" spans="1:20" s="123" customFormat="1" x14ac:dyDescent="0.2">
      <c r="A29" s="107"/>
      <c r="B29" s="127" t="s">
        <v>402</v>
      </c>
      <c r="C29" s="109">
        <f>IFERROR(VLOOKUP($B29,MMWR_TRAD_AGG_STATE_COMP[],C$1,0),"ERROR")</f>
        <v>1592</v>
      </c>
      <c r="D29" s="110">
        <f>IFERROR(VLOOKUP($B29,MMWR_TRAD_AGG_STATE_COMP[],D$1,0),"ERROR")</f>
        <v>188.04271356780001</v>
      </c>
      <c r="E29" s="111">
        <f>IFERROR(VLOOKUP($B29,MMWR_TRAD_AGG_STATE_COMP[],E$1,0),"ERROR")</f>
        <v>4344</v>
      </c>
      <c r="F29" s="112">
        <f>IFERROR(VLOOKUP($B29,MMWR_TRAD_AGG_STATE_COMP[],F$1,0),"ERROR")</f>
        <v>823</v>
      </c>
      <c r="G29" s="113">
        <f t="shared" si="0"/>
        <v>0.18945672191528545</v>
      </c>
      <c r="H29" s="111">
        <f>IFERROR(VLOOKUP($B29,MMWR_TRAD_AGG_STATE_COMP[],H$1,0),"ERROR")</f>
        <v>2841</v>
      </c>
      <c r="I29" s="112">
        <f>IFERROR(VLOOKUP($B29,MMWR_TRAD_AGG_STATE_COMP[],I$1,0),"ERROR")</f>
        <v>1176</v>
      </c>
      <c r="J29" s="114">
        <f t="shared" si="1"/>
        <v>0.41393875395987328</v>
      </c>
      <c r="K29" s="111">
        <f>IFERROR(VLOOKUP($B29,MMWR_TRAD_AGG_STATE_COMP[],K$1,0),"ERROR")</f>
        <v>710</v>
      </c>
      <c r="L29" s="112">
        <f>IFERROR(VLOOKUP($B29,MMWR_TRAD_AGG_STATE_COMP[],L$1,0),"ERROR")</f>
        <v>254</v>
      </c>
      <c r="M29" s="114">
        <f t="shared" si="2"/>
        <v>0.35774647887323946</v>
      </c>
      <c r="N29" s="111">
        <f>IFERROR(VLOOKUP($B29,MMWR_TRAD_AGG_STATE_COMP[],N$1,0),"ERROR")</f>
        <v>1218</v>
      </c>
      <c r="O29" s="112">
        <f>IFERROR(VLOOKUP($B29,MMWR_TRAD_AGG_STATE_COMP[],O$1,0),"ERROR")</f>
        <v>769</v>
      </c>
      <c r="P29" s="114">
        <f t="shared" si="3"/>
        <v>0.63136288998357959</v>
      </c>
      <c r="Q29" s="115">
        <f>IFERROR(VLOOKUP($B29,MMWR_TRAD_AGG_STATE_COMP[],Q$1,0),"ERROR")</f>
        <v>6</v>
      </c>
      <c r="R29" s="115">
        <f>IFERROR(VLOOKUP($B29,MMWR_TRAD_AGG_STATE_COMP[],R$1,0),"ERROR")</f>
        <v>5</v>
      </c>
      <c r="S29" s="115">
        <f>IFERROR(VLOOKUP($B29,MMWR_APP_STATE_COMP[],S$1,0),"ERROR")</f>
        <v>2182</v>
      </c>
      <c r="T29" s="28"/>
    </row>
    <row r="30" spans="1:20" s="123" customFormat="1" x14ac:dyDescent="0.2">
      <c r="A30" s="107"/>
      <c r="B30" s="127" t="s">
        <v>398</v>
      </c>
      <c r="C30" s="109">
        <f>IFERROR(VLOOKUP($B30,MMWR_TRAD_AGG_STATE_COMP[],C$1,0),"ERROR")</f>
        <v>5062</v>
      </c>
      <c r="D30" s="110">
        <f>IFERROR(VLOOKUP($B30,MMWR_TRAD_AGG_STATE_COMP[],D$1,0),"ERROR")</f>
        <v>268.520545239</v>
      </c>
      <c r="E30" s="111">
        <f>IFERROR(VLOOKUP($B30,MMWR_TRAD_AGG_STATE_COMP[],E$1,0),"ERROR")</f>
        <v>6001</v>
      </c>
      <c r="F30" s="112">
        <f>IFERROR(VLOOKUP($B30,MMWR_TRAD_AGG_STATE_COMP[],F$1,0),"ERROR")</f>
        <v>1321</v>
      </c>
      <c r="G30" s="113">
        <f t="shared" si="0"/>
        <v>0.22012997833694384</v>
      </c>
      <c r="H30" s="111">
        <f>IFERROR(VLOOKUP($B30,MMWR_TRAD_AGG_STATE_COMP[],H$1,0),"ERROR")</f>
        <v>7345</v>
      </c>
      <c r="I30" s="112">
        <f>IFERROR(VLOOKUP($B30,MMWR_TRAD_AGG_STATE_COMP[],I$1,0),"ERROR")</f>
        <v>4132</v>
      </c>
      <c r="J30" s="114">
        <f t="shared" si="1"/>
        <v>0.56255956432947585</v>
      </c>
      <c r="K30" s="111">
        <f>IFERROR(VLOOKUP($B30,MMWR_TRAD_AGG_STATE_COMP[],K$1,0),"ERROR")</f>
        <v>2327</v>
      </c>
      <c r="L30" s="112">
        <f>IFERROR(VLOOKUP($B30,MMWR_TRAD_AGG_STATE_COMP[],L$1,0),"ERROR")</f>
        <v>1739</v>
      </c>
      <c r="M30" s="114">
        <f t="shared" si="2"/>
        <v>0.74731413837559091</v>
      </c>
      <c r="N30" s="111">
        <f>IFERROR(VLOOKUP($B30,MMWR_TRAD_AGG_STATE_COMP[],N$1,0),"ERROR")</f>
        <v>7231</v>
      </c>
      <c r="O30" s="112">
        <f>IFERROR(VLOOKUP($B30,MMWR_TRAD_AGG_STATE_COMP[],O$1,0),"ERROR")</f>
        <v>5395</v>
      </c>
      <c r="P30" s="114">
        <f t="shared" si="3"/>
        <v>0.74609320979117688</v>
      </c>
      <c r="Q30" s="115">
        <f>IFERROR(VLOOKUP($B30,MMWR_TRAD_AGG_STATE_COMP[],Q$1,0),"ERROR")</f>
        <v>722</v>
      </c>
      <c r="R30" s="115">
        <f>IFERROR(VLOOKUP($B30,MMWR_TRAD_AGG_STATE_COMP[],R$1,0),"ERROR")</f>
        <v>65</v>
      </c>
      <c r="S30" s="115">
        <f>IFERROR(VLOOKUP($B30,MMWR_APP_STATE_COMP[],S$1,0),"ERROR")</f>
        <v>6766</v>
      </c>
      <c r="T30" s="28"/>
    </row>
    <row r="31" spans="1:20" s="123" customFormat="1" x14ac:dyDescent="0.2">
      <c r="A31" s="107"/>
      <c r="B31" s="127" t="s">
        <v>401</v>
      </c>
      <c r="C31" s="109">
        <f>IFERROR(VLOOKUP($B31,MMWR_TRAD_AGG_STATE_COMP[],C$1,0),"ERROR")</f>
        <v>1219</v>
      </c>
      <c r="D31" s="110">
        <f>IFERROR(VLOOKUP($B31,MMWR_TRAD_AGG_STATE_COMP[],D$1,0),"ERROR")</f>
        <v>237.10418375719999</v>
      </c>
      <c r="E31" s="111">
        <f>IFERROR(VLOOKUP($B31,MMWR_TRAD_AGG_STATE_COMP[],E$1,0),"ERROR")</f>
        <v>2196</v>
      </c>
      <c r="F31" s="112">
        <f>IFERROR(VLOOKUP($B31,MMWR_TRAD_AGG_STATE_COMP[],F$1,0),"ERROR")</f>
        <v>332</v>
      </c>
      <c r="G31" s="113">
        <f t="shared" si="0"/>
        <v>0.151183970856102</v>
      </c>
      <c r="H31" s="111">
        <f>IFERROR(VLOOKUP($B31,MMWR_TRAD_AGG_STATE_COMP[],H$1,0),"ERROR")</f>
        <v>2002</v>
      </c>
      <c r="I31" s="112">
        <f>IFERROR(VLOOKUP($B31,MMWR_TRAD_AGG_STATE_COMP[],I$1,0),"ERROR")</f>
        <v>1070</v>
      </c>
      <c r="J31" s="114">
        <f t="shared" si="1"/>
        <v>0.53446553446553446</v>
      </c>
      <c r="K31" s="111">
        <f>IFERROR(VLOOKUP($B31,MMWR_TRAD_AGG_STATE_COMP[],K$1,0),"ERROR")</f>
        <v>758</v>
      </c>
      <c r="L31" s="112">
        <f>IFERROR(VLOOKUP($B31,MMWR_TRAD_AGG_STATE_COMP[],L$1,0),"ERROR")</f>
        <v>552</v>
      </c>
      <c r="M31" s="114">
        <f t="shared" si="2"/>
        <v>0.72823218997361483</v>
      </c>
      <c r="N31" s="111">
        <f>IFERROR(VLOOKUP($B31,MMWR_TRAD_AGG_STATE_COMP[],N$1,0),"ERROR")</f>
        <v>600</v>
      </c>
      <c r="O31" s="112">
        <f>IFERROR(VLOOKUP($B31,MMWR_TRAD_AGG_STATE_COMP[],O$1,0),"ERROR")</f>
        <v>352</v>
      </c>
      <c r="P31" s="114">
        <f t="shared" si="3"/>
        <v>0.58666666666666667</v>
      </c>
      <c r="Q31" s="115">
        <f>IFERROR(VLOOKUP($B31,MMWR_TRAD_AGG_STATE_COMP[],Q$1,0),"ERROR")</f>
        <v>2</v>
      </c>
      <c r="R31" s="115">
        <f>IFERROR(VLOOKUP($B31,MMWR_TRAD_AGG_STATE_COMP[],R$1,0),"ERROR")</f>
        <v>13</v>
      </c>
      <c r="S31" s="115">
        <f>IFERROR(VLOOKUP($B31,MMWR_APP_STATE_COMP[],S$1,0),"ERROR")</f>
        <v>1154</v>
      </c>
      <c r="T31" s="28"/>
    </row>
    <row r="32" spans="1:20" s="123" customFormat="1" x14ac:dyDescent="0.2">
      <c r="A32" s="107"/>
      <c r="B32" s="127" t="s">
        <v>420</v>
      </c>
      <c r="C32" s="109">
        <f>IFERROR(VLOOKUP($B32,MMWR_TRAD_AGG_STATE_COMP[],C$1,0),"ERROR")</f>
        <v>155</v>
      </c>
      <c r="D32" s="110">
        <f>IFERROR(VLOOKUP($B32,MMWR_TRAD_AGG_STATE_COMP[],D$1,0),"ERROR")</f>
        <v>287.01290322580002</v>
      </c>
      <c r="E32" s="111">
        <f>IFERROR(VLOOKUP($B32,MMWR_TRAD_AGG_STATE_COMP[],E$1,0),"ERROR")</f>
        <v>650</v>
      </c>
      <c r="F32" s="112">
        <f>IFERROR(VLOOKUP($B32,MMWR_TRAD_AGG_STATE_COMP[],F$1,0),"ERROR")</f>
        <v>118</v>
      </c>
      <c r="G32" s="113">
        <f t="shared" si="0"/>
        <v>0.18153846153846154</v>
      </c>
      <c r="H32" s="111">
        <f>IFERROR(VLOOKUP($B32,MMWR_TRAD_AGG_STATE_COMP[],H$1,0),"ERROR")</f>
        <v>316</v>
      </c>
      <c r="I32" s="112">
        <f>IFERROR(VLOOKUP($B32,MMWR_TRAD_AGG_STATE_COMP[],I$1,0),"ERROR")</f>
        <v>139</v>
      </c>
      <c r="J32" s="114">
        <f t="shared" si="1"/>
        <v>0.439873417721519</v>
      </c>
      <c r="K32" s="111">
        <f>IFERROR(VLOOKUP($B32,MMWR_TRAD_AGG_STATE_COMP[],K$1,0),"ERROR")</f>
        <v>113</v>
      </c>
      <c r="L32" s="112">
        <f>IFERROR(VLOOKUP($B32,MMWR_TRAD_AGG_STATE_COMP[],L$1,0),"ERROR")</f>
        <v>60</v>
      </c>
      <c r="M32" s="114">
        <f t="shared" si="2"/>
        <v>0.53097345132743368</v>
      </c>
      <c r="N32" s="111">
        <f>IFERROR(VLOOKUP($B32,MMWR_TRAD_AGG_STATE_COMP[],N$1,0),"ERROR")</f>
        <v>145</v>
      </c>
      <c r="O32" s="112">
        <f>IFERROR(VLOOKUP($B32,MMWR_TRAD_AGG_STATE_COMP[],O$1,0),"ERROR")</f>
        <v>89</v>
      </c>
      <c r="P32" s="114">
        <f t="shared" si="3"/>
        <v>0.61379310344827587</v>
      </c>
      <c r="Q32" s="115">
        <f>IFERROR(VLOOKUP($B32,MMWR_TRAD_AGG_STATE_COMP[],Q$1,0),"ERROR")</f>
        <v>0</v>
      </c>
      <c r="R32" s="115">
        <f>IFERROR(VLOOKUP($B32,MMWR_TRAD_AGG_STATE_COMP[],R$1,0),"ERROR")</f>
        <v>0</v>
      </c>
      <c r="S32" s="115">
        <f>IFERROR(VLOOKUP($B32,MMWR_APP_STATE_COMP[],S$1,0),"ERROR")</f>
        <v>474</v>
      </c>
      <c r="T32" s="28"/>
    </row>
    <row r="33" spans="1:20" s="123" customFormat="1" x14ac:dyDescent="0.2">
      <c r="A33" s="107"/>
      <c r="B33" s="127" t="s">
        <v>392</v>
      </c>
      <c r="C33" s="109">
        <f>IFERROR(VLOOKUP($B33,MMWR_TRAD_AGG_STATE_COMP[],C$1,0),"ERROR")</f>
        <v>6221</v>
      </c>
      <c r="D33" s="110">
        <f>IFERROR(VLOOKUP($B33,MMWR_TRAD_AGG_STATE_COMP[],D$1,0),"ERROR")</f>
        <v>427.11766597010001</v>
      </c>
      <c r="E33" s="111">
        <f>IFERROR(VLOOKUP($B33,MMWR_TRAD_AGG_STATE_COMP[],E$1,0),"ERROR")</f>
        <v>8037</v>
      </c>
      <c r="F33" s="112">
        <f>IFERROR(VLOOKUP($B33,MMWR_TRAD_AGG_STATE_COMP[],F$1,0),"ERROR")</f>
        <v>2179</v>
      </c>
      <c r="G33" s="113">
        <f t="shared" si="0"/>
        <v>0.27112106507403261</v>
      </c>
      <c r="H33" s="111">
        <f>IFERROR(VLOOKUP($B33,MMWR_TRAD_AGG_STATE_COMP[],H$1,0),"ERROR")</f>
        <v>10812</v>
      </c>
      <c r="I33" s="112">
        <f>IFERROR(VLOOKUP($B33,MMWR_TRAD_AGG_STATE_COMP[],I$1,0),"ERROR")</f>
        <v>6243</v>
      </c>
      <c r="J33" s="114">
        <f t="shared" si="1"/>
        <v>0.57741398446170922</v>
      </c>
      <c r="K33" s="111">
        <f>IFERROR(VLOOKUP($B33,MMWR_TRAD_AGG_STATE_COMP[],K$1,0),"ERROR")</f>
        <v>1867</v>
      </c>
      <c r="L33" s="112">
        <f>IFERROR(VLOOKUP($B33,MMWR_TRAD_AGG_STATE_COMP[],L$1,0),"ERROR")</f>
        <v>1116</v>
      </c>
      <c r="M33" s="114">
        <f t="shared" si="2"/>
        <v>0.59775040171397964</v>
      </c>
      <c r="N33" s="111">
        <f>IFERROR(VLOOKUP($B33,MMWR_TRAD_AGG_STATE_COMP[],N$1,0),"ERROR")</f>
        <v>4194</v>
      </c>
      <c r="O33" s="112">
        <f>IFERROR(VLOOKUP($B33,MMWR_TRAD_AGG_STATE_COMP[],O$1,0),"ERROR")</f>
        <v>2840</v>
      </c>
      <c r="P33" s="114">
        <f t="shared" si="3"/>
        <v>0.67715784453981875</v>
      </c>
      <c r="Q33" s="115">
        <f>IFERROR(VLOOKUP($B33,MMWR_TRAD_AGG_STATE_COMP[],Q$1,0),"ERROR")</f>
        <v>853</v>
      </c>
      <c r="R33" s="115">
        <f>IFERROR(VLOOKUP($B33,MMWR_TRAD_AGG_STATE_COMP[],R$1,0),"ERROR")</f>
        <v>319</v>
      </c>
      <c r="S33" s="115">
        <f>IFERROR(VLOOKUP($B33,MMWR_APP_STATE_COMP[],S$1,0),"ERROR")</f>
        <v>13480</v>
      </c>
      <c r="T33" s="28"/>
    </row>
    <row r="34" spans="1:20" s="123" customFormat="1" x14ac:dyDescent="0.2">
      <c r="A34" s="107"/>
      <c r="B34" s="127" t="s">
        <v>421</v>
      </c>
      <c r="C34" s="109">
        <f>IFERROR(VLOOKUP($B34,MMWR_TRAD_AGG_STATE_COMP[],C$1,0),"ERROR")</f>
        <v>404</v>
      </c>
      <c r="D34" s="110">
        <f>IFERROR(VLOOKUP($B34,MMWR_TRAD_AGG_STATE_COMP[],D$1,0),"ERROR")</f>
        <v>265.27722772279998</v>
      </c>
      <c r="E34" s="111">
        <f>IFERROR(VLOOKUP($B34,MMWR_TRAD_AGG_STATE_COMP[],E$1,0),"ERROR")</f>
        <v>910</v>
      </c>
      <c r="F34" s="112">
        <f>IFERROR(VLOOKUP($B34,MMWR_TRAD_AGG_STATE_COMP[],F$1,0),"ERROR")</f>
        <v>177</v>
      </c>
      <c r="G34" s="113">
        <f t="shared" si="0"/>
        <v>0.19450549450549451</v>
      </c>
      <c r="H34" s="111">
        <f>IFERROR(VLOOKUP($B34,MMWR_TRAD_AGG_STATE_COMP[],H$1,0),"ERROR")</f>
        <v>684</v>
      </c>
      <c r="I34" s="112">
        <f>IFERROR(VLOOKUP($B34,MMWR_TRAD_AGG_STATE_COMP[],I$1,0),"ERROR")</f>
        <v>304</v>
      </c>
      <c r="J34" s="114">
        <f t="shared" si="1"/>
        <v>0.44444444444444442</v>
      </c>
      <c r="K34" s="111">
        <f>IFERROR(VLOOKUP($B34,MMWR_TRAD_AGG_STATE_COMP[],K$1,0),"ERROR")</f>
        <v>333</v>
      </c>
      <c r="L34" s="112">
        <f>IFERROR(VLOOKUP($B34,MMWR_TRAD_AGG_STATE_COMP[],L$1,0),"ERROR")</f>
        <v>132</v>
      </c>
      <c r="M34" s="114">
        <f t="shared" si="2"/>
        <v>0.3963963963963964</v>
      </c>
      <c r="N34" s="111">
        <f>IFERROR(VLOOKUP($B34,MMWR_TRAD_AGG_STATE_COMP[],N$1,0),"ERROR")</f>
        <v>126</v>
      </c>
      <c r="O34" s="112">
        <f>IFERROR(VLOOKUP($B34,MMWR_TRAD_AGG_STATE_COMP[],O$1,0),"ERROR")</f>
        <v>75</v>
      </c>
      <c r="P34" s="114">
        <f t="shared" si="3"/>
        <v>0.59523809523809523</v>
      </c>
      <c r="Q34" s="115">
        <f>IFERROR(VLOOKUP($B34,MMWR_TRAD_AGG_STATE_COMP[],Q$1,0),"ERROR")</f>
        <v>1</v>
      </c>
      <c r="R34" s="115">
        <f>IFERROR(VLOOKUP($B34,MMWR_TRAD_AGG_STATE_COMP[],R$1,0),"ERROR")</f>
        <v>1</v>
      </c>
      <c r="S34" s="115">
        <f>IFERROR(VLOOKUP($B34,MMWR_APP_STATE_COMP[],S$1,0),"ERROR")</f>
        <v>197</v>
      </c>
      <c r="T34" s="28"/>
    </row>
    <row r="35" spans="1:20" s="123" customFormat="1" x14ac:dyDescent="0.2">
      <c r="A35" s="107"/>
      <c r="B35" s="127" t="s">
        <v>397</v>
      </c>
      <c r="C35" s="109">
        <f>IFERROR(VLOOKUP($B35,MMWR_TRAD_AGG_STATE_COMP[],C$1,0),"ERROR")</f>
        <v>3829</v>
      </c>
      <c r="D35" s="110">
        <f>IFERROR(VLOOKUP($B35,MMWR_TRAD_AGG_STATE_COMP[],D$1,0),"ERROR")</f>
        <v>267.98171846439999</v>
      </c>
      <c r="E35" s="111">
        <f>IFERROR(VLOOKUP($B35,MMWR_TRAD_AGG_STATE_COMP[],E$1,0),"ERROR")</f>
        <v>3759</v>
      </c>
      <c r="F35" s="112">
        <f>IFERROR(VLOOKUP($B35,MMWR_TRAD_AGG_STATE_COMP[],F$1,0),"ERROR")</f>
        <v>792</v>
      </c>
      <c r="G35" s="113">
        <f t="shared" si="0"/>
        <v>0.21069433359936154</v>
      </c>
      <c r="H35" s="111">
        <f>IFERROR(VLOOKUP($B35,MMWR_TRAD_AGG_STATE_COMP[],H$1,0),"ERROR")</f>
        <v>5703</v>
      </c>
      <c r="I35" s="112">
        <f>IFERROR(VLOOKUP($B35,MMWR_TRAD_AGG_STATE_COMP[],I$1,0),"ERROR")</f>
        <v>3307</v>
      </c>
      <c r="J35" s="114">
        <f t="shared" si="1"/>
        <v>0.57987024373136942</v>
      </c>
      <c r="K35" s="111">
        <f>IFERROR(VLOOKUP($B35,MMWR_TRAD_AGG_STATE_COMP[],K$1,0),"ERROR")</f>
        <v>696</v>
      </c>
      <c r="L35" s="112">
        <f>IFERROR(VLOOKUP($B35,MMWR_TRAD_AGG_STATE_COMP[],L$1,0),"ERROR")</f>
        <v>492</v>
      </c>
      <c r="M35" s="114">
        <f t="shared" si="2"/>
        <v>0.7068965517241379</v>
      </c>
      <c r="N35" s="111">
        <f>IFERROR(VLOOKUP($B35,MMWR_TRAD_AGG_STATE_COMP[],N$1,0),"ERROR")</f>
        <v>965</v>
      </c>
      <c r="O35" s="112">
        <f>IFERROR(VLOOKUP($B35,MMWR_TRAD_AGG_STATE_COMP[],O$1,0),"ERROR")</f>
        <v>532</v>
      </c>
      <c r="P35" s="114">
        <f t="shared" si="3"/>
        <v>0.55129533678756482</v>
      </c>
      <c r="Q35" s="115">
        <f>IFERROR(VLOOKUP($B35,MMWR_TRAD_AGG_STATE_COMP[],Q$1,0),"ERROR")</f>
        <v>444</v>
      </c>
      <c r="R35" s="115">
        <f>IFERROR(VLOOKUP($B35,MMWR_TRAD_AGG_STATE_COMP[],R$1,0),"ERROR")</f>
        <v>6</v>
      </c>
      <c r="S35" s="115">
        <f>IFERROR(VLOOKUP($B35,MMWR_APP_STATE_COMP[],S$1,0),"ERROR")</f>
        <v>3348</v>
      </c>
      <c r="T35" s="28"/>
    </row>
    <row r="36" spans="1:20" s="123" customFormat="1" x14ac:dyDescent="0.2">
      <c r="A36" s="28"/>
      <c r="B36" s="126" t="s">
        <v>386</v>
      </c>
      <c r="C36" s="102">
        <f>IF(SUM(C37:C45)&lt;&gt;VLOOKUP($B36,MMWR_TRAD_AGG_ST_DISTRICT_COMP[],C$1,0),"ERROR",
VLOOKUP($B36,MMWR_TRAD_AGG_ST_DISTRICT_COMP[],C$1,0))</f>
        <v>55881</v>
      </c>
      <c r="D36" s="103">
        <f>IFERROR(VLOOKUP($B36,MMWR_TRAD_AGG_ST_DISTRICT_COMP[],D$1,0),"ERROR")</f>
        <v>378.963601224</v>
      </c>
      <c r="E36" s="102">
        <f>IFERROR(VLOOKUP($B36,MMWR_TRAD_AGG_ST_DISTRICT_COMP[],E$1,0),"ERROR")</f>
        <v>65562</v>
      </c>
      <c r="F36" s="102">
        <f>IFERROR(VLOOKUP($B36,MMWR_TRAD_AGG_ST_DISTRICT_COMP[],F$1,0),"ERROR")</f>
        <v>15111</v>
      </c>
      <c r="G36" s="104">
        <f t="shared" si="0"/>
        <v>0.23048412189988102</v>
      </c>
      <c r="H36" s="102">
        <f>IFERROR(VLOOKUP($B36,MMWR_TRAD_AGG_ST_DISTRICT_COMP[],H$1,0),"ERROR")</f>
        <v>78186</v>
      </c>
      <c r="I36" s="102">
        <f>IFERROR(VLOOKUP($B36,MMWR_TRAD_AGG_ST_DISTRICT_COMP[],I$1,0),"ERROR")</f>
        <v>51805</v>
      </c>
      <c r="J36" s="105">
        <f t="shared" si="1"/>
        <v>0.66258665234185143</v>
      </c>
      <c r="K36" s="102">
        <f>IFERROR(VLOOKUP($B36,MMWR_TRAD_AGG_ST_DISTRICT_COMP[],K$1,0),"ERROR")</f>
        <v>18997</v>
      </c>
      <c r="L36" s="102">
        <f>IFERROR(VLOOKUP($B36,MMWR_TRAD_AGG_ST_DISTRICT_COMP[],L$1,0),"ERROR")</f>
        <v>11941</v>
      </c>
      <c r="M36" s="105">
        <f t="shared" si="2"/>
        <v>0.62857293256830027</v>
      </c>
      <c r="N36" s="102">
        <f>IFERROR(VLOOKUP($B36,MMWR_TRAD_AGG_ST_DISTRICT_COMP[],N$1,0),"ERROR")</f>
        <v>27346</v>
      </c>
      <c r="O36" s="102">
        <f>IFERROR(VLOOKUP($B36,MMWR_TRAD_AGG_ST_DISTRICT_COMP[],O$1,0),"ERROR")</f>
        <v>15546</v>
      </c>
      <c r="P36" s="105">
        <f t="shared" si="3"/>
        <v>0.56849264974767788</v>
      </c>
      <c r="Q36" s="102">
        <f>IFERROR(VLOOKUP($B36,MMWR_TRAD_AGG_ST_DISTRICT_COMP[],Q$1,0),"ERROR")</f>
        <v>937</v>
      </c>
      <c r="R36" s="106">
        <f>IFERROR(VLOOKUP($B36,MMWR_TRAD_AGG_ST_DISTRICT_COMP[],R$1,0),"ERROR")</f>
        <v>1068</v>
      </c>
      <c r="S36" s="106">
        <f>SUM(S37:S45)</f>
        <v>70206</v>
      </c>
      <c r="T36" s="28"/>
    </row>
    <row r="37" spans="1:20" s="123" customFormat="1" x14ac:dyDescent="0.2">
      <c r="A37" s="28"/>
      <c r="B37" s="127" t="s">
        <v>412</v>
      </c>
      <c r="C37" s="109">
        <f>IFERROR(VLOOKUP($B37,MMWR_TRAD_AGG_STATE_COMP[],C$1,0),"ERROR")</f>
        <v>4127</v>
      </c>
      <c r="D37" s="110">
        <f>IFERROR(VLOOKUP($B37,MMWR_TRAD_AGG_STATE_COMP[],D$1,0),"ERROR")</f>
        <v>373.1814877635</v>
      </c>
      <c r="E37" s="111">
        <f>IFERROR(VLOOKUP($B37,MMWR_TRAD_AGG_STATE_COMP[],E$1,0),"ERROR")</f>
        <v>3622</v>
      </c>
      <c r="F37" s="112">
        <f>IFERROR(VLOOKUP($B37,MMWR_TRAD_AGG_STATE_COMP[],F$1,0),"ERROR")</f>
        <v>647</v>
      </c>
      <c r="G37" s="113">
        <f t="shared" si="0"/>
        <v>0.17863059083379348</v>
      </c>
      <c r="H37" s="111">
        <f>IFERROR(VLOOKUP($B37,MMWR_TRAD_AGG_STATE_COMP[],H$1,0),"ERROR")</f>
        <v>5672</v>
      </c>
      <c r="I37" s="112">
        <f>IFERROR(VLOOKUP($B37,MMWR_TRAD_AGG_STATE_COMP[],I$1,0),"ERROR")</f>
        <v>3820</v>
      </c>
      <c r="J37" s="114">
        <f t="shared" si="1"/>
        <v>0.67348377997179121</v>
      </c>
      <c r="K37" s="111">
        <f>IFERROR(VLOOKUP($B37,MMWR_TRAD_AGG_STATE_COMP[],K$1,0),"ERROR")</f>
        <v>1965</v>
      </c>
      <c r="L37" s="112">
        <f>IFERROR(VLOOKUP($B37,MMWR_TRAD_AGG_STATE_COMP[],L$1,0),"ERROR")</f>
        <v>1370</v>
      </c>
      <c r="M37" s="114">
        <f t="shared" si="2"/>
        <v>0.69720101781170485</v>
      </c>
      <c r="N37" s="111">
        <f>IFERROR(VLOOKUP($B37,MMWR_TRAD_AGG_STATE_COMP[],N$1,0),"ERROR")</f>
        <v>2262</v>
      </c>
      <c r="O37" s="112">
        <f>IFERROR(VLOOKUP($B37,MMWR_TRAD_AGG_STATE_COMP[],O$1,0),"ERROR")</f>
        <v>1341</v>
      </c>
      <c r="P37" s="114">
        <f t="shared" si="3"/>
        <v>0.59283819628647216</v>
      </c>
      <c r="Q37" s="115">
        <f>IFERROR(VLOOKUP($B37,MMWR_TRAD_AGG_STATE_COMP[],Q$1,0),"ERROR")</f>
        <v>340</v>
      </c>
      <c r="R37" s="115">
        <f>IFERROR(VLOOKUP($B37,MMWR_TRAD_AGG_STATE_COMP[],R$1,0),"ERROR")</f>
        <v>102</v>
      </c>
      <c r="S37" s="115">
        <f>IFERROR(VLOOKUP($B37,MMWR_APP_STATE_COMP[],S$1,0),"ERROR")</f>
        <v>5355</v>
      </c>
      <c r="T37" s="28"/>
    </row>
    <row r="38" spans="1:20" s="123" customFormat="1" x14ac:dyDescent="0.2">
      <c r="A38" s="28"/>
      <c r="B38" s="127" t="s">
        <v>404</v>
      </c>
      <c r="C38" s="109">
        <f>IFERROR(VLOOKUP($B38,MMWR_TRAD_AGG_STATE_COMP[],C$1,0),"ERROR")</f>
        <v>7757</v>
      </c>
      <c r="D38" s="110">
        <f>IFERROR(VLOOKUP($B38,MMWR_TRAD_AGG_STATE_COMP[],D$1,0),"ERROR")</f>
        <v>453.70491169270002</v>
      </c>
      <c r="E38" s="111">
        <f>IFERROR(VLOOKUP($B38,MMWR_TRAD_AGG_STATE_COMP[],E$1,0),"ERROR")</f>
        <v>6847</v>
      </c>
      <c r="F38" s="112">
        <f>IFERROR(VLOOKUP($B38,MMWR_TRAD_AGG_STATE_COMP[],F$1,0),"ERROR")</f>
        <v>1788</v>
      </c>
      <c r="G38" s="113">
        <f t="shared" ref="G38:G64" si="4">IFERROR(F38/E38,"0%")</f>
        <v>0.26113626405725138</v>
      </c>
      <c r="H38" s="111">
        <f>IFERROR(VLOOKUP($B38,MMWR_TRAD_AGG_STATE_COMP[],H$1,0),"ERROR")</f>
        <v>10948</v>
      </c>
      <c r="I38" s="112">
        <f>IFERROR(VLOOKUP($B38,MMWR_TRAD_AGG_STATE_COMP[],I$1,0),"ERROR")</f>
        <v>7580</v>
      </c>
      <c r="J38" s="114">
        <f t="shared" ref="J38:J64" si="5">IFERROR(I38/H38,"0%")</f>
        <v>0.69236390208257215</v>
      </c>
      <c r="K38" s="111">
        <f>IFERROR(VLOOKUP($B38,MMWR_TRAD_AGG_STATE_COMP[],K$1,0),"ERROR")</f>
        <v>3178</v>
      </c>
      <c r="L38" s="112">
        <f>IFERROR(VLOOKUP($B38,MMWR_TRAD_AGG_STATE_COMP[],L$1,0),"ERROR")</f>
        <v>2146</v>
      </c>
      <c r="M38" s="114">
        <f t="shared" ref="M38:M64" si="6">IFERROR(L38/K38,"0%")</f>
        <v>0.67526746381371927</v>
      </c>
      <c r="N38" s="111">
        <f>IFERROR(VLOOKUP($B38,MMWR_TRAD_AGG_STATE_COMP[],N$1,0),"ERROR")</f>
        <v>1714</v>
      </c>
      <c r="O38" s="112">
        <f>IFERROR(VLOOKUP($B38,MMWR_TRAD_AGG_STATE_COMP[],O$1,0),"ERROR")</f>
        <v>981</v>
      </c>
      <c r="P38" s="114">
        <f t="shared" ref="P38:P64" si="7">IFERROR(O38/N38,"0%")</f>
        <v>0.57234539089848313</v>
      </c>
      <c r="Q38" s="115">
        <f>IFERROR(VLOOKUP($B38,MMWR_TRAD_AGG_STATE_COMP[],Q$1,0),"ERROR")</f>
        <v>12</v>
      </c>
      <c r="R38" s="115">
        <f>IFERROR(VLOOKUP($B38,MMWR_TRAD_AGG_STATE_COMP[],R$1,0),"ERROR")</f>
        <v>55</v>
      </c>
      <c r="S38" s="115">
        <f>IFERROR(VLOOKUP($B38,MMWR_APP_STATE_COMP[],S$1,0),"ERROR")</f>
        <v>6513</v>
      </c>
      <c r="T38" s="28"/>
    </row>
    <row r="39" spans="1:20" s="123" customFormat="1" x14ac:dyDescent="0.2">
      <c r="A39" s="28"/>
      <c r="B39" s="127" t="s">
        <v>388</v>
      </c>
      <c r="C39" s="109">
        <f>IFERROR(VLOOKUP($B39,MMWR_TRAD_AGG_STATE_COMP[],C$1,0),"ERROR")</f>
        <v>4907</v>
      </c>
      <c r="D39" s="110">
        <f>IFERROR(VLOOKUP($B39,MMWR_TRAD_AGG_STATE_COMP[],D$1,0),"ERROR")</f>
        <v>441.3482779702</v>
      </c>
      <c r="E39" s="111">
        <f>IFERROR(VLOOKUP($B39,MMWR_TRAD_AGG_STATE_COMP[],E$1,0),"ERROR")</f>
        <v>5725</v>
      </c>
      <c r="F39" s="112">
        <f>IFERROR(VLOOKUP($B39,MMWR_TRAD_AGG_STATE_COMP[],F$1,0),"ERROR")</f>
        <v>1472</v>
      </c>
      <c r="G39" s="113">
        <f t="shared" si="4"/>
        <v>0.25711790393013101</v>
      </c>
      <c r="H39" s="111">
        <f>IFERROR(VLOOKUP($B39,MMWR_TRAD_AGG_STATE_COMP[],H$1,0),"ERROR")</f>
        <v>7383</v>
      </c>
      <c r="I39" s="112">
        <f>IFERROR(VLOOKUP($B39,MMWR_TRAD_AGG_STATE_COMP[],I$1,0),"ERROR")</f>
        <v>4937</v>
      </c>
      <c r="J39" s="114">
        <f t="shared" si="5"/>
        <v>0.66869836109982395</v>
      </c>
      <c r="K39" s="111">
        <f>IFERROR(VLOOKUP($B39,MMWR_TRAD_AGG_STATE_COMP[],K$1,0),"ERROR")</f>
        <v>1758</v>
      </c>
      <c r="L39" s="112">
        <f>IFERROR(VLOOKUP($B39,MMWR_TRAD_AGG_STATE_COMP[],L$1,0),"ERROR")</f>
        <v>1225</v>
      </c>
      <c r="M39" s="114">
        <f t="shared" si="6"/>
        <v>0.69681456200227532</v>
      </c>
      <c r="N39" s="111">
        <f>IFERROR(VLOOKUP($B39,MMWR_TRAD_AGG_STATE_COMP[],N$1,0),"ERROR")</f>
        <v>2238</v>
      </c>
      <c r="O39" s="112">
        <f>IFERROR(VLOOKUP($B39,MMWR_TRAD_AGG_STATE_COMP[],O$1,0),"ERROR")</f>
        <v>1471</v>
      </c>
      <c r="P39" s="114">
        <f t="shared" si="7"/>
        <v>0.65728328865058083</v>
      </c>
      <c r="Q39" s="115">
        <f>IFERROR(VLOOKUP($B39,MMWR_TRAD_AGG_STATE_COMP[],Q$1,0),"ERROR")</f>
        <v>248</v>
      </c>
      <c r="R39" s="115">
        <f>IFERROR(VLOOKUP($B39,MMWR_TRAD_AGG_STATE_COMP[],R$1,0),"ERROR")</f>
        <v>253</v>
      </c>
      <c r="S39" s="115">
        <f>IFERROR(VLOOKUP($B39,MMWR_APP_STATE_COMP[],S$1,0),"ERROR")</f>
        <v>5932</v>
      </c>
      <c r="T39" s="28"/>
    </row>
    <row r="40" spans="1:20" s="123" customFormat="1" x14ac:dyDescent="0.2">
      <c r="A40" s="28"/>
      <c r="B40" s="127" t="s">
        <v>390</v>
      </c>
      <c r="C40" s="109">
        <f>IFERROR(VLOOKUP($B40,MMWR_TRAD_AGG_STATE_COMP[],C$1,0),"ERROR")</f>
        <v>4313</v>
      </c>
      <c r="D40" s="110">
        <f>IFERROR(VLOOKUP($B40,MMWR_TRAD_AGG_STATE_COMP[],D$1,0),"ERROR")</f>
        <v>408.39160677019999</v>
      </c>
      <c r="E40" s="111">
        <f>IFERROR(VLOOKUP($B40,MMWR_TRAD_AGG_STATE_COMP[],E$1,0),"ERROR")</f>
        <v>4388</v>
      </c>
      <c r="F40" s="112">
        <f>IFERROR(VLOOKUP($B40,MMWR_TRAD_AGG_STATE_COMP[],F$1,0),"ERROR")</f>
        <v>1418</v>
      </c>
      <c r="G40" s="113">
        <f t="shared" si="4"/>
        <v>0.32315405651777573</v>
      </c>
      <c r="H40" s="111">
        <f>IFERROR(VLOOKUP($B40,MMWR_TRAD_AGG_STATE_COMP[],H$1,0),"ERROR")</f>
        <v>6487</v>
      </c>
      <c r="I40" s="112">
        <f>IFERROR(VLOOKUP($B40,MMWR_TRAD_AGG_STATE_COMP[],I$1,0),"ERROR")</f>
        <v>4795</v>
      </c>
      <c r="J40" s="114">
        <f t="shared" si="5"/>
        <v>0.73917064899028828</v>
      </c>
      <c r="K40" s="111">
        <f>IFERROR(VLOOKUP($B40,MMWR_TRAD_AGG_STATE_COMP[],K$1,0),"ERROR")</f>
        <v>1413</v>
      </c>
      <c r="L40" s="112">
        <f>IFERROR(VLOOKUP($B40,MMWR_TRAD_AGG_STATE_COMP[],L$1,0),"ERROR")</f>
        <v>955</v>
      </c>
      <c r="M40" s="114">
        <f t="shared" si="6"/>
        <v>0.67586694975230011</v>
      </c>
      <c r="N40" s="111">
        <f>IFERROR(VLOOKUP($B40,MMWR_TRAD_AGG_STATE_COMP[],N$1,0),"ERROR")</f>
        <v>2626</v>
      </c>
      <c r="O40" s="112">
        <f>IFERROR(VLOOKUP($B40,MMWR_TRAD_AGG_STATE_COMP[],O$1,0),"ERROR")</f>
        <v>1951</v>
      </c>
      <c r="P40" s="114">
        <f t="shared" si="7"/>
        <v>0.74295506473724293</v>
      </c>
      <c r="Q40" s="115">
        <f>IFERROR(VLOOKUP($B40,MMWR_TRAD_AGG_STATE_COMP[],Q$1,0),"ERROR")</f>
        <v>302</v>
      </c>
      <c r="R40" s="115">
        <f>IFERROR(VLOOKUP($B40,MMWR_TRAD_AGG_STATE_COMP[],R$1,0),"ERROR")</f>
        <v>159</v>
      </c>
      <c r="S40" s="115">
        <f>IFERROR(VLOOKUP($B40,MMWR_APP_STATE_COMP[],S$1,0),"ERROR")</f>
        <v>4863</v>
      </c>
      <c r="T40" s="28"/>
    </row>
    <row r="41" spans="1:20" s="123" customFormat="1" x14ac:dyDescent="0.2">
      <c r="A41" s="28"/>
      <c r="B41" s="127" t="s">
        <v>419</v>
      </c>
      <c r="C41" s="109">
        <f>IFERROR(VLOOKUP($B41,MMWR_TRAD_AGG_STATE_COMP[],C$1,0),"ERROR")</f>
        <v>708</v>
      </c>
      <c r="D41" s="110">
        <f>IFERROR(VLOOKUP($B41,MMWR_TRAD_AGG_STATE_COMP[],D$1,0),"ERROR")</f>
        <v>272.59039548020002</v>
      </c>
      <c r="E41" s="111">
        <f>IFERROR(VLOOKUP($B41,MMWR_TRAD_AGG_STATE_COMP[],E$1,0),"ERROR")</f>
        <v>696</v>
      </c>
      <c r="F41" s="112">
        <f>IFERROR(VLOOKUP($B41,MMWR_TRAD_AGG_STATE_COMP[],F$1,0),"ERROR")</f>
        <v>72</v>
      </c>
      <c r="G41" s="113">
        <f t="shared" si="4"/>
        <v>0.10344827586206896</v>
      </c>
      <c r="H41" s="111">
        <f>IFERROR(VLOOKUP($B41,MMWR_TRAD_AGG_STATE_COMP[],H$1,0),"ERROR")</f>
        <v>1126</v>
      </c>
      <c r="I41" s="112">
        <f>IFERROR(VLOOKUP($B41,MMWR_TRAD_AGG_STATE_COMP[],I$1,0),"ERROR")</f>
        <v>630</v>
      </c>
      <c r="J41" s="114">
        <f t="shared" si="5"/>
        <v>0.55950266429840145</v>
      </c>
      <c r="K41" s="111">
        <f>IFERROR(VLOOKUP($B41,MMWR_TRAD_AGG_STATE_COMP[],K$1,0),"ERROR")</f>
        <v>444</v>
      </c>
      <c r="L41" s="112">
        <f>IFERROR(VLOOKUP($B41,MMWR_TRAD_AGG_STATE_COMP[],L$1,0),"ERROR")</f>
        <v>192</v>
      </c>
      <c r="M41" s="114">
        <f t="shared" si="6"/>
        <v>0.43243243243243246</v>
      </c>
      <c r="N41" s="111">
        <f>IFERROR(VLOOKUP($B41,MMWR_TRAD_AGG_STATE_COMP[],N$1,0),"ERROR")</f>
        <v>336</v>
      </c>
      <c r="O41" s="112">
        <f>IFERROR(VLOOKUP($B41,MMWR_TRAD_AGG_STATE_COMP[],O$1,0),"ERROR")</f>
        <v>175</v>
      </c>
      <c r="P41" s="114">
        <f t="shared" si="7"/>
        <v>0.52083333333333337</v>
      </c>
      <c r="Q41" s="115">
        <f>IFERROR(VLOOKUP($B41,MMWR_TRAD_AGG_STATE_COMP[],Q$1,0),"ERROR")</f>
        <v>1</v>
      </c>
      <c r="R41" s="115">
        <f>IFERROR(VLOOKUP($B41,MMWR_TRAD_AGG_STATE_COMP[],R$1,0),"ERROR")</f>
        <v>5</v>
      </c>
      <c r="S41" s="115">
        <f>IFERROR(VLOOKUP($B41,MMWR_APP_STATE_COMP[],S$1,0),"ERROR")</f>
        <v>453</v>
      </c>
      <c r="T41" s="28"/>
    </row>
    <row r="42" spans="1:20" s="123" customFormat="1" x14ac:dyDescent="0.2">
      <c r="A42" s="28"/>
      <c r="B42" s="127" t="s">
        <v>413</v>
      </c>
      <c r="C42" s="109">
        <f>IFERROR(VLOOKUP($B42,MMWR_TRAD_AGG_STATE_COMP[],C$1,0),"ERROR")</f>
        <v>2858</v>
      </c>
      <c r="D42" s="110">
        <f>IFERROR(VLOOKUP($B42,MMWR_TRAD_AGG_STATE_COMP[],D$1,0),"ERROR")</f>
        <v>301.82715185439997</v>
      </c>
      <c r="E42" s="111">
        <f>IFERROR(VLOOKUP($B42,MMWR_TRAD_AGG_STATE_COMP[],E$1,0),"ERROR")</f>
        <v>5778</v>
      </c>
      <c r="F42" s="112">
        <f>IFERROR(VLOOKUP($B42,MMWR_TRAD_AGG_STATE_COMP[],F$1,0),"ERROR")</f>
        <v>986</v>
      </c>
      <c r="G42" s="113">
        <f t="shared" si="4"/>
        <v>0.17064728279681551</v>
      </c>
      <c r="H42" s="111">
        <f>IFERROR(VLOOKUP($B42,MMWR_TRAD_AGG_STATE_COMP[],H$1,0),"ERROR")</f>
        <v>4119</v>
      </c>
      <c r="I42" s="112">
        <f>IFERROR(VLOOKUP($B42,MMWR_TRAD_AGG_STATE_COMP[],I$1,0),"ERROR")</f>
        <v>1879</v>
      </c>
      <c r="J42" s="114">
        <f t="shared" si="5"/>
        <v>0.45617868414663754</v>
      </c>
      <c r="K42" s="111">
        <f>IFERROR(VLOOKUP($B42,MMWR_TRAD_AGG_STATE_COMP[],K$1,0),"ERROR")</f>
        <v>1310</v>
      </c>
      <c r="L42" s="112">
        <f>IFERROR(VLOOKUP($B42,MMWR_TRAD_AGG_STATE_COMP[],L$1,0),"ERROR")</f>
        <v>603</v>
      </c>
      <c r="M42" s="114">
        <f t="shared" si="6"/>
        <v>0.46030534351145036</v>
      </c>
      <c r="N42" s="111">
        <f>IFERROR(VLOOKUP($B42,MMWR_TRAD_AGG_STATE_COMP[],N$1,0),"ERROR")</f>
        <v>2553</v>
      </c>
      <c r="O42" s="112">
        <f>IFERROR(VLOOKUP($B42,MMWR_TRAD_AGG_STATE_COMP[],O$1,0),"ERROR")</f>
        <v>1353</v>
      </c>
      <c r="P42" s="114">
        <f t="shared" si="7"/>
        <v>0.5299647473560517</v>
      </c>
      <c r="Q42" s="115">
        <f>IFERROR(VLOOKUP($B42,MMWR_TRAD_AGG_STATE_COMP[],Q$1,0),"ERROR")</f>
        <v>6</v>
      </c>
      <c r="R42" s="115">
        <f>IFERROR(VLOOKUP($B42,MMWR_TRAD_AGG_STATE_COMP[],R$1,0),"ERROR")</f>
        <v>71</v>
      </c>
      <c r="S42" s="115">
        <f>IFERROR(VLOOKUP($B42,MMWR_APP_STATE_COMP[],S$1,0),"ERROR")</f>
        <v>4707</v>
      </c>
      <c r="T42" s="28"/>
    </row>
    <row r="43" spans="1:20" s="123" customFormat="1" x14ac:dyDescent="0.2">
      <c r="A43" s="28"/>
      <c r="B43" s="127" t="s">
        <v>411</v>
      </c>
      <c r="C43" s="109">
        <f>IFERROR(VLOOKUP($B43,MMWR_TRAD_AGG_STATE_COMP[],C$1,0),"ERROR")</f>
        <v>29005</v>
      </c>
      <c r="D43" s="110">
        <f>IFERROR(VLOOKUP($B43,MMWR_TRAD_AGG_STATE_COMP[],D$1,0),"ERROR")</f>
        <v>361.94232028959999</v>
      </c>
      <c r="E43" s="111">
        <f>IFERROR(VLOOKUP($B43,MMWR_TRAD_AGG_STATE_COMP[],E$1,0),"ERROR")</f>
        <v>35403</v>
      </c>
      <c r="F43" s="112">
        <f>IFERROR(VLOOKUP($B43,MMWR_TRAD_AGG_STATE_COMP[],F$1,0),"ERROR")</f>
        <v>8027</v>
      </c>
      <c r="G43" s="113">
        <f t="shared" si="4"/>
        <v>0.22673219783634155</v>
      </c>
      <c r="H43" s="111">
        <f>IFERROR(VLOOKUP($B43,MMWR_TRAD_AGG_STATE_COMP[],H$1,0),"ERROR")</f>
        <v>39403</v>
      </c>
      <c r="I43" s="112">
        <f>IFERROR(VLOOKUP($B43,MMWR_TRAD_AGG_STATE_COMP[],I$1,0),"ERROR")</f>
        <v>26297</v>
      </c>
      <c r="J43" s="114">
        <f t="shared" si="5"/>
        <v>0.66738573205085905</v>
      </c>
      <c r="K43" s="111">
        <f>IFERROR(VLOOKUP($B43,MMWR_TRAD_AGG_STATE_COMP[],K$1,0),"ERROR")</f>
        <v>8214</v>
      </c>
      <c r="L43" s="112">
        <f>IFERROR(VLOOKUP($B43,MMWR_TRAD_AGG_STATE_COMP[],L$1,0),"ERROR")</f>
        <v>5046</v>
      </c>
      <c r="M43" s="114">
        <f t="shared" si="6"/>
        <v>0.61431701972242514</v>
      </c>
      <c r="N43" s="111">
        <f>IFERROR(VLOOKUP($B43,MMWR_TRAD_AGG_STATE_COMP[],N$1,0),"ERROR")</f>
        <v>15020</v>
      </c>
      <c r="O43" s="112">
        <f>IFERROR(VLOOKUP($B43,MMWR_TRAD_AGG_STATE_COMP[],O$1,0),"ERROR")</f>
        <v>7960</v>
      </c>
      <c r="P43" s="114">
        <f t="shared" si="7"/>
        <v>0.52996005326231688</v>
      </c>
      <c r="Q43" s="115">
        <f>IFERROR(VLOOKUP($B43,MMWR_TRAD_AGG_STATE_COMP[],Q$1,0),"ERROR")</f>
        <v>25</v>
      </c>
      <c r="R43" s="115">
        <f>IFERROR(VLOOKUP($B43,MMWR_TRAD_AGG_STATE_COMP[],R$1,0),"ERROR")</f>
        <v>420</v>
      </c>
      <c r="S43" s="115">
        <f>IFERROR(VLOOKUP($B43,MMWR_APP_STATE_COMP[],S$1,0),"ERROR")</f>
        <v>41576</v>
      </c>
      <c r="T43" s="28"/>
    </row>
    <row r="44" spans="1:20" s="123" customFormat="1" x14ac:dyDescent="0.2">
      <c r="A44" s="28"/>
      <c r="B44" s="127" t="s">
        <v>407</v>
      </c>
      <c r="C44" s="109">
        <f>IFERROR(VLOOKUP($B44,MMWR_TRAD_AGG_STATE_COMP[],C$1,0),"ERROR")</f>
        <v>1764</v>
      </c>
      <c r="D44" s="110">
        <f>IFERROR(VLOOKUP($B44,MMWR_TRAD_AGG_STATE_COMP[],D$1,0),"ERROR")</f>
        <v>282.95351473919999</v>
      </c>
      <c r="E44" s="111">
        <f>IFERROR(VLOOKUP($B44,MMWR_TRAD_AGG_STATE_COMP[],E$1,0),"ERROR")</f>
        <v>2236</v>
      </c>
      <c r="F44" s="112">
        <f>IFERROR(VLOOKUP($B44,MMWR_TRAD_AGG_STATE_COMP[],F$1,0),"ERROR")</f>
        <v>594</v>
      </c>
      <c r="G44" s="113">
        <f t="shared" si="4"/>
        <v>0.26565295169946335</v>
      </c>
      <c r="H44" s="111">
        <f>IFERROR(VLOOKUP($B44,MMWR_TRAD_AGG_STATE_COMP[],H$1,0),"ERROR")</f>
        <v>2262</v>
      </c>
      <c r="I44" s="112">
        <f>IFERROR(VLOOKUP($B44,MMWR_TRAD_AGG_STATE_COMP[],I$1,0),"ERROR")</f>
        <v>1375</v>
      </c>
      <c r="J44" s="114">
        <f t="shared" si="5"/>
        <v>0.60786914235190093</v>
      </c>
      <c r="K44" s="111">
        <f>IFERROR(VLOOKUP($B44,MMWR_TRAD_AGG_STATE_COMP[],K$1,0),"ERROR")</f>
        <v>555</v>
      </c>
      <c r="L44" s="112">
        <f>IFERROR(VLOOKUP($B44,MMWR_TRAD_AGG_STATE_COMP[],L$1,0),"ERROR")</f>
        <v>317</v>
      </c>
      <c r="M44" s="114">
        <f t="shared" si="6"/>
        <v>0.57117117117117122</v>
      </c>
      <c r="N44" s="111">
        <f>IFERROR(VLOOKUP($B44,MMWR_TRAD_AGG_STATE_COMP[],N$1,0),"ERROR")</f>
        <v>423</v>
      </c>
      <c r="O44" s="112">
        <f>IFERROR(VLOOKUP($B44,MMWR_TRAD_AGG_STATE_COMP[],O$1,0),"ERROR")</f>
        <v>220</v>
      </c>
      <c r="P44" s="114">
        <f t="shared" si="7"/>
        <v>0.52009456264775411</v>
      </c>
      <c r="Q44" s="115">
        <f>IFERROR(VLOOKUP($B44,MMWR_TRAD_AGG_STATE_COMP[],Q$1,0),"ERROR")</f>
        <v>1</v>
      </c>
      <c r="R44" s="115">
        <f>IFERROR(VLOOKUP($B44,MMWR_TRAD_AGG_STATE_COMP[],R$1,0),"ERROR")</f>
        <v>1</v>
      </c>
      <c r="S44" s="115">
        <f>IFERROR(VLOOKUP($B44,MMWR_APP_STATE_COMP[],S$1,0),"ERROR")</f>
        <v>505</v>
      </c>
      <c r="T44" s="28"/>
    </row>
    <row r="45" spans="1:20" s="123" customFormat="1" x14ac:dyDescent="0.2">
      <c r="A45" s="28"/>
      <c r="B45" s="127" t="s">
        <v>422</v>
      </c>
      <c r="C45" s="109">
        <f>IFERROR(VLOOKUP($B45,MMWR_TRAD_AGG_STATE_COMP[],C$1,0),"ERROR")</f>
        <v>442</v>
      </c>
      <c r="D45" s="110">
        <f>IFERROR(VLOOKUP($B45,MMWR_TRAD_AGG_STATE_COMP[],D$1,0),"ERROR")</f>
        <v>310.8235294118</v>
      </c>
      <c r="E45" s="111">
        <f>IFERROR(VLOOKUP($B45,MMWR_TRAD_AGG_STATE_COMP[],E$1,0),"ERROR")</f>
        <v>867</v>
      </c>
      <c r="F45" s="112">
        <f>IFERROR(VLOOKUP($B45,MMWR_TRAD_AGG_STATE_COMP[],F$1,0),"ERROR")</f>
        <v>107</v>
      </c>
      <c r="G45" s="113">
        <f t="shared" si="4"/>
        <v>0.12341407151095732</v>
      </c>
      <c r="H45" s="111">
        <f>IFERROR(VLOOKUP($B45,MMWR_TRAD_AGG_STATE_COMP[],H$1,0),"ERROR")</f>
        <v>786</v>
      </c>
      <c r="I45" s="112">
        <f>IFERROR(VLOOKUP($B45,MMWR_TRAD_AGG_STATE_COMP[],I$1,0),"ERROR")</f>
        <v>492</v>
      </c>
      <c r="J45" s="114">
        <f t="shared" si="5"/>
        <v>0.62595419847328249</v>
      </c>
      <c r="K45" s="111">
        <f>IFERROR(VLOOKUP($B45,MMWR_TRAD_AGG_STATE_COMP[],K$1,0),"ERROR")</f>
        <v>160</v>
      </c>
      <c r="L45" s="112">
        <f>IFERROR(VLOOKUP($B45,MMWR_TRAD_AGG_STATE_COMP[],L$1,0),"ERROR")</f>
        <v>87</v>
      </c>
      <c r="M45" s="114">
        <f t="shared" si="6"/>
        <v>0.54374999999999996</v>
      </c>
      <c r="N45" s="111">
        <f>IFERROR(VLOOKUP($B45,MMWR_TRAD_AGG_STATE_COMP[],N$1,0),"ERROR")</f>
        <v>174</v>
      </c>
      <c r="O45" s="112">
        <f>IFERROR(VLOOKUP($B45,MMWR_TRAD_AGG_STATE_COMP[],O$1,0),"ERROR")</f>
        <v>94</v>
      </c>
      <c r="P45" s="114">
        <f t="shared" si="7"/>
        <v>0.54022988505747127</v>
      </c>
      <c r="Q45" s="115">
        <f>IFERROR(VLOOKUP($B45,MMWR_TRAD_AGG_STATE_COMP[],Q$1,0),"ERROR")</f>
        <v>2</v>
      </c>
      <c r="R45" s="115">
        <f>IFERROR(VLOOKUP($B45,MMWR_TRAD_AGG_STATE_COMP[],R$1,0),"ERROR")</f>
        <v>2</v>
      </c>
      <c r="S45" s="115">
        <f>IFERROR(VLOOKUP($B45,MMWR_APP_STATE_COMP[],S$1,0),"ERROR")</f>
        <v>302</v>
      </c>
      <c r="T45" s="28"/>
    </row>
    <row r="46" spans="1:20" s="123" customFormat="1" x14ac:dyDescent="0.2">
      <c r="A46" s="28"/>
      <c r="B46" s="126" t="s">
        <v>405</v>
      </c>
      <c r="C46" s="102">
        <f>IFERROR(VLOOKUP($B46,MMWR_TRAD_AGG_ST_DISTRICT_COMP[],C$1,0),"ERROR")</f>
        <v>61696</v>
      </c>
      <c r="D46" s="103">
        <f>IFERROR(VLOOKUP($B46,MMWR_TRAD_AGG_ST_DISTRICT_COMP[],D$1,0),"ERROR")</f>
        <v>392.28940287860001</v>
      </c>
      <c r="E46" s="102">
        <f>IFERROR(VLOOKUP($B46,MMWR_TRAD_AGG_ST_DISTRICT_COMP[],E$1,0),"ERROR")</f>
        <v>57953</v>
      </c>
      <c r="F46" s="102">
        <f>IFERROR(VLOOKUP($B46,MMWR_TRAD_AGG_ST_DISTRICT_COMP[],F$1,0),"ERROR")</f>
        <v>13476</v>
      </c>
      <c r="G46" s="104">
        <f t="shared" si="4"/>
        <v>0.23253325971045502</v>
      </c>
      <c r="H46" s="102">
        <f>IFERROR(VLOOKUP($B46,MMWR_TRAD_AGG_ST_DISTRICT_COMP[],H$1,0),"ERROR")</f>
        <v>88564</v>
      </c>
      <c r="I46" s="102">
        <f>IFERROR(VLOOKUP($B46,MMWR_TRAD_AGG_ST_DISTRICT_COMP[],I$1,0),"ERROR")</f>
        <v>62710</v>
      </c>
      <c r="J46" s="105">
        <f t="shared" si="5"/>
        <v>0.70807551601102026</v>
      </c>
      <c r="K46" s="102">
        <f>IFERROR(VLOOKUP($B46,MMWR_TRAD_AGG_ST_DISTRICT_COMP[],K$1,0),"ERROR")</f>
        <v>23552</v>
      </c>
      <c r="L46" s="102">
        <f>IFERROR(VLOOKUP($B46,MMWR_TRAD_AGG_ST_DISTRICT_COMP[],L$1,0),"ERROR")</f>
        <v>16682</v>
      </c>
      <c r="M46" s="105">
        <f t="shared" si="6"/>
        <v>0.70830502717391308</v>
      </c>
      <c r="N46" s="102">
        <f>IFERROR(VLOOKUP($B46,MMWR_TRAD_AGG_ST_DISTRICT_COMP[],N$1,0),"ERROR")</f>
        <v>29947</v>
      </c>
      <c r="O46" s="102">
        <f>IFERROR(VLOOKUP($B46,MMWR_TRAD_AGG_ST_DISTRICT_COMP[],O$1,0),"ERROR")</f>
        <v>19501</v>
      </c>
      <c r="P46" s="105">
        <f t="shared" si="7"/>
        <v>0.6511837579724179</v>
      </c>
      <c r="Q46" s="102">
        <f>IFERROR(VLOOKUP($B46,MMWR_TRAD_AGG_ST_DISTRICT_COMP[],Q$1,0),"ERROR")</f>
        <v>99</v>
      </c>
      <c r="R46" s="106">
        <f>IFERROR(VLOOKUP($B46,MMWR_TRAD_AGG_ST_DISTRICT_COMP[],R$1,0),"ERROR")</f>
        <v>579</v>
      </c>
      <c r="S46" s="106">
        <f>SUM(S47:S55)</f>
        <v>44430</v>
      </c>
      <c r="T46" s="28"/>
    </row>
    <row r="47" spans="1:20" s="123" customFormat="1" x14ac:dyDescent="0.2">
      <c r="A47" s="28"/>
      <c r="B47" s="127" t="s">
        <v>425</v>
      </c>
      <c r="C47" s="109">
        <f>IFERROR(VLOOKUP($B47,MMWR_TRAD_AGG_STATE_COMP[],C$1,0),"ERROR")</f>
        <v>1932</v>
      </c>
      <c r="D47" s="110">
        <f>IFERROR(VLOOKUP($B47,MMWR_TRAD_AGG_STATE_COMP[],D$1,0),"ERROR")</f>
        <v>465.24171842649997</v>
      </c>
      <c r="E47" s="111">
        <f>IFERROR(VLOOKUP($B47,MMWR_TRAD_AGG_STATE_COMP[],E$1,0),"ERROR")</f>
        <v>1241</v>
      </c>
      <c r="F47" s="112">
        <f>IFERROR(VLOOKUP($B47,MMWR_TRAD_AGG_STATE_COMP[],F$1,0),"ERROR")</f>
        <v>341</v>
      </c>
      <c r="G47" s="113">
        <f t="shared" si="4"/>
        <v>0.27477840451248992</v>
      </c>
      <c r="H47" s="111">
        <f>IFERROR(VLOOKUP($B47,MMWR_TRAD_AGG_STATE_COMP[],H$1,0),"ERROR")</f>
        <v>2813</v>
      </c>
      <c r="I47" s="112">
        <f>IFERROR(VLOOKUP($B47,MMWR_TRAD_AGG_STATE_COMP[],I$1,0),"ERROR")</f>
        <v>2127</v>
      </c>
      <c r="J47" s="114">
        <f t="shared" si="5"/>
        <v>0.75613224315677208</v>
      </c>
      <c r="K47" s="111">
        <f>IFERROR(VLOOKUP($B47,MMWR_TRAD_AGG_STATE_COMP[],K$1,0),"ERROR")</f>
        <v>1848</v>
      </c>
      <c r="L47" s="112">
        <f>IFERROR(VLOOKUP($B47,MMWR_TRAD_AGG_STATE_COMP[],L$1,0),"ERROR")</f>
        <v>1485</v>
      </c>
      <c r="M47" s="114">
        <f t="shared" si="6"/>
        <v>0.8035714285714286</v>
      </c>
      <c r="N47" s="111">
        <f>IFERROR(VLOOKUP($B47,MMWR_TRAD_AGG_STATE_COMP[],N$1,0),"ERROR")</f>
        <v>659</v>
      </c>
      <c r="O47" s="112">
        <f>IFERROR(VLOOKUP($B47,MMWR_TRAD_AGG_STATE_COMP[],O$1,0),"ERROR")</f>
        <v>378</v>
      </c>
      <c r="P47" s="114">
        <f t="shared" si="7"/>
        <v>0.57359635811836118</v>
      </c>
      <c r="Q47" s="115">
        <f>IFERROR(VLOOKUP($B47,MMWR_TRAD_AGG_STATE_COMP[],Q$1,0),"ERROR")</f>
        <v>1</v>
      </c>
      <c r="R47" s="115">
        <f>IFERROR(VLOOKUP($B47,MMWR_TRAD_AGG_STATE_COMP[],R$1,0),"ERROR")</f>
        <v>2</v>
      </c>
      <c r="S47" s="115">
        <f>IFERROR(VLOOKUP($B47,MMWR_APP_STATE_COMP[],S$1,0),"ERROR")</f>
        <v>289</v>
      </c>
      <c r="T47" s="28"/>
    </row>
    <row r="48" spans="1:20" s="123" customFormat="1" x14ac:dyDescent="0.2">
      <c r="A48" s="28"/>
      <c r="B48" s="127" t="s">
        <v>427</v>
      </c>
      <c r="C48" s="109">
        <f>IFERROR(VLOOKUP($B48,MMWR_TRAD_AGG_STATE_COMP[],C$1,0),"ERROR")</f>
        <v>5509</v>
      </c>
      <c r="D48" s="110">
        <f>IFERROR(VLOOKUP($B48,MMWR_TRAD_AGG_STATE_COMP[],D$1,0),"ERROR")</f>
        <v>307.57542203669999</v>
      </c>
      <c r="E48" s="111">
        <f>IFERROR(VLOOKUP($B48,MMWR_TRAD_AGG_STATE_COMP[],E$1,0),"ERROR")</f>
        <v>5722</v>
      </c>
      <c r="F48" s="112">
        <f>IFERROR(VLOOKUP($B48,MMWR_TRAD_AGG_STATE_COMP[],F$1,0),"ERROR")</f>
        <v>1379</v>
      </c>
      <c r="G48" s="113">
        <f t="shared" si="4"/>
        <v>0.24099965047186298</v>
      </c>
      <c r="H48" s="111">
        <f>IFERROR(VLOOKUP($B48,MMWR_TRAD_AGG_STATE_COMP[],H$1,0),"ERROR")</f>
        <v>7596</v>
      </c>
      <c r="I48" s="112">
        <f>IFERROR(VLOOKUP($B48,MMWR_TRAD_AGG_STATE_COMP[],I$1,0),"ERROR")</f>
        <v>5033</v>
      </c>
      <c r="J48" s="114">
        <f t="shared" si="5"/>
        <v>0.66258557135334384</v>
      </c>
      <c r="K48" s="111">
        <f>IFERROR(VLOOKUP($B48,MMWR_TRAD_AGG_STATE_COMP[],K$1,0),"ERROR")</f>
        <v>1468</v>
      </c>
      <c r="L48" s="112">
        <f>IFERROR(VLOOKUP($B48,MMWR_TRAD_AGG_STATE_COMP[],L$1,0),"ERROR")</f>
        <v>774</v>
      </c>
      <c r="M48" s="114">
        <f t="shared" si="6"/>
        <v>0.52724795640326971</v>
      </c>
      <c r="N48" s="111">
        <f>IFERROR(VLOOKUP($B48,MMWR_TRAD_AGG_STATE_COMP[],N$1,0),"ERROR")</f>
        <v>2230</v>
      </c>
      <c r="O48" s="112">
        <f>IFERROR(VLOOKUP($B48,MMWR_TRAD_AGG_STATE_COMP[],O$1,0),"ERROR")</f>
        <v>1366</v>
      </c>
      <c r="P48" s="114">
        <f t="shared" si="7"/>
        <v>0.61255605381165923</v>
      </c>
      <c r="Q48" s="115">
        <f>IFERROR(VLOOKUP($B48,MMWR_TRAD_AGG_STATE_COMP[],Q$1,0),"ERROR")</f>
        <v>7</v>
      </c>
      <c r="R48" s="115">
        <f>IFERROR(VLOOKUP($B48,MMWR_TRAD_AGG_STATE_COMP[],R$1,0),"ERROR")</f>
        <v>72</v>
      </c>
      <c r="S48" s="115">
        <f>IFERROR(VLOOKUP($B48,MMWR_APP_STATE_COMP[],S$1,0),"ERROR")</f>
        <v>7346</v>
      </c>
      <c r="T48" s="28"/>
    </row>
    <row r="49" spans="1:20" s="123" customFormat="1" x14ac:dyDescent="0.2">
      <c r="A49" s="28"/>
      <c r="B49" s="127" t="s">
        <v>408</v>
      </c>
      <c r="C49" s="109">
        <f>IFERROR(VLOOKUP($B49,MMWR_TRAD_AGG_STATE_COMP[],C$1,0),"ERROR")</f>
        <v>28688</v>
      </c>
      <c r="D49" s="110">
        <f>IFERROR(VLOOKUP($B49,MMWR_TRAD_AGG_STATE_COMP[],D$1,0),"ERROR")</f>
        <v>397.44419269380001</v>
      </c>
      <c r="E49" s="111">
        <f>IFERROR(VLOOKUP($B49,MMWR_TRAD_AGG_STATE_COMP[],E$1,0),"ERROR")</f>
        <v>30754</v>
      </c>
      <c r="F49" s="112">
        <f>IFERROR(VLOOKUP($B49,MMWR_TRAD_AGG_STATE_COMP[],F$1,0),"ERROR")</f>
        <v>7194</v>
      </c>
      <c r="G49" s="113">
        <f t="shared" si="4"/>
        <v>0.23392079079144176</v>
      </c>
      <c r="H49" s="111">
        <f>IFERROR(VLOOKUP($B49,MMWR_TRAD_AGG_STATE_COMP[],H$1,0),"ERROR")</f>
        <v>41682</v>
      </c>
      <c r="I49" s="112">
        <f>IFERROR(VLOOKUP($B49,MMWR_TRAD_AGG_STATE_COMP[],I$1,0),"ERROR")</f>
        <v>29458</v>
      </c>
      <c r="J49" s="114">
        <f t="shared" si="5"/>
        <v>0.70673192265246387</v>
      </c>
      <c r="K49" s="111">
        <f>IFERROR(VLOOKUP($B49,MMWR_TRAD_AGG_STATE_COMP[],K$1,0),"ERROR")</f>
        <v>9961</v>
      </c>
      <c r="L49" s="112">
        <f>IFERROR(VLOOKUP($B49,MMWR_TRAD_AGG_STATE_COMP[],L$1,0),"ERROR")</f>
        <v>7178</v>
      </c>
      <c r="M49" s="114">
        <f t="shared" si="6"/>
        <v>0.72061038048388715</v>
      </c>
      <c r="N49" s="111">
        <f>IFERROR(VLOOKUP($B49,MMWR_TRAD_AGG_STATE_COMP[],N$1,0),"ERROR")</f>
        <v>14547</v>
      </c>
      <c r="O49" s="112">
        <f>IFERROR(VLOOKUP($B49,MMWR_TRAD_AGG_STATE_COMP[],O$1,0),"ERROR")</f>
        <v>9580</v>
      </c>
      <c r="P49" s="114">
        <f t="shared" si="7"/>
        <v>0.6585550285282189</v>
      </c>
      <c r="Q49" s="115">
        <f>IFERROR(VLOOKUP($B49,MMWR_TRAD_AGG_STATE_COMP[],Q$1,0),"ERROR")</f>
        <v>54</v>
      </c>
      <c r="R49" s="115">
        <f>IFERROR(VLOOKUP($B49,MMWR_TRAD_AGG_STATE_COMP[],R$1,0),"ERROR")</f>
        <v>138</v>
      </c>
      <c r="S49" s="115">
        <f>IFERROR(VLOOKUP($B49,MMWR_APP_STATE_COMP[],S$1,0),"ERROR")</f>
        <v>18612</v>
      </c>
      <c r="T49" s="28"/>
    </row>
    <row r="50" spans="1:20" s="123" customFormat="1" x14ac:dyDescent="0.2">
      <c r="A50" s="28"/>
      <c r="B50" s="127" t="s">
        <v>429</v>
      </c>
      <c r="C50" s="109">
        <f>IFERROR(VLOOKUP($B50,MMWR_TRAD_AGG_STATE_COMP[],C$1,0),"ERROR")</f>
        <v>1550</v>
      </c>
      <c r="D50" s="110">
        <f>IFERROR(VLOOKUP($B50,MMWR_TRAD_AGG_STATE_COMP[],D$1,0),"ERROR")</f>
        <v>318.41677419349998</v>
      </c>
      <c r="E50" s="111">
        <f>IFERROR(VLOOKUP($B50,MMWR_TRAD_AGG_STATE_COMP[],E$1,0),"ERROR")</f>
        <v>1782</v>
      </c>
      <c r="F50" s="112">
        <f>IFERROR(VLOOKUP($B50,MMWR_TRAD_AGG_STATE_COMP[],F$1,0),"ERROR")</f>
        <v>374</v>
      </c>
      <c r="G50" s="113">
        <f t="shared" si="4"/>
        <v>0.20987654320987653</v>
      </c>
      <c r="H50" s="111">
        <f>IFERROR(VLOOKUP($B50,MMWR_TRAD_AGG_STATE_COMP[],H$1,0),"ERROR")</f>
        <v>2157</v>
      </c>
      <c r="I50" s="112">
        <f>IFERROR(VLOOKUP($B50,MMWR_TRAD_AGG_STATE_COMP[],I$1,0),"ERROR")</f>
        <v>1508</v>
      </c>
      <c r="J50" s="114">
        <f t="shared" si="5"/>
        <v>0.69911914696337507</v>
      </c>
      <c r="K50" s="111">
        <f>IFERROR(VLOOKUP($B50,MMWR_TRAD_AGG_STATE_COMP[],K$1,0),"ERROR")</f>
        <v>989</v>
      </c>
      <c r="L50" s="112">
        <f>IFERROR(VLOOKUP($B50,MMWR_TRAD_AGG_STATE_COMP[],L$1,0),"ERROR")</f>
        <v>526</v>
      </c>
      <c r="M50" s="114">
        <f t="shared" si="6"/>
        <v>0.53185035389282098</v>
      </c>
      <c r="N50" s="111">
        <f>IFERROR(VLOOKUP($B50,MMWR_TRAD_AGG_STATE_COMP[],N$1,0),"ERROR")</f>
        <v>610</v>
      </c>
      <c r="O50" s="112">
        <f>IFERROR(VLOOKUP($B50,MMWR_TRAD_AGG_STATE_COMP[],O$1,0),"ERROR")</f>
        <v>299</v>
      </c>
      <c r="P50" s="114">
        <f t="shared" si="7"/>
        <v>0.49016393442622952</v>
      </c>
      <c r="Q50" s="115">
        <f>IFERROR(VLOOKUP($B50,MMWR_TRAD_AGG_STATE_COMP[],Q$1,0),"ERROR")</f>
        <v>5</v>
      </c>
      <c r="R50" s="115">
        <f>IFERROR(VLOOKUP($B50,MMWR_TRAD_AGG_STATE_COMP[],R$1,0),"ERROR")</f>
        <v>5</v>
      </c>
      <c r="S50" s="115">
        <f>IFERROR(VLOOKUP($B50,MMWR_APP_STATE_COMP[],S$1,0),"ERROR")</f>
        <v>1220</v>
      </c>
      <c r="T50" s="28"/>
    </row>
    <row r="51" spans="1:20" s="123" customFormat="1" x14ac:dyDescent="0.2">
      <c r="A51" s="28"/>
      <c r="B51" s="127" t="s">
        <v>409</v>
      </c>
      <c r="C51" s="109">
        <f>IFERROR(VLOOKUP($B51,MMWR_TRAD_AGG_STATE_COMP[],C$1,0),"ERROR")</f>
        <v>622</v>
      </c>
      <c r="D51" s="110">
        <f>IFERROR(VLOOKUP($B51,MMWR_TRAD_AGG_STATE_COMP[],D$1,0),"ERROR")</f>
        <v>322.45980707400003</v>
      </c>
      <c r="E51" s="111">
        <f>IFERROR(VLOOKUP($B51,MMWR_TRAD_AGG_STATE_COMP[],E$1,0),"ERROR")</f>
        <v>1474</v>
      </c>
      <c r="F51" s="112">
        <f>IFERROR(VLOOKUP($B51,MMWR_TRAD_AGG_STATE_COMP[],F$1,0),"ERROR")</f>
        <v>312</v>
      </c>
      <c r="G51" s="113">
        <f t="shared" si="4"/>
        <v>0.21166892808683854</v>
      </c>
      <c r="H51" s="111">
        <f>IFERROR(VLOOKUP($B51,MMWR_TRAD_AGG_STATE_COMP[],H$1,0),"ERROR")</f>
        <v>989</v>
      </c>
      <c r="I51" s="112">
        <f>IFERROR(VLOOKUP($B51,MMWR_TRAD_AGG_STATE_COMP[],I$1,0),"ERROR")</f>
        <v>569</v>
      </c>
      <c r="J51" s="114">
        <f t="shared" si="5"/>
        <v>0.57532861476238628</v>
      </c>
      <c r="K51" s="111">
        <f>IFERROR(VLOOKUP($B51,MMWR_TRAD_AGG_STATE_COMP[],K$1,0),"ERROR")</f>
        <v>361</v>
      </c>
      <c r="L51" s="112">
        <f>IFERROR(VLOOKUP($B51,MMWR_TRAD_AGG_STATE_COMP[],L$1,0),"ERROR")</f>
        <v>152</v>
      </c>
      <c r="M51" s="114">
        <f t="shared" si="6"/>
        <v>0.42105263157894735</v>
      </c>
      <c r="N51" s="111">
        <f>IFERROR(VLOOKUP($B51,MMWR_TRAD_AGG_STATE_COMP[],N$1,0),"ERROR")</f>
        <v>418</v>
      </c>
      <c r="O51" s="112">
        <f>IFERROR(VLOOKUP($B51,MMWR_TRAD_AGG_STATE_COMP[],O$1,0),"ERROR")</f>
        <v>238</v>
      </c>
      <c r="P51" s="114">
        <f t="shared" si="7"/>
        <v>0.56937799043062198</v>
      </c>
      <c r="Q51" s="115">
        <f>IFERROR(VLOOKUP($B51,MMWR_TRAD_AGG_STATE_COMP[],Q$1,0),"ERROR")</f>
        <v>2</v>
      </c>
      <c r="R51" s="115">
        <f>IFERROR(VLOOKUP($B51,MMWR_TRAD_AGG_STATE_COMP[],R$1,0),"ERROR")</f>
        <v>3</v>
      </c>
      <c r="S51" s="115">
        <f>IFERROR(VLOOKUP($B51,MMWR_APP_STATE_COMP[],S$1,0),"ERROR")</f>
        <v>1021</v>
      </c>
      <c r="T51" s="28"/>
    </row>
    <row r="52" spans="1:20" s="123" customFormat="1" x14ac:dyDescent="0.2">
      <c r="A52" s="28"/>
      <c r="B52" s="127" t="s">
        <v>414</v>
      </c>
      <c r="C52" s="109">
        <f>IFERROR(VLOOKUP($B52,MMWR_TRAD_AGG_STATE_COMP[],C$1,0),"ERROR")</f>
        <v>3584</v>
      </c>
      <c r="D52" s="110">
        <f>IFERROR(VLOOKUP($B52,MMWR_TRAD_AGG_STATE_COMP[],D$1,0),"ERROR")</f>
        <v>419.65597098209997</v>
      </c>
      <c r="E52" s="111">
        <f>IFERROR(VLOOKUP($B52,MMWR_TRAD_AGG_STATE_COMP[],E$1,0),"ERROR")</f>
        <v>3619</v>
      </c>
      <c r="F52" s="112">
        <f>IFERROR(VLOOKUP($B52,MMWR_TRAD_AGG_STATE_COMP[],F$1,0),"ERROR")</f>
        <v>877</v>
      </c>
      <c r="G52" s="113">
        <f t="shared" si="4"/>
        <v>0.24233213594915723</v>
      </c>
      <c r="H52" s="111">
        <f>IFERROR(VLOOKUP($B52,MMWR_TRAD_AGG_STATE_COMP[],H$1,0),"ERROR")</f>
        <v>4832</v>
      </c>
      <c r="I52" s="112">
        <f>IFERROR(VLOOKUP($B52,MMWR_TRAD_AGG_STATE_COMP[],I$1,0),"ERROR")</f>
        <v>3247</v>
      </c>
      <c r="J52" s="114">
        <f t="shared" si="5"/>
        <v>0.67197847682119205</v>
      </c>
      <c r="K52" s="111">
        <f>IFERROR(VLOOKUP($B52,MMWR_TRAD_AGG_STATE_COMP[],K$1,0),"ERROR")</f>
        <v>993</v>
      </c>
      <c r="L52" s="112">
        <f>IFERROR(VLOOKUP($B52,MMWR_TRAD_AGG_STATE_COMP[],L$1,0),"ERROR")</f>
        <v>604</v>
      </c>
      <c r="M52" s="114">
        <f t="shared" si="6"/>
        <v>0.60825780463242696</v>
      </c>
      <c r="N52" s="111">
        <f>IFERROR(VLOOKUP($B52,MMWR_TRAD_AGG_STATE_COMP[],N$1,0),"ERROR")</f>
        <v>1889</v>
      </c>
      <c r="O52" s="112">
        <f>IFERROR(VLOOKUP($B52,MMWR_TRAD_AGG_STATE_COMP[],O$1,0),"ERROR")</f>
        <v>1327</v>
      </c>
      <c r="P52" s="114">
        <f t="shared" si="7"/>
        <v>0.70248808893594494</v>
      </c>
      <c r="Q52" s="115">
        <f>IFERROR(VLOOKUP($B52,MMWR_TRAD_AGG_STATE_COMP[],Q$1,0),"ERROR")</f>
        <v>7</v>
      </c>
      <c r="R52" s="115">
        <f>IFERROR(VLOOKUP($B52,MMWR_TRAD_AGG_STATE_COMP[],R$1,0),"ERROR")</f>
        <v>120</v>
      </c>
      <c r="S52" s="115">
        <f>IFERROR(VLOOKUP($B52,MMWR_APP_STATE_COMP[],S$1,0),"ERROR")</f>
        <v>3184</v>
      </c>
      <c r="T52" s="28"/>
    </row>
    <row r="53" spans="1:20" s="123" customFormat="1" x14ac:dyDescent="0.2">
      <c r="A53" s="28"/>
      <c r="B53" s="127" t="s">
        <v>406</v>
      </c>
      <c r="C53" s="109">
        <f>IFERROR(VLOOKUP($B53,MMWR_TRAD_AGG_STATE_COMP[],C$1,0),"ERROR")</f>
        <v>1375</v>
      </c>
      <c r="D53" s="110">
        <f>IFERROR(VLOOKUP($B53,MMWR_TRAD_AGG_STATE_COMP[],D$1,0),"ERROR")</f>
        <v>233.50545454549999</v>
      </c>
      <c r="E53" s="111">
        <f>IFERROR(VLOOKUP($B53,MMWR_TRAD_AGG_STATE_COMP[],E$1,0),"ERROR")</f>
        <v>2684</v>
      </c>
      <c r="F53" s="112">
        <f>IFERROR(VLOOKUP($B53,MMWR_TRAD_AGG_STATE_COMP[],F$1,0),"ERROR")</f>
        <v>640</v>
      </c>
      <c r="G53" s="113">
        <f t="shared" si="4"/>
        <v>0.23845007451564829</v>
      </c>
      <c r="H53" s="111">
        <f>IFERROR(VLOOKUP($B53,MMWR_TRAD_AGG_STATE_COMP[],H$1,0),"ERROR")</f>
        <v>2145</v>
      </c>
      <c r="I53" s="112">
        <f>IFERROR(VLOOKUP($B53,MMWR_TRAD_AGG_STATE_COMP[],I$1,0),"ERROR")</f>
        <v>987</v>
      </c>
      <c r="J53" s="114">
        <f t="shared" si="5"/>
        <v>0.46013986013986014</v>
      </c>
      <c r="K53" s="111">
        <f>IFERROR(VLOOKUP($B53,MMWR_TRAD_AGG_STATE_COMP[],K$1,0),"ERROR")</f>
        <v>577</v>
      </c>
      <c r="L53" s="112">
        <f>IFERROR(VLOOKUP($B53,MMWR_TRAD_AGG_STATE_COMP[],L$1,0),"ERROR")</f>
        <v>284</v>
      </c>
      <c r="M53" s="114">
        <f t="shared" si="6"/>
        <v>0.49220103986135183</v>
      </c>
      <c r="N53" s="111">
        <f>IFERROR(VLOOKUP($B53,MMWR_TRAD_AGG_STATE_COMP[],N$1,0),"ERROR")</f>
        <v>843</v>
      </c>
      <c r="O53" s="112">
        <f>IFERROR(VLOOKUP($B53,MMWR_TRAD_AGG_STATE_COMP[],O$1,0),"ERROR")</f>
        <v>522</v>
      </c>
      <c r="P53" s="114">
        <f t="shared" si="7"/>
        <v>0.61921708185053381</v>
      </c>
      <c r="Q53" s="115">
        <f>IFERROR(VLOOKUP($B53,MMWR_TRAD_AGG_STATE_COMP[],Q$1,0),"ERROR")</f>
        <v>5</v>
      </c>
      <c r="R53" s="115">
        <f>IFERROR(VLOOKUP($B53,MMWR_TRAD_AGG_STATE_COMP[],R$1,0),"ERROR")</f>
        <v>14</v>
      </c>
      <c r="S53" s="115">
        <f>IFERROR(VLOOKUP($B53,MMWR_APP_STATE_COMP[],S$1,0),"ERROR")</f>
        <v>1907</v>
      </c>
      <c r="T53" s="28"/>
    </row>
    <row r="54" spans="1:20" s="123" customFormat="1" x14ac:dyDescent="0.2">
      <c r="A54" s="28"/>
      <c r="B54" s="127" t="s">
        <v>410</v>
      </c>
      <c r="C54" s="109">
        <f>IFERROR(VLOOKUP($B54,MMWR_TRAD_AGG_STATE_COMP[],C$1,0),"ERROR")</f>
        <v>7195</v>
      </c>
      <c r="D54" s="110">
        <f>IFERROR(VLOOKUP($B54,MMWR_TRAD_AGG_STATE_COMP[],D$1,0),"ERROR")</f>
        <v>456.07838776929998</v>
      </c>
      <c r="E54" s="111">
        <f>IFERROR(VLOOKUP($B54,MMWR_TRAD_AGG_STATE_COMP[],E$1,0),"ERROR")</f>
        <v>4613</v>
      </c>
      <c r="F54" s="112">
        <f>IFERROR(VLOOKUP($B54,MMWR_TRAD_AGG_STATE_COMP[],F$1,0),"ERROR")</f>
        <v>1166</v>
      </c>
      <c r="G54" s="113">
        <f t="shared" si="4"/>
        <v>0.25276392802948189</v>
      </c>
      <c r="H54" s="111">
        <f>IFERROR(VLOOKUP($B54,MMWR_TRAD_AGG_STATE_COMP[],H$1,0),"ERROR")</f>
        <v>9729</v>
      </c>
      <c r="I54" s="112">
        <f>IFERROR(VLOOKUP($B54,MMWR_TRAD_AGG_STATE_COMP[],I$1,0),"ERROR")</f>
        <v>7572</v>
      </c>
      <c r="J54" s="114">
        <f t="shared" si="5"/>
        <v>0.77829170521122415</v>
      </c>
      <c r="K54" s="111">
        <f>IFERROR(VLOOKUP($B54,MMWR_TRAD_AGG_STATE_COMP[],K$1,0),"ERROR")</f>
        <v>3001</v>
      </c>
      <c r="L54" s="112">
        <f>IFERROR(VLOOKUP($B54,MMWR_TRAD_AGG_STATE_COMP[],L$1,0),"ERROR")</f>
        <v>2673</v>
      </c>
      <c r="M54" s="114">
        <f t="shared" si="6"/>
        <v>0.89070309896701094</v>
      </c>
      <c r="N54" s="111">
        <f>IFERROR(VLOOKUP($B54,MMWR_TRAD_AGG_STATE_COMP[],N$1,0),"ERROR")</f>
        <v>2813</v>
      </c>
      <c r="O54" s="112">
        <f>IFERROR(VLOOKUP($B54,MMWR_TRAD_AGG_STATE_COMP[],O$1,0),"ERROR")</f>
        <v>1667</v>
      </c>
      <c r="P54" s="114">
        <f t="shared" si="7"/>
        <v>0.59260575897618206</v>
      </c>
      <c r="Q54" s="115">
        <f>IFERROR(VLOOKUP($B54,MMWR_TRAD_AGG_STATE_COMP[],Q$1,0),"ERROR")</f>
        <v>7</v>
      </c>
      <c r="R54" s="115">
        <f>IFERROR(VLOOKUP($B54,MMWR_TRAD_AGG_STATE_COMP[],R$1,0),"ERROR")</f>
        <v>82</v>
      </c>
      <c r="S54" s="115">
        <f>IFERROR(VLOOKUP($B54,MMWR_APP_STATE_COMP[],S$1,0),"ERROR")</f>
        <v>5462</v>
      </c>
      <c r="T54" s="28"/>
    </row>
    <row r="55" spans="1:20" s="123" customFormat="1" x14ac:dyDescent="0.2">
      <c r="A55" s="28"/>
      <c r="B55" s="127" t="s">
        <v>80</v>
      </c>
      <c r="C55" s="109">
        <f>IFERROR(VLOOKUP($B55,MMWR_TRAD_AGG_STATE_COMP[],C$1,0),"ERROR")</f>
        <v>11241</v>
      </c>
      <c r="D55" s="110">
        <f>IFERROR(VLOOKUP($B55,MMWR_TRAD_AGG_STATE_COMP[],D$1,0),"ERROR")</f>
        <v>392.03015745930003</v>
      </c>
      <c r="E55" s="111">
        <f>IFERROR(VLOOKUP($B55,MMWR_TRAD_AGG_STATE_COMP[],E$1,0),"ERROR")</f>
        <v>6064</v>
      </c>
      <c r="F55" s="112">
        <f>IFERROR(VLOOKUP($B55,MMWR_TRAD_AGG_STATE_COMP[],F$1,0),"ERROR")</f>
        <v>1193</v>
      </c>
      <c r="G55" s="113">
        <f t="shared" si="4"/>
        <v>0.19673482849604221</v>
      </c>
      <c r="H55" s="111">
        <f>IFERROR(VLOOKUP($B55,MMWR_TRAD_AGG_STATE_COMP[],H$1,0),"ERROR")</f>
        <v>16621</v>
      </c>
      <c r="I55" s="112">
        <f>IFERROR(VLOOKUP($B55,MMWR_TRAD_AGG_STATE_COMP[],I$1,0),"ERROR")</f>
        <v>12209</v>
      </c>
      <c r="J55" s="114">
        <f t="shared" si="5"/>
        <v>0.73455267432765781</v>
      </c>
      <c r="K55" s="111">
        <f>IFERROR(VLOOKUP($B55,MMWR_TRAD_AGG_STATE_COMP[],K$1,0),"ERROR")</f>
        <v>4354</v>
      </c>
      <c r="L55" s="112">
        <f>IFERROR(VLOOKUP($B55,MMWR_TRAD_AGG_STATE_COMP[],L$1,0),"ERROR")</f>
        <v>3006</v>
      </c>
      <c r="M55" s="114">
        <f t="shared" si="6"/>
        <v>0.69039963252181902</v>
      </c>
      <c r="N55" s="111">
        <f>IFERROR(VLOOKUP($B55,MMWR_TRAD_AGG_STATE_COMP[],N$1,0),"ERROR")</f>
        <v>5938</v>
      </c>
      <c r="O55" s="112">
        <f>IFERROR(VLOOKUP($B55,MMWR_TRAD_AGG_STATE_COMP[],O$1,0),"ERROR")</f>
        <v>4124</v>
      </c>
      <c r="P55" s="114">
        <f t="shared" si="7"/>
        <v>0.69450993600538902</v>
      </c>
      <c r="Q55" s="115">
        <f>IFERROR(VLOOKUP($B55,MMWR_TRAD_AGG_STATE_COMP[],Q$1,0),"ERROR")</f>
        <v>11</v>
      </c>
      <c r="R55" s="115">
        <f>IFERROR(VLOOKUP($B55,MMWR_TRAD_AGG_STATE_COMP[],R$1,0),"ERROR")</f>
        <v>143</v>
      </c>
      <c r="S55" s="115">
        <f>IFERROR(VLOOKUP($B55,MMWR_APP_STATE_COMP[],S$1,0),"ERROR")</f>
        <v>5389</v>
      </c>
      <c r="T55" s="28"/>
    </row>
    <row r="56" spans="1:20" s="123" customFormat="1" x14ac:dyDescent="0.2">
      <c r="A56" s="28"/>
      <c r="B56" s="126" t="s">
        <v>381</v>
      </c>
      <c r="C56" s="102">
        <f>IFERROR(VLOOKUP($B56,MMWR_TRAD_AGG_ST_DISTRICT_COMP[],C$1,0),"ERROR")</f>
        <v>71992</v>
      </c>
      <c r="D56" s="103">
        <f>IFERROR(VLOOKUP($B56,MMWR_TRAD_AGG_ST_DISTRICT_COMP[],D$1,0),"ERROR")</f>
        <v>364.11091510170002</v>
      </c>
      <c r="E56" s="102">
        <f>IFERROR(VLOOKUP($B56,MMWR_TRAD_AGG_ST_DISTRICT_COMP[],E$1,0),"ERROR")</f>
        <v>71563</v>
      </c>
      <c r="F56" s="102">
        <f>IFERROR(VLOOKUP($B56,MMWR_TRAD_AGG_ST_DISTRICT_COMP[],F$1,0),"ERROR")</f>
        <v>18576</v>
      </c>
      <c r="G56" s="104">
        <f t="shared" si="4"/>
        <v>0.25957547894861871</v>
      </c>
      <c r="H56" s="102">
        <f>IFERROR(VLOOKUP($B56,MMWR_TRAD_AGG_ST_DISTRICT_COMP[],H$1,0),"ERROR")</f>
        <v>103452</v>
      </c>
      <c r="I56" s="102">
        <f>IFERROR(VLOOKUP($B56,MMWR_TRAD_AGG_ST_DISTRICT_COMP[],I$1,0),"ERROR")</f>
        <v>69641</v>
      </c>
      <c r="J56" s="105">
        <f t="shared" si="5"/>
        <v>0.67317209913776432</v>
      </c>
      <c r="K56" s="102">
        <f>IFERROR(VLOOKUP($B56,MMWR_TRAD_AGG_ST_DISTRICT_COMP[],K$1,0),"ERROR")</f>
        <v>29911</v>
      </c>
      <c r="L56" s="102">
        <f>IFERROR(VLOOKUP($B56,MMWR_TRAD_AGG_ST_DISTRICT_COMP[],L$1,0),"ERROR")</f>
        <v>19724</v>
      </c>
      <c r="M56" s="105">
        <f t="shared" si="6"/>
        <v>0.65942295476580526</v>
      </c>
      <c r="N56" s="102">
        <f>IFERROR(VLOOKUP($B56,MMWR_TRAD_AGG_ST_DISTRICT_COMP[],N$1,0),"ERROR")</f>
        <v>42650</v>
      </c>
      <c r="O56" s="102">
        <f>IFERROR(VLOOKUP($B56,MMWR_TRAD_AGG_ST_DISTRICT_COMP[],O$1,0),"ERROR")</f>
        <v>30006</v>
      </c>
      <c r="P56" s="105">
        <f t="shared" si="7"/>
        <v>0.70354044548651817</v>
      </c>
      <c r="Q56" s="102">
        <f>IFERROR(VLOOKUP($B56,MMWR_TRAD_AGG_ST_DISTRICT_COMP[],Q$1,0),"ERROR")</f>
        <v>5712</v>
      </c>
      <c r="R56" s="106">
        <f>IFERROR(VLOOKUP($B56,MMWR_TRAD_AGG_ST_DISTRICT_COMP[],R$1,0),"ERROR")</f>
        <v>1161</v>
      </c>
      <c r="S56" s="106">
        <f>SUM(S57:S63)</f>
        <v>90361</v>
      </c>
      <c r="T56" s="28"/>
    </row>
    <row r="57" spans="1:20" s="123" customFormat="1" x14ac:dyDescent="0.2">
      <c r="A57" s="28"/>
      <c r="B57" s="127" t="s">
        <v>389</v>
      </c>
      <c r="C57" s="109">
        <f>IFERROR(VLOOKUP($B57,MMWR_TRAD_AGG_STATE_COMP[],C$1,0),"ERROR")</f>
        <v>12835</v>
      </c>
      <c r="D57" s="110">
        <f>IFERROR(VLOOKUP($B57,MMWR_TRAD_AGG_STATE_COMP[],D$1,0),"ERROR")</f>
        <v>391.08134008569999</v>
      </c>
      <c r="E57" s="111">
        <f>IFERROR(VLOOKUP($B57,MMWR_TRAD_AGG_STATE_COMP[],E$1,0),"ERROR")</f>
        <v>7297</v>
      </c>
      <c r="F57" s="112">
        <f>IFERROR(VLOOKUP($B57,MMWR_TRAD_AGG_STATE_COMP[],F$1,0),"ERROR")</f>
        <v>1817</v>
      </c>
      <c r="G57" s="113">
        <f t="shared" si="4"/>
        <v>0.24900644100315197</v>
      </c>
      <c r="H57" s="111">
        <f>IFERROR(VLOOKUP($B57,MMWR_TRAD_AGG_STATE_COMP[],H$1,0),"ERROR")</f>
        <v>16463</v>
      </c>
      <c r="I57" s="112">
        <f>IFERROR(VLOOKUP($B57,MMWR_TRAD_AGG_STATE_COMP[],I$1,0),"ERROR")</f>
        <v>11787</v>
      </c>
      <c r="J57" s="114">
        <f t="shared" si="5"/>
        <v>0.71596914292656255</v>
      </c>
      <c r="K57" s="111">
        <f>IFERROR(VLOOKUP($B57,MMWR_TRAD_AGG_STATE_COMP[],K$1,0),"ERROR")</f>
        <v>5091</v>
      </c>
      <c r="L57" s="112">
        <f>IFERROR(VLOOKUP($B57,MMWR_TRAD_AGG_STATE_COMP[],L$1,0),"ERROR")</f>
        <v>3923</v>
      </c>
      <c r="M57" s="114">
        <f t="shared" si="6"/>
        <v>0.77057552543704577</v>
      </c>
      <c r="N57" s="111">
        <f>IFERROR(VLOOKUP($B57,MMWR_TRAD_AGG_STATE_COMP[],N$1,0),"ERROR")</f>
        <v>3481</v>
      </c>
      <c r="O57" s="112">
        <f>IFERROR(VLOOKUP($B57,MMWR_TRAD_AGG_STATE_COMP[],O$1,0),"ERROR")</f>
        <v>2149</v>
      </c>
      <c r="P57" s="114">
        <f t="shared" si="7"/>
        <v>0.61735133582303936</v>
      </c>
      <c r="Q57" s="115">
        <f>IFERROR(VLOOKUP($B57,MMWR_TRAD_AGG_STATE_COMP[],Q$1,0),"ERROR")</f>
        <v>456</v>
      </c>
      <c r="R57" s="115">
        <f>IFERROR(VLOOKUP($B57,MMWR_TRAD_AGG_STATE_COMP[],R$1,0),"ERROR")</f>
        <v>372</v>
      </c>
      <c r="S57" s="115">
        <f>IFERROR(VLOOKUP($B57,MMWR_APP_STATE_COMP[],S$1,0),"ERROR")</f>
        <v>10690</v>
      </c>
      <c r="T57" s="28"/>
    </row>
    <row r="58" spans="1:20" s="123" customFormat="1" x14ac:dyDescent="0.2">
      <c r="A58" s="28"/>
      <c r="B58" s="127" t="s">
        <v>426</v>
      </c>
      <c r="C58" s="109">
        <f>IFERROR(VLOOKUP($B58,MMWR_TRAD_AGG_STATE_COMP[],C$1,0),"ERROR")</f>
        <v>20110</v>
      </c>
      <c r="D58" s="110">
        <f>IFERROR(VLOOKUP($B58,MMWR_TRAD_AGG_STATE_COMP[],D$1,0),"ERROR")</f>
        <v>335.95673794129999</v>
      </c>
      <c r="E58" s="111">
        <f>IFERROR(VLOOKUP($B58,MMWR_TRAD_AGG_STATE_COMP[],E$1,0),"ERROR")</f>
        <v>21404</v>
      </c>
      <c r="F58" s="112">
        <f>IFERROR(VLOOKUP($B58,MMWR_TRAD_AGG_STATE_COMP[],F$1,0),"ERROR")</f>
        <v>5752</v>
      </c>
      <c r="G58" s="113">
        <f t="shared" si="4"/>
        <v>0.26873481592225751</v>
      </c>
      <c r="H58" s="111">
        <f>IFERROR(VLOOKUP($B58,MMWR_TRAD_AGG_STATE_COMP[],H$1,0),"ERROR")</f>
        <v>28012</v>
      </c>
      <c r="I58" s="112">
        <f>IFERROR(VLOOKUP($B58,MMWR_TRAD_AGG_STATE_COMP[],I$1,0),"ERROR")</f>
        <v>18504</v>
      </c>
      <c r="J58" s="114">
        <f t="shared" si="5"/>
        <v>0.66057403969727257</v>
      </c>
      <c r="K58" s="111">
        <f>IFERROR(VLOOKUP($B58,MMWR_TRAD_AGG_STATE_COMP[],K$1,0),"ERROR")</f>
        <v>7048</v>
      </c>
      <c r="L58" s="112">
        <f>IFERROR(VLOOKUP($B58,MMWR_TRAD_AGG_STATE_COMP[],L$1,0),"ERROR")</f>
        <v>3897</v>
      </c>
      <c r="M58" s="114">
        <f t="shared" si="6"/>
        <v>0.55292281498297391</v>
      </c>
      <c r="N58" s="111">
        <f>IFERROR(VLOOKUP($B58,MMWR_TRAD_AGG_STATE_COMP[],N$1,0),"ERROR")</f>
        <v>16761</v>
      </c>
      <c r="O58" s="112">
        <f>IFERROR(VLOOKUP($B58,MMWR_TRAD_AGG_STATE_COMP[],O$1,0),"ERROR")</f>
        <v>11175</v>
      </c>
      <c r="P58" s="114">
        <f t="shared" si="7"/>
        <v>0.66672632897798456</v>
      </c>
      <c r="Q58" s="115">
        <f>IFERROR(VLOOKUP($B58,MMWR_TRAD_AGG_STATE_COMP[],Q$1,0),"ERROR")</f>
        <v>2045</v>
      </c>
      <c r="R58" s="115">
        <f>IFERROR(VLOOKUP($B58,MMWR_TRAD_AGG_STATE_COMP[],R$1,0),"ERROR")</f>
        <v>282</v>
      </c>
      <c r="S58" s="115">
        <f>IFERROR(VLOOKUP($B58,MMWR_APP_STATE_COMP[],S$1,0),"ERROR")</f>
        <v>31248</v>
      </c>
      <c r="T58" s="28"/>
    </row>
    <row r="59" spans="1:20" s="123" customFormat="1" x14ac:dyDescent="0.2">
      <c r="A59" s="28"/>
      <c r="B59" s="127" t="s">
        <v>382</v>
      </c>
      <c r="C59" s="109">
        <f>IFERROR(VLOOKUP($B59,MMWR_TRAD_AGG_STATE_COMP[],C$1,0),"ERROR")</f>
        <v>15424</v>
      </c>
      <c r="D59" s="110">
        <f>IFERROR(VLOOKUP($B59,MMWR_TRAD_AGG_STATE_COMP[],D$1,0),"ERROR")</f>
        <v>354.62584284230002</v>
      </c>
      <c r="E59" s="111">
        <f>IFERROR(VLOOKUP($B59,MMWR_TRAD_AGG_STATE_COMP[],E$1,0),"ERROR")</f>
        <v>17428</v>
      </c>
      <c r="F59" s="112">
        <f>IFERROR(VLOOKUP($B59,MMWR_TRAD_AGG_STATE_COMP[],F$1,0),"ERROR")</f>
        <v>4676</v>
      </c>
      <c r="G59" s="113">
        <f t="shared" si="4"/>
        <v>0.26830387881569889</v>
      </c>
      <c r="H59" s="111">
        <f>IFERROR(VLOOKUP($B59,MMWR_TRAD_AGG_STATE_COMP[],H$1,0),"ERROR")</f>
        <v>22520</v>
      </c>
      <c r="I59" s="112">
        <f>IFERROR(VLOOKUP($B59,MMWR_TRAD_AGG_STATE_COMP[],I$1,0),"ERROR")</f>
        <v>15796</v>
      </c>
      <c r="J59" s="114">
        <f t="shared" si="5"/>
        <v>0.70142095914742453</v>
      </c>
      <c r="K59" s="111">
        <f>IFERROR(VLOOKUP($B59,MMWR_TRAD_AGG_STATE_COMP[],K$1,0),"ERROR")</f>
        <v>8157</v>
      </c>
      <c r="L59" s="112">
        <f>IFERROR(VLOOKUP($B59,MMWR_TRAD_AGG_STATE_COMP[],L$1,0),"ERROR")</f>
        <v>5425</v>
      </c>
      <c r="M59" s="114">
        <f t="shared" si="6"/>
        <v>0.66507294348412405</v>
      </c>
      <c r="N59" s="111">
        <f>IFERROR(VLOOKUP($B59,MMWR_TRAD_AGG_STATE_COMP[],N$1,0),"ERROR")</f>
        <v>13229</v>
      </c>
      <c r="O59" s="112">
        <f>IFERROR(VLOOKUP($B59,MMWR_TRAD_AGG_STATE_COMP[],O$1,0),"ERROR")</f>
        <v>11095</v>
      </c>
      <c r="P59" s="114">
        <f t="shared" si="7"/>
        <v>0.83868773149897946</v>
      </c>
      <c r="Q59" s="115">
        <f>IFERROR(VLOOKUP($B59,MMWR_TRAD_AGG_STATE_COMP[],Q$1,0),"ERROR")</f>
        <v>1029</v>
      </c>
      <c r="R59" s="115">
        <f>IFERROR(VLOOKUP($B59,MMWR_TRAD_AGG_STATE_COMP[],R$1,0),"ERROR")</f>
        <v>30</v>
      </c>
      <c r="S59" s="115">
        <f>IFERROR(VLOOKUP($B59,MMWR_APP_STATE_COMP[],S$1,0),"ERROR")</f>
        <v>18545</v>
      </c>
      <c r="T59" s="28"/>
    </row>
    <row r="60" spans="1:20" s="123" customFormat="1" x14ac:dyDescent="0.2">
      <c r="A60" s="28"/>
      <c r="B60" s="127" t="s">
        <v>394</v>
      </c>
      <c r="C60" s="109">
        <f>IFERROR(VLOOKUP($B60,MMWR_TRAD_AGG_STATE_COMP[],C$1,0),"ERROR")</f>
        <v>6466</v>
      </c>
      <c r="D60" s="110">
        <f>IFERROR(VLOOKUP($B60,MMWR_TRAD_AGG_STATE_COMP[],D$1,0),"ERROR")</f>
        <v>546.35323229200003</v>
      </c>
      <c r="E60" s="111">
        <f>IFERROR(VLOOKUP($B60,MMWR_TRAD_AGG_STATE_COMP[],E$1,0),"ERROR")</f>
        <v>3725</v>
      </c>
      <c r="F60" s="112">
        <f>IFERROR(VLOOKUP($B60,MMWR_TRAD_AGG_STATE_COMP[],F$1,0),"ERROR")</f>
        <v>706</v>
      </c>
      <c r="G60" s="113">
        <f t="shared" si="4"/>
        <v>0.18953020134228188</v>
      </c>
      <c r="H60" s="111">
        <f>IFERROR(VLOOKUP($B60,MMWR_TRAD_AGG_STATE_COMP[],H$1,0),"ERROR")</f>
        <v>9245</v>
      </c>
      <c r="I60" s="112">
        <f>IFERROR(VLOOKUP($B60,MMWR_TRAD_AGG_STATE_COMP[],I$1,0),"ERROR")</f>
        <v>6570</v>
      </c>
      <c r="J60" s="114">
        <f t="shared" si="5"/>
        <v>0.71065440778799349</v>
      </c>
      <c r="K60" s="111">
        <f>IFERROR(VLOOKUP($B60,MMWR_TRAD_AGG_STATE_COMP[],K$1,0),"ERROR")</f>
        <v>2568</v>
      </c>
      <c r="L60" s="112">
        <f>IFERROR(VLOOKUP($B60,MMWR_TRAD_AGG_STATE_COMP[],L$1,0),"ERROR")</f>
        <v>1970</v>
      </c>
      <c r="M60" s="114">
        <f t="shared" si="6"/>
        <v>0.76713395638629278</v>
      </c>
      <c r="N60" s="111">
        <f>IFERROR(VLOOKUP($B60,MMWR_TRAD_AGG_STATE_COMP[],N$1,0),"ERROR")</f>
        <v>1693</v>
      </c>
      <c r="O60" s="112">
        <f>IFERROR(VLOOKUP($B60,MMWR_TRAD_AGG_STATE_COMP[],O$1,0),"ERROR")</f>
        <v>911</v>
      </c>
      <c r="P60" s="114">
        <f t="shared" si="7"/>
        <v>0.53809805079740103</v>
      </c>
      <c r="Q60" s="115">
        <f>IFERROR(VLOOKUP($B60,MMWR_TRAD_AGG_STATE_COMP[],Q$1,0),"ERROR")</f>
        <v>525</v>
      </c>
      <c r="R60" s="115">
        <f>IFERROR(VLOOKUP($B60,MMWR_TRAD_AGG_STATE_COMP[],R$1,0),"ERROR")</f>
        <v>147</v>
      </c>
      <c r="S60" s="115">
        <f>IFERROR(VLOOKUP($B60,MMWR_APP_STATE_COMP[],S$1,0),"ERROR")</f>
        <v>3367</v>
      </c>
      <c r="T60" s="28"/>
    </row>
    <row r="61" spans="1:20" s="123" customFormat="1" x14ac:dyDescent="0.2">
      <c r="A61" s="28"/>
      <c r="B61" s="127" t="s">
        <v>428</v>
      </c>
      <c r="C61" s="109">
        <f>IFERROR(VLOOKUP($B61,MMWR_TRAD_AGG_STATE_COMP[],C$1,0),"ERROR")</f>
        <v>1769</v>
      </c>
      <c r="D61" s="110">
        <f>IFERROR(VLOOKUP($B61,MMWR_TRAD_AGG_STATE_COMP[],D$1,0),"ERROR")</f>
        <v>307.43753533069997</v>
      </c>
      <c r="E61" s="111">
        <f>IFERROR(VLOOKUP($B61,MMWR_TRAD_AGG_STATE_COMP[],E$1,0),"ERROR")</f>
        <v>3148</v>
      </c>
      <c r="F61" s="112">
        <f>IFERROR(VLOOKUP($B61,MMWR_TRAD_AGG_STATE_COMP[],F$1,0),"ERROR")</f>
        <v>917</v>
      </c>
      <c r="G61" s="113">
        <f t="shared" si="4"/>
        <v>0.29129606099110544</v>
      </c>
      <c r="H61" s="111">
        <f>IFERROR(VLOOKUP($B61,MMWR_TRAD_AGG_STATE_COMP[],H$1,0),"ERROR")</f>
        <v>4417</v>
      </c>
      <c r="I61" s="112">
        <f>IFERROR(VLOOKUP($B61,MMWR_TRAD_AGG_STATE_COMP[],I$1,0),"ERROR")</f>
        <v>2292</v>
      </c>
      <c r="J61" s="114">
        <f t="shared" si="5"/>
        <v>0.51890423364274396</v>
      </c>
      <c r="K61" s="111">
        <f>IFERROR(VLOOKUP($B61,MMWR_TRAD_AGG_STATE_COMP[],K$1,0),"ERROR")</f>
        <v>917</v>
      </c>
      <c r="L61" s="112">
        <f>IFERROR(VLOOKUP($B61,MMWR_TRAD_AGG_STATE_COMP[],L$1,0),"ERROR")</f>
        <v>670</v>
      </c>
      <c r="M61" s="114">
        <f t="shared" si="6"/>
        <v>0.73064340239912762</v>
      </c>
      <c r="N61" s="111">
        <f>IFERROR(VLOOKUP($B61,MMWR_TRAD_AGG_STATE_COMP[],N$1,0),"ERROR")</f>
        <v>1637</v>
      </c>
      <c r="O61" s="112">
        <f>IFERROR(VLOOKUP($B61,MMWR_TRAD_AGG_STATE_COMP[],O$1,0),"ERROR")</f>
        <v>1181</v>
      </c>
      <c r="P61" s="114">
        <f t="shared" si="7"/>
        <v>0.72144166157605372</v>
      </c>
      <c r="Q61" s="115">
        <f>IFERROR(VLOOKUP($B61,MMWR_TRAD_AGG_STATE_COMP[],Q$1,0),"ERROR")</f>
        <v>389</v>
      </c>
      <c r="R61" s="115">
        <f>IFERROR(VLOOKUP($B61,MMWR_TRAD_AGG_STATE_COMP[],R$1,0),"ERROR")</f>
        <v>4</v>
      </c>
      <c r="S61" s="115">
        <f>IFERROR(VLOOKUP($B61,MMWR_APP_STATE_COMP[],S$1,0),"ERROR")</f>
        <v>5986</v>
      </c>
      <c r="T61" s="28"/>
    </row>
    <row r="62" spans="1:20" s="123" customFormat="1" x14ac:dyDescent="0.2">
      <c r="A62" s="28"/>
      <c r="B62" s="127" t="s">
        <v>384</v>
      </c>
      <c r="C62" s="109">
        <f>IFERROR(VLOOKUP($B62,MMWR_TRAD_AGG_STATE_COMP[],C$1,0),"ERROR")</f>
        <v>9705</v>
      </c>
      <c r="D62" s="110">
        <f>IFERROR(VLOOKUP($B62,MMWR_TRAD_AGG_STATE_COMP[],D$1,0),"ERROR")</f>
        <v>341.80927357029998</v>
      </c>
      <c r="E62" s="111">
        <f>IFERROR(VLOOKUP($B62,MMWR_TRAD_AGG_STATE_COMP[],E$1,0),"ERROR")</f>
        <v>9387</v>
      </c>
      <c r="F62" s="112">
        <f>IFERROR(VLOOKUP($B62,MMWR_TRAD_AGG_STATE_COMP[],F$1,0),"ERROR")</f>
        <v>2623</v>
      </c>
      <c r="G62" s="113">
        <f t="shared" si="4"/>
        <v>0.27942899754980294</v>
      </c>
      <c r="H62" s="111">
        <f>IFERROR(VLOOKUP($B62,MMWR_TRAD_AGG_STATE_COMP[],H$1,0),"ERROR")</f>
        <v>13181</v>
      </c>
      <c r="I62" s="112">
        <f>IFERROR(VLOOKUP($B62,MMWR_TRAD_AGG_STATE_COMP[],I$1,0),"ERROR")</f>
        <v>9502</v>
      </c>
      <c r="J62" s="114">
        <f t="shared" si="5"/>
        <v>0.72088612396631513</v>
      </c>
      <c r="K62" s="111">
        <f>IFERROR(VLOOKUP($B62,MMWR_TRAD_AGG_STATE_COMP[],K$1,0),"ERROR")</f>
        <v>2808</v>
      </c>
      <c r="L62" s="112">
        <f>IFERROR(VLOOKUP($B62,MMWR_TRAD_AGG_STATE_COMP[],L$1,0),"ERROR")</f>
        <v>1627</v>
      </c>
      <c r="M62" s="114">
        <f t="shared" si="6"/>
        <v>0.57941595441595439</v>
      </c>
      <c r="N62" s="111">
        <f>IFERROR(VLOOKUP($B62,MMWR_TRAD_AGG_STATE_COMP[],N$1,0),"ERROR")</f>
        <v>3262</v>
      </c>
      <c r="O62" s="112">
        <f>IFERROR(VLOOKUP($B62,MMWR_TRAD_AGG_STATE_COMP[],O$1,0),"ERROR")</f>
        <v>1846</v>
      </c>
      <c r="P62" s="114">
        <f t="shared" si="7"/>
        <v>0.56591048436542002</v>
      </c>
      <c r="Q62" s="115">
        <f>IFERROR(VLOOKUP($B62,MMWR_TRAD_AGG_STATE_COMP[],Q$1,0),"ERROR")</f>
        <v>646</v>
      </c>
      <c r="R62" s="115">
        <f>IFERROR(VLOOKUP($B62,MMWR_TRAD_AGG_STATE_COMP[],R$1,0),"ERROR")</f>
        <v>63</v>
      </c>
      <c r="S62" s="115">
        <f>IFERROR(VLOOKUP($B62,MMWR_APP_STATE_COMP[],S$1,0),"ERROR")</f>
        <v>13317</v>
      </c>
      <c r="T62" s="28"/>
    </row>
    <row r="63" spans="1:20" s="123" customFormat="1" x14ac:dyDescent="0.2">
      <c r="A63" s="28"/>
      <c r="B63" s="127" t="s">
        <v>385</v>
      </c>
      <c r="C63" s="109">
        <f>IFERROR(VLOOKUP($B63,MMWR_TRAD_AGG_STATE_COMP[],C$1,0),"ERROR")</f>
        <v>5683</v>
      </c>
      <c r="D63" s="110">
        <f>IFERROR(VLOOKUP($B63,MMWR_TRAD_AGG_STATE_COMP[],D$1,0),"ERROR")</f>
        <v>276.9433397853</v>
      </c>
      <c r="E63" s="111">
        <f>IFERROR(VLOOKUP($B63,MMWR_TRAD_AGG_STATE_COMP[],E$1,0),"ERROR")</f>
        <v>9174</v>
      </c>
      <c r="F63" s="112">
        <f>IFERROR(VLOOKUP($B63,MMWR_TRAD_AGG_STATE_COMP[],F$1,0),"ERROR")</f>
        <v>2085</v>
      </c>
      <c r="G63" s="113">
        <f t="shared" si="4"/>
        <v>0.22727272727272727</v>
      </c>
      <c r="H63" s="111">
        <f>IFERROR(VLOOKUP($B63,MMWR_TRAD_AGG_STATE_COMP[],H$1,0),"ERROR")</f>
        <v>9614</v>
      </c>
      <c r="I63" s="112">
        <f>IFERROR(VLOOKUP($B63,MMWR_TRAD_AGG_STATE_COMP[],I$1,0),"ERROR")</f>
        <v>5190</v>
      </c>
      <c r="J63" s="114">
        <f t="shared" si="5"/>
        <v>0.5398377366340753</v>
      </c>
      <c r="K63" s="111">
        <f>IFERROR(VLOOKUP($B63,MMWR_TRAD_AGG_STATE_COMP[],K$1,0),"ERROR")</f>
        <v>3322</v>
      </c>
      <c r="L63" s="112">
        <f>IFERROR(VLOOKUP($B63,MMWR_TRAD_AGG_STATE_COMP[],L$1,0),"ERROR")</f>
        <v>2212</v>
      </c>
      <c r="M63" s="114">
        <f t="shared" si="6"/>
        <v>0.66586393738711624</v>
      </c>
      <c r="N63" s="111">
        <f>IFERROR(VLOOKUP($B63,MMWR_TRAD_AGG_STATE_COMP[],N$1,0),"ERROR")</f>
        <v>2587</v>
      </c>
      <c r="O63" s="112">
        <f>IFERROR(VLOOKUP($B63,MMWR_TRAD_AGG_STATE_COMP[],O$1,0),"ERROR")</f>
        <v>1649</v>
      </c>
      <c r="P63" s="114">
        <f t="shared" si="7"/>
        <v>0.63741785852338617</v>
      </c>
      <c r="Q63" s="115">
        <f>IFERROR(VLOOKUP($B63,MMWR_TRAD_AGG_STATE_COMP[],Q$1,0),"ERROR")</f>
        <v>622</v>
      </c>
      <c r="R63" s="115">
        <f>IFERROR(VLOOKUP($B63,MMWR_TRAD_AGG_STATE_COMP[],R$1,0),"ERROR")</f>
        <v>263</v>
      </c>
      <c r="S63" s="115">
        <f>IFERROR(VLOOKUP($B63,MMWR_APP_STATE_COMP[],S$1,0),"ERROR")</f>
        <v>7208</v>
      </c>
      <c r="T63" s="28"/>
    </row>
    <row r="64" spans="1:20" s="123" customFormat="1" x14ac:dyDescent="0.2">
      <c r="A64" s="28"/>
      <c r="B64" s="128" t="s">
        <v>8</v>
      </c>
      <c r="C64" s="102">
        <f>IFERROR(VLOOKUP($B64,MMWR_TRAD_AGG_ST_DISTRICT_COMP[],C$1,0),"ERROR")</f>
        <v>3955</v>
      </c>
      <c r="D64" s="103">
        <f>IFERROR(VLOOKUP($B64,MMWR_TRAD_AGG_ST_DISTRICT_COMP[],D$1,0),"ERROR")</f>
        <v>383.53527180779997</v>
      </c>
      <c r="E64" s="102">
        <f>IFERROR(VLOOKUP($B64,MMWR_TRAD_AGG_ST_DISTRICT_COMP[],E$1,0),"ERROR")</f>
        <v>4259</v>
      </c>
      <c r="F64" s="102">
        <f>IFERROR(VLOOKUP($B64,MMWR_TRAD_AGG_ST_DISTRICT_COMP[],F$1,0),"ERROR")</f>
        <v>1869</v>
      </c>
      <c r="G64" s="104">
        <f t="shared" si="4"/>
        <v>0.43883540737262267</v>
      </c>
      <c r="H64" s="102">
        <f>IFERROR(VLOOKUP($B64,MMWR_TRAD_AGG_ST_DISTRICT_COMP[],H$1,0),"ERROR")</f>
        <v>5458</v>
      </c>
      <c r="I64" s="102">
        <f>IFERROR(VLOOKUP($B64,MMWR_TRAD_AGG_ST_DISTRICT_COMP[],I$1,0),"ERROR")</f>
        <v>3957</v>
      </c>
      <c r="J64" s="105">
        <f t="shared" si="5"/>
        <v>0.72499083913521434</v>
      </c>
      <c r="K64" s="102">
        <f>IFERROR(VLOOKUP($B64,MMWR_TRAD_AGG_ST_DISTRICT_COMP[],K$1,0),"ERROR")</f>
        <v>1491</v>
      </c>
      <c r="L64" s="102">
        <f>IFERROR(VLOOKUP($B64,MMWR_TRAD_AGG_ST_DISTRICT_COMP[],L$1,0),"ERROR")</f>
        <v>839</v>
      </c>
      <c r="M64" s="105">
        <f t="shared" si="6"/>
        <v>0.56270959087860495</v>
      </c>
      <c r="N64" s="102">
        <f>IFERROR(VLOOKUP($B64,MMWR_TRAD_AGG_ST_DISTRICT_COMP[],N$1,0),"ERROR")</f>
        <v>1778</v>
      </c>
      <c r="O64" s="102">
        <f>IFERROR(VLOOKUP($B64,MMWR_TRAD_AGG_ST_DISTRICT_COMP[],O$1,0),"ERROR")</f>
        <v>1156</v>
      </c>
      <c r="P64" s="105">
        <f t="shared" si="7"/>
        <v>0.65016872890888644</v>
      </c>
      <c r="Q64" s="102">
        <f>IFERROR(VLOOKUP($B64,MMWR_TRAD_AGG_ST_DISTRICT_COMP[],Q$1,0),"ERROR")</f>
        <v>456</v>
      </c>
      <c r="R64" s="106">
        <f>IFERROR(VLOOKUP($B64,MMWR_TRAD_AGG_ST_DISTRICT_COMP[],R$1,0),"ERROR")</f>
        <v>145</v>
      </c>
      <c r="S64" s="106">
        <f>IFERROR(VLOOKUP($B64,MMWR_APP_STATE_COMP[],S$1,0),"ERROR")</f>
        <v>430</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25120</v>
      </c>
      <c r="D69" s="120">
        <f>IFERROR(VLOOKUP($B69,MMWR_TRAD_AGG_RO_PEN[],D$1,0),"ERROR")</f>
        <v>74.674721337600005</v>
      </c>
      <c r="E69" s="119">
        <f>IFERROR(VLOOKUP($B69,MMWR_TRAD_AGG_RO_PEN[],E$1,0),"ERROR")</f>
        <v>31805</v>
      </c>
      <c r="F69" s="119">
        <f>IFERROR(VLOOKUP($B69,MMWR_TRAD_AGG_RO_PEN[],F$1,0),"ERROR")</f>
        <v>5726</v>
      </c>
      <c r="G69" s="98">
        <f t="shared" ref="G69:G100" si="8">IFERROR(F69/E69,"0%")</f>
        <v>0.18003458575695647</v>
      </c>
      <c r="H69" s="119">
        <f>IFERROR(VLOOKUP($B69,MMWR_TRAD_AGG_RO_PEN[],H$1,0),"ERROR")</f>
        <v>33018</v>
      </c>
      <c r="I69" s="119">
        <f>IFERROR(VLOOKUP($B69,MMWR_TRAD_AGG_RO_PEN[],I$1,0),"ERROR")</f>
        <v>6595</v>
      </c>
      <c r="J69" s="98">
        <f t="shared" ref="J69:J100" si="9">IFERROR(I69/H69,"0%")</f>
        <v>0.19973953601066086</v>
      </c>
      <c r="K69" s="119">
        <f>IFERROR(VLOOKUP($B69,MMWR_TRAD_AGG_RO_PEN[],K$1,0),"ERROR")</f>
        <v>355</v>
      </c>
      <c r="L69" s="119">
        <f>IFERROR(VLOOKUP($B69,MMWR_TRAD_AGG_RO_PEN[],L$1,0),"ERROR")</f>
        <v>326</v>
      </c>
      <c r="M69" s="98">
        <f t="shared" ref="M69:M100" si="10">IFERROR(L69/K69,"0%")</f>
        <v>0.91830985915492958</v>
      </c>
      <c r="N69" s="119">
        <f>IFERROR(VLOOKUP($B69,MMWR_TRAD_AGG_RO_PEN[],N$1,0),"ERROR")</f>
        <v>1692</v>
      </c>
      <c r="O69" s="119">
        <f>IFERROR(VLOOKUP($B69,MMWR_TRAD_AGG_RO_PEN[],O$1,0),"ERROR")</f>
        <v>561</v>
      </c>
      <c r="P69" s="98">
        <f t="shared" ref="P69:P100" si="11">IFERROR(O69/N69,"0%")</f>
        <v>0.33156028368794327</v>
      </c>
      <c r="Q69" s="119">
        <f>IFERROR(VLOOKUP($B69,MMWR_TRAD_AGG_RO_PEN[],Q$1,0),"ERROR")</f>
        <v>9506</v>
      </c>
      <c r="R69" s="121">
        <f>IFERROR(VLOOKUP($B69,MMWR_TRAD_AGG_RO_PEN[],R$1,0),"ERROR")</f>
        <v>6039</v>
      </c>
      <c r="S69" s="121">
        <f>S70+S86+S99+S109+S119+S127</f>
        <v>6998</v>
      </c>
      <c r="T69" s="28"/>
    </row>
    <row r="70" spans="1:20" s="123" customFormat="1" x14ac:dyDescent="0.2">
      <c r="A70" s="28"/>
      <c r="B70" s="126" t="s">
        <v>370</v>
      </c>
      <c r="C70" s="102">
        <f>IFERROR(VLOOKUP($B70,MMWR_TRAD_AGG_ST_DISTRICT_PEN[],C$1,0),"ERROR")</f>
        <v>7755</v>
      </c>
      <c r="D70" s="103">
        <f>IFERROR(VLOOKUP($B70,MMWR_TRAD_AGG_ST_DISTRICT_PEN[],D$1,0),"ERROR")</f>
        <v>93.797549967799995</v>
      </c>
      <c r="E70" s="102">
        <f>IFERROR(VLOOKUP($B70,MMWR_TRAD_AGG_ST_DISTRICT_PEN[],E$1,0),"ERROR")</f>
        <v>10815</v>
      </c>
      <c r="F70" s="102">
        <f>IFERROR(VLOOKUP($B70,MMWR_TRAD_AGG_ST_DISTRICT_PEN[],F$1,0),"ERROR")</f>
        <v>2723</v>
      </c>
      <c r="G70" s="104">
        <f t="shared" si="8"/>
        <v>0.25177993527508091</v>
      </c>
      <c r="H70" s="102">
        <f>IFERROR(VLOOKUP($B70,MMWR_TRAD_AGG_ST_DISTRICT_PEN[],H$1,0),"ERROR")</f>
        <v>10204</v>
      </c>
      <c r="I70" s="102">
        <f>IFERROR(VLOOKUP($B70,MMWR_TRAD_AGG_ST_DISTRICT_PEN[],I$1,0),"ERROR")</f>
        <v>3119</v>
      </c>
      <c r="J70" s="104">
        <f t="shared" si="9"/>
        <v>0.30566444531556253</v>
      </c>
      <c r="K70" s="102">
        <f>IFERROR(VLOOKUP($B70,MMWR_TRAD_AGG_ST_DISTRICT_PEN[],K$1,0),"ERROR")</f>
        <v>220</v>
      </c>
      <c r="L70" s="102">
        <f>IFERROR(VLOOKUP($B70,MMWR_TRAD_AGG_ST_DISTRICT_PEN[],L$1,0),"ERROR")</f>
        <v>216</v>
      </c>
      <c r="M70" s="104">
        <f t="shared" si="10"/>
        <v>0.98181818181818181</v>
      </c>
      <c r="N70" s="102">
        <f>IFERROR(VLOOKUP($B70,MMWR_TRAD_AGG_ST_DISTRICT_PEN[],N$1,0),"ERROR")</f>
        <v>567</v>
      </c>
      <c r="O70" s="102">
        <f>IFERROR(VLOOKUP($B70,MMWR_TRAD_AGG_ST_DISTRICT_PEN[],O$1,0),"ERROR")</f>
        <v>193</v>
      </c>
      <c r="P70" s="104">
        <f t="shared" si="11"/>
        <v>0.3403880070546737</v>
      </c>
      <c r="Q70" s="102">
        <f>IFERROR(VLOOKUP($B70,MMWR_TRAD_AGG_ST_DISTRICT_PEN[],Q$1,0),"ERROR")</f>
        <v>841</v>
      </c>
      <c r="R70" s="106">
        <f>IFERROR(VLOOKUP($B70,MMWR_TRAD_AGG_ST_DISTRICT_PEN[],R$1,0),"ERROR")</f>
        <v>2421</v>
      </c>
      <c r="S70" s="106">
        <f>IFERROR(VLOOKUP($B70,MMWR_APP_STATE_PEN[],S$1,0),"ERROR")</f>
        <v>1420</v>
      </c>
      <c r="T70" s="28"/>
    </row>
    <row r="71" spans="1:20" s="123" customFormat="1" x14ac:dyDescent="0.2">
      <c r="A71" s="28"/>
      <c r="B71" s="127" t="s">
        <v>374</v>
      </c>
      <c r="C71" s="109">
        <f>IFERROR(VLOOKUP($B71,MMWR_TRAD_AGG_STATE_PEN[],C$1,0),"ERROR")</f>
        <v>211</v>
      </c>
      <c r="D71" s="110">
        <f>IFERROR(VLOOKUP($B71,MMWR_TRAD_AGG_STATE_PEN[],D$1,0),"ERROR")</f>
        <v>96.862559241699998</v>
      </c>
      <c r="E71" s="111">
        <f>IFERROR(VLOOKUP($B71,MMWR_TRAD_AGG_STATE_PEN[],E$1,0),"ERROR")</f>
        <v>360</v>
      </c>
      <c r="F71" s="112">
        <f>IFERROR(VLOOKUP($B71,MMWR_TRAD_AGG_STATE_PEN[],F$1,0),"ERROR")</f>
        <v>100</v>
      </c>
      <c r="G71" s="113">
        <f t="shared" si="8"/>
        <v>0.27777777777777779</v>
      </c>
      <c r="H71" s="111">
        <f>IFERROR(VLOOKUP($B71,MMWR_TRAD_AGG_STATE_PEN[],H$1,0),"ERROR")</f>
        <v>289</v>
      </c>
      <c r="I71" s="112">
        <f>IFERROR(VLOOKUP($B71,MMWR_TRAD_AGG_STATE_PEN[],I$1,0),"ERROR")</f>
        <v>80</v>
      </c>
      <c r="J71" s="114">
        <f t="shared" si="9"/>
        <v>0.27681660899653981</v>
      </c>
      <c r="K71" s="111">
        <f>IFERROR(VLOOKUP($B71,MMWR_TRAD_AGG_STATE_PEN[],K$1,0),"ERROR")</f>
        <v>2</v>
      </c>
      <c r="L71" s="112">
        <f>IFERROR(VLOOKUP($B71,MMWR_TRAD_AGG_STATE_PEN[],L$1,0),"ERROR")</f>
        <v>2</v>
      </c>
      <c r="M71" s="114">
        <f t="shared" si="10"/>
        <v>1</v>
      </c>
      <c r="N71" s="111">
        <f>IFERROR(VLOOKUP($B71,MMWR_TRAD_AGG_STATE_PEN[],N$1,0),"ERROR")</f>
        <v>20</v>
      </c>
      <c r="O71" s="112">
        <f>IFERROR(VLOOKUP($B71,MMWR_TRAD_AGG_STATE_PEN[],O$1,0),"ERROR")</f>
        <v>4</v>
      </c>
      <c r="P71" s="114">
        <f t="shared" si="11"/>
        <v>0.2</v>
      </c>
      <c r="Q71" s="115">
        <f>IFERROR(VLOOKUP($B71,MMWR_TRAD_AGG_STATE_PEN[],Q$1,0),"ERROR")</f>
        <v>15</v>
      </c>
      <c r="R71" s="115">
        <f>IFERROR(VLOOKUP($B71,MMWR_TRAD_AGG_STATE_PEN[],R$1,0),"ERROR")</f>
        <v>59</v>
      </c>
      <c r="S71" s="115">
        <f>IFERROR(VLOOKUP($B71,MMWR_APP_STATE_PEN[],S$1,0),"ERROR")</f>
        <v>53</v>
      </c>
      <c r="T71" s="28"/>
    </row>
    <row r="72" spans="1:20" s="123" customFormat="1" x14ac:dyDescent="0.2">
      <c r="A72" s="28"/>
      <c r="B72" s="127" t="s">
        <v>424</v>
      </c>
      <c r="C72" s="109">
        <f>IFERROR(VLOOKUP($B72,MMWR_TRAD_AGG_STATE_PEN[],C$1,0),"ERROR")</f>
        <v>57</v>
      </c>
      <c r="D72" s="110">
        <f>IFERROR(VLOOKUP($B72,MMWR_TRAD_AGG_STATE_PEN[],D$1,0),"ERROR")</f>
        <v>99.421052631600006</v>
      </c>
      <c r="E72" s="111">
        <f>IFERROR(VLOOKUP($B72,MMWR_TRAD_AGG_STATE_PEN[],E$1,0),"ERROR")</f>
        <v>104</v>
      </c>
      <c r="F72" s="112">
        <f>IFERROR(VLOOKUP($B72,MMWR_TRAD_AGG_STATE_PEN[],F$1,0),"ERROR")</f>
        <v>27</v>
      </c>
      <c r="G72" s="113">
        <f t="shared" si="8"/>
        <v>0.25961538461538464</v>
      </c>
      <c r="H72" s="111">
        <f>IFERROR(VLOOKUP($B72,MMWR_TRAD_AGG_STATE_PEN[],H$1,0),"ERROR")</f>
        <v>77</v>
      </c>
      <c r="I72" s="112">
        <f>IFERROR(VLOOKUP($B72,MMWR_TRAD_AGG_STATE_PEN[],I$1,0),"ERROR")</f>
        <v>24</v>
      </c>
      <c r="J72" s="114">
        <f t="shared" si="9"/>
        <v>0.31168831168831168</v>
      </c>
      <c r="K72" s="111">
        <f>IFERROR(VLOOKUP($B72,MMWR_TRAD_AGG_STATE_PEN[],K$1,0),"ERROR")</f>
        <v>2</v>
      </c>
      <c r="L72" s="112">
        <f>IFERROR(VLOOKUP($B72,MMWR_TRAD_AGG_STATE_PEN[],L$1,0),"ERROR")</f>
        <v>2</v>
      </c>
      <c r="M72" s="114">
        <f t="shared" si="10"/>
        <v>1</v>
      </c>
      <c r="N72" s="111">
        <f>IFERROR(VLOOKUP($B72,MMWR_TRAD_AGG_STATE_PEN[],N$1,0),"ERROR")</f>
        <v>9</v>
      </c>
      <c r="O72" s="112">
        <f>IFERROR(VLOOKUP($B72,MMWR_TRAD_AGG_STATE_PEN[],O$1,0),"ERROR")</f>
        <v>1</v>
      </c>
      <c r="P72" s="114">
        <f t="shared" si="11"/>
        <v>0.1111111111111111</v>
      </c>
      <c r="Q72" s="115">
        <f>IFERROR(VLOOKUP($B72,MMWR_TRAD_AGG_STATE_PEN[],Q$1,0),"ERROR")</f>
        <v>10</v>
      </c>
      <c r="R72" s="115">
        <f>IFERROR(VLOOKUP($B72,MMWR_TRAD_AGG_STATE_PEN[],R$1,0),"ERROR")</f>
        <v>26</v>
      </c>
      <c r="S72" s="115">
        <f>IFERROR(VLOOKUP($B72,MMWR_APP_STATE_PEN[],S$1,0),"ERROR")</f>
        <v>16</v>
      </c>
      <c r="T72" s="28"/>
    </row>
    <row r="73" spans="1:20" s="123" customFormat="1" x14ac:dyDescent="0.2">
      <c r="A73" s="28"/>
      <c r="B73" s="127" t="s">
        <v>415</v>
      </c>
      <c r="C73" s="109">
        <f>IFERROR(VLOOKUP($B73,MMWR_TRAD_AGG_STATE_PEN[],C$1,0),"ERROR")</f>
        <v>44</v>
      </c>
      <c r="D73" s="110">
        <f>IFERROR(VLOOKUP($B73,MMWR_TRAD_AGG_STATE_PEN[],D$1,0),"ERROR")</f>
        <v>116.79545454549999</v>
      </c>
      <c r="E73" s="111">
        <f>IFERROR(VLOOKUP($B73,MMWR_TRAD_AGG_STATE_PEN[],E$1,0),"ERROR")</f>
        <v>65</v>
      </c>
      <c r="F73" s="112">
        <f>IFERROR(VLOOKUP($B73,MMWR_TRAD_AGG_STATE_PEN[],F$1,0),"ERROR")</f>
        <v>16</v>
      </c>
      <c r="G73" s="113">
        <f t="shared" si="8"/>
        <v>0.24615384615384617</v>
      </c>
      <c r="H73" s="111">
        <f>IFERROR(VLOOKUP($B73,MMWR_TRAD_AGG_STATE_PEN[],H$1,0),"ERROR")</f>
        <v>59</v>
      </c>
      <c r="I73" s="112">
        <f>IFERROR(VLOOKUP($B73,MMWR_TRAD_AGG_STATE_PEN[],I$1,0),"ERROR")</f>
        <v>24</v>
      </c>
      <c r="J73" s="114">
        <f t="shared" si="9"/>
        <v>0.40677966101694918</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18</v>
      </c>
      <c r="S73" s="115">
        <f>IFERROR(VLOOKUP($B73,MMWR_APP_STATE_PEN[],S$1,0),"ERROR")</f>
        <v>15</v>
      </c>
      <c r="T73" s="28"/>
    </row>
    <row r="74" spans="1:20" s="123" customFormat="1" x14ac:dyDescent="0.2">
      <c r="A74" s="28"/>
      <c r="B74" s="127" t="s">
        <v>417</v>
      </c>
      <c r="C74" s="109">
        <f>IFERROR(VLOOKUP($B74,MMWR_TRAD_AGG_STATE_PEN[],C$1,0),"ERROR")</f>
        <v>144</v>
      </c>
      <c r="D74" s="110">
        <f>IFERROR(VLOOKUP($B74,MMWR_TRAD_AGG_STATE_PEN[],D$1,0),"ERROR")</f>
        <v>96.888888888899999</v>
      </c>
      <c r="E74" s="111">
        <f>IFERROR(VLOOKUP($B74,MMWR_TRAD_AGG_STATE_PEN[],E$1,0),"ERROR")</f>
        <v>154</v>
      </c>
      <c r="F74" s="112">
        <f>IFERROR(VLOOKUP($B74,MMWR_TRAD_AGG_STATE_PEN[],F$1,0),"ERROR")</f>
        <v>31</v>
      </c>
      <c r="G74" s="113">
        <f t="shared" si="8"/>
        <v>0.20129870129870131</v>
      </c>
      <c r="H74" s="111">
        <f>IFERROR(VLOOKUP($B74,MMWR_TRAD_AGG_STATE_PEN[],H$1,0),"ERROR")</f>
        <v>186</v>
      </c>
      <c r="I74" s="112">
        <f>IFERROR(VLOOKUP($B74,MMWR_TRAD_AGG_STATE_PEN[],I$1,0),"ERROR")</f>
        <v>57</v>
      </c>
      <c r="J74" s="114">
        <f t="shared" si="9"/>
        <v>0.30645161290322581</v>
      </c>
      <c r="K74" s="111">
        <f>IFERROR(VLOOKUP($B74,MMWR_TRAD_AGG_STATE_PEN[],K$1,0),"ERROR")</f>
        <v>1</v>
      </c>
      <c r="L74" s="112">
        <f>IFERROR(VLOOKUP($B74,MMWR_TRAD_AGG_STATE_PEN[],L$1,0),"ERROR")</f>
        <v>1</v>
      </c>
      <c r="M74" s="114">
        <f t="shared" si="10"/>
        <v>1</v>
      </c>
      <c r="N74" s="111">
        <f>IFERROR(VLOOKUP($B74,MMWR_TRAD_AGG_STATE_PEN[],N$1,0),"ERROR")</f>
        <v>7</v>
      </c>
      <c r="O74" s="112">
        <f>IFERROR(VLOOKUP($B74,MMWR_TRAD_AGG_STATE_PEN[],O$1,0),"ERROR")</f>
        <v>2</v>
      </c>
      <c r="P74" s="114">
        <f t="shared" si="11"/>
        <v>0.2857142857142857</v>
      </c>
      <c r="Q74" s="115">
        <f>IFERROR(VLOOKUP($B74,MMWR_TRAD_AGG_STATE_PEN[],Q$1,0),"ERROR")</f>
        <v>20</v>
      </c>
      <c r="R74" s="115">
        <f>IFERROR(VLOOKUP($B74,MMWR_TRAD_AGG_STATE_PEN[],R$1,0),"ERROR")</f>
        <v>33</v>
      </c>
      <c r="S74" s="115">
        <f>IFERROR(VLOOKUP($B74,MMWR_APP_STATE_PEN[],S$1,0),"ERROR")</f>
        <v>25</v>
      </c>
      <c r="T74" s="28"/>
    </row>
    <row r="75" spans="1:20" s="123" customFormat="1" x14ac:dyDescent="0.2">
      <c r="A75" s="28"/>
      <c r="B75" s="127" t="s">
        <v>377</v>
      </c>
      <c r="C75" s="109">
        <f>IFERROR(VLOOKUP($B75,MMWR_TRAD_AGG_STATE_PEN[],C$1,0),"ERROR")</f>
        <v>373</v>
      </c>
      <c r="D75" s="110">
        <f>IFERROR(VLOOKUP($B75,MMWR_TRAD_AGG_STATE_PEN[],D$1,0),"ERROR")</f>
        <v>96.233243967799993</v>
      </c>
      <c r="E75" s="111">
        <f>IFERROR(VLOOKUP($B75,MMWR_TRAD_AGG_STATE_PEN[],E$1,0),"ERROR")</f>
        <v>614</v>
      </c>
      <c r="F75" s="112">
        <f>IFERROR(VLOOKUP($B75,MMWR_TRAD_AGG_STATE_PEN[],F$1,0),"ERROR")</f>
        <v>151</v>
      </c>
      <c r="G75" s="113">
        <f t="shared" si="8"/>
        <v>0.24592833876221498</v>
      </c>
      <c r="H75" s="111">
        <f>IFERROR(VLOOKUP($B75,MMWR_TRAD_AGG_STATE_PEN[],H$1,0),"ERROR")</f>
        <v>494</v>
      </c>
      <c r="I75" s="112">
        <f>IFERROR(VLOOKUP($B75,MMWR_TRAD_AGG_STATE_PEN[],I$1,0),"ERROR")</f>
        <v>153</v>
      </c>
      <c r="J75" s="114">
        <f t="shared" si="9"/>
        <v>0.30971659919028338</v>
      </c>
      <c r="K75" s="111">
        <f>IFERROR(VLOOKUP($B75,MMWR_TRAD_AGG_STATE_PEN[],K$1,0),"ERROR")</f>
        <v>11</v>
      </c>
      <c r="L75" s="112">
        <f>IFERROR(VLOOKUP($B75,MMWR_TRAD_AGG_STATE_PEN[],L$1,0),"ERROR")</f>
        <v>11</v>
      </c>
      <c r="M75" s="114">
        <f t="shared" si="10"/>
        <v>1</v>
      </c>
      <c r="N75" s="111">
        <f>IFERROR(VLOOKUP($B75,MMWR_TRAD_AGG_STATE_PEN[],N$1,0),"ERROR")</f>
        <v>36</v>
      </c>
      <c r="O75" s="112">
        <f>IFERROR(VLOOKUP($B75,MMWR_TRAD_AGG_STATE_PEN[],O$1,0),"ERROR")</f>
        <v>16</v>
      </c>
      <c r="P75" s="114">
        <f t="shared" si="11"/>
        <v>0.44444444444444442</v>
      </c>
      <c r="Q75" s="115">
        <f>IFERROR(VLOOKUP($B75,MMWR_TRAD_AGG_STATE_PEN[],Q$1,0),"ERROR")</f>
        <v>46</v>
      </c>
      <c r="R75" s="115">
        <f>IFERROR(VLOOKUP($B75,MMWR_TRAD_AGG_STATE_PEN[],R$1,0),"ERROR")</f>
        <v>161</v>
      </c>
      <c r="S75" s="115">
        <f>IFERROR(VLOOKUP($B75,MMWR_APP_STATE_PEN[],S$1,0),"ERROR")</f>
        <v>83</v>
      </c>
      <c r="T75" s="28"/>
    </row>
    <row r="76" spans="1:20" s="123" customFormat="1" x14ac:dyDescent="0.2">
      <c r="A76" s="28"/>
      <c r="B76" s="127" t="s">
        <v>372</v>
      </c>
      <c r="C76" s="109">
        <f>IFERROR(VLOOKUP($B76,MMWR_TRAD_AGG_STATE_PEN[],C$1,0),"ERROR")</f>
        <v>411</v>
      </c>
      <c r="D76" s="110">
        <f>IFERROR(VLOOKUP($B76,MMWR_TRAD_AGG_STATE_PEN[],D$1,0),"ERROR")</f>
        <v>101.7250608273</v>
      </c>
      <c r="E76" s="111">
        <f>IFERROR(VLOOKUP($B76,MMWR_TRAD_AGG_STATE_PEN[],E$1,0),"ERROR")</f>
        <v>646</v>
      </c>
      <c r="F76" s="112">
        <f>IFERROR(VLOOKUP($B76,MMWR_TRAD_AGG_STATE_PEN[],F$1,0),"ERROR")</f>
        <v>152</v>
      </c>
      <c r="G76" s="113">
        <f t="shared" si="8"/>
        <v>0.23529411764705882</v>
      </c>
      <c r="H76" s="111">
        <f>IFERROR(VLOOKUP($B76,MMWR_TRAD_AGG_STATE_PEN[],H$1,0),"ERROR")</f>
        <v>534</v>
      </c>
      <c r="I76" s="112">
        <f>IFERROR(VLOOKUP($B76,MMWR_TRAD_AGG_STATE_PEN[],I$1,0),"ERROR")</f>
        <v>181</v>
      </c>
      <c r="J76" s="114">
        <f t="shared" si="9"/>
        <v>0.33895131086142322</v>
      </c>
      <c r="K76" s="111">
        <f>IFERROR(VLOOKUP($B76,MMWR_TRAD_AGG_STATE_PEN[],K$1,0),"ERROR")</f>
        <v>2</v>
      </c>
      <c r="L76" s="112">
        <f>IFERROR(VLOOKUP($B76,MMWR_TRAD_AGG_STATE_PEN[],L$1,0),"ERROR")</f>
        <v>2</v>
      </c>
      <c r="M76" s="114">
        <f t="shared" si="10"/>
        <v>1</v>
      </c>
      <c r="N76" s="111">
        <f>IFERROR(VLOOKUP($B76,MMWR_TRAD_AGG_STATE_PEN[],N$1,0),"ERROR")</f>
        <v>36</v>
      </c>
      <c r="O76" s="112">
        <f>IFERROR(VLOOKUP($B76,MMWR_TRAD_AGG_STATE_PEN[],O$1,0),"ERROR")</f>
        <v>11</v>
      </c>
      <c r="P76" s="114">
        <f t="shared" si="11"/>
        <v>0.30555555555555558</v>
      </c>
      <c r="Q76" s="115">
        <f>IFERROR(VLOOKUP($B76,MMWR_TRAD_AGG_STATE_PEN[],Q$1,0),"ERROR")</f>
        <v>45</v>
      </c>
      <c r="R76" s="115">
        <f>IFERROR(VLOOKUP($B76,MMWR_TRAD_AGG_STATE_PEN[],R$1,0),"ERROR")</f>
        <v>157</v>
      </c>
      <c r="S76" s="115">
        <f>IFERROR(VLOOKUP($B76,MMWR_APP_STATE_PEN[],S$1,0),"ERROR")</f>
        <v>98</v>
      </c>
      <c r="T76" s="28"/>
    </row>
    <row r="77" spans="1:20" s="123" customFormat="1" x14ac:dyDescent="0.2">
      <c r="A77" s="28"/>
      <c r="B77" s="127" t="s">
        <v>416</v>
      </c>
      <c r="C77" s="109">
        <f>IFERROR(VLOOKUP($B77,MMWR_TRAD_AGG_STATE_PEN[],C$1,0),"ERROR")</f>
        <v>105</v>
      </c>
      <c r="D77" s="110">
        <f>IFERROR(VLOOKUP($B77,MMWR_TRAD_AGG_STATE_PEN[],D$1,0),"ERROR")</f>
        <v>108.1142857143</v>
      </c>
      <c r="E77" s="111">
        <f>IFERROR(VLOOKUP($B77,MMWR_TRAD_AGG_STATE_PEN[],E$1,0),"ERROR")</f>
        <v>155</v>
      </c>
      <c r="F77" s="112">
        <f>IFERROR(VLOOKUP($B77,MMWR_TRAD_AGG_STATE_PEN[],F$1,0),"ERROR")</f>
        <v>33</v>
      </c>
      <c r="G77" s="113">
        <f t="shared" si="8"/>
        <v>0.2129032258064516</v>
      </c>
      <c r="H77" s="111">
        <f>IFERROR(VLOOKUP($B77,MMWR_TRAD_AGG_STATE_PEN[],H$1,0),"ERROR")</f>
        <v>145</v>
      </c>
      <c r="I77" s="112">
        <f>IFERROR(VLOOKUP($B77,MMWR_TRAD_AGG_STATE_PEN[],I$1,0),"ERROR")</f>
        <v>53</v>
      </c>
      <c r="J77" s="114">
        <f t="shared" si="9"/>
        <v>0.36551724137931035</v>
      </c>
      <c r="K77" s="111">
        <f>IFERROR(VLOOKUP($B77,MMWR_TRAD_AGG_STATE_PEN[],K$1,0),"ERROR")</f>
        <v>0</v>
      </c>
      <c r="L77" s="112">
        <f>IFERROR(VLOOKUP($B77,MMWR_TRAD_AGG_STATE_PEN[],L$1,0),"ERROR")</f>
        <v>0</v>
      </c>
      <c r="M77" s="114" t="str">
        <f t="shared" si="10"/>
        <v>0%</v>
      </c>
      <c r="N77" s="111">
        <f>IFERROR(VLOOKUP($B77,MMWR_TRAD_AGG_STATE_PEN[],N$1,0),"ERROR")</f>
        <v>13</v>
      </c>
      <c r="O77" s="112">
        <f>IFERROR(VLOOKUP($B77,MMWR_TRAD_AGG_STATE_PEN[],O$1,0),"ERROR")</f>
        <v>2</v>
      </c>
      <c r="P77" s="114">
        <f t="shared" si="11"/>
        <v>0.15384615384615385</v>
      </c>
      <c r="Q77" s="115">
        <f>IFERROR(VLOOKUP($B77,MMWR_TRAD_AGG_STATE_PEN[],Q$1,0),"ERROR")</f>
        <v>9</v>
      </c>
      <c r="R77" s="115">
        <f>IFERROR(VLOOKUP($B77,MMWR_TRAD_AGG_STATE_PEN[],R$1,0),"ERROR")</f>
        <v>35</v>
      </c>
      <c r="S77" s="115">
        <f>IFERROR(VLOOKUP($B77,MMWR_APP_STATE_PEN[],S$1,0),"ERROR")</f>
        <v>17</v>
      </c>
      <c r="T77" s="28"/>
    </row>
    <row r="78" spans="1:20" s="123" customFormat="1" x14ac:dyDescent="0.2">
      <c r="A78" s="28"/>
      <c r="B78" s="127" t="s">
        <v>375</v>
      </c>
      <c r="C78" s="109">
        <f>IFERROR(VLOOKUP($B78,MMWR_TRAD_AGG_STATE_PEN[],C$1,0),"ERROR")</f>
        <v>483</v>
      </c>
      <c r="D78" s="110">
        <f>IFERROR(VLOOKUP($B78,MMWR_TRAD_AGG_STATE_PEN[],D$1,0),"ERROR")</f>
        <v>101.15734989649999</v>
      </c>
      <c r="E78" s="111">
        <f>IFERROR(VLOOKUP($B78,MMWR_TRAD_AGG_STATE_PEN[],E$1,0),"ERROR")</f>
        <v>778</v>
      </c>
      <c r="F78" s="112">
        <f>IFERROR(VLOOKUP($B78,MMWR_TRAD_AGG_STATE_PEN[],F$1,0),"ERROR")</f>
        <v>195</v>
      </c>
      <c r="G78" s="113">
        <f t="shared" si="8"/>
        <v>0.25064267352185088</v>
      </c>
      <c r="H78" s="111">
        <f>IFERROR(VLOOKUP($B78,MMWR_TRAD_AGG_STATE_PEN[],H$1,0),"ERROR")</f>
        <v>608</v>
      </c>
      <c r="I78" s="112">
        <f>IFERROR(VLOOKUP($B78,MMWR_TRAD_AGG_STATE_PEN[],I$1,0),"ERROR")</f>
        <v>227</v>
      </c>
      <c r="J78" s="114">
        <f t="shared" si="9"/>
        <v>0.37335526315789475</v>
      </c>
      <c r="K78" s="111">
        <f>IFERROR(VLOOKUP($B78,MMWR_TRAD_AGG_STATE_PEN[],K$1,0),"ERROR")</f>
        <v>3</v>
      </c>
      <c r="L78" s="112">
        <f>IFERROR(VLOOKUP($B78,MMWR_TRAD_AGG_STATE_PEN[],L$1,0),"ERROR")</f>
        <v>3</v>
      </c>
      <c r="M78" s="114">
        <f t="shared" si="10"/>
        <v>1</v>
      </c>
      <c r="N78" s="111">
        <f>IFERROR(VLOOKUP($B78,MMWR_TRAD_AGG_STATE_PEN[],N$1,0),"ERROR")</f>
        <v>34</v>
      </c>
      <c r="O78" s="112">
        <f>IFERROR(VLOOKUP($B78,MMWR_TRAD_AGG_STATE_PEN[],O$1,0),"ERROR")</f>
        <v>10</v>
      </c>
      <c r="P78" s="114">
        <f t="shared" si="11"/>
        <v>0.29411764705882354</v>
      </c>
      <c r="Q78" s="115">
        <f>IFERROR(VLOOKUP($B78,MMWR_TRAD_AGG_STATE_PEN[],Q$1,0),"ERROR")</f>
        <v>51</v>
      </c>
      <c r="R78" s="115">
        <f>IFERROR(VLOOKUP($B78,MMWR_TRAD_AGG_STATE_PEN[],R$1,0),"ERROR")</f>
        <v>199</v>
      </c>
      <c r="S78" s="115">
        <f>IFERROR(VLOOKUP($B78,MMWR_APP_STATE_PEN[],S$1,0),"ERROR")</f>
        <v>174</v>
      </c>
      <c r="T78" s="28"/>
    </row>
    <row r="79" spans="1:20" s="123" customFormat="1" x14ac:dyDescent="0.2">
      <c r="A79" s="28"/>
      <c r="B79" s="127" t="s">
        <v>60</v>
      </c>
      <c r="C79" s="109">
        <f>IFERROR(VLOOKUP($B79,MMWR_TRAD_AGG_STATE_PEN[],C$1,0),"ERROR")</f>
        <v>1294</v>
      </c>
      <c r="D79" s="110">
        <f>IFERROR(VLOOKUP($B79,MMWR_TRAD_AGG_STATE_PEN[],D$1,0),"ERROR")</f>
        <v>97.747295208699995</v>
      </c>
      <c r="E79" s="111">
        <f>IFERROR(VLOOKUP($B79,MMWR_TRAD_AGG_STATE_PEN[],E$1,0),"ERROR")</f>
        <v>2204</v>
      </c>
      <c r="F79" s="112">
        <f>IFERROR(VLOOKUP($B79,MMWR_TRAD_AGG_STATE_PEN[],F$1,0),"ERROR")</f>
        <v>600</v>
      </c>
      <c r="G79" s="113">
        <f t="shared" si="8"/>
        <v>0.27223230490018147</v>
      </c>
      <c r="H79" s="111">
        <f>IFERROR(VLOOKUP($B79,MMWR_TRAD_AGG_STATE_PEN[],H$1,0),"ERROR")</f>
        <v>1764</v>
      </c>
      <c r="I79" s="112">
        <f>IFERROR(VLOOKUP($B79,MMWR_TRAD_AGG_STATE_PEN[],I$1,0),"ERROR")</f>
        <v>575</v>
      </c>
      <c r="J79" s="114">
        <f t="shared" si="9"/>
        <v>0.32596371882086167</v>
      </c>
      <c r="K79" s="111">
        <f>IFERROR(VLOOKUP($B79,MMWR_TRAD_AGG_STATE_PEN[],K$1,0),"ERROR")</f>
        <v>15</v>
      </c>
      <c r="L79" s="112">
        <f>IFERROR(VLOOKUP($B79,MMWR_TRAD_AGG_STATE_PEN[],L$1,0),"ERROR")</f>
        <v>14</v>
      </c>
      <c r="M79" s="114">
        <f t="shared" si="10"/>
        <v>0.93333333333333335</v>
      </c>
      <c r="N79" s="111">
        <f>IFERROR(VLOOKUP($B79,MMWR_TRAD_AGG_STATE_PEN[],N$1,0),"ERROR")</f>
        <v>81</v>
      </c>
      <c r="O79" s="112">
        <f>IFERROR(VLOOKUP($B79,MMWR_TRAD_AGG_STATE_PEN[],O$1,0),"ERROR")</f>
        <v>29</v>
      </c>
      <c r="P79" s="114">
        <f t="shared" si="11"/>
        <v>0.35802469135802467</v>
      </c>
      <c r="Q79" s="115">
        <f>IFERROR(VLOOKUP($B79,MMWR_TRAD_AGG_STATE_PEN[],Q$1,0),"ERROR")</f>
        <v>122</v>
      </c>
      <c r="R79" s="115">
        <f>IFERROR(VLOOKUP($B79,MMWR_TRAD_AGG_STATE_PEN[],R$1,0),"ERROR")</f>
        <v>376</v>
      </c>
      <c r="S79" s="115">
        <f>IFERROR(VLOOKUP($B79,MMWR_APP_STATE_PEN[],S$1,0),"ERROR")</f>
        <v>257</v>
      </c>
      <c r="T79" s="28"/>
    </row>
    <row r="80" spans="1:20" s="123" customFormat="1" x14ac:dyDescent="0.2">
      <c r="A80" s="28"/>
      <c r="B80" s="127" t="s">
        <v>383</v>
      </c>
      <c r="C80" s="109">
        <f>IFERROR(VLOOKUP($B80,MMWR_TRAD_AGG_STATE_PEN[],C$1,0),"ERROR")</f>
        <v>1642</v>
      </c>
      <c r="D80" s="110">
        <f>IFERROR(VLOOKUP($B80,MMWR_TRAD_AGG_STATE_PEN[],D$1,0),"ERROR")</f>
        <v>87.027405602900004</v>
      </c>
      <c r="E80" s="111">
        <f>IFERROR(VLOOKUP($B80,MMWR_TRAD_AGG_STATE_PEN[],E$1,0),"ERROR")</f>
        <v>1646</v>
      </c>
      <c r="F80" s="112">
        <f>IFERROR(VLOOKUP($B80,MMWR_TRAD_AGG_STATE_PEN[],F$1,0),"ERROR")</f>
        <v>395</v>
      </c>
      <c r="G80" s="113">
        <f t="shared" si="8"/>
        <v>0.2399756986634265</v>
      </c>
      <c r="H80" s="111">
        <f>IFERROR(VLOOKUP($B80,MMWR_TRAD_AGG_STATE_PEN[],H$1,0),"ERROR")</f>
        <v>2067</v>
      </c>
      <c r="I80" s="112">
        <f>IFERROR(VLOOKUP($B80,MMWR_TRAD_AGG_STATE_PEN[],I$1,0),"ERROR")</f>
        <v>550</v>
      </c>
      <c r="J80" s="114">
        <f t="shared" si="9"/>
        <v>0.2660861151427189</v>
      </c>
      <c r="K80" s="111">
        <f>IFERROR(VLOOKUP($B80,MMWR_TRAD_AGG_STATE_PEN[],K$1,0),"ERROR")</f>
        <v>29</v>
      </c>
      <c r="L80" s="112">
        <f>IFERROR(VLOOKUP($B80,MMWR_TRAD_AGG_STATE_PEN[],L$1,0),"ERROR")</f>
        <v>28</v>
      </c>
      <c r="M80" s="114">
        <f t="shared" si="10"/>
        <v>0.96551724137931039</v>
      </c>
      <c r="N80" s="111">
        <f>IFERROR(VLOOKUP($B80,MMWR_TRAD_AGG_STATE_PEN[],N$1,0),"ERROR")</f>
        <v>113</v>
      </c>
      <c r="O80" s="112">
        <f>IFERROR(VLOOKUP($B80,MMWR_TRAD_AGG_STATE_PEN[],O$1,0),"ERROR")</f>
        <v>45</v>
      </c>
      <c r="P80" s="114">
        <f t="shared" si="11"/>
        <v>0.39823008849557523</v>
      </c>
      <c r="Q80" s="115">
        <f>IFERROR(VLOOKUP($B80,MMWR_TRAD_AGG_STATE_PEN[],Q$1,0),"ERROR")</f>
        <v>193</v>
      </c>
      <c r="R80" s="115">
        <f>IFERROR(VLOOKUP($B80,MMWR_TRAD_AGG_STATE_PEN[],R$1,0),"ERROR")</f>
        <v>437</v>
      </c>
      <c r="S80" s="115">
        <f>IFERROR(VLOOKUP($B80,MMWR_APP_STATE_PEN[],S$1,0),"ERROR")</f>
        <v>205</v>
      </c>
      <c r="T80" s="28"/>
    </row>
    <row r="81" spans="1:20" s="123" customFormat="1" x14ac:dyDescent="0.2">
      <c r="A81" s="28"/>
      <c r="B81" s="127" t="s">
        <v>376</v>
      </c>
      <c r="C81" s="109">
        <f>IFERROR(VLOOKUP($B81,MMWR_TRAD_AGG_STATE_PEN[],C$1,0),"ERROR")</f>
        <v>1668</v>
      </c>
      <c r="D81" s="110">
        <f>IFERROR(VLOOKUP($B81,MMWR_TRAD_AGG_STATE_PEN[],D$1,0),"ERROR")</f>
        <v>94.757793765000002</v>
      </c>
      <c r="E81" s="111">
        <f>IFERROR(VLOOKUP($B81,MMWR_TRAD_AGG_STATE_PEN[],E$1,0),"ERROR")</f>
        <v>2722</v>
      </c>
      <c r="F81" s="112">
        <f>IFERROR(VLOOKUP($B81,MMWR_TRAD_AGG_STATE_PEN[],F$1,0),"ERROR")</f>
        <v>714</v>
      </c>
      <c r="G81" s="113">
        <f t="shared" si="8"/>
        <v>0.26230712711241733</v>
      </c>
      <c r="H81" s="111">
        <f>IFERROR(VLOOKUP($B81,MMWR_TRAD_AGG_STATE_PEN[],H$1,0),"ERROR")</f>
        <v>2301</v>
      </c>
      <c r="I81" s="112">
        <f>IFERROR(VLOOKUP($B81,MMWR_TRAD_AGG_STATE_PEN[],I$1,0),"ERROR")</f>
        <v>725</v>
      </c>
      <c r="J81" s="114">
        <f t="shared" si="9"/>
        <v>0.31508039982616254</v>
      </c>
      <c r="K81" s="111">
        <f>IFERROR(VLOOKUP($B81,MMWR_TRAD_AGG_STATE_PEN[],K$1,0),"ERROR")</f>
        <v>9</v>
      </c>
      <c r="L81" s="112">
        <f>IFERROR(VLOOKUP($B81,MMWR_TRAD_AGG_STATE_PEN[],L$1,0),"ERROR")</f>
        <v>9</v>
      </c>
      <c r="M81" s="114">
        <f t="shared" si="10"/>
        <v>1</v>
      </c>
      <c r="N81" s="111">
        <f>IFERROR(VLOOKUP($B81,MMWR_TRAD_AGG_STATE_PEN[],N$1,0),"ERROR")</f>
        <v>117</v>
      </c>
      <c r="O81" s="112">
        <f>IFERROR(VLOOKUP($B81,MMWR_TRAD_AGG_STATE_PEN[],O$1,0),"ERROR")</f>
        <v>28</v>
      </c>
      <c r="P81" s="114">
        <f t="shared" si="11"/>
        <v>0.23931623931623933</v>
      </c>
      <c r="Q81" s="115">
        <f>IFERROR(VLOOKUP($B81,MMWR_TRAD_AGG_STATE_PEN[],Q$1,0),"ERROR")</f>
        <v>128</v>
      </c>
      <c r="R81" s="115">
        <f>IFERROR(VLOOKUP($B81,MMWR_TRAD_AGG_STATE_PEN[],R$1,0),"ERROR")</f>
        <v>467</v>
      </c>
      <c r="S81" s="115">
        <f>IFERROR(VLOOKUP($B81,MMWR_APP_STATE_PEN[],S$1,0),"ERROR")</f>
        <v>239</v>
      </c>
      <c r="T81" s="28"/>
    </row>
    <row r="82" spans="1:20" s="123" customFormat="1" x14ac:dyDescent="0.2">
      <c r="A82" s="28"/>
      <c r="B82" s="127" t="s">
        <v>373</v>
      </c>
      <c r="C82" s="109">
        <f>IFERROR(VLOOKUP($B82,MMWR_TRAD_AGG_STATE_PEN[],C$1,0),"ERROR")</f>
        <v>103</v>
      </c>
      <c r="D82" s="110">
        <f>IFERROR(VLOOKUP($B82,MMWR_TRAD_AGG_STATE_PEN[],D$1,0),"ERROR")</f>
        <v>85.436893203899999</v>
      </c>
      <c r="E82" s="111">
        <f>IFERROR(VLOOKUP($B82,MMWR_TRAD_AGG_STATE_PEN[],E$1,0),"ERROR")</f>
        <v>165</v>
      </c>
      <c r="F82" s="112">
        <f>IFERROR(VLOOKUP($B82,MMWR_TRAD_AGG_STATE_PEN[],F$1,0),"ERROR")</f>
        <v>41</v>
      </c>
      <c r="G82" s="113">
        <f t="shared" si="8"/>
        <v>0.24848484848484848</v>
      </c>
      <c r="H82" s="111">
        <f>IFERROR(VLOOKUP($B82,MMWR_TRAD_AGG_STATE_PEN[],H$1,0),"ERROR")</f>
        <v>144</v>
      </c>
      <c r="I82" s="112">
        <f>IFERROR(VLOOKUP($B82,MMWR_TRAD_AGG_STATE_PEN[],I$1,0),"ERROR")</f>
        <v>41</v>
      </c>
      <c r="J82" s="114">
        <f t="shared" si="9"/>
        <v>0.28472222222222221</v>
      </c>
      <c r="K82" s="111">
        <f>IFERROR(VLOOKUP($B82,MMWR_TRAD_AGG_STATE_PEN[],K$1,0),"ERROR")</f>
        <v>1</v>
      </c>
      <c r="L82" s="112">
        <f>IFERROR(VLOOKUP($B82,MMWR_TRAD_AGG_STATE_PEN[],L$1,0),"ERROR")</f>
        <v>1</v>
      </c>
      <c r="M82" s="114">
        <f t="shared" si="10"/>
        <v>1</v>
      </c>
      <c r="N82" s="111">
        <f>IFERROR(VLOOKUP($B82,MMWR_TRAD_AGG_STATE_PEN[],N$1,0),"ERROR")</f>
        <v>20</v>
      </c>
      <c r="O82" s="112">
        <f>IFERROR(VLOOKUP($B82,MMWR_TRAD_AGG_STATE_PEN[],O$1,0),"ERROR")</f>
        <v>9</v>
      </c>
      <c r="P82" s="114">
        <f t="shared" si="11"/>
        <v>0.45</v>
      </c>
      <c r="Q82" s="115">
        <f>IFERROR(VLOOKUP($B82,MMWR_TRAD_AGG_STATE_PEN[],Q$1,0),"ERROR")</f>
        <v>11</v>
      </c>
      <c r="R82" s="115">
        <f>IFERROR(VLOOKUP($B82,MMWR_TRAD_AGG_STATE_PEN[],R$1,0),"ERROR")</f>
        <v>30</v>
      </c>
      <c r="S82" s="115">
        <f>IFERROR(VLOOKUP($B82,MMWR_APP_STATE_PEN[],S$1,0),"ERROR")</f>
        <v>18</v>
      </c>
      <c r="T82" s="28"/>
    </row>
    <row r="83" spans="1:20" s="123" customFormat="1" x14ac:dyDescent="0.2">
      <c r="A83" s="28"/>
      <c r="B83" s="127" t="s">
        <v>418</v>
      </c>
      <c r="C83" s="109">
        <f>IFERROR(VLOOKUP($B83,MMWR_TRAD_AGG_STATE_PEN[],C$1,0),"ERROR")</f>
        <v>39</v>
      </c>
      <c r="D83" s="110">
        <f>IFERROR(VLOOKUP($B83,MMWR_TRAD_AGG_STATE_PEN[],D$1,0),"ERROR")</f>
        <v>77.871794871800006</v>
      </c>
      <c r="E83" s="111">
        <f>IFERROR(VLOOKUP($B83,MMWR_TRAD_AGG_STATE_PEN[],E$1,0),"ERROR")</f>
        <v>54</v>
      </c>
      <c r="F83" s="112">
        <f>IFERROR(VLOOKUP($B83,MMWR_TRAD_AGG_STATE_PEN[],F$1,0),"ERROR")</f>
        <v>6</v>
      </c>
      <c r="G83" s="113">
        <f t="shared" si="8"/>
        <v>0.1111111111111111</v>
      </c>
      <c r="H83" s="111">
        <f>IFERROR(VLOOKUP($B83,MMWR_TRAD_AGG_STATE_PEN[],H$1,0),"ERROR")</f>
        <v>45</v>
      </c>
      <c r="I83" s="112">
        <f>IFERROR(VLOOKUP($B83,MMWR_TRAD_AGG_STATE_PEN[],I$1,0),"ERROR")</f>
        <v>6</v>
      </c>
      <c r="J83" s="114">
        <f t="shared" si="9"/>
        <v>0.13333333333333333</v>
      </c>
      <c r="K83" s="111">
        <f>IFERROR(VLOOKUP($B83,MMWR_TRAD_AGG_STATE_PEN[],K$1,0),"ERROR")</f>
        <v>0</v>
      </c>
      <c r="L83" s="112">
        <f>IFERROR(VLOOKUP($B83,MMWR_TRAD_AGG_STATE_PEN[],L$1,0),"ERROR")</f>
        <v>0</v>
      </c>
      <c r="M83" s="114" t="str">
        <f t="shared" si="10"/>
        <v>0%</v>
      </c>
      <c r="N83" s="111">
        <f>IFERROR(VLOOKUP($B83,MMWR_TRAD_AGG_STATE_PEN[],N$1,0),"ERROR")</f>
        <v>3</v>
      </c>
      <c r="O83" s="112">
        <f>IFERROR(VLOOKUP($B83,MMWR_TRAD_AGG_STATE_PEN[],O$1,0),"ERROR")</f>
        <v>0</v>
      </c>
      <c r="P83" s="114">
        <f t="shared" si="11"/>
        <v>0</v>
      </c>
      <c r="Q83" s="115">
        <f>IFERROR(VLOOKUP($B83,MMWR_TRAD_AGG_STATE_PEN[],Q$1,0),"ERROR")</f>
        <v>7</v>
      </c>
      <c r="R83" s="115">
        <f>IFERROR(VLOOKUP($B83,MMWR_TRAD_AGG_STATE_PEN[],R$1,0),"ERROR")</f>
        <v>13</v>
      </c>
      <c r="S83" s="115">
        <f>IFERROR(VLOOKUP($B83,MMWR_APP_STATE_PEN[],S$1,0),"ERROR")</f>
        <v>9</v>
      </c>
      <c r="T83" s="28"/>
    </row>
    <row r="84" spans="1:20" s="123" customFormat="1" x14ac:dyDescent="0.2">
      <c r="A84" s="28"/>
      <c r="B84" s="127" t="s">
        <v>379</v>
      </c>
      <c r="C84" s="109">
        <f>IFERROR(VLOOKUP($B84,MMWR_TRAD_AGG_STATE_PEN[],C$1,0),"ERROR")</f>
        <v>890</v>
      </c>
      <c r="D84" s="110">
        <f>IFERROR(VLOOKUP($B84,MMWR_TRAD_AGG_STATE_PEN[],D$1,0),"ERROR")</f>
        <v>88.735955056199998</v>
      </c>
      <c r="E84" s="111">
        <f>IFERROR(VLOOKUP($B84,MMWR_TRAD_AGG_STATE_PEN[],E$1,0),"ERROR")</f>
        <v>848</v>
      </c>
      <c r="F84" s="112">
        <f>IFERROR(VLOOKUP($B84,MMWR_TRAD_AGG_STATE_PEN[],F$1,0),"ERROR")</f>
        <v>200</v>
      </c>
      <c r="G84" s="113">
        <f t="shared" si="8"/>
        <v>0.23584905660377359</v>
      </c>
      <c r="H84" s="111">
        <f>IFERROR(VLOOKUP($B84,MMWR_TRAD_AGG_STATE_PEN[],H$1,0),"ERROR")</f>
        <v>1123</v>
      </c>
      <c r="I84" s="112">
        <f>IFERROR(VLOOKUP($B84,MMWR_TRAD_AGG_STATE_PEN[],I$1,0),"ERROR")</f>
        <v>320</v>
      </c>
      <c r="J84" s="114">
        <f t="shared" si="9"/>
        <v>0.28495102404274264</v>
      </c>
      <c r="K84" s="111">
        <f>IFERROR(VLOOKUP($B84,MMWR_TRAD_AGG_STATE_PEN[],K$1,0),"ERROR")</f>
        <v>143</v>
      </c>
      <c r="L84" s="112">
        <f>IFERROR(VLOOKUP($B84,MMWR_TRAD_AGG_STATE_PEN[],L$1,0),"ERROR")</f>
        <v>141</v>
      </c>
      <c r="M84" s="114">
        <f t="shared" si="10"/>
        <v>0.98601398601398604</v>
      </c>
      <c r="N84" s="111">
        <f>IFERROR(VLOOKUP($B84,MMWR_TRAD_AGG_STATE_PEN[],N$1,0),"ERROR")</f>
        <v>59</v>
      </c>
      <c r="O84" s="112">
        <f>IFERROR(VLOOKUP($B84,MMWR_TRAD_AGG_STATE_PEN[],O$1,0),"ERROR")</f>
        <v>27</v>
      </c>
      <c r="P84" s="114">
        <f t="shared" si="11"/>
        <v>0.4576271186440678</v>
      </c>
      <c r="Q84" s="115">
        <f>IFERROR(VLOOKUP($B84,MMWR_TRAD_AGG_STATE_PEN[],Q$1,0),"ERROR")</f>
        <v>128</v>
      </c>
      <c r="R84" s="115">
        <f>IFERROR(VLOOKUP($B84,MMWR_TRAD_AGG_STATE_PEN[],R$1,0),"ERROR")</f>
        <v>327</v>
      </c>
      <c r="S84" s="115">
        <f>IFERROR(VLOOKUP($B84,MMWR_APP_STATE_PEN[],S$1,0),"ERROR")</f>
        <v>166</v>
      </c>
      <c r="T84" s="28"/>
    </row>
    <row r="85" spans="1:20" s="123" customFormat="1" x14ac:dyDescent="0.2">
      <c r="A85" s="28"/>
      <c r="B85" s="127" t="s">
        <v>380</v>
      </c>
      <c r="C85" s="109">
        <f>IFERROR(VLOOKUP($B85,MMWR_TRAD_AGG_STATE_PEN[],C$1,0),"ERROR")</f>
        <v>291</v>
      </c>
      <c r="D85" s="110">
        <f>IFERROR(VLOOKUP($B85,MMWR_TRAD_AGG_STATE_PEN[],D$1,0),"ERROR")</f>
        <v>89.474226804099999</v>
      </c>
      <c r="E85" s="111">
        <f>IFERROR(VLOOKUP($B85,MMWR_TRAD_AGG_STATE_PEN[],E$1,0),"ERROR")</f>
        <v>300</v>
      </c>
      <c r="F85" s="112">
        <f>IFERROR(VLOOKUP($B85,MMWR_TRAD_AGG_STATE_PEN[],F$1,0),"ERROR")</f>
        <v>62</v>
      </c>
      <c r="G85" s="113">
        <f t="shared" si="8"/>
        <v>0.20666666666666667</v>
      </c>
      <c r="H85" s="111">
        <f>IFERROR(VLOOKUP($B85,MMWR_TRAD_AGG_STATE_PEN[],H$1,0),"ERROR")</f>
        <v>368</v>
      </c>
      <c r="I85" s="112">
        <f>IFERROR(VLOOKUP($B85,MMWR_TRAD_AGG_STATE_PEN[],I$1,0),"ERROR")</f>
        <v>103</v>
      </c>
      <c r="J85" s="114">
        <f t="shared" si="9"/>
        <v>0.27989130434782611</v>
      </c>
      <c r="K85" s="111">
        <f>IFERROR(VLOOKUP($B85,MMWR_TRAD_AGG_STATE_PEN[],K$1,0),"ERROR")</f>
        <v>0</v>
      </c>
      <c r="L85" s="112">
        <f>IFERROR(VLOOKUP($B85,MMWR_TRAD_AGG_STATE_PEN[],L$1,0),"ERROR")</f>
        <v>0</v>
      </c>
      <c r="M85" s="114" t="str">
        <f t="shared" si="10"/>
        <v>0%</v>
      </c>
      <c r="N85" s="111">
        <f>IFERROR(VLOOKUP($B85,MMWR_TRAD_AGG_STATE_PEN[],N$1,0),"ERROR")</f>
        <v>19</v>
      </c>
      <c r="O85" s="112">
        <f>IFERROR(VLOOKUP($B85,MMWR_TRAD_AGG_STATE_PEN[],O$1,0),"ERROR")</f>
        <v>9</v>
      </c>
      <c r="P85" s="114">
        <f t="shared" si="11"/>
        <v>0.47368421052631576</v>
      </c>
      <c r="Q85" s="115">
        <f>IFERROR(VLOOKUP($B85,MMWR_TRAD_AGG_STATE_PEN[],Q$1,0),"ERROR")</f>
        <v>47</v>
      </c>
      <c r="R85" s="115">
        <f>IFERROR(VLOOKUP($B85,MMWR_TRAD_AGG_STATE_PEN[],R$1,0),"ERROR")</f>
        <v>83</v>
      </c>
      <c r="S85" s="115">
        <f>IFERROR(VLOOKUP($B85,MMWR_APP_STATE_PEN[],S$1,0),"ERROR")</f>
        <v>45</v>
      </c>
      <c r="T85" s="28"/>
    </row>
    <row r="86" spans="1:20" s="123" customFormat="1" x14ac:dyDescent="0.2">
      <c r="A86" s="28"/>
      <c r="B86" s="126" t="s">
        <v>391</v>
      </c>
      <c r="C86" s="102">
        <f>IFERROR(VLOOKUP($B86,MMWR_TRAD_AGG_ST_DISTRICT_PEN[],C$1,0),"ERROR")</f>
        <v>3865</v>
      </c>
      <c r="D86" s="103">
        <f>IFERROR(VLOOKUP($B86,MMWR_TRAD_AGG_ST_DISTRICT_PEN[],D$1,0),"ERROR")</f>
        <v>50.250970245799998</v>
      </c>
      <c r="E86" s="102">
        <f>IFERROR(VLOOKUP($B86,MMWR_TRAD_AGG_ST_DISTRICT_PEN[],E$1,0),"ERROR")</f>
        <v>5466</v>
      </c>
      <c r="F86" s="102">
        <f>IFERROR(VLOOKUP($B86,MMWR_TRAD_AGG_ST_DISTRICT_PEN[],F$1,0),"ERROR")</f>
        <v>626</v>
      </c>
      <c r="G86" s="104">
        <f t="shared" si="8"/>
        <v>0.11452616172703989</v>
      </c>
      <c r="H86" s="102">
        <f>IFERROR(VLOOKUP($B86,MMWR_TRAD_AGG_ST_DISTRICT_PEN[],H$1,0),"ERROR")</f>
        <v>5387</v>
      </c>
      <c r="I86" s="102">
        <f>IFERROR(VLOOKUP($B86,MMWR_TRAD_AGG_ST_DISTRICT_PEN[],I$1,0),"ERROR")</f>
        <v>307</v>
      </c>
      <c r="J86" s="104">
        <f t="shared" si="9"/>
        <v>5.6989047707443848E-2</v>
      </c>
      <c r="K86" s="102">
        <f>IFERROR(VLOOKUP($B86,MMWR_TRAD_AGG_ST_DISTRICT_PEN[],K$1,0),"ERROR")</f>
        <v>15</v>
      </c>
      <c r="L86" s="102">
        <f>IFERROR(VLOOKUP($B86,MMWR_TRAD_AGG_ST_DISTRICT_PEN[],L$1,0),"ERROR")</f>
        <v>13</v>
      </c>
      <c r="M86" s="104">
        <f t="shared" si="10"/>
        <v>0.8666666666666667</v>
      </c>
      <c r="N86" s="102">
        <f>IFERROR(VLOOKUP($B86,MMWR_TRAD_AGG_ST_DISTRICT_PEN[],N$1,0),"ERROR")</f>
        <v>280</v>
      </c>
      <c r="O86" s="102">
        <f>IFERROR(VLOOKUP($B86,MMWR_TRAD_AGG_ST_DISTRICT_PEN[],O$1,0),"ERROR")</f>
        <v>75</v>
      </c>
      <c r="P86" s="104">
        <f t="shared" si="11"/>
        <v>0.26785714285714285</v>
      </c>
      <c r="Q86" s="102">
        <f>IFERROR(VLOOKUP($B86,MMWR_TRAD_AGG_ST_DISTRICT_PEN[],Q$1,0),"ERROR")</f>
        <v>1995</v>
      </c>
      <c r="R86" s="106">
        <f>IFERROR(VLOOKUP($B86,MMWR_TRAD_AGG_ST_DISTRICT_PEN[],R$1,0),"ERROR")</f>
        <v>606</v>
      </c>
      <c r="S86" s="106">
        <f>IFERROR(VLOOKUP($B86,MMWR_APP_STATE_PEN[],S$1,0),"ERROR")</f>
        <v>1575</v>
      </c>
      <c r="T86" s="28"/>
    </row>
    <row r="87" spans="1:20" s="123" customFormat="1" x14ac:dyDescent="0.2">
      <c r="A87" s="28"/>
      <c r="B87" s="127" t="s">
        <v>395</v>
      </c>
      <c r="C87" s="109">
        <f>IFERROR(VLOOKUP($B87,MMWR_TRAD_AGG_STATE_PEN[],C$1,0),"ERROR")</f>
        <v>505</v>
      </c>
      <c r="D87" s="110">
        <f>IFERROR(VLOOKUP($B87,MMWR_TRAD_AGG_STATE_PEN[],D$1,0),"ERROR")</f>
        <v>53.249504950499997</v>
      </c>
      <c r="E87" s="111">
        <f>IFERROR(VLOOKUP($B87,MMWR_TRAD_AGG_STATE_PEN[],E$1,0),"ERROR")</f>
        <v>815</v>
      </c>
      <c r="F87" s="112">
        <f>IFERROR(VLOOKUP($B87,MMWR_TRAD_AGG_STATE_PEN[],F$1,0),"ERROR")</f>
        <v>119</v>
      </c>
      <c r="G87" s="113">
        <f t="shared" si="8"/>
        <v>0.1460122699386503</v>
      </c>
      <c r="H87" s="111">
        <f>IFERROR(VLOOKUP($B87,MMWR_TRAD_AGG_STATE_PEN[],H$1,0),"ERROR")</f>
        <v>701</v>
      </c>
      <c r="I87" s="112">
        <f>IFERROR(VLOOKUP($B87,MMWR_TRAD_AGG_STATE_PEN[],I$1,0),"ERROR")</f>
        <v>44</v>
      </c>
      <c r="J87" s="114">
        <f t="shared" si="9"/>
        <v>6.2767475035663337E-2</v>
      </c>
      <c r="K87" s="111">
        <f>IFERROR(VLOOKUP($B87,MMWR_TRAD_AGG_STATE_PEN[],K$1,0),"ERROR")</f>
        <v>1</v>
      </c>
      <c r="L87" s="112">
        <f>IFERROR(VLOOKUP($B87,MMWR_TRAD_AGG_STATE_PEN[],L$1,0),"ERROR")</f>
        <v>1</v>
      </c>
      <c r="M87" s="114">
        <f t="shared" si="10"/>
        <v>1</v>
      </c>
      <c r="N87" s="111">
        <f>IFERROR(VLOOKUP($B87,MMWR_TRAD_AGG_STATE_PEN[],N$1,0),"ERROR")</f>
        <v>33</v>
      </c>
      <c r="O87" s="112">
        <f>IFERROR(VLOOKUP($B87,MMWR_TRAD_AGG_STATE_PEN[],O$1,0),"ERROR")</f>
        <v>9</v>
      </c>
      <c r="P87" s="114">
        <f t="shared" si="11"/>
        <v>0.27272727272727271</v>
      </c>
      <c r="Q87" s="115">
        <f>IFERROR(VLOOKUP($B87,MMWR_TRAD_AGG_STATE_PEN[],Q$1,0),"ERROR")</f>
        <v>96</v>
      </c>
      <c r="R87" s="115">
        <f>IFERROR(VLOOKUP($B87,MMWR_TRAD_AGG_STATE_PEN[],R$1,0),"ERROR")</f>
        <v>119</v>
      </c>
      <c r="S87" s="115">
        <f>IFERROR(VLOOKUP($B87,MMWR_APP_STATE_PEN[],S$1,0),"ERROR")</f>
        <v>348</v>
      </c>
      <c r="T87" s="28"/>
    </row>
    <row r="88" spans="1:20" s="123" customFormat="1" x14ac:dyDescent="0.2">
      <c r="A88" s="28"/>
      <c r="B88" s="127" t="s">
        <v>393</v>
      </c>
      <c r="C88" s="109">
        <f>IFERROR(VLOOKUP($B88,MMWR_TRAD_AGG_STATE_PEN[],C$1,0),"ERROR")</f>
        <v>364</v>
      </c>
      <c r="D88" s="110">
        <f>IFERROR(VLOOKUP($B88,MMWR_TRAD_AGG_STATE_PEN[],D$1,0),"ERROR")</f>
        <v>60.302197802199998</v>
      </c>
      <c r="E88" s="111">
        <f>IFERROR(VLOOKUP($B88,MMWR_TRAD_AGG_STATE_PEN[],E$1,0),"ERROR")</f>
        <v>594</v>
      </c>
      <c r="F88" s="112">
        <f>IFERROR(VLOOKUP($B88,MMWR_TRAD_AGG_STATE_PEN[],F$1,0),"ERROR")</f>
        <v>75</v>
      </c>
      <c r="G88" s="113">
        <f t="shared" si="8"/>
        <v>0.12626262626262627</v>
      </c>
      <c r="H88" s="111">
        <f>IFERROR(VLOOKUP($B88,MMWR_TRAD_AGG_STATE_PEN[],H$1,0),"ERROR")</f>
        <v>515</v>
      </c>
      <c r="I88" s="112">
        <f>IFERROR(VLOOKUP($B88,MMWR_TRAD_AGG_STATE_PEN[],I$1,0),"ERROR")</f>
        <v>40</v>
      </c>
      <c r="J88" s="114">
        <f t="shared" si="9"/>
        <v>7.7669902912621352E-2</v>
      </c>
      <c r="K88" s="111">
        <f>IFERROR(VLOOKUP($B88,MMWR_TRAD_AGG_STATE_PEN[],K$1,0),"ERROR")</f>
        <v>2</v>
      </c>
      <c r="L88" s="112">
        <f>IFERROR(VLOOKUP($B88,MMWR_TRAD_AGG_STATE_PEN[],L$1,0),"ERROR")</f>
        <v>2</v>
      </c>
      <c r="M88" s="114">
        <f t="shared" si="10"/>
        <v>1</v>
      </c>
      <c r="N88" s="111">
        <f>IFERROR(VLOOKUP($B88,MMWR_TRAD_AGG_STATE_PEN[],N$1,0),"ERROR")</f>
        <v>34</v>
      </c>
      <c r="O88" s="112">
        <f>IFERROR(VLOOKUP($B88,MMWR_TRAD_AGG_STATE_PEN[],O$1,0),"ERROR")</f>
        <v>7</v>
      </c>
      <c r="P88" s="114">
        <f t="shared" si="11"/>
        <v>0.20588235294117646</v>
      </c>
      <c r="Q88" s="115">
        <f>IFERROR(VLOOKUP($B88,MMWR_TRAD_AGG_STATE_PEN[],Q$1,0),"ERROR")</f>
        <v>60</v>
      </c>
      <c r="R88" s="115">
        <f>IFERROR(VLOOKUP($B88,MMWR_TRAD_AGG_STATE_PEN[],R$1,0),"ERROR")</f>
        <v>74</v>
      </c>
      <c r="S88" s="115">
        <f>IFERROR(VLOOKUP($B88,MMWR_APP_STATE_PEN[],S$1,0),"ERROR")</f>
        <v>157</v>
      </c>
      <c r="T88" s="28"/>
    </row>
    <row r="89" spans="1:20" s="123" customFormat="1" x14ac:dyDescent="0.2">
      <c r="A89" s="28"/>
      <c r="B89" s="127" t="s">
        <v>400</v>
      </c>
      <c r="C89" s="109">
        <f>IFERROR(VLOOKUP($B89,MMWR_TRAD_AGG_STATE_PEN[],C$1,0),"ERROR")</f>
        <v>156</v>
      </c>
      <c r="D89" s="110">
        <f>IFERROR(VLOOKUP($B89,MMWR_TRAD_AGG_STATE_PEN[],D$1,0),"ERROR")</f>
        <v>53.820512820499999</v>
      </c>
      <c r="E89" s="111">
        <f>IFERROR(VLOOKUP($B89,MMWR_TRAD_AGG_STATE_PEN[],E$1,0),"ERROR")</f>
        <v>269</v>
      </c>
      <c r="F89" s="112">
        <f>IFERROR(VLOOKUP($B89,MMWR_TRAD_AGG_STATE_PEN[],F$1,0),"ERROR")</f>
        <v>11</v>
      </c>
      <c r="G89" s="113">
        <f t="shared" si="8"/>
        <v>4.0892193308550186E-2</v>
      </c>
      <c r="H89" s="111">
        <f>IFERROR(VLOOKUP($B89,MMWR_TRAD_AGG_STATE_PEN[],H$1,0),"ERROR")</f>
        <v>224</v>
      </c>
      <c r="I89" s="112">
        <f>IFERROR(VLOOKUP($B89,MMWR_TRAD_AGG_STATE_PEN[],I$1,0),"ERROR")</f>
        <v>9</v>
      </c>
      <c r="J89" s="114">
        <f t="shared" si="9"/>
        <v>4.0178571428571432E-2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3</v>
      </c>
      <c r="P89" s="114">
        <f t="shared" si="11"/>
        <v>0.5</v>
      </c>
      <c r="Q89" s="115">
        <f>IFERROR(VLOOKUP($B89,MMWR_TRAD_AGG_STATE_PEN[],Q$1,0),"ERROR")</f>
        <v>279</v>
      </c>
      <c r="R89" s="115">
        <f>IFERROR(VLOOKUP($B89,MMWR_TRAD_AGG_STATE_PEN[],R$1,0),"ERROR")</f>
        <v>31</v>
      </c>
      <c r="S89" s="115">
        <f>IFERROR(VLOOKUP($B89,MMWR_APP_STATE_PEN[],S$1,0),"ERROR")</f>
        <v>24</v>
      </c>
      <c r="T89" s="28"/>
    </row>
    <row r="90" spans="1:20" s="123" customFormat="1" x14ac:dyDescent="0.2">
      <c r="A90" s="28"/>
      <c r="B90" s="127" t="s">
        <v>423</v>
      </c>
      <c r="C90" s="109">
        <f>IFERROR(VLOOKUP($B90,MMWR_TRAD_AGG_STATE_PEN[],C$1,0),"ERROR")</f>
        <v>118</v>
      </c>
      <c r="D90" s="110">
        <f>IFERROR(VLOOKUP($B90,MMWR_TRAD_AGG_STATE_PEN[],D$1,0),"ERROR")</f>
        <v>47.5508474576</v>
      </c>
      <c r="E90" s="111">
        <f>IFERROR(VLOOKUP($B90,MMWR_TRAD_AGG_STATE_PEN[],E$1,0),"ERROR")</f>
        <v>196</v>
      </c>
      <c r="F90" s="112">
        <f>IFERROR(VLOOKUP($B90,MMWR_TRAD_AGG_STATE_PEN[],F$1,0),"ERROR")</f>
        <v>6</v>
      </c>
      <c r="G90" s="113">
        <f t="shared" si="8"/>
        <v>3.0612244897959183E-2</v>
      </c>
      <c r="H90" s="111">
        <f>IFERROR(VLOOKUP($B90,MMWR_TRAD_AGG_STATE_PEN[],H$1,0),"ERROR")</f>
        <v>158</v>
      </c>
      <c r="I90" s="112">
        <f>IFERROR(VLOOKUP($B90,MMWR_TRAD_AGG_STATE_PEN[],I$1,0),"ERROR")</f>
        <v>7</v>
      </c>
      <c r="J90" s="114">
        <f t="shared" si="9"/>
        <v>4.4303797468354431E-2</v>
      </c>
      <c r="K90" s="111">
        <f>IFERROR(VLOOKUP($B90,MMWR_TRAD_AGG_STATE_PEN[],K$1,0),"ERROR")</f>
        <v>0</v>
      </c>
      <c r="L90" s="112">
        <f>IFERROR(VLOOKUP($B90,MMWR_TRAD_AGG_STATE_PEN[],L$1,0),"ERROR")</f>
        <v>0</v>
      </c>
      <c r="M90" s="114" t="str">
        <f t="shared" si="10"/>
        <v>0%</v>
      </c>
      <c r="N90" s="111">
        <f>IFERROR(VLOOKUP($B90,MMWR_TRAD_AGG_STATE_PEN[],N$1,0),"ERROR")</f>
        <v>3</v>
      </c>
      <c r="O90" s="112">
        <f>IFERROR(VLOOKUP($B90,MMWR_TRAD_AGG_STATE_PEN[],O$1,0),"ERROR")</f>
        <v>1</v>
      </c>
      <c r="P90" s="114">
        <f t="shared" si="11"/>
        <v>0.33333333333333331</v>
      </c>
      <c r="Q90" s="115">
        <f>IFERROR(VLOOKUP($B90,MMWR_TRAD_AGG_STATE_PEN[],Q$1,0),"ERROR")</f>
        <v>167</v>
      </c>
      <c r="R90" s="115">
        <f>IFERROR(VLOOKUP($B90,MMWR_TRAD_AGG_STATE_PEN[],R$1,0),"ERROR")</f>
        <v>21</v>
      </c>
      <c r="S90" s="115">
        <f>IFERROR(VLOOKUP($B90,MMWR_APP_STATE_PEN[],S$1,0),"ERROR")</f>
        <v>35</v>
      </c>
      <c r="T90" s="28"/>
    </row>
    <row r="91" spans="1:20" s="123" customFormat="1" x14ac:dyDescent="0.2">
      <c r="A91" s="28"/>
      <c r="B91" s="127" t="s">
        <v>396</v>
      </c>
      <c r="C91" s="109">
        <f>IFERROR(VLOOKUP($B91,MMWR_TRAD_AGG_STATE_PEN[],C$1,0),"ERROR")</f>
        <v>699</v>
      </c>
      <c r="D91" s="110">
        <f>IFERROR(VLOOKUP($B91,MMWR_TRAD_AGG_STATE_PEN[],D$1,0),"ERROR")</f>
        <v>51.972818311899999</v>
      </c>
      <c r="E91" s="111">
        <f>IFERROR(VLOOKUP($B91,MMWR_TRAD_AGG_STATE_PEN[],E$1,0),"ERROR")</f>
        <v>1003</v>
      </c>
      <c r="F91" s="112">
        <f>IFERROR(VLOOKUP($B91,MMWR_TRAD_AGG_STATE_PEN[],F$1,0),"ERROR")</f>
        <v>126</v>
      </c>
      <c r="G91" s="113">
        <f t="shared" si="8"/>
        <v>0.12562313060817548</v>
      </c>
      <c r="H91" s="111">
        <f>IFERROR(VLOOKUP($B91,MMWR_TRAD_AGG_STATE_PEN[],H$1,0),"ERROR")</f>
        <v>946</v>
      </c>
      <c r="I91" s="112">
        <f>IFERROR(VLOOKUP($B91,MMWR_TRAD_AGG_STATE_PEN[],I$1,0),"ERROR")</f>
        <v>67</v>
      </c>
      <c r="J91" s="114">
        <f t="shared" si="9"/>
        <v>7.0824524312896403E-2</v>
      </c>
      <c r="K91" s="111">
        <f>IFERROR(VLOOKUP($B91,MMWR_TRAD_AGG_STATE_PEN[],K$1,0),"ERROR")</f>
        <v>1</v>
      </c>
      <c r="L91" s="112">
        <f>IFERROR(VLOOKUP($B91,MMWR_TRAD_AGG_STATE_PEN[],L$1,0),"ERROR")</f>
        <v>1</v>
      </c>
      <c r="M91" s="114">
        <f t="shared" si="10"/>
        <v>1</v>
      </c>
      <c r="N91" s="111">
        <f>IFERROR(VLOOKUP($B91,MMWR_TRAD_AGG_STATE_PEN[],N$1,0),"ERROR")</f>
        <v>57</v>
      </c>
      <c r="O91" s="112">
        <f>IFERROR(VLOOKUP($B91,MMWR_TRAD_AGG_STATE_PEN[],O$1,0),"ERROR")</f>
        <v>15</v>
      </c>
      <c r="P91" s="114">
        <f t="shared" si="11"/>
        <v>0.26315789473684209</v>
      </c>
      <c r="Q91" s="115">
        <f>IFERROR(VLOOKUP($B91,MMWR_TRAD_AGG_STATE_PEN[],Q$1,0),"ERROR")</f>
        <v>105</v>
      </c>
      <c r="R91" s="115">
        <f>IFERROR(VLOOKUP($B91,MMWR_TRAD_AGG_STATE_PEN[],R$1,0),"ERROR")</f>
        <v>96</v>
      </c>
      <c r="S91" s="115">
        <f>IFERROR(VLOOKUP($B91,MMWR_APP_STATE_PEN[],S$1,0),"ERROR")</f>
        <v>254</v>
      </c>
      <c r="T91" s="28"/>
    </row>
    <row r="92" spans="1:20" s="123" customFormat="1" x14ac:dyDescent="0.2">
      <c r="A92" s="28"/>
      <c r="B92" s="127" t="s">
        <v>402</v>
      </c>
      <c r="C92" s="109">
        <f>IFERROR(VLOOKUP($B92,MMWR_TRAD_AGG_STATE_PEN[],C$1,0),"ERROR")</f>
        <v>209</v>
      </c>
      <c r="D92" s="110">
        <f>IFERROR(VLOOKUP($B92,MMWR_TRAD_AGG_STATE_PEN[],D$1,0),"ERROR")</f>
        <v>43.263157894700001</v>
      </c>
      <c r="E92" s="111">
        <f>IFERROR(VLOOKUP($B92,MMWR_TRAD_AGG_STATE_PEN[],E$1,0),"ERROR")</f>
        <v>253</v>
      </c>
      <c r="F92" s="112">
        <f>IFERROR(VLOOKUP($B92,MMWR_TRAD_AGG_STATE_PEN[],F$1,0),"ERROR")</f>
        <v>10</v>
      </c>
      <c r="G92" s="113">
        <f t="shared" si="8"/>
        <v>3.9525691699604744E-2</v>
      </c>
      <c r="H92" s="111">
        <f>IFERROR(VLOOKUP($B92,MMWR_TRAD_AGG_STATE_PEN[],H$1,0),"ERROR")</f>
        <v>265</v>
      </c>
      <c r="I92" s="112">
        <f>IFERROR(VLOOKUP($B92,MMWR_TRAD_AGG_STATE_PEN[],I$1,0),"ERROR")</f>
        <v>9</v>
      </c>
      <c r="J92" s="114">
        <f t="shared" si="9"/>
        <v>3.3962264150943396E-2</v>
      </c>
      <c r="K92" s="111">
        <f>IFERROR(VLOOKUP($B92,MMWR_TRAD_AGG_STATE_PEN[],K$1,0),"ERROR")</f>
        <v>1</v>
      </c>
      <c r="L92" s="112">
        <f>IFERROR(VLOOKUP($B92,MMWR_TRAD_AGG_STATE_PEN[],L$1,0),"ERROR")</f>
        <v>1</v>
      </c>
      <c r="M92" s="114">
        <f t="shared" si="10"/>
        <v>1</v>
      </c>
      <c r="N92" s="111">
        <f>IFERROR(VLOOKUP($B92,MMWR_TRAD_AGG_STATE_PEN[],N$1,0),"ERROR")</f>
        <v>10</v>
      </c>
      <c r="O92" s="112">
        <f>IFERROR(VLOOKUP($B92,MMWR_TRAD_AGG_STATE_PEN[],O$1,0),"ERROR")</f>
        <v>2</v>
      </c>
      <c r="P92" s="114">
        <f t="shared" si="11"/>
        <v>0.2</v>
      </c>
      <c r="Q92" s="115">
        <f>IFERROR(VLOOKUP($B92,MMWR_TRAD_AGG_STATE_PEN[],Q$1,0),"ERROR")</f>
        <v>675</v>
      </c>
      <c r="R92" s="115">
        <f>IFERROR(VLOOKUP($B92,MMWR_TRAD_AGG_STATE_PEN[],R$1,0),"ERROR")</f>
        <v>36</v>
      </c>
      <c r="S92" s="115">
        <f>IFERROR(VLOOKUP($B92,MMWR_APP_STATE_PEN[],S$1,0),"ERROR")</f>
        <v>37</v>
      </c>
      <c r="T92" s="28"/>
    </row>
    <row r="93" spans="1:20" s="123" customFormat="1" x14ac:dyDescent="0.2">
      <c r="A93" s="28"/>
      <c r="B93" s="127" t="s">
        <v>398</v>
      </c>
      <c r="C93" s="109">
        <f>IFERROR(VLOOKUP($B93,MMWR_TRAD_AGG_STATE_PEN[],C$1,0),"ERROR")</f>
        <v>611</v>
      </c>
      <c r="D93" s="110">
        <f>IFERROR(VLOOKUP($B93,MMWR_TRAD_AGG_STATE_PEN[],D$1,0),"ERROR")</f>
        <v>46.628477905099999</v>
      </c>
      <c r="E93" s="111">
        <f>IFERROR(VLOOKUP($B93,MMWR_TRAD_AGG_STATE_PEN[],E$1,0),"ERROR")</f>
        <v>646</v>
      </c>
      <c r="F93" s="112">
        <f>IFERROR(VLOOKUP($B93,MMWR_TRAD_AGG_STATE_PEN[],F$1,0),"ERROR")</f>
        <v>84</v>
      </c>
      <c r="G93" s="113">
        <f t="shared" si="8"/>
        <v>0.13003095975232198</v>
      </c>
      <c r="H93" s="111">
        <f>IFERROR(VLOOKUP($B93,MMWR_TRAD_AGG_STATE_PEN[],H$1,0),"ERROR")</f>
        <v>829</v>
      </c>
      <c r="I93" s="112">
        <f>IFERROR(VLOOKUP($B93,MMWR_TRAD_AGG_STATE_PEN[],I$1,0),"ERROR")</f>
        <v>41</v>
      </c>
      <c r="J93" s="114">
        <f t="shared" si="9"/>
        <v>4.9457177322074788E-2</v>
      </c>
      <c r="K93" s="111">
        <f>IFERROR(VLOOKUP($B93,MMWR_TRAD_AGG_STATE_PEN[],K$1,0),"ERROR")</f>
        <v>3</v>
      </c>
      <c r="L93" s="112">
        <f>IFERROR(VLOOKUP($B93,MMWR_TRAD_AGG_STATE_PEN[],L$1,0),"ERROR")</f>
        <v>1</v>
      </c>
      <c r="M93" s="114">
        <f t="shared" si="10"/>
        <v>0.33333333333333331</v>
      </c>
      <c r="N93" s="111">
        <f>IFERROR(VLOOKUP($B93,MMWR_TRAD_AGG_STATE_PEN[],N$1,0),"ERROR")</f>
        <v>35</v>
      </c>
      <c r="O93" s="112">
        <f>IFERROR(VLOOKUP($B93,MMWR_TRAD_AGG_STATE_PEN[],O$1,0),"ERROR")</f>
        <v>11</v>
      </c>
      <c r="P93" s="114">
        <f t="shared" si="11"/>
        <v>0.31428571428571428</v>
      </c>
      <c r="Q93" s="115">
        <f>IFERROR(VLOOKUP($B93,MMWR_TRAD_AGG_STATE_PEN[],Q$1,0),"ERROR")</f>
        <v>112</v>
      </c>
      <c r="R93" s="115">
        <f>IFERROR(VLOOKUP($B93,MMWR_TRAD_AGG_STATE_PEN[],R$1,0),"ERROR")</f>
        <v>55</v>
      </c>
      <c r="S93" s="115">
        <f>IFERROR(VLOOKUP($B93,MMWR_APP_STATE_PEN[],S$1,0),"ERROR")</f>
        <v>226</v>
      </c>
      <c r="T93" s="28"/>
    </row>
    <row r="94" spans="1:20" s="123" customFormat="1" x14ac:dyDescent="0.2">
      <c r="A94" s="28"/>
      <c r="B94" s="127" t="s">
        <v>401</v>
      </c>
      <c r="C94" s="109">
        <f>IFERROR(VLOOKUP($B94,MMWR_TRAD_AGG_STATE_PEN[],C$1,0),"ERROR")</f>
        <v>73</v>
      </c>
      <c r="D94" s="110">
        <f>IFERROR(VLOOKUP($B94,MMWR_TRAD_AGG_STATE_PEN[],D$1,0),"ERROR")</f>
        <v>42.123287671200004</v>
      </c>
      <c r="E94" s="111">
        <f>IFERROR(VLOOKUP($B94,MMWR_TRAD_AGG_STATE_PEN[],E$1,0),"ERROR")</f>
        <v>64</v>
      </c>
      <c r="F94" s="112">
        <f>IFERROR(VLOOKUP($B94,MMWR_TRAD_AGG_STATE_PEN[],F$1,0),"ERROR")</f>
        <v>7</v>
      </c>
      <c r="G94" s="113">
        <f t="shared" si="8"/>
        <v>0.109375</v>
      </c>
      <c r="H94" s="111">
        <f>IFERROR(VLOOKUP($B94,MMWR_TRAD_AGG_STATE_PEN[],H$1,0),"ERROR")</f>
        <v>87</v>
      </c>
      <c r="I94" s="112">
        <f>IFERROR(VLOOKUP($B94,MMWR_TRAD_AGG_STATE_PEN[],I$1,0),"ERROR")</f>
        <v>1</v>
      </c>
      <c r="J94" s="114">
        <f t="shared" si="9"/>
        <v>1.1494252873563218E-2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173</v>
      </c>
      <c r="R94" s="115">
        <f>IFERROR(VLOOKUP($B94,MMWR_TRAD_AGG_STATE_PEN[],R$1,0),"ERROR")</f>
        <v>12</v>
      </c>
      <c r="S94" s="115">
        <f>IFERROR(VLOOKUP($B94,MMWR_APP_STATE_PEN[],S$1,0),"ERROR")</f>
        <v>26</v>
      </c>
      <c r="T94" s="28"/>
    </row>
    <row r="95" spans="1:20" s="123" customFormat="1" x14ac:dyDescent="0.2">
      <c r="A95" s="28"/>
      <c r="B95" s="127" t="s">
        <v>420</v>
      </c>
      <c r="C95" s="109">
        <f>IFERROR(VLOOKUP($B95,MMWR_TRAD_AGG_STATE_PEN[],C$1,0),"ERROR")</f>
        <v>35</v>
      </c>
      <c r="D95" s="110">
        <f>IFERROR(VLOOKUP($B95,MMWR_TRAD_AGG_STATE_PEN[],D$1,0),"ERROR")</f>
        <v>40.771428571400001</v>
      </c>
      <c r="E95" s="111">
        <f>IFERROR(VLOOKUP($B95,MMWR_TRAD_AGG_STATE_PEN[],E$1,0),"ERROR")</f>
        <v>34</v>
      </c>
      <c r="F95" s="112">
        <f>IFERROR(VLOOKUP($B95,MMWR_TRAD_AGG_STATE_PEN[],F$1,0),"ERROR")</f>
        <v>3</v>
      </c>
      <c r="G95" s="113">
        <f t="shared" si="8"/>
        <v>8.8235294117647065E-2</v>
      </c>
      <c r="H95" s="111">
        <f>IFERROR(VLOOKUP($B95,MMWR_TRAD_AGG_STATE_PEN[],H$1,0),"ERROR")</f>
        <v>45</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4</v>
      </c>
      <c r="O95" s="112">
        <f>IFERROR(VLOOKUP($B95,MMWR_TRAD_AGG_STATE_PEN[],O$1,0),"ERROR")</f>
        <v>0</v>
      </c>
      <c r="P95" s="114">
        <f t="shared" si="11"/>
        <v>0</v>
      </c>
      <c r="Q95" s="115">
        <f>IFERROR(VLOOKUP($B95,MMWR_TRAD_AGG_STATE_PEN[],Q$1,0),"ERROR")</f>
        <v>54</v>
      </c>
      <c r="R95" s="115">
        <f>IFERROR(VLOOKUP($B95,MMWR_TRAD_AGG_STATE_PEN[],R$1,0),"ERROR")</f>
        <v>6</v>
      </c>
      <c r="S95" s="115">
        <f>IFERROR(VLOOKUP($B95,MMWR_APP_STATE_PEN[],S$1,0),"ERROR")</f>
        <v>7</v>
      </c>
      <c r="T95" s="28"/>
    </row>
    <row r="96" spans="1:20" s="123" customFormat="1" x14ac:dyDescent="0.2">
      <c r="A96" s="28"/>
      <c r="B96" s="127" t="s">
        <v>392</v>
      </c>
      <c r="C96" s="109">
        <f>IFERROR(VLOOKUP($B96,MMWR_TRAD_AGG_STATE_PEN[],C$1,0),"ERROR")</f>
        <v>704</v>
      </c>
      <c r="D96" s="110">
        <f>IFERROR(VLOOKUP($B96,MMWR_TRAD_AGG_STATE_PEN[],D$1,0),"ERROR")</f>
        <v>50.181818181799997</v>
      </c>
      <c r="E96" s="111">
        <f>IFERROR(VLOOKUP($B96,MMWR_TRAD_AGG_STATE_PEN[],E$1,0),"ERROR")</f>
        <v>1152</v>
      </c>
      <c r="F96" s="112">
        <f>IFERROR(VLOOKUP($B96,MMWR_TRAD_AGG_STATE_PEN[],F$1,0),"ERROR")</f>
        <v>147</v>
      </c>
      <c r="G96" s="113">
        <f t="shared" si="8"/>
        <v>0.12760416666666666</v>
      </c>
      <c r="H96" s="111">
        <f>IFERROR(VLOOKUP($B96,MMWR_TRAD_AGG_STATE_PEN[],H$1,0),"ERROR")</f>
        <v>1077</v>
      </c>
      <c r="I96" s="112">
        <f>IFERROR(VLOOKUP($B96,MMWR_TRAD_AGG_STATE_PEN[],I$1,0),"ERROR")</f>
        <v>73</v>
      </c>
      <c r="J96" s="114">
        <f t="shared" si="9"/>
        <v>6.778087279480037E-2</v>
      </c>
      <c r="K96" s="111">
        <f>IFERROR(VLOOKUP($B96,MMWR_TRAD_AGG_STATE_PEN[],K$1,0),"ERROR")</f>
        <v>6</v>
      </c>
      <c r="L96" s="112">
        <f>IFERROR(VLOOKUP($B96,MMWR_TRAD_AGG_STATE_PEN[],L$1,0),"ERROR")</f>
        <v>6</v>
      </c>
      <c r="M96" s="114">
        <f t="shared" si="10"/>
        <v>1</v>
      </c>
      <c r="N96" s="111">
        <f>IFERROR(VLOOKUP($B96,MMWR_TRAD_AGG_STATE_PEN[],N$1,0),"ERROR")</f>
        <v>67</v>
      </c>
      <c r="O96" s="112">
        <f>IFERROR(VLOOKUP($B96,MMWR_TRAD_AGG_STATE_PEN[],O$1,0),"ERROR")</f>
        <v>15</v>
      </c>
      <c r="P96" s="114">
        <f t="shared" si="11"/>
        <v>0.22388059701492538</v>
      </c>
      <c r="Q96" s="115">
        <f>IFERROR(VLOOKUP($B96,MMWR_TRAD_AGG_STATE_PEN[],Q$1,0),"ERROR")</f>
        <v>117</v>
      </c>
      <c r="R96" s="115">
        <f>IFERROR(VLOOKUP($B96,MMWR_TRAD_AGG_STATE_PEN[],R$1,0),"ERROR")</f>
        <v>104</v>
      </c>
      <c r="S96" s="115">
        <f>IFERROR(VLOOKUP($B96,MMWR_APP_STATE_PEN[],S$1,0),"ERROR")</f>
        <v>352</v>
      </c>
      <c r="T96" s="28"/>
    </row>
    <row r="97" spans="1:20" s="123" customFormat="1" x14ac:dyDescent="0.2">
      <c r="A97" s="28"/>
      <c r="B97" s="127" t="s">
        <v>421</v>
      </c>
      <c r="C97" s="109">
        <f>IFERROR(VLOOKUP($B97,MMWR_TRAD_AGG_STATE_PEN[],C$1,0),"ERROR")</f>
        <v>39</v>
      </c>
      <c r="D97" s="110">
        <f>IFERROR(VLOOKUP($B97,MMWR_TRAD_AGG_STATE_PEN[],D$1,0),"ERROR")</f>
        <v>46.743589743599998</v>
      </c>
      <c r="E97" s="111">
        <f>IFERROR(VLOOKUP($B97,MMWR_TRAD_AGG_STATE_PEN[],E$1,0),"ERROR")</f>
        <v>46</v>
      </c>
      <c r="F97" s="112">
        <f>IFERROR(VLOOKUP($B97,MMWR_TRAD_AGG_STATE_PEN[],F$1,0),"ERROR")</f>
        <v>2</v>
      </c>
      <c r="G97" s="113">
        <f t="shared" si="8"/>
        <v>4.3478260869565216E-2</v>
      </c>
      <c r="H97" s="111">
        <f>IFERROR(VLOOKUP($B97,MMWR_TRAD_AGG_STATE_PEN[],H$1,0),"ERROR")</f>
        <v>53</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92</v>
      </c>
      <c r="R97" s="115">
        <f>IFERROR(VLOOKUP($B97,MMWR_TRAD_AGG_STATE_PEN[],R$1,0),"ERROR")</f>
        <v>6</v>
      </c>
      <c r="S97" s="115">
        <f>IFERROR(VLOOKUP($B97,MMWR_APP_STATE_PEN[],S$1,0),"ERROR")</f>
        <v>7</v>
      </c>
      <c r="T97" s="28"/>
    </row>
    <row r="98" spans="1:20" s="123" customFormat="1" x14ac:dyDescent="0.2">
      <c r="A98" s="28"/>
      <c r="B98" s="127" t="s">
        <v>397</v>
      </c>
      <c r="C98" s="109">
        <f>IFERROR(VLOOKUP($B98,MMWR_TRAD_AGG_STATE_PEN[],C$1,0),"ERROR")</f>
        <v>352</v>
      </c>
      <c r="D98" s="110">
        <f>IFERROR(VLOOKUP($B98,MMWR_TRAD_AGG_STATE_PEN[],D$1,0),"ERROR")</f>
        <v>45.051136363600001</v>
      </c>
      <c r="E98" s="111">
        <f>IFERROR(VLOOKUP($B98,MMWR_TRAD_AGG_STATE_PEN[],E$1,0),"ERROR")</f>
        <v>394</v>
      </c>
      <c r="F98" s="112">
        <f>IFERROR(VLOOKUP($B98,MMWR_TRAD_AGG_STATE_PEN[],F$1,0),"ERROR")</f>
        <v>36</v>
      </c>
      <c r="G98" s="113">
        <f t="shared" si="8"/>
        <v>9.1370558375634514E-2</v>
      </c>
      <c r="H98" s="111">
        <f>IFERROR(VLOOKUP($B98,MMWR_TRAD_AGG_STATE_PEN[],H$1,0),"ERROR")</f>
        <v>487</v>
      </c>
      <c r="I98" s="112">
        <f>IFERROR(VLOOKUP($B98,MMWR_TRAD_AGG_STATE_PEN[],I$1,0),"ERROR")</f>
        <v>16</v>
      </c>
      <c r="J98" s="114">
        <f t="shared" si="9"/>
        <v>3.2854209445585217E-2</v>
      </c>
      <c r="K98" s="111">
        <f>IFERROR(VLOOKUP($B98,MMWR_TRAD_AGG_STATE_PEN[],K$1,0),"ERROR")</f>
        <v>1</v>
      </c>
      <c r="L98" s="112">
        <f>IFERROR(VLOOKUP($B98,MMWR_TRAD_AGG_STATE_PEN[],L$1,0),"ERROR")</f>
        <v>1</v>
      </c>
      <c r="M98" s="114">
        <f t="shared" si="10"/>
        <v>1</v>
      </c>
      <c r="N98" s="111">
        <f>IFERROR(VLOOKUP($B98,MMWR_TRAD_AGG_STATE_PEN[],N$1,0),"ERROR")</f>
        <v>27</v>
      </c>
      <c r="O98" s="112">
        <f>IFERROR(VLOOKUP($B98,MMWR_TRAD_AGG_STATE_PEN[],O$1,0),"ERROR")</f>
        <v>10</v>
      </c>
      <c r="P98" s="114">
        <f t="shared" si="11"/>
        <v>0.37037037037037035</v>
      </c>
      <c r="Q98" s="115">
        <f>IFERROR(VLOOKUP($B98,MMWR_TRAD_AGG_STATE_PEN[],Q$1,0),"ERROR")</f>
        <v>65</v>
      </c>
      <c r="R98" s="115">
        <f>IFERROR(VLOOKUP($B98,MMWR_TRAD_AGG_STATE_PEN[],R$1,0),"ERROR")</f>
        <v>46</v>
      </c>
      <c r="S98" s="115">
        <f>IFERROR(VLOOKUP($B98,MMWR_APP_STATE_PEN[],S$1,0),"ERROR")</f>
        <v>102</v>
      </c>
      <c r="T98" s="28"/>
    </row>
    <row r="99" spans="1:20" s="123" customFormat="1" x14ac:dyDescent="0.2">
      <c r="A99" s="28"/>
      <c r="B99" s="126" t="s">
        <v>386</v>
      </c>
      <c r="C99" s="102">
        <f>IFERROR(VLOOKUP($B99,MMWR_TRAD_AGG_ST_DISTRICT_PEN[],C$1,0),"ERROR")</f>
        <v>2625</v>
      </c>
      <c r="D99" s="103">
        <f>IFERROR(VLOOKUP($B99,MMWR_TRAD_AGG_ST_DISTRICT_PEN[],D$1,0),"ERROR")</f>
        <v>48.951238095199997</v>
      </c>
      <c r="E99" s="102">
        <f>IFERROR(VLOOKUP($B99,MMWR_TRAD_AGG_ST_DISTRICT_PEN[],E$1,0),"ERROR")</f>
        <v>3084</v>
      </c>
      <c r="F99" s="102">
        <f>IFERROR(VLOOKUP($B99,MMWR_TRAD_AGG_ST_DISTRICT_PEN[],F$1,0),"ERROR")</f>
        <v>193</v>
      </c>
      <c r="G99" s="104">
        <f t="shared" si="8"/>
        <v>6.2581063553826199E-2</v>
      </c>
      <c r="H99" s="102">
        <f>IFERROR(VLOOKUP($B99,MMWR_TRAD_AGG_ST_DISTRICT_PEN[],H$1,0),"ERROR")</f>
        <v>3429</v>
      </c>
      <c r="I99" s="102">
        <f>IFERROR(VLOOKUP($B99,MMWR_TRAD_AGG_ST_DISTRICT_PEN[],I$1,0),"ERROR")</f>
        <v>159</v>
      </c>
      <c r="J99" s="104">
        <f t="shared" si="9"/>
        <v>4.6369203849518807E-2</v>
      </c>
      <c r="K99" s="102">
        <f>IFERROR(VLOOKUP($B99,MMWR_TRAD_AGG_ST_DISTRICT_PEN[],K$1,0),"ERROR")</f>
        <v>22</v>
      </c>
      <c r="L99" s="102">
        <f>IFERROR(VLOOKUP($B99,MMWR_TRAD_AGG_ST_DISTRICT_PEN[],L$1,0),"ERROR")</f>
        <v>16</v>
      </c>
      <c r="M99" s="104">
        <f t="shared" si="10"/>
        <v>0.72727272727272729</v>
      </c>
      <c r="N99" s="102">
        <f>IFERROR(VLOOKUP($B99,MMWR_TRAD_AGG_ST_DISTRICT_PEN[],N$1,0),"ERROR")</f>
        <v>174</v>
      </c>
      <c r="O99" s="102">
        <f>IFERROR(VLOOKUP($B99,MMWR_TRAD_AGG_ST_DISTRICT_PEN[],O$1,0),"ERROR")</f>
        <v>69</v>
      </c>
      <c r="P99" s="104">
        <f t="shared" si="11"/>
        <v>0.39655172413793105</v>
      </c>
      <c r="Q99" s="102">
        <f>IFERROR(VLOOKUP($B99,MMWR_TRAD_AGG_ST_DISTRICT_PEN[],Q$1,0),"ERROR")</f>
        <v>2735</v>
      </c>
      <c r="R99" s="106">
        <f>IFERROR(VLOOKUP($B99,MMWR_TRAD_AGG_ST_DISTRICT_PEN[],R$1,0),"ERROR")</f>
        <v>537</v>
      </c>
      <c r="S99" s="106">
        <f>IFERROR(VLOOKUP($B99,MMWR_APP_STATE_PEN[],S$1,0),"ERROR")</f>
        <v>1325</v>
      </c>
      <c r="T99" s="28"/>
    </row>
    <row r="100" spans="1:20" s="123" customFormat="1" x14ac:dyDescent="0.2">
      <c r="A100" s="28"/>
      <c r="B100" s="127" t="s">
        <v>412</v>
      </c>
      <c r="C100" s="109">
        <f>IFERROR(VLOOKUP($B100,MMWR_TRAD_AGG_STATE_PEN[],C$1,0),"ERROR")</f>
        <v>304</v>
      </c>
      <c r="D100" s="110">
        <f>IFERROR(VLOOKUP($B100,MMWR_TRAD_AGG_STATE_PEN[],D$1,0),"ERROR")</f>
        <v>47.088815789500003</v>
      </c>
      <c r="E100" s="111">
        <f>IFERROR(VLOOKUP($B100,MMWR_TRAD_AGG_STATE_PEN[],E$1,0),"ERROR")</f>
        <v>266</v>
      </c>
      <c r="F100" s="112">
        <f>IFERROR(VLOOKUP($B100,MMWR_TRAD_AGG_STATE_PEN[],F$1,0),"ERROR")</f>
        <v>30</v>
      </c>
      <c r="G100" s="113">
        <f t="shared" si="8"/>
        <v>0.11278195488721804</v>
      </c>
      <c r="H100" s="111">
        <f>IFERROR(VLOOKUP($B100,MMWR_TRAD_AGG_STATE_PEN[],H$1,0),"ERROR")</f>
        <v>392</v>
      </c>
      <c r="I100" s="112">
        <f>IFERROR(VLOOKUP($B100,MMWR_TRAD_AGG_STATE_PEN[],I$1,0),"ERROR")</f>
        <v>20</v>
      </c>
      <c r="J100" s="114">
        <f t="shared" si="9"/>
        <v>5.1020408163265307E-2</v>
      </c>
      <c r="K100" s="111">
        <f>IFERROR(VLOOKUP($B100,MMWR_TRAD_AGG_STATE_PEN[],K$1,0),"ERROR")</f>
        <v>4</v>
      </c>
      <c r="L100" s="112">
        <f>IFERROR(VLOOKUP($B100,MMWR_TRAD_AGG_STATE_PEN[],L$1,0),"ERROR")</f>
        <v>3</v>
      </c>
      <c r="M100" s="114">
        <f t="shared" si="10"/>
        <v>0.75</v>
      </c>
      <c r="N100" s="111">
        <f>IFERROR(VLOOKUP($B100,MMWR_TRAD_AGG_STATE_PEN[],N$1,0),"ERROR")</f>
        <v>19</v>
      </c>
      <c r="O100" s="112">
        <f>IFERROR(VLOOKUP($B100,MMWR_TRAD_AGG_STATE_PEN[],O$1,0),"ERROR")</f>
        <v>2</v>
      </c>
      <c r="P100" s="114">
        <f t="shared" si="11"/>
        <v>0.10526315789473684</v>
      </c>
      <c r="Q100" s="115">
        <f>IFERROR(VLOOKUP($B100,MMWR_TRAD_AGG_STATE_PEN[],Q$1,0),"ERROR")</f>
        <v>72</v>
      </c>
      <c r="R100" s="115">
        <f>IFERROR(VLOOKUP($B100,MMWR_TRAD_AGG_STATE_PEN[],R$1,0),"ERROR")</f>
        <v>26</v>
      </c>
      <c r="S100" s="115">
        <f>IFERROR(VLOOKUP($B100,MMWR_APP_STATE_PEN[],S$1,0),"ERROR")</f>
        <v>172</v>
      </c>
      <c r="T100" s="28"/>
    </row>
    <row r="101" spans="1:20" s="123" customFormat="1" x14ac:dyDescent="0.2">
      <c r="A101" s="28"/>
      <c r="B101" s="127" t="s">
        <v>404</v>
      </c>
      <c r="C101" s="109">
        <f>IFERROR(VLOOKUP($B101,MMWR_TRAD_AGG_STATE_PEN[],C$1,0),"ERROR")</f>
        <v>137</v>
      </c>
      <c r="D101" s="110">
        <f>IFERROR(VLOOKUP($B101,MMWR_TRAD_AGG_STATE_PEN[],D$1,0),"ERROR")</f>
        <v>47.525547445299999</v>
      </c>
      <c r="E101" s="111">
        <f>IFERROR(VLOOKUP($B101,MMWR_TRAD_AGG_STATE_PEN[],E$1,0),"ERROR")</f>
        <v>226</v>
      </c>
      <c r="F101" s="112">
        <f>IFERROR(VLOOKUP($B101,MMWR_TRAD_AGG_STATE_PEN[],F$1,0),"ERROR")</f>
        <v>8</v>
      </c>
      <c r="G101" s="113">
        <f t="shared" ref="G101:G127" si="12">IFERROR(F101/E101,"0%")</f>
        <v>3.5398230088495575E-2</v>
      </c>
      <c r="H101" s="111">
        <f>IFERROR(VLOOKUP($B101,MMWR_TRAD_AGG_STATE_PEN[],H$1,0),"ERROR")</f>
        <v>193</v>
      </c>
      <c r="I101" s="112">
        <f>IFERROR(VLOOKUP($B101,MMWR_TRAD_AGG_STATE_PEN[],I$1,0),"ERROR")</f>
        <v>6</v>
      </c>
      <c r="J101" s="114">
        <f t="shared" ref="J101:J127" si="13">IFERROR(I101/H101,"0%")</f>
        <v>3.1088082901554404E-2</v>
      </c>
      <c r="K101" s="111">
        <f>IFERROR(VLOOKUP($B101,MMWR_TRAD_AGG_STATE_PEN[],K$1,0),"ERROR")</f>
        <v>3</v>
      </c>
      <c r="L101" s="112">
        <f>IFERROR(VLOOKUP($B101,MMWR_TRAD_AGG_STATE_PEN[],L$1,0),"ERROR")</f>
        <v>1</v>
      </c>
      <c r="M101" s="114">
        <f t="shared" ref="M101:M127" si="14">IFERROR(L101/K101,"0%")</f>
        <v>0.33333333333333331</v>
      </c>
      <c r="N101" s="111">
        <f>IFERROR(VLOOKUP($B101,MMWR_TRAD_AGG_STATE_PEN[],N$1,0),"ERROR")</f>
        <v>14</v>
      </c>
      <c r="O101" s="112">
        <f>IFERROR(VLOOKUP($B101,MMWR_TRAD_AGG_STATE_PEN[],O$1,0),"ERROR")</f>
        <v>8</v>
      </c>
      <c r="P101" s="114">
        <f t="shared" ref="P101:P127" si="15">IFERROR(O101/N101,"0%")</f>
        <v>0.5714285714285714</v>
      </c>
      <c r="Q101" s="115">
        <f>IFERROR(VLOOKUP($B101,MMWR_TRAD_AGG_STATE_PEN[],Q$1,0),"ERROR")</f>
        <v>324</v>
      </c>
      <c r="R101" s="115">
        <f>IFERROR(VLOOKUP($B101,MMWR_TRAD_AGG_STATE_PEN[],R$1,0),"ERROR")</f>
        <v>41</v>
      </c>
      <c r="S101" s="115">
        <f>IFERROR(VLOOKUP($B101,MMWR_APP_STATE_PEN[],S$1,0),"ERROR")</f>
        <v>85</v>
      </c>
      <c r="T101" s="28"/>
    </row>
    <row r="102" spans="1:20" s="123" customFormat="1" x14ac:dyDescent="0.2">
      <c r="A102" s="28"/>
      <c r="B102" s="127" t="s">
        <v>388</v>
      </c>
      <c r="C102" s="109">
        <f>IFERROR(VLOOKUP($B102,MMWR_TRAD_AGG_STATE_PEN[],C$1,0),"ERROR")</f>
        <v>617</v>
      </c>
      <c r="D102" s="110">
        <f>IFERROR(VLOOKUP($B102,MMWR_TRAD_AGG_STATE_PEN[],D$1,0),"ERROR")</f>
        <v>49.521880064800001</v>
      </c>
      <c r="E102" s="111">
        <f>IFERROR(VLOOKUP($B102,MMWR_TRAD_AGG_STATE_PEN[],E$1,0),"ERROR")</f>
        <v>419</v>
      </c>
      <c r="F102" s="112">
        <f>IFERROR(VLOOKUP($B102,MMWR_TRAD_AGG_STATE_PEN[],F$1,0),"ERROR")</f>
        <v>48</v>
      </c>
      <c r="G102" s="113">
        <f t="shared" si="12"/>
        <v>0.11455847255369929</v>
      </c>
      <c r="H102" s="111">
        <f>IFERROR(VLOOKUP($B102,MMWR_TRAD_AGG_STATE_PEN[],H$1,0),"ERROR")</f>
        <v>743</v>
      </c>
      <c r="I102" s="112">
        <f>IFERROR(VLOOKUP($B102,MMWR_TRAD_AGG_STATE_PEN[],I$1,0),"ERROR")</f>
        <v>35</v>
      </c>
      <c r="J102" s="114">
        <f t="shared" si="13"/>
        <v>4.7106325706594884E-2</v>
      </c>
      <c r="K102" s="111">
        <f>IFERROR(VLOOKUP($B102,MMWR_TRAD_AGG_STATE_PEN[],K$1,0),"ERROR")</f>
        <v>2</v>
      </c>
      <c r="L102" s="112">
        <f>IFERROR(VLOOKUP($B102,MMWR_TRAD_AGG_STATE_PEN[],L$1,0),"ERROR")</f>
        <v>1</v>
      </c>
      <c r="M102" s="114">
        <f t="shared" si="14"/>
        <v>0.5</v>
      </c>
      <c r="N102" s="111">
        <f>IFERROR(VLOOKUP($B102,MMWR_TRAD_AGG_STATE_PEN[],N$1,0),"ERROR")</f>
        <v>26</v>
      </c>
      <c r="O102" s="112">
        <f>IFERROR(VLOOKUP($B102,MMWR_TRAD_AGG_STATE_PEN[],O$1,0),"ERROR")</f>
        <v>10</v>
      </c>
      <c r="P102" s="114">
        <f t="shared" si="15"/>
        <v>0.38461538461538464</v>
      </c>
      <c r="Q102" s="115">
        <f>IFERROR(VLOOKUP($B102,MMWR_TRAD_AGG_STATE_PEN[],Q$1,0),"ERROR")</f>
        <v>57</v>
      </c>
      <c r="R102" s="115">
        <f>IFERROR(VLOOKUP($B102,MMWR_TRAD_AGG_STATE_PEN[],R$1,0),"ERROR")</f>
        <v>64</v>
      </c>
      <c r="S102" s="115">
        <f>IFERROR(VLOOKUP($B102,MMWR_APP_STATE_PEN[],S$1,0),"ERROR")</f>
        <v>197</v>
      </c>
      <c r="T102" s="28"/>
    </row>
    <row r="103" spans="1:20" s="123" customFormat="1" x14ac:dyDescent="0.2">
      <c r="A103" s="28"/>
      <c r="B103" s="127" t="s">
        <v>390</v>
      </c>
      <c r="C103" s="109">
        <f>IFERROR(VLOOKUP($B103,MMWR_TRAD_AGG_STATE_PEN[],C$1,0),"ERROR")</f>
        <v>338</v>
      </c>
      <c r="D103" s="110">
        <f>IFERROR(VLOOKUP($B103,MMWR_TRAD_AGG_STATE_PEN[],D$1,0),"ERROR")</f>
        <v>45.384615384600004</v>
      </c>
      <c r="E103" s="111">
        <f>IFERROR(VLOOKUP($B103,MMWR_TRAD_AGG_STATE_PEN[],E$1,0),"ERROR")</f>
        <v>289</v>
      </c>
      <c r="F103" s="112">
        <f>IFERROR(VLOOKUP($B103,MMWR_TRAD_AGG_STATE_PEN[],F$1,0),"ERROR")</f>
        <v>36</v>
      </c>
      <c r="G103" s="113">
        <f t="shared" si="12"/>
        <v>0.1245674740484429</v>
      </c>
      <c r="H103" s="111">
        <f>IFERROR(VLOOKUP($B103,MMWR_TRAD_AGG_STATE_PEN[],H$1,0),"ERROR")</f>
        <v>404</v>
      </c>
      <c r="I103" s="112">
        <f>IFERROR(VLOOKUP($B103,MMWR_TRAD_AGG_STATE_PEN[],I$1,0),"ERROR")</f>
        <v>20</v>
      </c>
      <c r="J103" s="114">
        <f t="shared" si="13"/>
        <v>4.9504950495049507E-2</v>
      </c>
      <c r="K103" s="111">
        <f>IFERROR(VLOOKUP($B103,MMWR_TRAD_AGG_STATE_PEN[],K$1,0),"ERROR")</f>
        <v>3</v>
      </c>
      <c r="L103" s="112">
        <f>IFERROR(VLOOKUP($B103,MMWR_TRAD_AGG_STATE_PEN[],L$1,0),"ERROR")</f>
        <v>3</v>
      </c>
      <c r="M103" s="114">
        <f t="shared" si="14"/>
        <v>1</v>
      </c>
      <c r="N103" s="111">
        <f>IFERROR(VLOOKUP($B103,MMWR_TRAD_AGG_STATE_PEN[],N$1,0),"ERROR")</f>
        <v>26</v>
      </c>
      <c r="O103" s="112">
        <f>IFERROR(VLOOKUP($B103,MMWR_TRAD_AGG_STATE_PEN[],O$1,0),"ERROR")</f>
        <v>7</v>
      </c>
      <c r="P103" s="114">
        <f t="shared" si="15"/>
        <v>0.26923076923076922</v>
      </c>
      <c r="Q103" s="115">
        <f>IFERROR(VLOOKUP($B103,MMWR_TRAD_AGG_STATE_PEN[],Q$1,0),"ERROR")</f>
        <v>72</v>
      </c>
      <c r="R103" s="115">
        <f>IFERROR(VLOOKUP($B103,MMWR_TRAD_AGG_STATE_PEN[],R$1,0),"ERROR")</f>
        <v>29</v>
      </c>
      <c r="S103" s="115">
        <f>IFERROR(VLOOKUP($B103,MMWR_APP_STATE_PEN[],S$1,0),"ERROR")</f>
        <v>173</v>
      </c>
      <c r="T103" s="28"/>
    </row>
    <row r="104" spans="1:20" s="123" customFormat="1" x14ac:dyDescent="0.2">
      <c r="A104" s="28"/>
      <c r="B104" s="127" t="s">
        <v>419</v>
      </c>
      <c r="C104" s="109">
        <f>IFERROR(VLOOKUP($B104,MMWR_TRAD_AGG_STATE_PEN[],C$1,0),"ERROR")</f>
        <v>36</v>
      </c>
      <c r="D104" s="110">
        <f>IFERROR(VLOOKUP($B104,MMWR_TRAD_AGG_STATE_PEN[],D$1,0),"ERROR")</f>
        <v>48.222222222200003</v>
      </c>
      <c r="E104" s="111">
        <f>IFERROR(VLOOKUP($B104,MMWR_TRAD_AGG_STATE_PEN[],E$1,0),"ERROR")</f>
        <v>85</v>
      </c>
      <c r="F104" s="112">
        <f>IFERROR(VLOOKUP($B104,MMWR_TRAD_AGG_STATE_PEN[],F$1,0),"ERROR")</f>
        <v>3</v>
      </c>
      <c r="G104" s="113">
        <f t="shared" si="12"/>
        <v>3.5294117647058823E-2</v>
      </c>
      <c r="H104" s="111">
        <f>IFERROR(VLOOKUP($B104,MMWR_TRAD_AGG_STATE_PEN[],H$1,0),"ERROR")</f>
        <v>53</v>
      </c>
      <c r="I104" s="112">
        <f>IFERROR(VLOOKUP($B104,MMWR_TRAD_AGG_STATE_PEN[],I$1,0),"ERROR")</f>
        <v>4</v>
      </c>
      <c r="J104" s="114">
        <f t="shared" si="13"/>
        <v>7.5471698113207544E-2</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119</v>
      </c>
      <c r="R104" s="115">
        <f>IFERROR(VLOOKUP($B104,MMWR_TRAD_AGG_STATE_PEN[],R$1,0),"ERROR")</f>
        <v>11</v>
      </c>
      <c r="S104" s="115">
        <f>IFERROR(VLOOKUP($B104,MMWR_APP_STATE_PEN[],S$1,0),"ERROR")</f>
        <v>6</v>
      </c>
      <c r="T104" s="28"/>
    </row>
    <row r="105" spans="1:20" s="123" customFormat="1" x14ac:dyDescent="0.2">
      <c r="A105" s="28"/>
      <c r="B105" s="127" t="s">
        <v>413</v>
      </c>
      <c r="C105" s="109">
        <f>IFERROR(VLOOKUP($B105,MMWR_TRAD_AGG_STATE_PEN[],C$1,0),"ERROR")</f>
        <v>222</v>
      </c>
      <c r="D105" s="110">
        <f>IFERROR(VLOOKUP($B105,MMWR_TRAD_AGG_STATE_PEN[],D$1,0),"ERROR")</f>
        <v>46.216216216200003</v>
      </c>
      <c r="E105" s="111">
        <f>IFERROR(VLOOKUP($B105,MMWR_TRAD_AGG_STATE_PEN[],E$1,0),"ERROR")</f>
        <v>271</v>
      </c>
      <c r="F105" s="112">
        <f>IFERROR(VLOOKUP($B105,MMWR_TRAD_AGG_STATE_PEN[],F$1,0),"ERROR")</f>
        <v>10</v>
      </c>
      <c r="G105" s="113">
        <f t="shared" si="12"/>
        <v>3.6900369003690037E-2</v>
      </c>
      <c r="H105" s="111">
        <f>IFERROR(VLOOKUP($B105,MMWR_TRAD_AGG_STATE_PEN[],H$1,0),"ERROR")</f>
        <v>276</v>
      </c>
      <c r="I105" s="112">
        <f>IFERROR(VLOOKUP($B105,MMWR_TRAD_AGG_STATE_PEN[],I$1,0),"ERROR")</f>
        <v>10</v>
      </c>
      <c r="J105" s="114">
        <f t="shared" si="13"/>
        <v>3.6231884057971016E-2</v>
      </c>
      <c r="K105" s="111">
        <f>IFERROR(VLOOKUP($B105,MMWR_TRAD_AGG_STATE_PEN[],K$1,0),"ERROR")</f>
        <v>2</v>
      </c>
      <c r="L105" s="112">
        <f>IFERROR(VLOOKUP($B105,MMWR_TRAD_AGG_STATE_PEN[],L$1,0),"ERROR")</f>
        <v>2</v>
      </c>
      <c r="M105" s="114">
        <f t="shared" si="14"/>
        <v>1</v>
      </c>
      <c r="N105" s="111">
        <f>IFERROR(VLOOKUP($B105,MMWR_TRAD_AGG_STATE_PEN[],N$1,0),"ERROR")</f>
        <v>9</v>
      </c>
      <c r="O105" s="112">
        <f>IFERROR(VLOOKUP($B105,MMWR_TRAD_AGG_STATE_PEN[],O$1,0),"ERROR")</f>
        <v>4</v>
      </c>
      <c r="P105" s="114">
        <f t="shared" si="15"/>
        <v>0.44444444444444442</v>
      </c>
      <c r="Q105" s="115">
        <f>IFERROR(VLOOKUP($B105,MMWR_TRAD_AGG_STATE_PEN[],Q$1,0),"ERROR")</f>
        <v>560</v>
      </c>
      <c r="R105" s="115">
        <f>IFERROR(VLOOKUP($B105,MMWR_TRAD_AGG_STATE_PEN[],R$1,0),"ERROR")</f>
        <v>49</v>
      </c>
      <c r="S105" s="115">
        <f>IFERROR(VLOOKUP($B105,MMWR_APP_STATE_PEN[],S$1,0),"ERROR")</f>
        <v>101</v>
      </c>
      <c r="T105" s="28"/>
    </row>
    <row r="106" spans="1:20" s="123" customFormat="1" x14ac:dyDescent="0.2">
      <c r="A106" s="28"/>
      <c r="B106" s="127" t="s">
        <v>411</v>
      </c>
      <c r="C106" s="109">
        <f>IFERROR(VLOOKUP($B106,MMWR_TRAD_AGG_STATE_PEN[],C$1,0),"ERROR")</f>
        <v>870</v>
      </c>
      <c r="D106" s="110">
        <f>IFERROR(VLOOKUP($B106,MMWR_TRAD_AGG_STATE_PEN[],D$1,0),"ERROR")</f>
        <v>50.7850574713</v>
      </c>
      <c r="E106" s="111">
        <f>IFERROR(VLOOKUP($B106,MMWR_TRAD_AGG_STATE_PEN[],E$1,0),"ERROR")</f>
        <v>1375</v>
      </c>
      <c r="F106" s="112">
        <f>IFERROR(VLOOKUP($B106,MMWR_TRAD_AGG_STATE_PEN[],F$1,0),"ERROR")</f>
        <v>51</v>
      </c>
      <c r="G106" s="113">
        <f t="shared" si="12"/>
        <v>3.7090909090909091E-2</v>
      </c>
      <c r="H106" s="111">
        <f>IFERROR(VLOOKUP($B106,MMWR_TRAD_AGG_STATE_PEN[],H$1,0),"ERROR")</f>
        <v>1234</v>
      </c>
      <c r="I106" s="112">
        <f>IFERROR(VLOOKUP($B106,MMWR_TRAD_AGG_STATE_PEN[],I$1,0),"ERROR")</f>
        <v>54</v>
      </c>
      <c r="J106" s="114">
        <f t="shared" si="13"/>
        <v>4.3760129659643439E-2</v>
      </c>
      <c r="K106" s="111">
        <f>IFERROR(VLOOKUP($B106,MMWR_TRAD_AGG_STATE_PEN[],K$1,0),"ERROR")</f>
        <v>8</v>
      </c>
      <c r="L106" s="112">
        <f>IFERROR(VLOOKUP($B106,MMWR_TRAD_AGG_STATE_PEN[],L$1,0),"ERROR")</f>
        <v>6</v>
      </c>
      <c r="M106" s="114">
        <f t="shared" si="14"/>
        <v>0.75</v>
      </c>
      <c r="N106" s="111">
        <f>IFERROR(VLOOKUP($B106,MMWR_TRAD_AGG_STATE_PEN[],N$1,0),"ERROR")</f>
        <v>73</v>
      </c>
      <c r="O106" s="112">
        <f>IFERROR(VLOOKUP($B106,MMWR_TRAD_AGG_STATE_PEN[],O$1,0),"ERROR")</f>
        <v>36</v>
      </c>
      <c r="P106" s="114">
        <f t="shared" si="15"/>
        <v>0.49315068493150682</v>
      </c>
      <c r="Q106" s="115">
        <f>IFERROR(VLOOKUP($B106,MMWR_TRAD_AGG_STATE_PEN[],Q$1,0),"ERROR")</f>
        <v>1340</v>
      </c>
      <c r="R106" s="115">
        <f>IFERROR(VLOOKUP($B106,MMWR_TRAD_AGG_STATE_PEN[],R$1,0),"ERROR")</f>
        <v>301</v>
      </c>
      <c r="S106" s="115">
        <f>IFERROR(VLOOKUP($B106,MMWR_APP_STATE_PEN[],S$1,0),"ERROR")</f>
        <v>567</v>
      </c>
      <c r="T106" s="28"/>
    </row>
    <row r="107" spans="1:20" s="123" customFormat="1" x14ac:dyDescent="0.2">
      <c r="A107" s="28"/>
      <c r="B107" s="127" t="s">
        <v>407</v>
      </c>
      <c r="C107" s="109">
        <f>IFERROR(VLOOKUP($B107,MMWR_TRAD_AGG_STATE_PEN[],C$1,0),"ERROR")</f>
        <v>80</v>
      </c>
      <c r="D107" s="110">
        <f>IFERROR(VLOOKUP($B107,MMWR_TRAD_AGG_STATE_PEN[],D$1,0),"ERROR")</f>
        <v>52.987499999999997</v>
      </c>
      <c r="E107" s="111">
        <f>IFERROR(VLOOKUP($B107,MMWR_TRAD_AGG_STATE_PEN[],E$1,0),"ERROR")</f>
        <v>138</v>
      </c>
      <c r="F107" s="112">
        <f>IFERROR(VLOOKUP($B107,MMWR_TRAD_AGG_STATE_PEN[],F$1,0),"ERROR")</f>
        <v>5</v>
      </c>
      <c r="G107" s="113">
        <f t="shared" si="12"/>
        <v>3.6231884057971016E-2</v>
      </c>
      <c r="H107" s="111">
        <f>IFERROR(VLOOKUP($B107,MMWR_TRAD_AGG_STATE_PEN[],H$1,0),"ERROR")</f>
        <v>101</v>
      </c>
      <c r="I107" s="112">
        <f>IFERROR(VLOOKUP($B107,MMWR_TRAD_AGG_STATE_PEN[],I$1,0),"ERROR")</f>
        <v>5</v>
      </c>
      <c r="J107" s="114">
        <f t="shared" si="13"/>
        <v>4.9504950495049507E-2</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2</v>
      </c>
      <c r="P107" s="114">
        <f t="shared" si="15"/>
        <v>0.4</v>
      </c>
      <c r="Q107" s="115">
        <f>IFERROR(VLOOKUP($B107,MMWR_TRAD_AGG_STATE_PEN[],Q$1,0),"ERROR")</f>
        <v>136</v>
      </c>
      <c r="R107" s="115">
        <f>IFERROR(VLOOKUP($B107,MMWR_TRAD_AGG_STATE_PEN[],R$1,0),"ERROR")</f>
        <v>13</v>
      </c>
      <c r="S107" s="115">
        <f>IFERROR(VLOOKUP($B107,MMWR_APP_STATE_PEN[],S$1,0),"ERROR")</f>
        <v>18</v>
      </c>
      <c r="T107" s="28"/>
    </row>
    <row r="108" spans="1:20" s="123" customFormat="1" x14ac:dyDescent="0.2">
      <c r="A108" s="28"/>
      <c r="B108" s="127" t="s">
        <v>422</v>
      </c>
      <c r="C108" s="109">
        <f>IFERROR(VLOOKUP($B108,MMWR_TRAD_AGG_STATE_PEN[],C$1,0),"ERROR")</f>
        <v>21</v>
      </c>
      <c r="D108" s="110">
        <f>IFERROR(VLOOKUP($B108,MMWR_TRAD_AGG_STATE_PEN[],D$1,0),"ERROR")</f>
        <v>64.666666666699996</v>
      </c>
      <c r="E108" s="111">
        <f>IFERROR(VLOOKUP($B108,MMWR_TRAD_AGG_STATE_PEN[],E$1,0),"ERROR")</f>
        <v>15</v>
      </c>
      <c r="F108" s="112">
        <f>IFERROR(VLOOKUP($B108,MMWR_TRAD_AGG_STATE_PEN[],F$1,0),"ERROR")</f>
        <v>2</v>
      </c>
      <c r="G108" s="113">
        <f t="shared" si="12"/>
        <v>0.13333333333333333</v>
      </c>
      <c r="H108" s="111">
        <f>IFERROR(VLOOKUP($B108,MMWR_TRAD_AGG_STATE_PEN[],H$1,0),"ERROR")</f>
        <v>33</v>
      </c>
      <c r="I108" s="112">
        <f>IFERROR(VLOOKUP($B108,MMWR_TRAD_AGG_STATE_PEN[],I$1,0),"ERROR")</f>
        <v>5</v>
      </c>
      <c r="J108" s="114">
        <f t="shared" si="13"/>
        <v>0.15151515151515152</v>
      </c>
      <c r="K108" s="111">
        <f>IFERROR(VLOOKUP($B108,MMWR_TRAD_AGG_STATE_PEN[],K$1,0),"ERROR")</f>
        <v>0</v>
      </c>
      <c r="L108" s="112">
        <f>IFERROR(VLOOKUP($B108,MMWR_TRAD_AGG_STATE_PEN[],L$1,0),"ERROR")</f>
        <v>0</v>
      </c>
      <c r="M108" s="114" t="str">
        <f t="shared" si="14"/>
        <v>0%</v>
      </c>
      <c r="N108" s="111">
        <f>IFERROR(VLOOKUP($B108,MMWR_TRAD_AGG_STATE_PEN[],N$1,0),"ERROR")</f>
        <v>2</v>
      </c>
      <c r="O108" s="112">
        <f>IFERROR(VLOOKUP($B108,MMWR_TRAD_AGG_STATE_PEN[],O$1,0),"ERROR")</f>
        <v>0</v>
      </c>
      <c r="P108" s="114">
        <f t="shared" si="15"/>
        <v>0</v>
      </c>
      <c r="Q108" s="115">
        <f>IFERROR(VLOOKUP($B108,MMWR_TRAD_AGG_STATE_PEN[],Q$1,0),"ERROR")</f>
        <v>55</v>
      </c>
      <c r="R108" s="115">
        <f>IFERROR(VLOOKUP($B108,MMWR_TRAD_AGG_STATE_PEN[],R$1,0),"ERROR")</f>
        <v>3</v>
      </c>
      <c r="S108" s="115">
        <f>IFERROR(VLOOKUP($B108,MMWR_APP_STATE_PEN[],S$1,0),"ERROR")</f>
        <v>6</v>
      </c>
      <c r="T108" s="28"/>
    </row>
    <row r="109" spans="1:20" s="123" customFormat="1" x14ac:dyDescent="0.2">
      <c r="A109" s="28"/>
      <c r="B109" s="126" t="s">
        <v>405</v>
      </c>
      <c r="C109" s="102">
        <f>IFERROR(VLOOKUP($B109,MMWR_TRAD_AGG_ST_DISTRICT_PEN[],C$1,0),"ERROR")</f>
        <v>1761</v>
      </c>
      <c r="D109" s="103">
        <f>IFERROR(VLOOKUP($B109,MMWR_TRAD_AGG_ST_DISTRICT_PEN[],D$1,0),"ERROR")</f>
        <v>50.027257240200001</v>
      </c>
      <c r="E109" s="102">
        <f>IFERROR(VLOOKUP($B109,MMWR_TRAD_AGG_ST_DISTRICT_PEN[],E$1,0),"ERROR")</f>
        <v>3115</v>
      </c>
      <c r="F109" s="102">
        <f>IFERROR(VLOOKUP($B109,MMWR_TRAD_AGG_ST_DISTRICT_PEN[],F$1,0),"ERROR")</f>
        <v>156</v>
      </c>
      <c r="G109" s="104">
        <f t="shared" si="12"/>
        <v>5.0080256821829858E-2</v>
      </c>
      <c r="H109" s="102">
        <f>IFERROR(VLOOKUP($B109,MMWR_TRAD_AGG_ST_DISTRICT_PEN[],H$1,0),"ERROR")</f>
        <v>2441</v>
      </c>
      <c r="I109" s="102">
        <f>IFERROR(VLOOKUP($B109,MMWR_TRAD_AGG_ST_DISTRICT_PEN[],I$1,0),"ERROR")</f>
        <v>122</v>
      </c>
      <c r="J109" s="104">
        <f t="shared" si="13"/>
        <v>4.9979516591560837E-2</v>
      </c>
      <c r="K109" s="102">
        <f>IFERROR(VLOOKUP($B109,MMWR_TRAD_AGG_ST_DISTRICT_PEN[],K$1,0),"ERROR")</f>
        <v>19</v>
      </c>
      <c r="L109" s="102">
        <f>IFERROR(VLOOKUP($B109,MMWR_TRAD_AGG_ST_DISTRICT_PEN[],L$1,0),"ERROR")</f>
        <v>10</v>
      </c>
      <c r="M109" s="104">
        <f t="shared" si="14"/>
        <v>0.52631578947368418</v>
      </c>
      <c r="N109" s="102">
        <f>IFERROR(VLOOKUP($B109,MMWR_TRAD_AGG_ST_DISTRICT_PEN[],N$1,0),"ERROR")</f>
        <v>153</v>
      </c>
      <c r="O109" s="102">
        <f>IFERROR(VLOOKUP($B109,MMWR_TRAD_AGG_ST_DISTRICT_PEN[],O$1,0),"ERROR")</f>
        <v>70</v>
      </c>
      <c r="P109" s="104">
        <f t="shared" si="15"/>
        <v>0.45751633986928103</v>
      </c>
      <c r="Q109" s="102">
        <f>IFERROR(VLOOKUP($B109,MMWR_TRAD_AGG_ST_DISTRICT_PEN[],Q$1,0),"ERROR")</f>
        <v>2918</v>
      </c>
      <c r="R109" s="106">
        <f>IFERROR(VLOOKUP($B109,MMWR_TRAD_AGG_ST_DISTRICT_PEN[],R$1,0),"ERROR")</f>
        <v>541</v>
      </c>
      <c r="S109" s="106">
        <f>IFERROR(VLOOKUP($B109,MMWR_APP_STATE_PEN[],S$1,0),"ERROR")</f>
        <v>754</v>
      </c>
      <c r="T109" s="28"/>
    </row>
    <row r="110" spans="1:20" s="123" customFormat="1" x14ac:dyDescent="0.2">
      <c r="A110" s="28"/>
      <c r="B110" s="127" t="s">
        <v>425</v>
      </c>
      <c r="C110" s="109">
        <f>IFERROR(VLOOKUP($B110,MMWR_TRAD_AGG_STATE_PEN[],C$1,0),"ERROR")</f>
        <v>18</v>
      </c>
      <c r="D110" s="110">
        <f>IFERROR(VLOOKUP($B110,MMWR_TRAD_AGG_STATE_PEN[],D$1,0),"ERROR")</f>
        <v>44.555555555600002</v>
      </c>
      <c r="E110" s="111">
        <f>IFERROR(VLOOKUP($B110,MMWR_TRAD_AGG_STATE_PEN[],E$1,0),"ERROR")</f>
        <v>18</v>
      </c>
      <c r="F110" s="112">
        <f>IFERROR(VLOOKUP($B110,MMWR_TRAD_AGG_STATE_PEN[],F$1,0),"ERROR")</f>
        <v>0</v>
      </c>
      <c r="G110" s="113">
        <f t="shared" si="12"/>
        <v>0</v>
      </c>
      <c r="H110" s="111">
        <f>IFERROR(VLOOKUP($B110,MMWR_TRAD_AGG_STATE_PEN[],H$1,0),"ERROR")</f>
        <v>29</v>
      </c>
      <c r="I110" s="112">
        <f>IFERROR(VLOOKUP($B110,MMWR_TRAD_AGG_STATE_PEN[],I$1,0),"ERROR")</f>
        <v>2</v>
      </c>
      <c r="J110" s="114">
        <f t="shared" si="13"/>
        <v>6.8965517241379309E-2</v>
      </c>
      <c r="K110" s="111">
        <f>IFERROR(VLOOKUP($B110,MMWR_TRAD_AGG_STATE_PEN[],K$1,0),"ERROR")</f>
        <v>0</v>
      </c>
      <c r="L110" s="112">
        <f>IFERROR(VLOOKUP($B110,MMWR_TRAD_AGG_STATE_PEN[],L$1,0),"ERROR")</f>
        <v>0</v>
      </c>
      <c r="M110" s="114" t="str">
        <f t="shared" si="14"/>
        <v>0%</v>
      </c>
      <c r="N110" s="111">
        <f>IFERROR(VLOOKUP($B110,MMWR_TRAD_AGG_STATE_PEN[],N$1,0),"ERROR")</f>
        <v>3</v>
      </c>
      <c r="O110" s="112">
        <f>IFERROR(VLOOKUP($B110,MMWR_TRAD_AGG_STATE_PEN[],O$1,0),"ERROR")</f>
        <v>2</v>
      </c>
      <c r="P110" s="114">
        <f t="shared" si="15"/>
        <v>0.66666666666666663</v>
      </c>
      <c r="Q110" s="115">
        <f>IFERROR(VLOOKUP($B110,MMWR_TRAD_AGG_STATE_PEN[],Q$1,0),"ERROR")</f>
        <v>24</v>
      </c>
      <c r="R110" s="115">
        <f>IFERROR(VLOOKUP($B110,MMWR_TRAD_AGG_STATE_PEN[],R$1,0),"ERROR")</f>
        <v>7</v>
      </c>
      <c r="S110" s="115">
        <f>IFERROR(VLOOKUP($B110,MMWR_APP_STATE_PEN[],S$1,0),"ERROR")</f>
        <v>3</v>
      </c>
      <c r="T110" s="28"/>
    </row>
    <row r="111" spans="1:20" s="123" customFormat="1" x14ac:dyDescent="0.2">
      <c r="A111" s="28"/>
      <c r="B111" s="127" t="s">
        <v>427</v>
      </c>
      <c r="C111" s="109">
        <f>IFERROR(VLOOKUP($B111,MMWR_TRAD_AGG_STATE_PEN[],C$1,0),"ERROR")</f>
        <v>241</v>
      </c>
      <c r="D111" s="110">
        <f>IFERROR(VLOOKUP($B111,MMWR_TRAD_AGG_STATE_PEN[],D$1,0),"ERROR")</f>
        <v>47.892116182599999</v>
      </c>
      <c r="E111" s="111">
        <f>IFERROR(VLOOKUP($B111,MMWR_TRAD_AGG_STATE_PEN[],E$1,0),"ERROR")</f>
        <v>399</v>
      </c>
      <c r="F111" s="112">
        <f>IFERROR(VLOOKUP($B111,MMWR_TRAD_AGG_STATE_PEN[],F$1,0),"ERROR")</f>
        <v>23</v>
      </c>
      <c r="G111" s="113">
        <f t="shared" si="12"/>
        <v>5.764411027568922E-2</v>
      </c>
      <c r="H111" s="111">
        <f>IFERROR(VLOOKUP($B111,MMWR_TRAD_AGG_STATE_PEN[],H$1,0),"ERROR")</f>
        <v>314</v>
      </c>
      <c r="I111" s="112">
        <f>IFERROR(VLOOKUP($B111,MMWR_TRAD_AGG_STATE_PEN[],I$1,0),"ERROR")</f>
        <v>10</v>
      </c>
      <c r="J111" s="114">
        <f t="shared" si="13"/>
        <v>3.1847133757961783E-2</v>
      </c>
      <c r="K111" s="111">
        <f>IFERROR(VLOOKUP($B111,MMWR_TRAD_AGG_STATE_PEN[],K$1,0),"ERROR")</f>
        <v>1</v>
      </c>
      <c r="L111" s="112">
        <f>IFERROR(VLOOKUP($B111,MMWR_TRAD_AGG_STATE_PEN[],L$1,0),"ERROR")</f>
        <v>1</v>
      </c>
      <c r="M111" s="114">
        <f t="shared" si="14"/>
        <v>1</v>
      </c>
      <c r="N111" s="111">
        <f>IFERROR(VLOOKUP($B111,MMWR_TRAD_AGG_STATE_PEN[],N$1,0),"ERROR")</f>
        <v>18</v>
      </c>
      <c r="O111" s="112">
        <f>IFERROR(VLOOKUP($B111,MMWR_TRAD_AGG_STATE_PEN[],O$1,0),"ERROR")</f>
        <v>6</v>
      </c>
      <c r="P111" s="114">
        <f t="shared" si="15"/>
        <v>0.33333333333333331</v>
      </c>
      <c r="Q111" s="115">
        <f>IFERROR(VLOOKUP($B111,MMWR_TRAD_AGG_STATE_PEN[],Q$1,0),"ERROR")</f>
        <v>352</v>
      </c>
      <c r="R111" s="115">
        <f>IFERROR(VLOOKUP($B111,MMWR_TRAD_AGG_STATE_PEN[],R$1,0),"ERROR")</f>
        <v>74</v>
      </c>
      <c r="S111" s="115">
        <f>IFERROR(VLOOKUP($B111,MMWR_APP_STATE_PEN[],S$1,0),"ERROR")</f>
        <v>110</v>
      </c>
      <c r="T111" s="28"/>
    </row>
    <row r="112" spans="1:20" s="123" customFormat="1" x14ac:dyDescent="0.2">
      <c r="A112" s="28"/>
      <c r="B112" s="127" t="s">
        <v>408</v>
      </c>
      <c r="C112" s="109">
        <f>IFERROR(VLOOKUP($B112,MMWR_TRAD_AGG_STATE_PEN[],C$1,0),"ERROR")</f>
        <v>908</v>
      </c>
      <c r="D112" s="110">
        <f>IFERROR(VLOOKUP($B112,MMWR_TRAD_AGG_STATE_PEN[],D$1,0),"ERROR")</f>
        <v>51.577092510999996</v>
      </c>
      <c r="E112" s="111">
        <f>IFERROR(VLOOKUP($B112,MMWR_TRAD_AGG_STATE_PEN[],E$1,0),"ERROR")</f>
        <v>1611</v>
      </c>
      <c r="F112" s="112">
        <f>IFERROR(VLOOKUP($B112,MMWR_TRAD_AGG_STATE_PEN[],F$1,0),"ERROR")</f>
        <v>86</v>
      </c>
      <c r="G112" s="113">
        <f t="shared" si="12"/>
        <v>5.3382991930477963E-2</v>
      </c>
      <c r="H112" s="111">
        <f>IFERROR(VLOOKUP($B112,MMWR_TRAD_AGG_STATE_PEN[],H$1,0),"ERROR")</f>
        <v>1228</v>
      </c>
      <c r="I112" s="112">
        <f>IFERROR(VLOOKUP($B112,MMWR_TRAD_AGG_STATE_PEN[],I$1,0),"ERROR")</f>
        <v>53</v>
      </c>
      <c r="J112" s="114">
        <f t="shared" si="13"/>
        <v>4.3159609120521171E-2</v>
      </c>
      <c r="K112" s="111">
        <f>IFERROR(VLOOKUP($B112,MMWR_TRAD_AGG_STATE_PEN[],K$1,0),"ERROR")</f>
        <v>13</v>
      </c>
      <c r="L112" s="112">
        <f>IFERROR(VLOOKUP($B112,MMWR_TRAD_AGG_STATE_PEN[],L$1,0),"ERROR")</f>
        <v>6</v>
      </c>
      <c r="M112" s="114">
        <f t="shared" si="14"/>
        <v>0.46153846153846156</v>
      </c>
      <c r="N112" s="111">
        <f>IFERROR(VLOOKUP($B112,MMWR_TRAD_AGG_STATE_PEN[],N$1,0),"ERROR")</f>
        <v>80</v>
      </c>
      <c r="O112" s="112">
        <f>IFERROR(VLOOKUP($B112,MMWR_TRAD_AGG_STATE_PEN[],O$1,0),"ERROR")</f>
        <v>36</v>
      </c>
      <c r="P112" s="114">
        <f t="shared" si="15"/>
        <v>0.45</v>
      </c>
      <c r="Q112" s="115">
        <f>IFERROR(VLOOKUP($B112,MMWR_TRAD_AGG_STATE_PEN[],Q$1,0),"ERROR")</f>
        <v>1289</v>
      </c>
      <c r="R112" s="115">
        <f>IFERROR(VLOOKUP($B112,MMWR_TRAD_AGG_STATE_PEN[],R$1,0),"ERROR")</f>
        <v>273</v>
      </c>
      <c r="S112" s="115">
        <f>IFERROR(VLOOKUP($B112,MMWR_APP_STATE_PEN[],S$1,0),"ERROR")</f>
        <v>412</v>
      </c>
      <c r="T112" s="28"/>
    </row>
    <row r="113" spans="1:20" s="123" customFormat="1" x14ac:dyDescent="0.2">
      <c r="A113" s="28"/>
      <c r="B113" s="127" t="s">
        <v>429</v>
      </c>
      <c r="C113" s="109">
        <f>IFERROR(VLOOKUP($B113,MMWR_TRAD_AGG_STATE_PEN[],C$1,0),"ERROR")</f>
        <v>18</v>
      </c>
      <c r="D113" s="110">
        <f>IFERROR(VLOOKUP($B113,MMWR_TRAD_AGG_STATE_PEN[],D$1,0),"ERROR")</f>
        <v>56.111111111100001</v>
      </c>
      <c r="E113" s="111">
        <f>IFERROR(VLOOKUP($B113,MMWR_TRAD_AGG_STATE_PEN[],E$1,0),"ERROR")</f>
        <v>28</v>
      </c>
      <c r="F113" s="112">
        <f>IFERROR(VLOOKUP($B113,MMWR_TRAD_AGG_STATE_PEN[],F$1,0),"ERROR")</f>
        <v>2</v>
      </c>
      <c r="G113" s="113">
        <f t="shared" si="12"/>
        <v>7.1428571428571425E-2</v>
      </c>
      <c r="H113" s="111">
        <f>IFERROR(VLOOKUP($B113,MMWR_TRAD_AGG_STATE_PEN[],H$1,0),"ERROR")</f>
        <v>26</v>
      </c>
      <c r="I113" s="112">
        <f>IFERROR(VLOOKUP($B113,MMWR_TRAD_AGG_STATE_PEN[],I$1,0),"ERROR")</f>
        <v>2</v>
      </c>
      <c r="J113" s="114">
        <f t="shared" si="13"/>
        <v>7.6923076923076927E-2</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64</v>
      </c>
      <c r="R113" s="115">
        <f>IFERROR(VLOOKUP($B113,MMWR_TRAD_AGG_STATE_PEN[],R$1,0),"ERROR")</f>
        <v>7</v>
      </c>
      <c r="S113" s="115">
        <f>IFERROR(VLOOKUP($B113,MMWR_APP_STATE_PEN[],S$1,0),"ERROR")</f>
        <v>10</v>
      </c>
      <c r="T113" s="28"/>
    </row>
    <row r="114" spans="1:20" s="123" customFormat="1" x14ac:dyDescent="0.2">
      <c r="A114" s="28"/>
      <c r="B114" s="127" t="s">
        <v>409</v>
      </c>
      <c r="C114" s="109">
        <f>IFERROR(VLOOKUP($B114,MMWR_TRAD_AGG_STATE_PEN[],C$1,0),"ERROR")</f>
        <v>65</v>
      </c>
      <c r="D114" s="110">
        <f>IFERROR(VLOOKUP($B114,MMWR_TRAD_AGG_STATE_PEN[],D$1,0),"ERROR")</f>
        <v>46.138461538500003</v>
      </c>
      <c r="E114" s="111">
        <f>IFERROR(VLOOKUP($B114,MMWR_TRAD_AGG_STATE_PEN[],E$1,0),"ERROR")</f>
        <v>101</v>
      </c>
      <c r="F114" s="112">
        <f>IFERROR(VLOOKUP($B114,MMWR_TRAD_AGG_STATE_PEN[],F$1,0),"ERROR")</f>
        <v>1</v>
      </c>
      <c r="G114" s="113">
        <f t="shared" si="12"/>
        <v>9.9009900990099011E-3</v>
      </c>
      <c r="H114" s="111">
        <f>IFERROR(VLOOKUP($B114,MMWR_TRAD_AGG_STATE_PEN[],H$1,0),"ERROR")</f>
        <v>86</v>
      </c>
      <c r="I114" s="112">
        <f>IFERROR(VLOOKUP($B114,MMWR_TRAD_AGG_STATE_PEN[],I$1,0),"ERROR")</f>
        <v>1</v>
      </c>
      <c r="J114" s="114">
        <f t="shared" si="13"/>
        <v>1.1627906976744186E-2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112</v>
      </c>
      <c r="R114" s="115">
        <f>IFERROR(VLOOKUP($B114,MMWR_TRAD_AGG_STATE_PEN[],R$1,0),"ERROR")</f>
        <v>15</v>
      </c>
      <c r="S114" s="115">
        <f>IFERROR(VLOOKUP($B114,MMWR_APP_STATE_PEN[],S$1,0),"ERROR")</f>
        <v>9</v>
      </c>
      <c r="T114" s="28"/>
    </row>
    <row r="115" spans="1:20" s="123" customFormat="1" x14ac:dyDescent="0.2">
      <c r="A115" s="28"/>
      <c r="B115" s="127" t="s">
        <v>414</v>
      </c>
      <c r="C115" s="109">
        <f>IFERROR(VLOOKUP($B115,MMWR_TRAD_AGG_STATE_PEN[],C$1,0),"ERROR")</f>
        <v>84</v>
      </c>
      <c r="D115" s="110">
        <f>IFERROR(VLOOKUP($B115,MMWR_TRAD_AGG_STATE_PEN[],D$1,0),"ERROR")</f>
        <v>55.3095238095</v>
      </c>
      <c r="E115" s="111">
        <f>IFERROR(VLOOKUP($B115,MMWR_TRAD_AGG_STATE_PEN[],E$1,0),"ERROR")</f>
        <v>179</v>
      </c>
      <c r="F115" s="112">
        <f>IFERROR(VLOOKUP($B115,MMWR_TRAD_AGG_STATE_PEN[],F$1,0),"ERROR")</f>
        <v>5</v>
      </c>
      <c r="G115" s="113">
        <f t="shared" si="12"/>
        <v>2.7932960893854747E-2</v>
      </c>
      <c r="H115" s="111">
        <f>IFERROR(VLOOKUP($B115,MMWR_TRAD_AGG_STATE_PEN[],H$1,0),"ERROR")</f>
        <v>122</v>
      </c>
      <c r="I115" s="112">
        <f>IFERROR(VLOOKUP($B115,MMWR_TRAD_AGG_STATE_PEN[],I$1,0),"ERROR")</f>
        <v>4</v>
      </c>
      <c r="J115" s="114">
        <f t="shared" si="13"/>
        <v>3.2786885245901641E-2</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4</v>
      </c>
      <c r="P115" s="114">
        <f t="shared" si="15"/>
        <v>0.5</v>
      </c>
      <c r="Q115" s="115">
        <f>IFERROR(VLOOKUP($B115,MMWR_TRAD_AGG_STATE_PEN[],Q$1,0),"ERROR")</f>
        <v>145</v>
      </c>
      <c r="R115" s="115">
        <f>IFERROR(VLOOKUP($B115,MMWR_TRAD_AGG_STATE_PEN[],R$1,0),"ERROR")</f>
        <v>31</v>
      </c>
      <c r="S115" s="115">
        <f>IFERROR(VLOOKUP($B115,MMWR_APP_STATE_PEN[],S$1,0),"ERROR")</f>
        <v>43</v>
      </c>
      <c r="T115" s="28"/>
    </row>
    <row r="116" spans="1:20" s="123" customFormat="1" x14ac:dyDescent="0.2">
      <c r="A116" s="28"/>
      <c r="B116" s="127" t="s">
        <v>406</v>
      </c>
      <c r="C116" s="109">
        <f>IFERROR(VLOOKUP($B116,MMWR_TRAD_AGG_STATE_PEN[],C$1,0),"ERROR")</f>
        <v>68</v>
      </c>
      <c r="D116" s="110">
        <f>IFERROR(VLOOKUP($B116,MMWR_TRAD_AGG_STATE_PEN[],D$1,0),"ERROR")</f>
        <v>46.544117647100002</v>
      </c>
      <c r="E116" s="111">
        <f>IFERROR(VLOOKUP($B116,MMWR_TRAD_AGG_STATE_PEN[],E$1,0),"ERROR")</f>
        <v>124</v>
      </c>
      <c r="F116" s="112">
        <f>IFERROR(VLOOKUP($B116,MMWR_TRAD_AGG_STATE_PEN[],F$1,0),"ERROR")</f>
        <v>3</v>
      </c>
      <c r="G116" s="113">
        <f t="shared" si="12"/>
        <v>2.4193548387096774E-2</v>
      </c>
      <c r="H116" s="111">
        <f>IFERROR(VLOOKUP($B116,MMWR_TRAD_AGG_STATE_PEN[],H$1,0),"ERROR")</f>
        <v>94</v>
      </c>
      <c r="I116" s="112">
        <f>IFERROR(VLOOKUP($B116,MMWR_TRAD_AGG_STATE_PEN[],I$1,0),"ERROR")</f>
        <v>2</v>
      </c>
      <c r="J116" s="114">
        <f t="shared" si="13"/>
        <v>2.1276595744680851E-2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3</v>
      </c>
      <c r="P116" s="114">
        <f t="shared" si="15"/>
        <v>0.6</v>
      </c>
      <c r="Q116" s="115">
        <f>IFERROR(VLOOKUP($B116,MMWR_TRAD_AGG_STATE_PEN[],Q$1,0),"ERROR")</f>
        <v>219</v>
      </c>
      <c r="R116" s="115">
        <f>IFERROR(VLOOKUP($B116,MMWR_TRAD_AGG_STATE_PEN[],R$1,0),"ERROR")</f>
        <v>26</v>
      </c>
      <c r="S116" s="115">
        <f>IFERROR(VLOOKUP($B116,MMWR_APP_STATE_PEN[],S$1,0),"ERROR")</f>
        <v>27</v>
      </c>
      <c r="T116" s="28"/>
    </row>
    <row r="117" spans="1:20" s="123" customFormat="1" x14ac:dyDescent="0.2">
      <c r="A117" s="28"/>
      <c r="B117" s="127" t="s">
        <v>410</v>
      </c>
      <c r="C117" s="109">
        <f>IFERROR(VLOOKUP($B117,MMWR_TRAD_AGG_STATE_PEN[],C$1,0),"ERROR")</f>
        <v>176</v>
      </c>
      <c r="D117" s="110">
        <f>IFERROR(VLOOKUP($B117,MMWR_TRAD_AGG_STATE_PEN[],D$1,0),"ERROR")</f>
        <v>44.460227272700003</v>
      </c>
      <c r="E117" s="111">
        <f>IFERROR(VLOOKUP($B117,MMWR_TRAD_AGG_STATE_PEN[],E$1,0),"ERROR")</f>
        <v>239</v>
      </c>
      <c r="F117" s="112">
        <f>IFERROR(VLOOKUP($B117,MMWR_TRAD_AGG_STATE_PEN[],F$1,0),"ERROR")</f>
        <v>13</v>
      </c>
      <c r="G117" s="113">
        <f t="shared" si="12"/>
        <v>5.4393305439330547E-2</v>
      </c>
      <c r="H117" s="111">
        <f>IFERROR(VLOOKUP($B117,MMWR_TRAD_AGG_STATE_PEN[],H$1,0),"ERROR")</f>
        <v>248</v>
      </c>
      <c r="I117" s="112">
        <f>IFERROR(VLOOKUP($B117,MMWR_TRAD_AGG_STATE_PEN[],I$1,0),"ERROR")</f>
        <v>14</v>
      </c>
      <c r="J117" s="114">
        <f t="shared" si="13"/>
        <v>5.6451612903225805E-2</v>
      </c>
      <c r="K117" s="111">
        <f>IFERROR(VLOOKUP($B117,MMWR_TRAD_AGG_STATE_PEN[],K$1,0),"ERROR")</f>
        <v>1</v>
      </c>
      <c r="L117" s="112">
        <f>IFERROR(VLOOKUP($B117,MMWR_TRAD_AGG_STATE_PEN[],L$1,0),"ERROR")</f>
        <v>1</v>
      </c>
      <c r="M117" s="114">
        <f t="shared" si="14"/>
        <v>1</v>
      </c>
      <c r="N117" s="111">
        <f>IFERROR(VLOOKUP($B117,MMWR_TRAD_AGG_STATE_PEN[],N$1,0),"ERROR")</f>
        <v>11</v>
      </c>
      <c r="O117" s="112">
        <f>IFERROR(VLOOKUP($B117,MMWR_TRAD_AGG_STATE_PEN[],O$1,0),"ERROR")</f>
        <v>7</v>
      </c>
      <c r="P117" s="114">
        <f t="shared" si="15"/>
        <v>0.63636363636363635</v>
      </c>
      <c r="Q117" s="115">
        <f>IFERROR(VLOOKUP($B117,MMWR_TRAD_AGG_STATE_PEN[],Q$1,0),"ERROR")</f>
        <v>301</v>
      </c>
      <c r="R117" s="115">
        <f>IFERROR(VLOOKUP($B117,MMWR_TRAD_AGG_STATE_PEN[],R$1,0),"ERROR")</f>
        <v>41</v>
      </c>
      <c r="S117" s="115">
        <f>IFERROR(VLOOKUP($B117,MMWR_APP_STATE_PEN[],S$1,0),"ERROR")</f>
        <v>47</v>
      </c>
      <c r="T117" s="28"/>
    </row>
    <row r="118" spans="1:20" s="123" customFormat="1" x14ac:dyDescent="0.2">
      <c r="A118" s="28"/>
      <c r="B118" s="127" t="s">
        <v>80</v>
      </c>
      <c r="C118" s="109">
        <f>IFERROR(VLOOKUP($B118,MMWR_TRAD_AGG_STATE_PEN[],C$1,0),"ERROR")</f>
        <v>183</v>
      </c>
      <c r="D118" s="110">
        <f>IFERROR(VLOOKUP($B118,MMWR_TRAD_AGG_STATE_PEN[],D$1,0),"ERROR")</f>
        <v>50.693989070999997</v>
      </c>
      <c r="E118" s="111">
        <f>IFERROR(VLOOKUP($B118,MMWR_TRAD_AGG_STATE_PEN[],E$1,0),"ERROR")</f>
        <v>416</v>
      </c>
      <c r="F118" s="112">
        <f>IFERROR(VLOOKUP($B118,MMWR_TRAD_AGG_STATE_PEN[],F$1,0),"ERROR")</f>
        <v>23</v>
      </c>
      <c r="G118" s="113">
        <f t="shared" si="12"/>
        <v>5.5288461538461536E-2</v>
      </c>
      <c r="H118" s="111">
        <f>IFERROR(VLOOKUP($B118,MMWR_TRAD_AGG_STATE_PEN[],H$1,0),"ERROR")</f>
        <v>294</v>
      </c>
      <c r="I118" s="112">
        <f>IFERROR(VLOOKUP($B118,MMWR_TRAD_AGG_STATE_PEN[],I$1,0),"ERROR")</f>
        <v>34</v>
      </c>
      <c r="J118" s="114">
        <f t="shared" si="13"/>
        <v>0.11564625850340136</v>
      </c>
      <c r="K118" s="111">
        <f>IFERROR(VLOOKUP($B118,MMWR_TRAD_AGG_STATE_PEN[],K$1,0),"ERROR")</f>
        <v>2</v>
      </c>
      <c r="L118" s="112">
        <f>IFERROR(VLOOKUP($B118,MMWR_TRAD_AGG_STATE_PEN[],L$1,0),"ERROR")</f>
        <v>0</v>
      </c>
      <c r="M118" s="114">
        <f t="shared" si="14"/>
        <v>0</v>
      </c>
      <c r="N118" s="111">
        <f>IFERROR(VLOOKUP($B118,MMWR_TRAD_AGG_STATE_PEN[],N$1,0),"ERROR")</f>
        <v>24</v>
      </c>
      <c r="O118" s="112">
        <f>IFERROR(VLOOKUP($B118,MMWR_TRAD_AGG_STATE_PEN[],O$1,0),"ERROR")</f>
        <v>12</v>
      </c>
      <c r="P118" s="114">
        <f t="shared" si="15"/>
        <v>0.5</v>
      </c>
      <c r="Q118" s="115">
        <f>IFERROR(VLOOKUP($B118,MMWR_TRAD_AGG_STATE_PEN[],Q$1,0),"ERROR")</f>
        <v>412</v>
      </c>
      <c r="R118" s="115">
        <f>IFERROR(VLOOKUP($B118,MMWR_TRAD_AGG_STATE_PEN[],R$1,0),"ERROR")</f>
        <v>67</v>
      </c>
      <c r="S118" s="115">
        <f>IFERROR(VLOOKUP($B118,MMWR_APP_STATE_PEN[],S$1,0),"ERROR")</f>
        <v>93</v>
      </c>
      <c r="T118" s="28"/>
    </row>
    <row r="119" spans="1:20" s="123" customFormat="1" x14ac:dyDescent="0.2">
      <c r="A119" s="28"/>
      <c r="B119" s="126" t="s">
        <v>381</v>
      </c>
      <c r="C119" s="102">
        <f>IFERROR(VLOOKUP($B119,MMWR_TRAD_AGG_ST_DISTRICT_PEN[],C$1,0),"ERROR")</f>
        <v>8956</v>
      </c>
      <c r="D119" s="103">
        <f>IFERROR(VLOOKUP($B119,MMWR_TRAD_AGG_ST_DISTRICT_PEN[],D$1,0),"ERROR")</f>
        <v>80.964158106300005</v>
      </c>
      <c r="E119" s="102">
        <f>IFERROR(VLOOKUP($B119,MMWR_TRAD_AGG_ST_DISTRICT_PEN[],E$1,0),"ERROR")</f>
        <v>9116</v>
      </c>
      <c r="F119" s="102">
        <f>IFERROR(VLOOKUP($B119,MMWR_TRAD_AGG_ST_DISTRICT_PEN[],F$1,0),"ERROR")</f>
        <v>1924</v>
      </c>
      <c r="G119" s="104">
        <f t="shared" si="12"/>
        <v>0.21105748135146996</v>
      </c>
      <c r="H119" s="102">
        <f>IFERROR(VLOOKUP($B119,MMWR_TRAD_AGG_ST_DISTRICT_PEN[],H$1,0),"ERROR")</f>
        <v>11211</v>
      </c>
      <c r="I119" s="102">
        <f>IFERROR(VLOOKUP($B119,MMWR_TRAD_AGG_ST_DISTRICT_PEN[],I$1,0),"ERROR")</f>
        <v>2735</v>
      </c>
      <c r="J119" s="104">
        <f t="shared" si="13"/>
        <v>0.24395682811524397</v>
      </c>
      <c r="K119" s="102">
        <f>IFERROR(VLOOKUP($B119,MMWR_TRAD_AGG_ST_DISTRICT_PEN[],K$1,0),"ERROR")</f>
        <v>69</v>
      </c>
      <c r="L119" s="102">
        <f>IFERROR(VLOOKUP($B119,MMWR_TRAD_AGG_ST_DISTRICT_PEN[],L$1,0),"ERROR")</f>
        <v>62</v>
      </c>
      <c r="M119" s="104">
        <f t="shared" si="14"/>
        <v>0.89855072463768115</v>
      </c>
      <c r="N119" s="102">
        <f>IFERROR(VLOOKUP($B119,MMWR_TRAD_AGG_ST_DISTRICT_PEN[],N$1,0),"ERROR")</f>
        <v>506</v>
      </c>
      <c r="O119" s="102">
        <f>IFERROR(VLOOKUP($B119,MMWR_TRAD_AGG_ST_DISTRICT_PEN[],O$1,0),"ERROR")</f>
        <v>150</v>
      </c>
      <c r="P119" s="104">
        <f t="shared" si="15"/>
        <v>0.29644268774703558</v>
      </c>
      <c r="Q119" s="102">
        <f>IFERROR(VLOOKUP($B119,MMWR_TRAD_AGG_ST_DISTRICT_PEN[],Q$1,0),"ERROR")</f>
        <v>980</v>
      </c>
      <c r="R119" s="106">
        <f>IFERROR(VLOOKUP($B119,MMWR_TRAD_AGG_ST_DISTRICT_PEN[],R$1,0),"ERROR")</f>
        <v>1909</v>
      </c>
      <c r="S119" s="106">
        <f>IFERROR(VLOOKUP($B119,MMWR_APP_STATE_PEN[],S$1,0),"ERROR")</f>
        <v>1918</v>
      </c>
      <c r="T119" s="28"/>
    </row>
    <row r="120" spans="1:20" s="123" customFormat="1" x14ac:dyDescent="0.2">
      <c r="A120" s="28"/>
      <c r="B120" s="127" t="s">
        <v>389</v>
      </c>
      <c r="C120" s="109">
        <f>IFERROR(VLOOKUP($B120,MMWR_TRAD_AGG_STATE_PEN[],C$1,0),"ERROR")</f>
        <v>1102</v>
      </c>
      <c r="D120" s="110">
        <f>IFERROR(VLOOKUP($B120,MMWR_TRAD_AGG_STATE_PEN[],D$1,0),"ERROR")</f>
        <v>47.065335753200003</v>
      </c>
      <c r="E120" s="111">
        <f>IFERROR(VLOOKUP($B120,MMWR_TRAD_AGG_STATE_PEN[],E$1,0),"ERROR")</f>
        <v>835</v>
      </c>
      <c r="F120" s="112">
        <f>IFERROR(VLOOKUP($B120,MMWR_TRAD_AGG_STATE_PEN[],F$1,0),"ERROR")</f>
        <v>91</v>
      </c>
      <c r="G120" s="113">
        <f t="shared" si="12"/>
        <v>0.10898203592814371</v>
      </c>
      <c r="H120" s="111">
        <f>IFERROR(VLOOKUP($B120,MMWR_TRAD_AGG_STATE_PEN[],H$1,0),"ERROR")</f>
        <v>1313</v>
      </c>
      <c r="I120" s="112">
        <f>IFERROR(VLOOKUP($B120,MMWR_TRAD_AGG_STATE_PEN[],I$1,0),"ERROR")</f>
        <v>60</v>
      </c>
      <c r="J120" s="114">
        <f t="shared" si="13"/>
        <v>4.56968773800457E-2</v>
      </c>
      <c r="K120" s="111">
        <f>IFERROR(VLOOKUP($B120,MMWR_TRAD_AGG_STATE_PEN[],K$1,0),"ERROR")</f>
        <v>5</v>
      </c>
      <c r="L120" s="112">
        <f>IFERROR(VLOOKUP($B120,MMWR_TRAD_AGG_STATE_PEN[],L$1,0),"ERROR")</f>
        <v>5</v>
      </c>
      <c r="M120" s="114">
        <f t="shared" si="14"/>
        <v>1</v>
      </c>
      <c r="N120" s="111">
        <f>IFERROR(VLOOKUP($B120,MMWR_TRAD_AGG_STATE_PEN[],N$1,0),"ERROR")</f>
        <v>46</v>
      </c>
      <c r="O120" s="112">
        <f>IFERROR(VLOOKUP($B120,MMWR_TRAD_AGG_STATE_PEN[],O$1,0),"ERROR")</f>
        <v>9</v>
      </c>
      <c r="P120" s="114">
        <f t="shared" si="15"/>
        <v>0.19565217391304349</v>
      </c>
      <c r="Q120" s="115">
        <f>IFERROR(VLOOKUP($B120,MMWR_TRAD_AGG_STATE_PEN[],Q$1,0),"ERROR")</f>
        <v>129</v>
      </c>
      <c r="R120" s="115">
        <f>IFERROR(VLOOKUP($B120,MMWR_TRAD_AGG_STATE_PEN[],R$1,0),"ERROR")</f>
        <v>100</v>
      </c>
      <c r="S120" s="115">
        <f>IFERROR(VLOOKUP($B120,MMWR_APP_STATE_PEN[],S$1,0),"ERROR")</f>
        <v>286</v>
      </c>
      <c r="T120" s="28"/>
    </row>
    <row r="121" spans="1:20" s="123" customFormat="1" x14ac:dyDescent="0.2">
      <c r="A121" s="28"/>
      <c r="B121" s="127" t="s">
        <v>426</v>
      </c>
      <c r="C121" s="109">
        <f>IFERROR(VLOOKUP($B121,MMWR_TRAD_AGG_STATE_PEN[],C$1,0),"ERROR")</f>
        <v>2694</v>
      </c>
      <c r="D121" s="110">
        <f>IFERROR(VLOOKUP($B121,MMWR_TRAD_AGG_STATE_PEN[],D$1,0),"ERROR")</f>
        <v>96.044172234599998</v>
      </c>
      <c r="E121" s="111">
        <f>IFERROR(VLOOKUP($B121,MMWR_TRAD_AGG_STATE_PEN[],E$1,0),"ERROR")</f>
        <v>3676</v>
      </c>
      <c r="F121" s="112">
        <f>IFERROR(VLOOKUP($B121,MMWR_TRAD_AGG_STATE_PEN[],F$1,0),"ERROR")</f>
        <v>881</v>
      </c>
      <c r="G121" s="113">
        <f t="shared" si="12"/>
        <v>0.23966267682263329</v>
      </c>
      <c r="H121" s="111">
        <f>IFERROR(VLOOKUP($B121,MMWR_TRAD_AGG_STATE_PEN[],H$1,0),"ERROR")</f>
        <v>3423</v>
      </c>
      <c r="I121" s="112">
        <f>IFERROR(VLOOKUP($B121,MMWR_TRAD_AGG_STATE_PEN[],I$1,0),"ERROR")</f>
        <v>1085</v>
      </c>
      <c r="J121" s="114">
        <f t="shared" si="13"/>
        <v>0.31697341513292432</v>
      </c>
      <c r="K121" s="111">
        <f>IFERROR(VLOOKUP($B121,MMWR_TRAD_AGG_STATE_PEN[],K$1,0),"ERROR")</f>
        <v>34</v>
      </c>
      <c r="L121" s="112">
        <f>IFERROR(VLOOKUP($B121,MMWR_TRAD_AGG_STATE_PEN[],L$1,0),"ERROR")</f>
        <v>31</v>
      </c>
      <c r="M121" s="114">
        <f t="shared" si="14"/>
        <v>0.91176470588235292</v>
      </c>
      <c r="N121" s="111">
        <f>IFERROR(VLOOKUP($B121,MMWR_TRAD_AGG_STATE_PEN[],N$1,0),"ERROR")</f>
        <v>166</v>
      </c>
      <c r="O121" s="112">
        <f>IFERROR(VLOOKUP($B121,MMWR_TRAD_AGG_STATE_PEN[],O$1,0),"ERROR")</f>
        <v>64</v>
      </c>
      <c r="P121" s="114">
        <f t="shared" si="15"/>
        <v>0.38554216867469882</v>
      </c>
      <c r="Q121" s="115">
        <f>IFERROR(VLOOKUP($B121,MMWR_TRAD_AGG_STATE_PEN[],Q$1,0),"ERROR")</f>
        <v>332</v>
      </c>
      <c r="R121" s="115">
        <f>IFERROR(VLOOKUP($B121,MMWR_TRAD_AGG_STATE_PEN[],R$1,0),"ERROR")</f>
        <v>772</v>
      </c>
      <c r="S121" s="115">
        <f>IFERROR(VLOOKUP($B121,MMWR_APP_STATE_PEN[],S$1,0),"ERROR")</f>
        <v>590</v>
      </c>
      <c r="T121" s="28"/>
    </row>
    <row r="122" spans="1:20" s="123" customFormat="1" x14ac:dyDescent="0.2">
      <c r="A122" s="28"/>
      <c r="B122" s="127" t="s">
        <v>382</v>
      </c>
      <c r="C122" s="109">
        <f>IFERROR(VLOOKUP($B122,MMWR_TRAD_AGG_STATE_PEN[],C$1,0),"ERROR")</f>
        <v>1419</v>
      </c>
      <c r="D122" s="110">
        <f>IFERROR(VLOOKUP($B122,MMWR_TRAD_AGG_STATE_PEN[],D$1,0),"ERROR")</f>
        <v>100.7681465821</v>
      </c>
      <c r="E122" s="111">
        <f>IFERROR(VLOOKUP($B122,MMWR_TRAD_AGG_STATE_PEN[],E$1,0),"ERROR")</f>
        <v>1780</v>
      </c>
      <c r="F122" s="112">
        <f>IFERROR(VLOOKUP($B122,MMWR_TRAD_AGG_STATE_PEN[],F$1,0),"ERROR")</f>
        <v>419</v>
      </c>
      <c r="G122" s="113">
        <f t="shared" si="12"/>
        <v>0.23539325842696629</v>
      </c>
      <c r="H122" s="111">
        <f>IFERROR(VLOOKUP($B122,MMWR_TRAD_AGG_STATE_PEN[],H$1,0),"ERROR")</f>
        <v>1770</v>
      </c>
      <c r="I122" s="112">
        <f>IFERROR(VLOOKUP($B122,MMWR_TRAD_AGG_STATE_PEN[],I$1,0),"ERROR")</f>
        <v>591</v>
      </c>
      <c r="J122" s="114">
        <f t="shared" si="13"/>
        <v>0.33389830508474577</v>
      </c>
      <c r="K122" s="111">
        <f>IFERROR(VLOOKUP($B122,MMWR_TRAD_AGG_STATE_PEN[],K$1,0),"ERROR")</f>
        <v>11</v>
      </c>
      <c r="L122" s="112">
        <f>IFERROR(VLOOKUP($B122,MMWR_TRAD_AGG_STATE_PEN[],L$1,0),"ERROR")</f>
        <v>10</v>
      </c>
      <c r="M122" s="114">
        <f t="shared" si="14"/>
        <v>0.90909090909090906</v>
      </c>
      <c r="N122" s="111">
        <f>IFERROR(VLOOKUP($B122,MMWR_TRAD_AGG_STATE_PEN[],N$1,0),"ERROR")</f>
        <v>111</v>
      </c>
      <c r="O122" s="112">
        <f>IFERROR(VLOOKUP($B122,MMWR_TRAD_AGG_STATE_PEN[],O$1,0),"ERROR")</f>
        <v>38</v>
      </c>
      <c r="P122" s="114">
        <f t="shared" si="15"/>
        <v>0.34234234234234234</v>
      </c>
      <c r="Q122" s="115">
        <f>IFERROR(VLOOKUP($B122,MMWR_TRAD_AGG_STATE_PEN[],Q$1,0),"ERROR")</f>
        <v>150</v>
      </c>
      <c r="R122" s="115">
        <f>IFERROR(VLOOKUP($B122,MMWR_TRAD_AGG_STATE_PEN[],R$1,0),"ERROR")</f>
        <v>501</v>
      </c>
      <c r="S122" s="115">
        <f>IFERROR(VLOOKUP($B122,MMWR_APP_STATE_PEN[],S$1,0),"ERROR")</f>
        <v>366</v>
      </c>
      <c r="T122" s="28"/>
    </row>
    <row r="123" spans="1:20" s="123" customFormat="1" x14ac:dyDescent="0.2">
      <c r="A123" s="28"/>
      <c r="B123" s="127" t="s">
        <v>394</v>
      </c>
      <c r="C123" s="109">
        <f>IFERROR(VLOOKUP($B123,MMWR_TRAD_AGG_STATE_PEN[],C$1,0),"ERROR")</f>
        <v>349</v>
      </c>
      <c r="D123" s="110">
        <f>IFERROR(VLOOKUP($B123,MMWR_TRAD_AGG_STATE_PEN[],D$1,0),"ERROR")</f>
        <v>52.163323782200003</v>
      </c>
      <c r="E123" s="111">
        <f>IFERROR(VLOOKUP($B123,MMWR_TRAD_AGG_STATE_PEN[],E$1,0),"ERROR")</f>
        <v>417</v>
      </c>
      <c r="F123" s="112">
        <f>IFERROR(VLOOKUP($B123,MMWR_TRAD_AGG_STATE_PEN[],F$1,0),"ERROR")</f>
        <v>47</v>
      </c>
      <c r="G123" s="113">
        <f t="shared" si="12"/>
        <v>0.11270983213429256</v>
      </c>
      <c r="H123" s="111">
        <f>IFERROR(VLOOKUP($B123,MMWR_TRAD_AGG_STATE_PEN[],H$1,0),"ERROR")</f>
        <v>469</v>
      </c>
      <c r="I123" s="112">
        <f>IFERROR(VLOOKUP($B123,MMWR_TRAD_AGG_STATE_PEN[],I$1,0),"ERROR")</f>
        <v>34</v>
      </c>
      <c r="J123" s="114">
        <f t="shared" si="13"/>
        <v>7.2494669509594878E-2</v>
      </c>
      <c r="K123" s="111">
        <f>IFERROR(VLOOKUP($B123,MMWR_TRAD_AGG_STATE_PEN[],K$1,0),"ERROR")</f>
        <v>3</v>
      </c>
      <c r="L123" s="112">
        <f>IFERROR(VLOOKUP($B123,MMWR_TRAD_AGG_STATE_PEN[],L$1,0),"ERROR")</f>
        <v>3</v>
      </c>
      <c r="M123" s="114">
        <f t="shared" si="14"/>
        <v>1</v>
      </c>
      <c r="N123" s="111">
        <f>IFERROR(VLOOKUP($B123,MMWR_TRAD_AGG_STATE_PEN[],N$1,0),"ERROR")</f>
        <v>46</v>
      </c>
      <c r="O123" s="112">
        <f>IFERROR(VLOOKUP($B123,MMWR_TRAD_AGG_STATE_PEN[],O$1,0),"ERROR")</f>
        <v>6</v>
      </c>
      <c r="P123" s="114">
        <f t="shared" si="15"/>
        <v>0.13043478260869565</v>
      </c>
      <c r="Q123" s="115">
        <f>IFERROR(VLOOKUP($B123,MMWR_TRAD_AGG_STATE_PEN[],Q$1,0),"ERROR")</f>
        <v>79</v>
      </c>
      <c r="R123" s="115">
        <f>IFERROR(VLOOKUP($B123,MMWR_TRAD_AGG_STATE_PEN[],R$1,0),"ERROR")</f>
        <v>68</v>
      </c>
      <c r="S123" s="115">
        <f>IFERROR(VLOOKUP($B123,MMWR_APP_STATE_PEN[],S$1,0),"ERROR")</f>
        <v>127</v>
      </c>
      <c r="T123" s="28"/>
    </row>
    <row r="124" spans="1:20" s="123" customFormat="1" x14ac:dyDescent="0.2">
      <c r="A124" s="28"/>
      <c r="B124" s="127" t="s">
        <v>428</v>
      </c>
      <c r="C124" s="109">
        <f>IFERROR(VLOOKUP($B124,MMWR_TRAD_AGG_STATE_PEN[],C$1,0),"ERROR")</f>
        <v>1678</v>
      </c>
      <c r="D124" s="110">
        <f>IFERROR(VLOOKUP($B124,MMWR_TRAD_AGG_STATE_PEN[],D$1,0),"ERROR")</f>
        <v>73.669249106099997</v>
      </c>
      <c r="E124" s="111">
        <f>IFERROR(VLOOKUP($B124,MMWR_TRAD_AGG_STATE_PEN[],E$1,0),"ERROR")</f>
        <v>666</v>
      </c>
      <c r="F124" s="112">
        <f>IFERROR(VLOOKUP($B124,MMWR_TRAD_AGG_STATE_PEN[],F$1,0),"ERROR")</f>
        <v>166</v>
      </c>
      <c r="G124" s="113">
        <f t="shared" si="12"/>
        <v>0.24924924924924924</v>
      </c>
      <c r="H124" s="111">
        <f>IFERROR(VLOOKUP($B124,MMWR_TRAD_AGG_STATE_PEN[],H$1,0),"ERROR")</f>
        <v>2066</v>
      </c>
      <c r="I124" s="112">
        <f>IFERROR(VLOOKUP($B124,MMWR_TRAD_AGG_STATE_PEN[],I$1,0),"ERROR")</f>
        <v>487</v>
      </c>
      <c r="J124" s="114">
        <f t="shared" si="13"/>
        <v>0.23572120038722169</v>
      </c>
      <c r="K124" s="111">
        <f>IFERROR(VLOOKUP($B124,MMWR_TRAD_AGG_STATE_PEN[],K$1,0),"ERROR")</f>
        <v>7</v>
      </c>
      <c r="L124" s="112">
        <f>IFERROR(VLOOKUP($B124,MMWR_TRAD_AGG_STATE_PEN[],L$1,0),"ERROR")</f>
        <v>6</v>
      </c>
      <c r="M124" s="114">
        <f t="shared" si="14"/>
        <v>0.8571428571428571</v>
      </c>
      <c r="N124" s="111">
        <f>IFERROR(VLOOKUP($B124,MMWR_TRAD_AGG_STATE_PEN[],N$1,0),"ERROR")</f>
        <v>26</v>
      </c>
      <c r="O124" s="112">
        <f>IFERROR(VLOOKUP($B124,MMWR_TRAD_AGG_STATE_PEN[],O$1,0),"ERROR")</f>
        <v>10</v>
      </c>
      <c r="P124" s="114">
        <f t="shared" si="15"/>
        <v>0.38461538461538464</v>
      </c>
      <c r="Q124" s="115">
        <f>IFERROR(VLOOKUP($B124,MMWR_TRAD_AGG_STATE_PEN[],Q$1,0),"ERROR")</f>
        <v>56</v>
      </c>
      <c r="R124" s="115">
        <f>IFERROR(VLOOKUP($B124,MMWR_TRAD_AGG_STATE_PEN[],R$1,0),"ERROR")</f>
        <v>117</v>
      </c>
      <c r="S124" s="115">
        <f>IFERROR(VLOOKUP($B124,MMWR_APP_STATE_PEN[],S$1,0),"ERROR")</f>
        <v>117</v>
      </c>
      <c r="T124" s="28"/>
    </row>
    <row r="125" spans="1:20" s="123" customFormat="1" x14ac:dyDescent="0.2">
      <c r="A125" s="28"/>
      <c r="B125" s="127" t="s">
        <v>384</v>
      </c>
      <c r="C125" s="109">
        <f>IFERROR(VLOOKUP($B125,MMWR_TRAD_AGG_STATE_PEN[],C$1,0),"ERROR")</f>
        <v>1025</v>
      </c>
      <c r="D125" s="110">
        <f>IFERROR(VLOOKUP($B125,MMWR_TRAD_AGG_STATE_PEN[],D$1,0),"ERROR")</f>
        <v>92.649756097600005</v>
      </c>
      <c r="E125" s="111">
        <f>IFERROR(VLOOKUP($B125,MMWR_TRAD_AGG_STATE_PEN[],E$1,0),"ERROR")</f>
        <v>1041</v>
      </c>
      <c r="F125" s="112">
        <f>IFERROR(VLOOKUP($B125,MMWR_TRAD_AGG_STATE_PEN[],F$1,0),"ERROR")</f>
        <v>249</v>
      </c>
      <c r="G125" s="113">
        <f t="shared" si="12"/>
        <v>0.23919308357348704</v>
      </c>
      <c r="H125" s="111">
        <f>IFERROR(VLOOKUP($B125,MMWR_TRAD_AGG_STATE_PEN[],H$1,0),"ERROR")</f>
        <v>1284</v>
      </c>
      <c r="I125" s="112">
        <f>IFERROR(VLOOKUP($B125,MMWR_TRAD_AGG_STATE_PEN[],I$1,0),"ERROR")</f>
        <v>407</v>
      </c>
      <c r="J125" s="114">
        <f t="shared" si="13"/>
        <v>0.31697819314641745</v>
      </c>
      <c r="K125" s="111">
        <f>IFERROR(VLOOKUP($B125,MMWR_TRAD_AGG_STATE_PEN[],K$1,0),"ERROR")</f>
        <v>8</v>
      </c>
      <c r="L125" s="112">
        <f>IFERROR(VLOOKUP($B125,MMWR_TRAD_AGG_STATE_PEN[],L$1,0),"ERROR")</f>
        <v>6</v>
      </c>
      <c r="M125" s="114">
        <f t="shared" si="14"/>
        <v>0.75</v>
      </c>
      <c r="N125" s="111">
        <f>IFERROR(VLOOKUP($B125,MMWR_TRAD_AGG_STATE_PEN[],N$1,0),"ERROR")</f>
        <v>44</v>
      </c>
      <c r="O125" s="112">
        <f>IFERROR(VLOOKUP($B125,MMWR_TRAD_AGG_STATE_PEN[],O$1,0),"ERROR")</f>
        <v>13</v>
      </c>
      <c r="P125" s="114">
        <f t="shared" si="15"/>
        <v>0.29545454545454547</v>
      </c>
      <c r="Q125" s="115">
        <f>IFERROR(VLOOKUP($B125,MMWR_TRAD_AGG_STATE_PEN[],Q$1,0),"ERROR")</f>
        <v>109</v>
      </c>
      <c r="R125" s="115">
        <f>IFERROR(VLOOKUP($B125,MMWR_TRAD_AGG_STATE_PEN[],R$1,0),"ERROR")</f>
        <v>277</v>
      </c>
      <c r="S125" s="115">
        <f>IFERROR(VLOOKUP($B125,MMWR_APP_STATE_PEN[],S$1,0),"ERROR")</f>
        <v>177</v>
      </c>
      <c r="T125" s="28"/>
    </row>
    <row r="126" spans="1:20" s="123" customFormat="1" x14ac:dyDescent="0.2">
      <c r="A126" s="28"/>
      <c r="B126" s="127" t="s">
        <v>385</v>
      </c>
      <c r="C126" s="109">
        <f>IFERROR(VLOOKUP($B126,MMWR_TRAD_AGG_STATE_PEN[],C$1,0),"ERROR")</f>
        <v>689</v>
      </c>
      <c r="D126" s="110">
        <f>IFERROR(VLOOKUP($B126,MMWR_TRAD_AGG_STATE_PEN[],D$1,0),"ERROR")</f>
        <v>50.403483309099997</v>
      </c>
      <c r="E126" s="111">
        <f>IFERROR(VLOOKUP($B126,MMWR_TRAD_AGG_STATE_PEN[],E$1,0),"ERROR")</f>
        <v>701</v>
      </c>
      <c r="F126" s="112">
        <f>IFERROR(VLOOKUP($B126,MMWR_TRAD_AGG_STATE_PEN[],F$1,0),"ERROR")</f>
        <v>71</v>
      </c>
      <c r="G126" s="113">
        <f t="shared" si="12"/>
        <v>0.10128388017118402</v>
      </c>
      <c r="H126" s="111">
        <f>IFERROR(VLOOKUP($B126,MMWR_TRAD_AGG_STATE_PEN[],H$1,0),"ERROR")</f>
        <v>886</v>
      </c>
      <c r="I126" s="112">
        <f>IFERROR(VLOOKUP($B126,MMWR_TRAD_AGG_STATE_PEN[],I$1,0),"ERROR")</f>
        <v>71</v>
      </c>
      <c r="J126" s="114">
        <f t="shared" si="13"/>
        <v>8.0135440180586909E-2</v>
      </c>
      <c r="K126" s="111">
        <f>IFERROR(VLOOKUP($B126,MMWR_TRAD_AGG_STATE_PEN[],K$1,0),"ERROR")</f>
        <v>1</v>
      </c>
      <c r="L126" s="112">
        <f>IFERROR(VLOOKUP($B126,MMWR_TRAD_AGG_STATE_PEN[],L$1,0),"ERROR")</f>
        <v>1</v>
      </c>
      <c r="M126" s="114">
        <f t="shared" si="14"/>
        <v>1</v>
      </c>
      <c r="N126" s="111">
        <f>IFERROR(VLOOKUP($B126,MMWR_TRAD_AGG_STATE_PEN[],N$1,0),"ERROR")</f>
        <v>67</v>
      </c>
      <c r="O126" s="112">
        <f>IFERROR(VLOOKUP($B126,MMWR_TRAD_AGG_STATE_PEN[],O$1,0),"ERROR")</f>
        <v>10</v>
      </c>
      <c r="P126" s="114">
        <f t="shared" si="15"/>
        <v>0.14925373134328357</v>
      </c>
      <c r="Q126" s="115">
        <f>IFERROR(VLOOKUP($B126,MMWR_TRAD_AGG_STATE_PEN[],Q$1,0),"ERROR")</f>
        <v>125</v>
      </c>
      <c r="R126" s="115">
        <f>IFERROR(VLOOKUP($B126,MMWR_TRAD_AGG_STATE_PEN[],R$1,0),"ERROR")</f>
        <v>74</v>
      </c>
      <c r="S126" s="115">
        <f>IFERROR(VLOOKUP($B126,MMWR_APP_STATE_PEN[],S$1,0),"ERROR")</f>
        <v>255</v>
      </c>
      <c r="T126" s="28"/>
    </row>
    <row r="127" spans="1:20" s="123" customFormat="1" x14ac:dyDescent="0.2">
      <c r="A127" s="28"/>
      <c r="B127" s="128" t="s">
        <v>8</v>
      </c>
      <c r="C127" s="102">
        <f>IFERROR(VLOOKUP($B127,MMWR_TRAD_AGG_ST_DISTRICT_PEN[],C$1,0),"ERROR")</f>
        <v>158</v>
      </c>
      <c r="D127" s="103">
        <f>IFERROR(VLOOKUP($B127,MMWR_TRAD_AGG_ST_DISTRICT_PEN[],D$1,0),"ERROR")</f>
        <v>79.107594936699996</v>
      </c>
      <c r="E127" s="102">
        <f>IFERROR(VLOOKUP($B127,MMWR_TRAD_AGG_ST_DISTRICT_PEN[],E$1,0),"ERROR")</f>
        <v>209</v>
      </c>
      <c r="F127" s="102">
        <f>IFERROR(VLOOKUP($B127,MMWR_TRAD_AGG_ST_DISTRICT_PEN[],F$1,0),"ERROR")</f>
        <v>104</v>
      </c>
      <c r="G127" s="104">
        <f t="shared" si="12"/>
        <v>0.49760765550239233</v>
      </c>
      <c r="H127" s="102">
        <f>IFERROR(VLOOKUP($B127,MMWR_TRAD_AGG_ST_DISTRICT_PEN[],H$1,0),"ERROR")</f>
        <v>346</v>
      </c>
      <c r="I127" s="102">
        <f>IFERROR(VLOOKUP($B127,MMWR_TRAD_AGG_ST_DISTRICT_PEN[],I$1,0),"ERROR")</f>
        <v>153</v>
      </c>
      <c r="J127" s="104">
        <f t="shared" si="13"/>
        <v>0.44219653179190749</v>
      </c>
      <c r="K127" s="102">
        <f>IFERROR(VLOOKUP($B127,MMWR_TRAD_AGG_ST_DISTRICT_PEN[],K$1,0),"ERROR")</f>
        <v>10</v>
      </c>
      <c r="L127" s="102">
        <f>IFERROR(VLOOKUP($B127,MMWR_TRAD_AGG_ST_DISTRICT_PEN[],L$1,0),"ERROR")</f>
        <v>9</v>
      </c>
      <c r="M127" s="104">
        <f t="shared" si="14"/>
        <v>0.9</v>
      </c>
      <c r="N127" s="102">
        <f>IFERROR(VLOOKUP($B127,MMWR_TRAD_AGG_ST_DISTRICT_PEN[],N$1,0),"ERROR")</f>
        <v>12</v>
      </c>
      <c r="O127" s="102">
        <f>IFERROR(VLOOKUP($B127,MMWR_TRAD_AGG_ST_DISTRICT_PEN[],O$1,0),"ERROR")</f>
        <v>4</v>
      </c>
      <c r="P127" s="104">
        <f t="shared" si="15"/>
        <v>0.33333333333333331</v>
      </c>
      <c r="Q127" s="102">
        <f>IFERROR(VLOOKUP($B127,MMWR_TRAD_AGG_ST_DISTRICT_PEN[],Q$1,0),"ERROR")</f>
        <v>37</v>
      </c>
      <c r="R127" s="106">
        <f>IFERROR(VLOOKUP($B127,MMWR_TRAD_AGG_ST_DISTRICT_PEN[],R$1,0),"ERROR")</f>
        <v>25</v>
      </c>
      <c r="S127" s="106">
        <f>IFERROR(VLOOKUP($B127,MMWR_APP_STATE_PEN[],S$1,0),"ERROR")</f>
        <v>6</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351509</v>
      </c>
      <c r="D3">
        <v>288533</v>
      </c>
      <c r="F3" t="s">
        <v>31</v>
      </c>
      <c r="G3">
        <v>958</v>
      </c>
      <c r="H3">
        <v>136.95093945720001</v>
      </c>
      <c r="I3">
        <v>2727</v>
      </c>
      <c r="J3">
        <v>737</v>
      </c>
      <c r="K3">
        <v>1367</v>
      </c>
      <c r="L3">
        <v>442</v>
      </c>
      <c r="M3">
        <v>341</v>
      </c>
      <c r="N3">
        <v>105</v>
      </c>
      <c r="O3">
        <v>446</v>
      </c>
      <c r="P3">
        <v>278</v>
      </c>
      <c r="Q3">
        <v>0</v>
      </c>
      <c r="R3">
        <v>10</v>
      </c>
      <c r="T3" t="s">
        <v>209</v>
      </c>
      <c r="U3">
        <v>6566</v>
      </c>
      <c r="V3">
        <v>47.870240633599998</v>
      </c>
      <c r="W3">
        <v>7472</v>
      </c>
      <c r="X3">
        <v>890</v>
      </c>
      <c r="Y3">
        <v>8682</v>
      </c>
      <c r="Z3">
        <v>373</v>
      </c>
      <c r="AA3">
        <v>3</v>
      </c>
      <c r="AB3">
        <v>3</v>
      </c>
      <c r="AC3">
        <v>471</v>
      </c>
      <c r="AD3">
        <v>90</v>
      </c>
      <c r="AE3">
        <v>1046</v>
      </c>
      <c r="AF3">
        <v>805</v>
      </c>
      <c r="AH3" t="s">
        <v>389</v>
      </c>
      <c r="AI3">
        <v>12835</v>
      </c>
      <c r="AJ3">
        <v>391.08134008569999</v>
      </c>
      <c r="AK3">
        <v>7297</v>
      </c>
      <c r="AL3">
        <v>1817</v>
      </c>
      <c r="AM3">
        <v>16463</v>
      </c>
      <c r="AN3">
        <v>11787</v>
      </c>
      <c r="AO3">
        <v>5091</v>
      </c>
      <c r="AP3">
        <v>3923</v>
      </c>
      <c r="AQ3">
        <v>3481</v>
      </c>
      <c r="AR3">
        <v>2149</v>
      </c>
      <c r="AS3">
        <v>456</v>
      </c>
      <c r="AT3">
        <v>372</v>
      </c>
      <c r="AV3" t="s">
        <v>414</v>
      </c>
      <c r="AW3">
        <v>84</v>
      </c>
      <c r="AX3">
        <v>55.3095238095</v>
      </c>
      <c r="AY3">
        <v>179</v>
      </c>
      <c r="AZ3">
        <v>5</v>
      </c>
      <c r="BA3">
        <v>122</v>
      </c>
      <c r="BB3">
        <v>4</v>
      </c>
      <c r="BC3">
        <v>0</v>
      </c>
      <c r="BE3">
        <v>8</v>
      </c>
      <c r="BF3">
        <v>4</v>
      </c>
      <c r="BG3">
        <v>145</v>
      </c>
      <c r="BH3">
        <v>31</v>
      </c>
      <c r="BJ3" t="s">
        <v>729</v>
      </c>
      <c r="BK3" t="s">
        <v>732</v>
      </c>
      <c r="BL3">
        <v>302320</v>
      </c>
      <c r="BM3">
        <v>73066</v>
      </c>
      <c r="BN3">
        <v>94.361451442200007</v>
      </c>
      <c r="BO3">
        <v>428076</v>
      </c>
      <c r="BP3">
        <v>80908</v>
      </c>
      <c r="BQ3">
        <v>134.19979629790001</v>
      </c>
      <c r="BR3">
        <v>130.10506995599999</v>
      </c>
      <c r="BS3">
        <v>302321</v>
      </c>
      <c r="BT3">
        <v>73067</v>
      </c>
      <c r="BU3">
        <v>94.362379722200004</v>
      </c>
      <c r="BV3">
        <v>428076</v>
      </c>
      <c r="BW3">
        <v>80908</v>
      </c>
      <c r="BX3">
        <v>134.19979629790001</v>
      </c>
      <c r="BY3">
        <v>130.10506995599999</v>
      </c>
      <c r="CA3" t="s">
        <v>1037</v>
      </c>
      <c r="CB3" t="s">
        <v>732</v>
      </c>
      <c r="CC3" t="s">
        <v>918</v>
      </c>
      <c r="CD3">
        <v>10105</v>
      </c>
      <c r="CE3">
        <v>2335</v>
      </c>
      <c r="CF3">
        <v>89.376744185999996</v>
      </c>
      <c r="CG3">
        <v>10537</v>
      </c>
      <c r="CH3">
        <v>2444</v>
      </c>
      <c r="CI3">
        <v>139.6254152036</v>
      </c>
      <c r="CJ3">
        <v>146.5388707038</v>
      </c>
      <c r="CL3" t="s">
        <v>1037</v>
      </c>
      <c r="CM3" t="s">
        <v>732</v>
      </c>
      <c r="CN3" t="s">
        <v>918</v>
      </c>
      <c r="CO3">
        <v>10105</v>
      </c>
      <c r="CP3">
        <v>2335</v>
      </c>
      <c r="CQ3">
        <v>89.376744185999996</v>
      </c>
      <c r="CR3">
        <v>10537</v>
      </c>
      <c r="CS3">
        <v>2444</v>
      </c>
      <c r="CT3">
        <v>139.6254152036</v>
      </c>
      <c r="CU3">
        <v>146.5388707038</v>
      </c>
      <c r="CW3" t="s">
        <v>1037</v>
      </c>
      <c r="CX3" t="s">
        <v>732</v>
      </c>
      <c r="CY3" t="s">
        <v>918</v>
      </c>
      <c r="CZ3">
        <v>10105</v>
      </c>
      <c r="DA3">
        <v>2335</v>
      </c>
      <c r="DB3">
        <v>89.376744185999996</v>
      </c>
      <c r="DC3">
        <v>10537</v>
      </c>
      <c r="DD3">
        <v>2444</v>
      </c>
      <c r="DE3">
        <v>139.6254152036</v>
      </c>
      <c r="DF3">
        <v>146.5388707038</v>
      </c>
      <c r="DH3" t="s">
        <v>1037</v>
      </c>
      <c r="DI3" t="s">
        <v>732</v>
      </c>
      <c r="DJ3" t="s">
        <v>918</v>
      </c>
      <c r="DK3">
        <v>10105</v>
      </c>
      <c r="DL3">
        <v>2335</v>
      </c>
      <c r="DM3">
        <v>89.376744185999996</v>
      </c>
      <c r="DN3">
        <v>10537</v>
      </c>
      <c r="DO3">
        <v>2444</v>
      </c>
      <c r="DP3">
        <v>139.6254152036</v>
      </c>
      <c r="DQ3">
        <v>146.5388707038</v>
      </c>
    </row>
    <row r="4" spans="2:121" x14ac:dyDescent="0.2">
      <c r="B4" t="s">
        <v>98</v>
      </c>
      <c r="C4">
        <v>101681</v>
      </c>
      <c r="D4">
        <v>80454</v>
      </c>
      <c r="F4" t="s">
        <v>77</v>
      </c>
      <c r="G4">
        <v>15790</v>
      </c>
      <c r="H4">
        <v>316.76915769470003</v>
      </c>
      <c r="I4">
        <v>19116</v>
      </c>
      <c r="J4">
        <v>5209</v>
      </c>
      <c r="K4">
        <v>19270</v>
      </c>
      <c r="L4">
        <v>12841</v>
      </c>
      <c r="M4">
        <v>4548</v>
      </c>
      <c r="N4">
        <v>2421</v>
      </c>
      <c r="O4">
        <v>12345</v>
      </c>
      <c r="P4">
        <v>8319</v>
      </c>
      <c r="Q4">
        <v>6</v>
      </c>
      <c r="R4">
        <v>258</v>
      </c>
      <c r="T4" t="s">
        <v>224</v>
      </c>
      <c r="U4">
        <v>0</v>
      </c>
      <c r="W4">
        <v>287</v>
      </c>
      <c r="X4">
        <v>130</v>
      </c>
      <c r="Y4">
        <v>508</v>
      </c>
      <c r="Z4">
        <v>352</v>
      </c>
      <c r="AA4">
        <v>219</v>
      </c>
      <c r="AB4">
        <v>216</v>
      </c>
      <c r="AC4">
        <v>159</v>
      </c>
      <c r="AD4">
        <v>130</v>
      </c>
      <c r="AE4">
        <v>5</v>
      </c>
      <c r="AF4">
        <v>0</v>
      </c>
      <c r="AH4" t="s">
        <v>425</v>
      </c>
      <c r="AI4">
        <v>1932</v>
      </c>
      <c r="AJ4">
        <v>465.24171842649997</v>
      </c>
      <c r="AK4">
        <v>1241</v>
      </c>
      <c r="AL4">
        <v>341</v>
      </c>
      <c r="AM4">
        <v>2813</v>
      </c>
      <c r="AN4">
        <v>2127</v>
      </c>
      <c r="AO4">
        <v>1848</v>
      </c>
      <c r="AP4">
        <v>1485</v>
      </c>
      <c r="AQ4">
        <v>659</v>
      </c>
      <c r="AR4">
        <v>378</v>
      </c>
      <c r="AS4">
        <v>1</v>
      </c>
      <c r="AT4">
        <v>2</v>
      </c>
      <c r="AV4" t="s">
        <v>428</v>
      </c>
      <c r="AW4">
        <v>1678</v>
      </c>
      <c r="AX4">
        <v>73.669249106099997</v>
      </c>
      <c r="AY4">
        <v>666</v>
      </c>
      <c r="AZ4">
        <v>166</v>
      </c>
      <c r="BA4">
        <v>2066</v>
      </c>
      <c r="BB4">
        <v>487</v>
      </c>
      <c r="BC4">
        <v>7</v>
      </c>
      <c r="BD4">
        <v>6</v>
      </c>
      <c r="BE4">
        <v>26</v>
      </c>
      <c r="BF4">
        <v>10</v>
      </c>
      <c r="BG4">
        <v>56</v>
      </c>
      <c r="BH4">
        <v>117</v>
      </c>
      <c r="BJ4" t="s">
        <v>638</v>
      </c>
      <c r="BK4" t="s">
        <v>386</v>
      </c>
      <c r="BL4">
        <v>837</v>
      </c>
      <c r="BM4">
        <v>94</v>
      </c>
      <c r="BN4">
        <v>75.913978494600002</v>
      </c>
      <c r="BO4">
        <v>1010</v>
      </c>
      <c r="BP4">
        <v>191</v>
      </c>
      <c r="BQ4">
        <v>140.96138613860001</v>
      </c>
      <c r="BR4">
        <v>143.4240837696</v>
      </c>
      <c r="BS4">
        <v>856</v>
      </c>
      <c r="BT4">
        <v>110</v>
      </c>
      <c r="BU4">
        <v>79.508177570100003</v>
      </c>
      <c r="BV4">
        <v>1151</v>
      </c>
      <c r="BW4">
        <v>207</v>
      </c>
      <c r="BX4">
        <v>143.49695916589999</v>
      </c>
      <c r="BY4">
        <v>144.36231884060001</v>
      </c>
      <c r="CA4" t="s">
        <v>1036</v>
      </c>
      <c r="CB4" t="s">
        <v>732</v>
      </c>
      <c r="CC4" t="s">
        <v>918</v>
      </c>
      <c r="CD4">
        <v>302321</v>
      </c>
      <c r="CE4">
        <v>73067</v>
      </c>
      <c r="CF4">
        <v>94.362379722200004</v>
      </c>
      <c r="CG4">
        <v>428076</v>
      </c>
      <c r="CH4">
        <v>80908</v>
      </c>
      <c r="CI4">
        <v>134.19979629790001</v>
      </c>
      <c r="CJ4">
        <v>130.10506995599999</v>
      </c>
      <c r="CL4" t="s">
        <v>1036</v>
      </c>
      <c r="CM4" t="s">
        <v>732</v>
      </c>
      <c r="CN4" t="s">
        <v>918</v>
      </c>
      <c r="CO4">
        <v>302321</v>
      </c>
      <c r="CP4">
        <v>73067</v>
      </c>
      <c r="CQ4">
        <v>94.362379722200004</v>
      </c>
      <c r="CR4">
        <v>428076</v>
      </c>
      <c r="CS4">
        <v>80908</v>
      </c>
      <c r="CT4">
        <v>134.19979629790001</v>
      </c>
      <c r="CU4">
        <v>130.10506995599999</v>
      </c>
      <c r="CW4" t="s">
        <v>1036</v>
      </c>
      <c r="CX4" t="s">
        <v>732</v>
      </c>
      <c r="CY4" t="s">
        <v>918</v>
      </c>
      <c r="CZ4">
        <v>302321</v>
      </c>
      <c r="DA4">
        <v>73067</v>
      </c>
      <c r="DB4">
        <v>94.362379722200004</v>
      </c>
      <c r="DC4">
        <v>428076</v>
      </c>
      <c r="DD4">
        <v>80908</v>
      </c>
      <c r="DE4">
        <v>134.19979629790001</v>
      </c>
      <c r="DF4">
        <v>130.10506995599999</v>
      </c>
      <c r="DH4" t="s">
        <v>1036</v>
      </c>
      <c r="DI4" t="s">
        <v>732</v>
      </c>
      <c r="DJ4" t="s">
        <v>918</v>
      </c>
      <c r="DK4">
        <v>302321</v>
      </c>
      <c r="DL4">
        <v>73067</v>
      </c>
      <c r="DM4">
        <v>94.362379722200004</v>
      </c>
      <c r="DN4">
        <v>428076</v>
      </c>
      <c r="DO4">
        <v>80908</v>
      </c>
      <c r="DP4">
        <v>134.19979629790001</v>
      </c>
      <c r="DQ4">
        <v>130.10506995599999</v>
      </c>
    </row>
    <row r="5" spans="2:121" x14ac:dyDescent="0.2">
      <c r="B5" t="s">
        <v>107</v>
      </c>
      <c r="C5">
        <v>69376</v>
      </c>
      <c r="D5">
        <v>52841</v>
      </c>
      <c r="F5" t="s">
        <v>51</v>
      </c>
      <c r="G5">
        <v>3949</v>
      </c>
      <c r="H5">
        <v>372.07900734359998</v>
      </c>
      <c r="I5">
        <v>3288</v>
      </c>
      <c r="J5">
        <v>555</v>
      </c>
      <c r="K5">
        <v>7516</v>
      </c>
      <c r="L5">
        <v>4314</v>
      </c>
      <c r="M5">
        <v>3980</v>
      </c>
      <c r="N5">
        <v>3244</v>
      </c>
      <c r="O5">
        <v>1469</v>
      </c>
      <c r="P5">
        <v>762</v>
      </c>
      <c r="Q5">
        <v>2</v>
      </c>
      <c r="R5">
        <v>98</v>
      </c>
      <c r="T5" t="s">
        <v>210</v>
      </c>
      <c r="U5">
        <v>14872</v>
      </c>
      <c r="V5">
        <v>93.301775147900003</v>
      </c>
      <c r="W5">
        <v>18038</v>
      </c>
      <c r="X5">
        <v>4467</v>
      </c>
      <c r="Y5">
        <v>18969</v>
      </c>
      <c r="Z5">
        <v>5795</v>
      </c>
      <c r="AA5">
        <v>93</v>
      </c>
      <c r="AB5">
        <v>90</v>
      </c>
      <c r="AC5">
        <v>850</v>
      </c>
      <c r="AD5">
        <v>272</v>
      </c>
      <c r="AE5">
        <v>1475</v>
      </c>
      <c r="AF5">
        <v>4201</v>
      </c>
      <c r="AH5" t="s">
        <v>427</v>
      </c>
      <c r="AI5">
        <v>5509</v>
      </c>
      <c r="AJ5">
        <v>307.57542203669999</v>
      </c>
      <c r="AK5">
        <v>5722</v>
      </c>
      <c r="AL5">
        <v>1379</v>
      </c>
      <c r="AM5">
        <v>7596</v>
      </c>
      <c r="AN5">
        <v>5033</v>
      </c>
      <c r="AO5">
        <v>1468</v>
      </c>
      <c r="AP5">
        <v>774</v>
      </c>
      <c r="AQ5">
        <v>2230</v>
      </c>
      <c r="AR5">
        <v>1366</v>
      </c>
      <c r="AS5">
        <v>7</v>
      </c>
      <c r="AT5">
        <v>72</v>
      </c>
      <c r="AV5" t="s">
        <v>401</v>
      </c>
      <c r="AW5">
        <v>73</v>
      </c>
      <c r="AX5">
        <v>42.123287671200004</v>
      </c>
      <c r="AY5">
        <v>64</v>
      </c>
      <c r="AZ5">
        <v>7</v>
      </c>
      <c r="BA5">
        <v>87</v>
      </c>
      <c r="BB5">
        <v>1</v>
      </c>
      <c r="BC5">
        <v>0</v>
      </c>
      <c r="BE5">
        <v>3</v>
      </c>
      <c r="BF5">
        <v>1</v>
      </c>
      <c r="BG5">
        <v>173</v>
      </c>
      <c r="BH5">
        <v>12</v>
      </c>
      <c r="BJ5" t="s">
        <v>386</v>
      </c>
      <c r="BK5" t="s">
        <v>386</v>
      </c>
      <c r="BL5">
        <v>60638</v>
      </c>
      <c r="BM5">
        <v>14042</v>
      </c>
      <c r="BN5">
        <v>92.752910716100004</v>
      </c>
      <c r="BO5">
        <v>82135</v>
      </c>
      <c r="BP5">
        <v>15453</v>
      </c>
      <c r="BQ5">
        <v>139.8683265356</v>
      </c>
      <c r="BR5">
        <v>134.80366271919999</v>
      </c>
      <c r="BS5">
        <v>53660</v>
      </c>
      <c r="BT5">
        <v>12096</v>
      </c>
      <c r="BU5">
        <v>91.300521803999999</v>
      </c>
      <c r="BV5">
        <v>82224</v>
      </c>
      <c r="BW5">
        <v>15006</v>
      </c>
      <c r="BX5">
        <v>139.60914088339999</v>
      </c>
      <c r="BY5">
        <v>134.6383446621</v>
      </c>
      <c r="CA5" t="s">
        <v>1038</v>
      </c>
      <c r="CB5" t="s">
        <v>732</v>
      </c>
      <c r="CC5" t="s">
        <v>918</v>
      </c>
      <c r="CD5">
        <v>26038</v>
      </c>
      <c r="CE5">
        <v>3240</v>
      </c>
      <c r="CF5">
        <v>69.893693832099999</v>
      </c>
      <c r="CG5">
        <v>59121</v>
      </c>
      <c r="CH5">
        <v>11333</v>
      </c>
      <c r="CI5">
        <v>75.5123729301</v>
      </c>
      <c r="CJ5">
        <v>83.644224830100001</v>
      </c>
      <c r="CL5" t="s">
        <v>1038</v>
      </c>
      <c r="CM5" t="s">
        <v>732</v>
      </c>
      <c r="CN5" t="s">
        <v>918</v>
      </c>
      <c r="CO5">
        <v>26038</v>
      </c>
      <c r="CP5">
        <v>3240</v>
      </c>
      <c r="CQ5">
        <v>69.893693832099999</v>
      </c>
      <c r="CR5">
        <v>59121</v>
      </c>
      <c r="CS5">
        <v>11333</v>
      </c>
      <c r="CT5">
        <v>75.5123729301</v>
      </c>
      <c r="CU5">
        <v>83.644224830100001</v>
      </c>
      <c r="CW5" t="s">
        <v>1038</v>
      </c>
      <c r="CX5" t="s">
        <v>732</v>
      </c>
      <c r="CY5" t="s">
        <v>918</v>
      </c>
      <c r="CZ5">
        <v>26038</v>
      </c>
      <c r="DA5">
        <v>3240</v>
      </c>
      <c r="DB5">
        <v>69.893693832099999</v>
      </c>
      <c r="DC5">
        <v>59121</v>
      </c>
      <c r="DD5">
        <v>11333</v>
      </c>
      <c r="DE5">
        <v>75.5123729301</v>
      </c>
      <c r="DF5">
        <v>83.644224830100001</v>
      </c>
      <c r="DH5" t="s">
        <v>1038</v>
      </c>
      <c r="DI5" t="s">
        <v>732</v>
      </c>
      <c r="DJ5" t="s">
        <v>918</v>
      </c>
      <c r="DK5">
        <v>26038</v>
      </c>
      <c r="DL5">
        <v>3240</v>
      </c>
      <c r="DM5">
        <v>69.893693832099999</v>
      </c>
      <c r="DN5">
        <v>59121</v>
      </c>
      <c r="DO5">
        <v>11333</v>
      </c>
      <c r="DP5">
        <v>75.5123729301</v>
      </c>
      <c r="DQ5">
        <v>83.644224830100001</v>
      </c>
    </row>
    <row r="6" spans="2:121" x14ac:dyDescent="0.2">
      <c r="B6" t="s">
        <v>90</v>
      </c>
      <c r="C6">
        <v>8535</v>
      </c>
      <c r="D6">
        <v>1648</v>
      </c>
      <c r="F6" t="s">
        <v>181</v>
      </c>
      <c r="G6">
        <v>430</v>
      </c>
      <c r="H6">
        <v>149.1837209302</v>
      </c>
      <c r="I6">
        <v>592</v>
      </c>
      <c r="J6">
        <v>51</v>
      </c>
      <c r="K6">
        <v>612</v>
      </c>
      <c r="L6">
        <v>196</v>
      </c>
      <c r="M6">
        <v>437</v>
      </c>
      <c r="N6">
        <v>127</v>
      </c>
      <c r="O6">
        <v>170</v>
      </c>
      <c r="P6">
        <v>68</v>
      </c>
      <c r="Q6">
        <v>0</v>
      </c>
      <c r="R6">
        <v>3</v>
      </c>
      <c r="T6" t="s">
        <v>212</v>
      </c>
      <c r="U6">
        <v>3682</v>
      </c>
      <c r="V6">
        <v>47.2376425856</v>
      </c>
      <c r="W6">
        <v>6008</v>
      </c>
      <c r="X6">
        <v>239</v>
      </c>
      <c r="Y6">
        <v>4859</v>
      </c>
      <c r="Z6">
        <v>75</v>
      </c>
      <c r="AA6">
        <v>40</v>
      </c>
      <c r="AB6">
        <v>17</v>
      </c>
      <c r="AC6">
        <v>212</v>
      </c>
      <c r="AD6">
        <v>69</v>
      </c>
      <c r="AE6">
        <v>6980</v>
      </c>
      <c r="AF6">
        <v>1033</v>
      </c>
      <c r="AH6" t="s">
        <v>412</v>
      </c>
      <c r="AI6">
        <v>4127</v>
      </c>
      <c r="AJ6">
        <v>373.1814877635</v>
      </c>
      <c r="AK6">
        <v>3622</v>
      </c>
      <c r="AL6">
        <v>647</v>
      </c>
      <c r="AM6">
        <v>5672</v>
      </c>
      <c r="AN6">
        <v>3820</v>
      </c>
      <c r="AO6">
        <v>1965</v>
      </c>
      <c r="AP6">
        <v>1370</v>
      </c>
      <c r="AQ6">
        <v>2262</v>
      </c>
      <c r="AR6">
        <v>1341</v>
      </c>
      <c r="AS6">
        <v>340</v>
      </c>
      <c r="AT6">
        <v>102</v>
      </c>
      <c r="AV6" t="s">
        <v>421</v>
      </c>
      <c r="AW6">
        <v>39</v>
      </c>
      <c r="AX6">
        <v>46.743589743599998</v>
      </c>
      <c r="AY6">
        <v>46</v>
      </c>
      <c r="AZ6">
        <v>2</v>
      </c>
      <c r="BA6">
        <v>53</v>
      </c>
      <c r="BC6">
        <v>0</v>
      </c>
      <c r="BE6">
        <v>1</v>
      </c>
      <c r="BF6">
        <v>1</v>
      </c>
      <c r="BG6">
        <v>92</v>
      </c>
      <c r="BH6">
        <v>6</v>
      </c>
      <c r="BJ6" t="s">
        <v>585</v>
      </c>
      <c r="BK6" t="s">
        <v>386</v>
      </c>
      <c r="BL6">
        <v>6227</v>
      </c>
      <c r="BM6">
        <v>1683</v>
      </c>
      <c r="BN6">
        <v>102.878914405</v>
      </c>
      <c r="BO6">
        <v>7767</v>
      </c>
      <c r="BP6">
        <v>1763</v>
      </c>
      <c r="BQ6">
        <v>156.2170722287</v>
      </c>
      <c r="BR6">
        <v>130.888825865</v>
      </c>
      <c r="BS6">
        <v>6065</v>
      </c>
      <c r="BT6">
        <v>1577</v>
      </c>
      <c r="BU6">
        <v>101.8628194559</v>
      </c>
      <c r="BV6">
        <v>7467</v>
      </c>
      <c r="BW6">
        <v>1599</v>
      </c>
      <c r="BX6">
        <v>155.041114236</v>
      </c>
      <c r="BY6">
        <v>133.12757973730001</v>
      </c>
      <c r="CA6" t="s">
        <v>1039</v>
      </c>
      <c r="CB6" t="s">
        <v>732</v>
      </c>
      <c r="CC6" t="s">
        <v>918</v>
      </c>
      <c r="CD6">
        <v>10002</v>
      </c>
      <c r="CE6">
        <v>2809</v>
      </c>
      <c r="CF6">
        <v>93.487202559500005</v>
      </c>
      <c r="CG6">
        <v>8519</v>
      </c>
      <c r="CH6">
        <v>2065</v>
      </c>
      <c r="CI6">
        <v>147.20671440309999</v>
      </c>
      <c r="CJ6">
        <v>153.45569007259999</v>
      </c>
      <c r="CL6" t="s">
        <v>1039</v>
      </c>
      <c r="CM6" t="s">
        <v>732</v>
      </c>
      <c r="CN6" t="s">
        <v>918</v>
      </c>
      <c r="CO6">
        <v>10002</v>
      </c>
      <c r="CP6">
        <v>2809</v>
      </c>
      <c r="CQ6">
        <v>93.487202559500005</v>
      </c>
      <c r="CR6">
        <v>8519</v>
      </c>
      <c r="CS6">
        <v>2065</v>
      </c>
      <c r="CT6">
        <v>147.20671440309999</v>
      </c>
      <c r="CU6">
        <v>153.45569007259999</v>
      </c>
      <c r="CW6" t="s">
        <v>1039</v>
      </c>
      <c r="CX6" t="s">
        <v>732</v>
      </c>
      <c r="CY6" t="s">
        <v>918</v>
      </c>
      <c r="CZ6">
        <v>10002</v>
      </c>
      <c r="DA6">
        <v>2809</v>
      </c>
      <c r="DB6">
        <v>93.487202559500005</v>
      </c>
      <c r="DC6">
        <v>8519</v>
      </c>
      <c r="DD6">
        <v>2065</v>
      </c>
      <c r="DE6">
        <v>147.20671440309999</v>
      </c>
      <c r="DF6">
        <v>153.45569007259999</v>
      </c>
      <c r="DH6" t="s">
        <v>1039</v>
      </c>
      <c r="DI6" t="s">
        <v>732</v>
      </c>
      <c r="DJ6" t="s">
        <v>918</v>
      </c>
      <c r="DK6">
        <v>10002</v>
      </c>
      <c r="DL6">
        <v>2809</v>
      </c>
      <c r="DM6">
        <v>93.487202559500005</v>
      </c>
      <c r="DN6">
        <v>8519</v>
      </c>
      <c r="DO6">
        <v>2065</v>
      </c>
      <c r="DP6">
        <v>147.20671440309999</v>
      </c>
      <c r="DQ6">
        <v>153.45569007259999</v>
      </c>
    </row>
    <row r="7" spans="2:121" x14ac:dyDescent="0.2">
      <c r="B7" t="s">
        <v>91</v>
      </c>
      <c r="C7">
        <v>958</v>
      </c>
      <c r="D7">
        <v>274</v>
      </c>
      <c r="F7" t="s">
        <v>27</v>
      </c>
      <c r="G7">
        <v>1507</v>
      </c>
      <c r="H7">
        <v>99.106171201099997</v>
      </c>
      <c r="I7">
        <v>5445</v>
      </c>
      <c r="J7">
        <v>933</v>
      </c>
      <c r="K7">
        <v>6804</v>
      </c>
      <c r="L7">
        <v>2620</v>
      </c>
      <c r="M7">
        <v>1321</v>
      </c>
      <c r="N7">
        <v>540</v>
      </c>
      <c r="O7">
        <v>1380</v>
      </c>
      <c r="P7">
        <v>651</v>
      </c>
      <c r="Q7">
        <v>0</v>
      </c>
      <c r="R7">
        <v>72</v>
      </c>
      <c r="T7" t="s">
        <v>463</v>
      </c>
      <c r="U7">
        <v>25120</v>
      </c>
      <c r="V7">
        <v>74.674721337600005</v>
      </c>
      <c r="W7">
        <v>31805</v>
      </c>
      <c r="X7">
        <v>5726</v>
      </c>
      <c r="Y7">
        <v>33018</v>
      </c>
      <c r="Z7">
        <v>6595</v>
      </c>
      <c r="AA7">
        <v>355</v>
      </c>
      <c r="AB7">
        <v>326</v>
      </c>
      <c r="AC7">
        <v>1692</v>
      </c>
      <c r="AD7">
        <v>561</v>
      </c>
      <c r="AE7">
        <v>9506</v>
      </c>
      <c r="AF7">
        <v>6039</v>
      </c>
      <c r="AH7" t="s">
        <v>408</v>
      </c>
      <c r="AI7">
        <v>28688</v>
      </c>
      <c r="AJ7">
        <v>397.44419269380001</v>
      </c>
      <c r="AK7">
        <v>30754</v>
      </c>
      <c r="AL7">
        <v>7194</v>
      </c>
      <c r="AM7">
        <v>41682</v>
      </c>
      <c r="AN7">
        <v>29458</v>
      </c>
      <c r="AO7">
        <v>9961</v>
      </c>
      <c r="AP7">
        <v>7178</v>
      </c>
      <c r="AQ7">
        <v>14547</v>
      </c>
      <c r="AR7">
        <v>9580</v>
      </c>
      <c r="AS7">
        <v>54</v>
      </c>
      <c r="AT7">
        <v>138</v>
      </c>
      <c r="AV7" t="s">
        <v>389</v>
      </c>
      <c r="AW7">
        <v>1102</v>
      </c>
      <c r="AX7">
        <v>47.065335753200003</v>
      </c>
      <c r="AY7">
        <v>835</v>
      </c>
      <c r="AZ7">
        <v>91</v>
      </c>
      <c r="BA7">
        <v>1313</v>
      </c>
      <c r="BB7">
        <v>60</v>
      </c>
      <c r="BC7">
        <v>5</v>
      </c>
      <c r="BD7">
        <v>5</v>
      </c>
      <c r="BE7">
        <v>46</v>
      </c>
      <c r="BF7">
        <v>9</v>
      </c>
      <c r="BG7">
        <v>129</v>
      </c>
      <c r="BH7">
        <v>100</v>
      </c>
      <c r="BJ7" t="s">
        <v>632</v>
      </c>
      <c r="BK7" t="s">
        <v>386</v>
      </c>
      <c r="BL7">
        <v>606</v>
      </c>
      <c r="BM7">
        <v>48</v>
      </c>
      <c r="BN7">
        <v>57.676567656800003</v>
      </c>
      <c r="BO7">
        <v>1603</v>
      </c>
      <c r="BP7">
        <v>277</v>
      </c>
      <c r="BQ7">
        <v>91.714285714300004</v>
      </c>
      <c r="BR7">
        <v>108.08664259930001</v>
      </c>
      <c r="BS7">
        <v>1534</v>
      </c>
      <c r="BT7">
        <v>237</v>
      </c>
      <c r="BU7">
        <v>78.966101694900004</v>
      </c>
      <c r="BV7">
        <v>2599</v>
      </c>
      <c r="BW7">
        <v>476</v>
      </c>
      <c r="BX7">
        <v>123.5236629473</v>
      </c>
      <c r="BY7">
        <v>120.58193277309999</v>
      </c>
      <c r="CA7" t="s">
        <v>412</v>
      </c>
      <c r="CB7" t="s">
        <v>768</v>
      </c>
      <c r="CC7" t="s">
        <v>994</v>
      </c>
      <c r="CD7">
        <v>3580</v>
      </c>
      <c r="CE7">
        <v>602</v>
      </c>
      <c r="CF7">
        <v>81.443854748600003</v>
      </c>
      <c r="CG7">
        <v>5247</v>
      </c>
      <c r="CH7">
        <v>1002</v>
      </c>
      <c r="CI7">
        <v>125.7646274061</v>
      </c>
      <c r="CJ7">
        <v>128.76546906190001</v>
      </c>
      <c r="CL7" t="s">
        <v>412</v>
      </c>
      <c r="CM7" t="s">
        <v>749</v>
      </c>
      <c r="CN7" t="s">
        <v>748</v>
      </c>
      <c r="CO7">
        <v>324</v>
      </c>
      <c r="CP7">
        <v>37</v>
      </c>
      <c r="CQ7">
        <v>64.444444444400006</v>
      </c>
      <c r="CR7">
        <v>826</v>
      </c>
      <c r="CS7">
        <v>165</v>
      </c>
      <c r="CT7">
        <v>65.059322033900003</v>
      </c>
      <c r="CU7">
        <v>76.133333333300001</v>
      </c>
      <c r="CW7" t="s">
        <v>412</v>
      </c>
      <c r="CX7" t="s">
        <v>759</v>
      </c>
      <c r="CY7" t="s">
        <v>758</v>
      </c>
      <c r="CZ7">
        <v>70</v>
      </c>
      <c r="DA7">
        <v>14</v>
      </c>
      <c r="DB7">
        <v>85.057142857100004</v>
      </c>
      <c r="DC7">
        <v>41</v>
      </c>
      <c r="DD7">
        <v>10</v>
      </c>
      <c r="DE7">
        <v>150.26829268290001</v>
      </c>
      <c r="DF7">
        <v>140</v>
      </c>
      <c r="DH7" t="s">
        <v>412</v>
      </c>
      <c r="DI7" t="s">
        <v>739</v>
      </c>
      <c r="DJ7" t="s">
        <v>738</v>
      </c>
      <c r="DK7">
        <v>42</v>
      </c>
      <c r="DL7">
        <v>10</v>
      </c>
      <c r="DM7">
        <v>91.571428571400006</v>
      </c>
      <c r="DN7">
        <v>44</v>
      </c>
      <c r="DO7">
        <v>10</v>
      </c>
      <c r="DP7">
        <v>134.36363636359999</v>
      </c>
      <c r="DQ7">
        <v>139.1</v>
      </c>
    </row>
    <row r="8" spans="2:121" x14ac:dyDescent="0.2">
      <c r="B8" t="s">
        <v>100</v>
      </c>
      <c r="C8">
        <v>284</v>
      </c>
      <c r="D8">
        <v>198</v>
      </c>
      <c r="F8" t="s">
        <v>58</v>
      </c>
      <c r="G8">
        <v>4360</v>
      </c>
      <c r="H8">
        <v>221.64678899079999</v>
      </c>
      <c r="I8">
        <v>9530</v>
      </c>
      <c r="J8">
        <v>2219</v>
      </c>
      <c r="K8">
        <v>7211</v>
      </c>
      <c r="L8">
        <v>3533</v>
      </c>
      <c r="M8">
        <v>2890</v>
      </c>
      <c r="N8">
        <v>1648</v>
      </c>
      <c r="O8">
        <v>1668</v>
      </c>
      <c r="P8">
        <v>1086</v>
      </c>
      <c r="Q8">
        <v>1</v>
      </c>
      <c r="R8">
        <v>261</v>
      </c>
      <c r="AH8" t="s">
        <v>404</v>
      </c>
      <c r="AI8">
        <v>7757</v>
      </c>
      <c r="AJ8">
        <v>453.70491169270002</v>
      </c>
      <c r="AK8">
        <v>6847</v>
      </c>
      <c r="AL8">
        <v>1788</v>
      </c>
      <c r="AM8">
        <v>10948</v>
      </c>
      <c r="AN8">
        <v>7580</v>
      </c>
      <c r="AO8">
        <v>3178</v>
      </c>
      <c r="AP8">
        <v>2146</v>
      </c>
      <c r="AQ8">
        <v>1714</v>
      </c>
      <c r="AR8">
        <v>981</v>
      </c>
      <c r="AS8">
        <v>12</v>
      </c>
      <c r="AT8">
        <v>55</v>
      </c>
      <c r="AV8" t="s">
        <v>410</v>
      </c>
      <c r="AW8">
        <v>176</v>
      </c>
      <c r="AX8">
        <v>44.460227272700003</v>
      </c>
      <c r="AY8">
        <v>239</v>
      </c>
      <c r="AZ8">
        <v>13</v>
      </c>
      <c r="BA8">
        <v>248</v>
      </c>
      <c r="BB8">
        <v>14</v>
      </c>
      <c r="BC8">
        <v>1</v>
      </c>
      <c r="BD8">
        <v>1</v>
      </c>
      <c r="BE8">
        <v>11</v>
      </c>
      <c r="BF8">
        <v>7</v>
      </c>
      <c r="BG8">
        <v>301</v>
      </c>
      <c r="BH8">
        <v>41</v>
      </c>
      <c r="BJ8" t="s">
        <v>620</v>
      </c>
      <c r="BK8" t="s">
        <v>386</v>
      </c>
      <c r="BL8">
        <v>15999</v>
      </c>
      <c r="BM8">
        <v>4042</v>
      </c>
      <c r="BN8">
        <v>98.181823863999995</v>
      </c>
      <c r="BO8">
        <v>20720</v>
      </c>
      <c r="BP8">
        <v>3333</v>
      </c>
      <c r="BQ8">
        <v>148.2611486486</v>
      </c>
      <c r="BR8">
        <v>148.95079507950001</v>
      </c>
      <c r="BS8">
        <v>13453</v>
      </c>
      <c r="BT8">
        <v>2813</v>
      </c>
      <c r="BU8">
        <v>89.236973165799995</v>
      </c>
      <c r="BV8">
        <v>14139</v>
      </c>
      <c r="BW8">
        <v>2553</v>
      </c>
      <c r="BX8">
        <v>138.7678760874</v>
      </c>
      <c r="BY8">
        <v>142.15001958479999</v>
      </c>
      <c r="CA8" t="s">
        <v>404</v>
      </c>
      <c r="CB8" t="s">
        <v>768</v>
      </c>
      <c r="CC8" t="s">
        <v>995</v>
      </c>
      <c r="CD8">
        <v>6362</v>
      </c>
      <c r="CE8">
        <v>1675</v>
      </c>
      <c r="CF8">
        <v>100.8607356177</v>
      </c>
      <c r="CG8">
        <v>8648</v>
      </c>
      <c r="CH8">
        <v>1939</v>
      </c>
      <c r="CI8">
        <v>143.66165587419999</v>
      </c>
      <c r="CJ8">
        <v>123.35740072199999</v>
      </c>
      <c r="CL8" t="s">
        <v>404</v>
      </c>
      <c r="CM8" t="s">
        <v>749</v>
      </c>
      <c r="CN8" t="s">
        <v>750</v>
      </c>
      <c r="CO8">
        <v>289</v>
      </c>
      <c r="CP8">
        <v>27</v>
      </c>
      <c r="CQ8">
        <v>64.595155709300002</v>
      </c>
      <c r="CR8">
        <v>807</v>
      </c>
      <c r="CS8">
        <v>148</v>
      </c>
      <c r="CT8">
        <v>66.2664188352</v>
      </c>
      <c r="CU8">
        <v>80.290540540500004</v>
      </c>
      <c r="CW8" t="s">
        <v>404</v>
      </c>
      <c r="CX8" t="s">
        <v>759</v>
      </c>
      <c r="CY8" t="s">
        <v>760</v>
      </c>
      <c r="CZ8">
        <v>315</v>
      </c>
      <c r="DA8">
        <v>73</v>
      </c>
      <c r="DB8">
        <v>89.4253968254</v>
      </c>
      <c r="DC8">
        <v>239</v>
      </c>
      <c r="DD8">
        <v>61</v>
      </c>
      <c r="DE8">
        <v>143.39330543930001</v>
      </c>
      <c r="DF8">
        <v>142.2786885246</v>
      </c>
      <c r="DH8" t="s">
        <v>404</v>
      </c>
      <c r="DI8" t="s">
        <v>739</v>
      </c>
      <c r="DJ8" t="s">
        <v>740</v>
      </c>
      <c r="DK8">
        <v>372</v>
      </c>
      <c r="DL8">
        <v>52</v>
      </c>
      <c r="DM8">
        <v>79.126344086000003</v>
      </c>
      <c r="DN8">
        <v>429</v>
      </c>
      <c r="DO8">
        <v>117</v>
      </c>
      <c r="DP8">
        <v>127.4475524476</v>
      </c>
      <c r="DQ8">
        <v>134.16239316240001</v>
      </c>
    </row>
    <row r="9" spans="2:121" x14ac:dyDescent="0.2">
      <c r="B9" t="s">
        <v>92</v>
      </c>
      <c r="C9">
        <v>12</v>
      </c>
      <c r="D9">
        <v>2</v>
      </c>
      <c r="F9" t="s">
        <v>59</v>
      </c>
      <c r="G9">
        <v>4315</v>
      </c>
      <c r="H9">
        <v>445.03986095020002</v>
      </c>
      <c r="I9">
        <v>5576</v>
      </c>
      <c r="J9">
        <v>1435</v>
      </c>
      <c r="K9">
        <v>5554</v>
      </c>
      <c r="L9">
        <v>3959</v>
      </c>
      <c r="M9">
        <v>981</v>
      </c>
      <c r="N9">
        <v>627</v>
      </c>
      <c r="O9">
        <v>1335</v>
      </c>
      <c r="P9">
        <v>907</v>
      </c>
      <c r="Q9">
        <v>2</v>
      </c>
      <c r="R9">
        <v>256</v>
      </c>
      <c r="AH9" t="s">
        <v>374</v>
      </c>
      <c r="AI9">
        <v>1231</v>
      </c>
      <c r="AJ9">
        <v>328.29082047119999</v>
      </c>
      <c r="AK9">
        <v>1978</v>
      </c>
      <c r="AL9">
        <v>492</v>
      </c>
      <c r="AM9">
        <v>2816</v>
      </c>
      <c r="AN9">
        <v>1993</v>
      </c>
      <c r="AO9">
        <v>577</v>
      </c>
      <c r="AP9">
        <v>369</v>
      </c>
      <c r="AQ9">
        <v>1032</v>
      </c>
      <c r="AR9">
        <v>734</v>
      </c>
      <c r="AS9">
        <v>290</v>
      </c>
      <c r="AT9">
        <v>6</v>
      </c>
      <c r="AV9" t="s">
        <v>418</v>
      </c>
      <c r="AW9">
        <v>39</v>
      </c>
      <c r="AX9">
        <v>77.871794871800006</v>
      </c>
      <c r="AY9">
        <v>54</v>
      </c>
      <c r="AZ9">
        <v>6</v>
      </c>
      <c r="BA9">
        <v>45</v>
      </c>
      <c r="BB9">
        <v>6</v>
      </c>
      <c r="BC9">
        <v>0</v>
      </c>
      <c r="BE9">
        <v>3</v>
      </c>
      <c r="BG9">
        <v>7</v>
      </c>
      <c r="BH9">
        <v>13</v>
      </c>
      <c r="BJ9" t="s">
        <v>556</v>
      </c>
      <c r="BK9" t="s">
        <v>386</v>
      </c>
      <c r="BL9">
        <v>3996</v>
      </c>
      <c r="BM9">
        <v>1324</v>
      </c>
      <c r="BN9">
        <v>110.69744744739999</v>
      </c>
      <c r="BO9">
        <v>4162</v>
      </c>
      <c r="BP9">
        <v>775</v>
      </c>
      <c r="BQ9">
        <v>148.25564632390001</v>
      </c>
      <c r="BR9">
        <v>130.66838709679999</v>
      </c>
      <c r="BS9">
        <v>1945</v>
      </c>
      <c r="BT9">
        <v>706</v>
      </c>
      <c r="BU9">
        <v>119.8709511568</v>
      </c>
      <c r="BV9">
        <v>5221</v>
      </c>
      <c r="BW9">
        <v>821</v>
      </c>
      <c r="BX9">
        <v>150.75962459300001</v>
      </c>
      <c r="BY9">
        <v>147.0414129111</v>
      </c>
      <c r="CA9" t="s">
        <v>388</v>
      </c>
      <c r="CB9" t="s">
        <v>768</v>
      </c>
      <c r="CC9" t="s">
        <v>996</v>
      </c>
      <c r="CD9">
        <v>5628</v>
      </c>
      <c r="CE9">
        <v>1442</v>
      </c>
      <c r="CF9">
        <v>99.042643923200004</v>
      </c>
      <c r="CG9">
        <v>7627</v>
      </c>
      <c r="CH9">
        <v>1380</v>
      </c>
      <c r="CI9">
        <v>136.67890389409999</v>
      </c>
      <c r="CJ9">
        <v>163.97028985509999</v>
      </c>
      <c r="CL9" t="s">
        <v>388</v>
      </c>
      <c r="CM9" t="s">
        <v>749</v>
      </c>
      <c r="CN9" t="s">
        <v>751</v>
      </c>
      <c r="CO9">
        <v>374</v>
      </c>
      <c r="CP9">
        <v>45</v>
      </c>
      <c r="CQ9">
        <v>71.737967914400002</v>
      </c>
      <c r="CR9">
        <v>1172</v>
      </c>
      <c r="CS9">
        <v>230</v>
      </c>
      <c r="CT9">
        <v>68.223549488100005</v>
      </c>
      <c r="CU9">
        <v>68.443478260899994</v>
      </c>
      <c r="CW9" t="s">
        <v>388</v>
      </c>
      <c r="CX9" t="s">
        <v>759</v>
      </c>
      <c r="CY9" t="s">
        <v>761</v>
      </c>
      <c r="CZ9">
        <v>92</v>
      </c>
      <c r="DA9">
        <v>23</v>
      </c>
      <c r="DB9">
        <v>86.586956521700003</v>
      </c>
      <c r="DC9">
        <v>64</v>
      </c>
      <c r="DD9">
        <v>21</v>
      </c>
      <c r="DE9">
        <v>150.21875</v>
      </c>
      <c r="DF9">
        <v>151</v>
      </c>
      <c r="DH9" t="s">
        <v>388</v>
      </c>
      <c r="DI9" t="s">
        <v>739</v>
      </c>
      <c r="DJ9" t="s">
        <v>741</v>
      </c>
      <c r="DK9">
        <v>150</v>
      </c>
      <c r="DL9">
        <v>32</v>
      </c>
      <c r="DM9">
        <v>84.953333333299994</v>
      </c>
      <c r="DN9">
        <v>159</v>
      </c>
      <c r="DO9">
        <v>46</v>
      </c>
      <c r="DP9">
        <v>120.0943396226</v>
      </c>
      <c r="DQ9">
        <v>132.34782608699999</v>
      </c>
    </row>
    <row r="10" spans="2:121" x14ac:dyDescent="0.2">
      <c r="B10" t="s">
        <v>314</v>
      </c>
      <c r="C10">
        <v>3</v>
      </c>
      <c r="D10">
        <v>1</v>
      </c>
      <c r="F10" t="s">
        <v>24</v>
      </c>
      <c r="G10">
        <v>1082</v>
      </c>
      <c r="H10">
        <v>167.2181146026</v>
      </c>
      <c r="I10">
        <v>3902</v>
      </c>
      <c r="J10">
        <v>740</v>
      </c>
      <c r="K10">
        <v>2233</v>
      </c>
      <c r="L10">
        <v>870</v>
      </c>
      <c r="M10">
        <v>972</v>
      </c>
      <c r="N10">
        <v>472</v>
      </c>
      <c r="O10">
        <v>488</v>
      </c>
      <c r="P10">
        <v>259</v>
      </c>
      <c r="Q10">
        <v>0</v>
      </c>
      <c r="R10">
        <v>0</v>
      </c>
      <c r="AH10" t="s">
        <v>424</v>
      </c>
      <c r="AI10">
        <v>829</v>
      </c>
      <c r="AJ10">
        <v>418.2484921592</v>
      </c>
      <c r="AK10">
        <v>886</v>
      </c>
      <c r="AL10">
        <v>241</v>
      </c>
      <c r="AM10">
        <v>1094</v>
      </c>
      <c r="AN10">
        <v>794</v>
      </c>
      <c r="AO10">
        <v>237</v>
      </c>
      <c r="AP10">
        <v>139</v>
      </c>
      <c r="AQ10">
        <v>353</v>
      </c>
      <c r="AR10">
        <v>216</v>
      </c>
      <c r="AS10">
        <v>81</v>
      </c>
      <c r="AT10">
        <v>1</v>
      </c>
      <c r="AV10" t="s">
        <v>372</v>
      </c>
      <c r="AW10">
        <v>411</v>
      </c>
      <c r="AX10">
        <v>101.7250608273</v>
      </c>
      <c r="AY10">
        <v>646</v>
      </c>
      <c r="AZ10">
        <v>152</v>
      </c>
      <c r="BA10">
        <v>534</v>
      </c>
      <c r="BB10">
        <v>181</v>
      </c>
      <c r="BC10">
        <v>2</v>
      </c>
      <c r="BD10">
        <v>2</v>
      </c>
      <c r="BE10">
        <v>36</v>
      </c>
      <c r="BF10">
        <v>11</v>
      </c>
      <c r="BG10">
        <v>45</v>
      </c>
      <c r="BH10">
        <v>157</v>
      </c>
      <c r="BJ10" t="s">
        <v>608</v>
      </c>
      <c r="BK10" t="s">
        <v>386</v>
      </c>
      <c r="BL10">
        <v>3511</v>
      </c>
      <c r="BM10">
        <v>560</v>
      </c>
      <c r="BN10">
        <v>79.848191398500006</v>
      </c>
      <c r="BO10">
        <v>5049</v>
      </c>
      <c r="BP10">
        <v>953</v>
      </c>
      <c r="BQ10">
        <v>127.4874232521</v>
      </c>
      <c r="BR10">
        <v>131.610703043</v>
      </c>
      <c r="BS10">
        <v>3547</v>
      </c>
      <c r="BT10">
        <v>606</v>
      </c>
      <c r="BU10">
        <v>82.268395827500001</v>
      </c>
      <c r="BV10">
        <v>5830</v>
      </c>
      <c r="BW10">
        <v>1000</v>
      </c>
      <c r="BX10">
        <v>137.07770154369999</v>
      </c>
      <c r="BY10">
        <v>138.09800000000001</v>
      </c>
      <c r="CA10" t="s">
        <v>390</v>
      </c>
      <c r="CB10" t="s">
        <v>768</v>
      </c>
      <c r="CC10" t="s">
        <v>997</v>
      </c>
      <c r="CD10">
        <v>4128</v>
      </c>
      <c r="CE10">
        <v>1358</v>
      </c>
      <c r="CF10">
        <v>110.09399224809999</v>
      </c>
      <c r="CG10">
        <v>4561</v>
      </c>
      <c r="CH10">
        <v>842</v>
      </c>
      <c r="CI10">
        <v>142.69699627270001</v>
      </c>
      <c r="CJ10">
        <v>128.16745843230001</v>
      </c>
      <c r="CL10" t="s">
        <v>390</v>
      </c>
      <c r="CM10" t="s">
        <v>749</v>
      </c>
      <c r="CN10" t="s">
        <v>752</v>
      </c>
      <c r="CO10">
        <v>347</v>
      </c>
      <c r="CP10">
        <v>59</v>
      </c>
      <c r="CQ10">
        <v>77.717579250699998</v>
      </c>
      <c r="CR10">
        <v>821</v>
      </c>
      <c r="CS10">
        <v>160</v>
      </c>
      <c r="CT10">
        <v>73.282582216799995</v>
      </c>
      <c r="CU10">
        <v>70.71875</v>
      </c>
      <c r="CW10" t="s">
        <v>390</v>
      </c>
      <c r="CX10" t="s">
        <v>759</v>
      </c>
      <c r="CY10" t="s">
        <v>762</v>
      </c>
      <c r="CZ10">
        <v>69</v>
      </c>
      <c r="DA10">
        <v>16</v>
      </c>
      <c r="DB10">
        <v>92.869565217399995</v>
      </c>
      <c r="DC10">
        <v>81</v>
      </c>
      <c r="DD10">
        <v>19</v>
      </c>
      <c r="DE10">
        <v>156.74074074070001</v>
      </c>
      <c r="DF10">
        <v>158.52631578949999</v>
      </c>
      <c r="DH10" t="s">
        <v>390</v>
      </c>
      <c r="DI10" t="s">
        <v>739</v>
      </c>
      <c r="DJ10" t="s">
        <v>742</v>
      </c>
      <c r="DK10">
        <v>71</v>
      </c>
      <c r="DL10">
        <v>20</v>
      </c>
      <c r="DM10">
        <v>96.619718309899994</v>
      </c>
      <c r="DN10">
        <v>86</v>
      </c>
      <c r="DO10">
        <v>24</v>
      </c>
      <c r="DP10">
        <v>143.7558139535</v>
      </c>
      <c r="DQ10">
        <v>135.5833333333</v>
      </c>
    </row>
    <row r="11" spans="2:121" x14ac:dyDescent="0.2">
      <c r="B11" t="s">
        <v>111</v>
      </c>
      <c r="C11">
        <v>7850</v>
      </c>
      <c r="D11">
        <v>530</v>
      </c>
      <c r="F11" t="s">
        <v>57</v>
      </c>
      <c r="G11">
        <v>12096</v>
      </c>
      <c r="H11">
        <v>381.65343915339997</v>
      </c>
      <c r="I11">
        <v>6963</v>
      </c>
      <c r="J11">
        <v>1627</v>
      </c>
      <c r="K11">
        <v>13442</v>
      </c>
      <c r="L11">
        <v>9989</v>
      </c>
      <c r="M11">
        <v>4579</v>
      </c>
      <c r="N11">
        <v>3710</v>
      </c>
      <c r="O11">
        <v>1743</v>
      </c>
      <c r="P11">
        <v>1081</v>
      </c>
      <c r="Q11">
        <v>0</v>
      </c>
      <c r="R11">
        <v>375</v>
      </c>
      <c r="AH11" t="s">
        <v>415</v>
      </c>
      <c r="AI11">
        <v>470</v>
      </c>
      <c r="AJ11">
        <v>516.22553191489999</v>
      </c>
      <c r="AK11">
        <v>416</v>
      </c>
      <c r="AL11">
        <v>118</v>
      </c>
      <c r="AM11">
        <v>652</v>
      </c>
      <c r="AN11">
        <v>474</v>
      </c>
      <c r="AO11">
        <v>215</v>
      </c>
      <c r="AP11">
        <v>165</v>
      </c>
      <c r="AQ11">
        <v>344</v>
      </c>
      <c r="AR11">
        <v>257</v>
      </c>
      <c r="AS11">
        <v>34</v>
      </c>
      <c r="AT11">
        <v>0</v>
      </c>
      <c r="AV11" t="s">
        <v>426</v>
      </c>
      <c r="AW11">
        <v>2694</v>
      </c>
      <c r="AX11">
        <v>96.044172234599998</v>
      </c>
      <c r="AY11">
        <v>3676</v>
      </c>
      <c r="AZ11">
        <v>881</v>
      </c>
      <c r="BA11">
        <v>3423</v>
      </c>
      <c r="BB11">
        <v>1085</v>
      </c>
      <c r="BC11">
        <v>34</v>
      </c>
      <c r="BD11">
        <v>31</v>
      </c>
      <c r="BE11">
        <v>166</v>
      </c>
      <c r="BF11">
        <v>64</v>
      </c>
      <c r="BG11">
        <v>332</v>
      </c>
      <c r="BH11">
        <v>772</v>
      </c>
      <c r="BJ11" t="s">
        <v>610</v>
      </c>
      <c r="BK11" t="s">
        <v>386</v>
      </c>
      <c r="BL11">
        <v>5159</v>
      </c>
      <c r="BM11">
        <v>868</v>
      </c>
      <c r="BN11">
        <v>73.4783872844</v>
      </c>
      <c r="BO11">
        <v>10504</v>
      </c>
      <c r="BP11">
        <v>2104</v>
      </c>
      <c r="BQ11">
        <v>123.6423267327</v>
      </c>
      <c r="BR11">
        <v>95.724334600800006</v>
      </c>
      <c r="BS11">
        <v>6128</v>
      </c>
      <c r="BT11">
        <v>1516</v>
      </c>
      <c r="BU11">
        <v>86.843505221900003</v>
      </c>
      <c r="BV11">
        <v>14722</v>
      </c>
      <c r="BW11">
        <v>2675</v>
      </c>
      <c r="BX11">
        <v>132.31666893089999</v>
      </c>
      <c r="BY11">
        <v>109.323364486</v>
      </c>
      <c r="CA11" t="s">
        <v>419</v>
      </c>
      <c r="CB11" t="s">
        <v>768</v>
      </c>
      <c r="CC11" t="s">
        <v>998</v>
      </c>
      <c r="CD11">
        <v>656</v>
      </c>
      <c r="CE11">
        <v>53</v>
      </c>
      <c r="CF11">
        <v>58.265243902400002</v>
      </c>
      <c r="CG11">
        <v>1755</v>
      </c>
      <c r="CH11">
        <v>312</v>
      </c>
      <c r="CI11">
        <v>92.970370370400005</v>
      </c>
      <c r="CJ11">
        <v>102.26923076920001</v>
      </c>
      <c r="CL11" t="s">
        <v>419</v>
      </c>
      <c r="CM11" t="s">
        <v>749</v>
      </c>
      <c r="CN11" t="s">
        <v>753</v>
      </c>
      <c r="CO11">
        <v>89</v>
      </c>
      <c r="CP11">
        <v>5</v>
      </c>
      <c r="CQ11">
        <v>50.2921348315</v>
      </c>
      <c r="CR11">
        <v>259</v>
      </c>
      <c r="CS11">
        <v>48</v>
      </c>
      <c r="CT11">
        <v>59.1544401544</v>
      </c>
      <c r="CU11">
        <v>59.6875</v>
      </c>
      <c r="CW11" t="s">
        <v>419</v>
      </c>
      <c r="CX11" t="s">
        <v>759</v>
      </c>
      <c r="CY11" t="s">
        <v>763</v>
      </c>
      <c r="CZ11">
        <v>31</v>
      </c>
      <c r="DA11">
        <v>12</v>
      </c>
      <c r="DB11">
        <v>100.3870967742</v>
      </c>
      <c r="DC11">
        <v>18</v>
      </c>
      <c r="DD11">
        <v>3</v>
      </c>
      <c r="DE11">
        <v>133.7222222222</v>
      </c>
      <c r="DF11">
        <v>135.6666666667</v>
      </c>
      <c r="DH11" t="s">
        <v>419</v>
      </c>
      <c r="DI11" t="s">
        <v>739</v>
      </c>
      <c r="DJ11" t="s">
        <v>743</v>
      </c>
      <c r="DK11">
        <v>17</v>
      </c>
      <c r="DL11">
        <v>4</v>
      </c>
      <c r="DM11">
        <v>76</v>
      </c>
      <c r="DN11">
        <v>20</v>
      </c>
      <c r="DO11">
        <v>4</v>
      </c>
      <c r="DP11">
        <v>119.55</v>
      </c>
      <c r="DQ11">
        <v>142.5</v>
      </c>
    </row>
    <row r="12" spans="2:121" x14ac:dyDescent="0.2">
      <c r="B12" t="s">
        <v>121</v>
      </c>
      <c r="C12">
        <v>724</v>
      </c>
      <c r="D12">
        <v>400</v>
      </c>
      <c r="F12" t="s">
        <v>33</v>
      </c>
      <c r="G12">
        <v>7814</v>
      </c>
      <c r="H12">
        <v>734.98387509600002</v>
      </c>
      <c r="I12">
        <v>4660</v>
      </c>
      <c r="J12">
        <v>1202</v>
      </c>
      <c r="K12">
        <v>9231</v>
      </c>
      <c r="L12">
        <v>7657</v>
      </c>
      <c r="M12">
        <v>1359</v>
      </c>
      <c r="N12">
        <v>1145</v>
      </c>
      <c r="O12">
        <v>1506</v>
      </c>
      <c r="P12">
        <v>1080</v>
      </c>
      <c r="Q12">
        <v>0</v>
      </c>
      <c r="R12">
        <v>5</v>
      </c>
      <c r="T12" t="s">
        <v>649</v>
      </c>
      <c r="U12" t="s">
        <v>306</v>
      </c>
      <c r="V12" t="s">
        <v>133</v>
      </c>
      <c r="W12" t="s">
        <v>214</v>
      </c>
      <c r="X12" t="s">
        <v>215</v>
      </c>
      <c r="Y12" t="s">
        <v>216</v>
      </c>
      <c r="Z12" t="s">
        <v>217</v>
      </c>
      <c r="AA12" t="s">
        <v>218</v>
      </c>
      <c r="AB12" t="s">
        <v>219</v>
      </c>
      <c r="AC12" t="s">
        <v>220</v>
      </c>
      <c r="AD12" t="s">
        <v>221</v>
      </c>
      <c r="AE12" t="s">
        <v>222</v>
      </c>
      <c r="AF12" t="s">
        <v>223</v>
      </c>
      <c r="AH12" t="s">
        <v>426</v>
      </c>
      <c r="AI12">
        <v>20110</v>
      </c>
      <c r="AJ12">
        <v>335.95673794129999</v>
      </c>
      <c r="AK12">
        <v>21404</v>
      </c>
      <c r="AL12">
        <v>5752</v>
      </c>
      <c r="AM12">
        <v>28012</v>
      </c>
      <c r="AN12">
        <v>18504</v>
      </c>
      <c r="AO12">
        <v>7048</v>
      </c>
      <c r="AP12">
        <v>3897</v>
      </c>
      <c r="AQ12">
        <v>16761</v>
      </c>
      <c r="AR12">
        <v>11175</v>
      </c>
      <c r="AS12">
        <v>2045</v>
      </c>
      <c r="AT12">
        <v>282</v>
      </c>
      <c r="AV12" t="s">
        <v>388</v>
      </c>
      <c r="AW12">
        <v>617</v>
      </c>
      <c r="AX12">
        <v>49.521880064800001</v>
      </c>
      <c r="AY12">
        <v>419</v>
      </c>
      <c r="AZ12">
        <v>48</v>
      </c>
      <c r="BA12">
        <v>743</v>
      </c>
      <c r="BB12">
        <v>35</v>
      </c>
      <c r="BC12">
        <v>2</v>
      </c>
      <c r="BD12">
        <v>1</v>
      </c>
      <c r="BE12">
        <v>26</v>
      </c>
      <c r="BF12">
        <v>10</v>
      </c>
      <c r="BG12">
        <v>57</v>
      </c>
      <c r="BH12">
        <v>64</v>
      </c>
      <c r="BJ12" t="s">
        <v>552</v>
      </c>
      <c r="BK12" t="s">
        <v>386</v>
      </c>
      <c r="BL12">
        <v>5537</v>
      </c>
      <c r="BM12">
        <v>1431</v>
      </c>
      <c r="BN12">
        <v>99.728914574699999</v>
      </c>
      <c r="BO12">
        <v>7089</v>
      </c>
      <c r="BP12">
        <v>1295</v>
      </c>
      <c r="BQ12">
        <v>141.13528001130001</v>
      </c>
      <c r="BR12">
        <v>175.8525096525</v>
      </c>
      <c r="BS12">
        <v>1572</v>
      </c>
      <c r="BT12">
        <v>563</v>
      </c>
      <c r="BU12">
        <v>113.88295165389999</v>
      </c>
      <c r="BV12">
        <v>5397</v>
      </c>
      <c r="BW12">
        <v>778</v>
      </c>
      <c r="BX12">
        <v>132.9029090235</v>
      </c>
      <c r="BY12">
        <v>180.07197943439999</v>
      </c>
      <c r="CA12" t="s">
        <v>413</v>
      </c>
      <c r="CB12" t="s">
        <v>768</v>
      </c>
      <c r="CC12" t="s">
        <v>999</v>
      </c>
      <c r="CD12">
        <v>5344</v>
      </c>
      <c r="CE12">
        <v>888</v>
      </c>
      <c r="CF12">
        <v>73.121444610799998</v>
      </c>
      <c r="CG12">
        <v>10735</v>
      </c>
      <c r="CH12">
        <v>2202</v>
      </c>
      <c r="CI12">
        <v>106.2077317187</v>
      </c>
      <c r="CJ12">
        <v>96.2252497729</v>
      </c>
      <c r="CL12" t="s">
        <v>413</v>
      </c>
      <c r="CM12" t="s">
        <v>749</v>
      </c>
      <c r="CN12" t="s">
        <v>754</v>
      </c>
      <c r="CO12">
        <v>407</v>
      </c>
      <c r="CP12">
        <v>38</v>
      </c>
      <c r="CQ12">
        <v>63.326781326800003</v>
      </c>
      <c r="CR12">
        <v>1237</v>
      </c>
      <c r="CS12">
        <v>241</v>
      </c>
      <c r="CT12">
        <v>64.7566693614</v>
      </c>
      <c r="CU12">
        <v>71.962655601700007</v>
      </c>
      <c r="CW12" t="s">
        <v>413</v>
      </c>
      <c r="CX12" t="s">
        <v>759</v>
      </c>
      <c r="CY12" t="s">
        <v>764</v>
      </c>
      <c r="CZ12">
        <v>120</v>
      </c>
      <c r="DA12">
        <v>22</v>
      </c>
      <c r="DB12">
        <v>82.433333333299998</v>
      </c>
      <c r="DC12">
        <v>112</v>
      </c>
      <c r="DD12">
        <v>27</v>
      </c>
      <c r="DE12">
        <v>142.82142857139999</v>
      </c>
      <c r="DF12">
        <v>147.037037037</v>
      </c>
      <c r="DH12" t="s">
        <v>413</v>
      </c>
      <c r="DI12" t="s">
        <v>739</v>
      </c>
      <c r="DJ12" t="s">
        <v>744</v>
      </c>
      <c r="DK12">
        <v>233</v>
      </c>
      <c r="DL12">
        <v>43</v>
      </c>
      <c r="DM12">
        <v>80.150214592300003</v>
      </c>
      <c r="DN12">
        <v>173</v>
      </c>
      <c r="DO12">
        <v>35</v>
      </c>
      <c r="DP12">
        <v>130.41040462430001</v>
      </c>
      <c r="DQ12">
        <v>141.28571428570001</v>
      </c>
    </row>
    <row r="13" spans="2:121" x14ac:dyDescent="0.2">
      <c r="B13" t="s">
        <v>97</v>
      </c>
      <c r="C13">
        <v>200</v>
      </c>
      <c r="D13">
        <v>133</v>
      </c>
      <c r="F13" t="s">
        <v>34</v>
      </c>
      <c r="G13">
        <v>144</v>
      </c>
      <c r="H13">
        <v>75.041666666699996</v>
      </c>
      <c r="I13">
        <v>1326</v>
      </c>
      <c r="J13">
        <v>279</v>
      </c>
      <c r="K13">
        <v>326</v>
      </c>
      <c r="L13">
        <v>45</v>
      </c>
      <c r="M13">
        <v>224</v>
      </c>
      <c r="N13">
        <v>21</v>
      </c>
      <c r="O13">
        <v>183</v>
      </c>
      <c r="P13">
        <v>57</v>
      </c>
      <c r="Q13">
        <v>0</v>
      </c>
      <c r="R13">
        <v>2</v>
      </c>
      <c r="T13" t="s">
        <v>386</v>
      </c>
      <c r="U13">
        <v>52662</v>
      </c>
      <c r="V13">
        <v>366.54471915229999</v>
      </c>
      <c r="W13">
        <v>63401</v>
      </c>
      <c r="X13">
        <v>15271</v>
      </c>
      <c r="Y13">
        <v>79911</v>
      </c>
      <c r="Z13">
        <v>51564</v>
      </c>
      <c r="AA13">
        <v>19860</v>
      </c>
      <c r="AB13">
        <v>13006</v>
      </c>
      <c r="AC13">
        <v>17287</v>
      </c>
      <c r="AD13">
        <v>9168</v>
      </c>
      <c r="AE13">
        <v>55</v>
      </c>
      <c r="AF13">
        <v>1118</v>
      </c>
      <c r="AH13" t="s">
        <v>382</v>
      </c>
      <c r="AI13">
        <v>15424</v>
      </c>
      <c r="AJ13">
        <v>354.62584284230002</v>
      </c>
      <c r="AK13">
        <v>17428</v>
      </c>
      <c r="AL13">
        <v>4676</v>
      </c>
      <c r="AM13">
        <v>22520</v>
      </c>
      <c r="AN13">
        <v>15796</v>
      </c>
      <c r="AO13">
        <v>8157</v>
      </c>
      <c r="AP13">
        <v>5425</v>
      </c>
      <c r="AQ13">
        <v>13229</v>
      </c>
      <c r="AR13">
        <v>11095</v>
      </c>
      <c r="AS13">
        <v>1029</v>
      </c>
      <c r="AT13">
        <v>30</v>
      </c>
      <c r="AV13" t="s">
        <v>409</v>
      </c>
      <c r="AW13">
        <v>65</v>
      </c>
      <c r="AX13">
        <v>46.138461538500003</v>
      </c>
      <c r="AY13">
        <v>101</v>
      </c>
      <c r="AZ13">
        <v>1</v>
      </c>
      <c r="BA13">
        <v>86</v>
      </c>
      <c r="BB13">
        <v>1</v>
      </c>
      <c r="BC13">
        <v>1</v>
      </c>
      <c r="BD13">
        <v>1</v>
      </c>
      <c r="BE13">
        <v>3</v>
      </c>
      <c r="BG13">
        <v>112</v>
      </c>
      <c r="BH13">
        <v>15</v>
      </c>
      <c r="BJ13" t="s">
        <v>589</v>
      </c>
      <c r="BK13" t="s">
        <v>386</v>
      </c>
      <c r="BL13">
        <v>2308</v>
      </c>
      <c r="BM13">
        <v>568</v>
      </c>
      <c r="BN13">
        <v>95.393847487000002</v>
      </c>
      <c r="BO13">
        <v>2385</v>
      </c>
      <c r="BP13">
        <v>399</v>
      </c>
      <c r="BQ13">
        <v>142.4046121593</v>
      </c>
      <c r="BR13">
        <v>140.1203007519</v>
      </c>
      <c r="BS13">
        <v>3138</v>
      </c>
      <c r="BT13">
        <v>995</v>
      </c>
      <c r="BU13">
        <v>113.4537922243</v>
      </c>
      <c r="BV13">
        <v>4717</v>
      </c>
      <c r="BW13">
        <v>788</v>
      </c>
      <c r="BX13">
        <v>158.20987916050001</v>
      </c>
      <c r="BY13">
        <v>144.32106598979999</v>
      </c>
      <c r="CA13" t="s">
        <v>411</v>
      </c>
      <c r="CB13" t="s">
        <v>768</v>
      </c>
      <c r="CC13" t="s">
        <v>1000</v>
      </c>
      <c r="CD13">
        <v>33559</v>
      </c>
      <c r="CE13">
        <v>7658</v>
      </c>
      <c r="CF13">
        <v>92.026252272099995</v>
      </c>
      <c r="CG13">
        <v>46140</v>
      </c>
      <c r="CH13">
        <v>8438</v>
      </c>
      <c r="CI13">
        <v>135.9527741656</v>
      </c>
      <c r="CJ13">
        <v>131.770917279</v>
      </c>
      <c r="CL13" t="s">
        <v>411</v>
      </c>
      <c r="CM13" t="s">
        <v>749</v>
      </c>
      <c r="CN13" t="s">
        <v>755</v>
      </c>
      <c r="CO13">
        <v>1735</v>
      </c>
      <c r="CP13">
        <v>152</v>
      </c>
      <c r="CQ13">
        <v>64.305475504300006</v>
      </c>
      <c r="CR13">
        <v>4757</v>
      </c>
      <c r="CS13">
        <v>909</v>
      </c>
      <c r="CT13">
        <v>66.520706327499994</v>
      </c>
      <c r="CU13">
        <v>72.133113311299994</v>
      </c>
      <c r="CW13" t="s">
        <v>411</v>
      </c>
      <c r="CX13" t="s">
        <v>759</v>
      </c>
      <c r="CY13" t="s">
        <v>765</v>
      </c>
      <c r="CZ13">
        <v>1238</v>
      </c>
      <c r="DA13">
        <v>313</v>
      </c>
      <c r="DB13">
        <v>90.331987075900003</v>
      </c>
      <c r="DC13">
        <v>972</v>
      </c>
      <c r="DD13">
        <v>242</v>
      </c>
      <c r="DE13">
        <v>142.287037037</v>
      </c>
      <c r="DF13">
        <v>146.4090909091</v>
      </c>
      <c r="DH13" t="s">
        <v>411</v>
      </c>
      <c r="DI13" t="s">
        <v>739</v>
      </c>
      <c r="DJ13" t="s">
        <v>745</v>
      </c>
      <c r="DK13">
        <v>1058</v>
      </c>
      <c r="DL13">
        <v>189</v>
      </c>
      <c r="DM13">
        <v>82.655009451799998</v>
      </c>
      <c r="DN13">
        <v>1147</v>
      </c>
      <c r="DO13">
        <v>258</v>
      </c>
      <c r="DP13">
        <v>136.57715780300001</v>
      </c>
      <c r="DQ13">
        <v>141.41472868220001</v>
      </c>
    </row>
    <row r="14" spans="2:121" x14ac:dyDescent="0.2">
      <c r="B14" t="s">
        <v>128</v>
      </c>
      <c r="C14">
        <v>1681</v>
      </c>
      <c r="D14">
        <v>285</v>
      </c>
      <c r="F14" t="s">
        <v>38</v>
      </c>
      <c r="G14">
        <v>5169</v>
      </c>
      <c r="H14">
        <v>432.88044109110001</v>
      </c>
      <c r="I14">
        <v>7256</v>
      </c>
      <c r="J14">
        <v>1995</v>
      </c>
      <c r="K14">
        <v>7455</v>
      </c>
      <c r="L14">
        <v>4763</v>
      </c>
      <c r="M14">
        <v>1603</v>
      </c>
      <c r="N14">
        <v>800</v>
      </c>
      <c r="O14">
        <v>3061</v>
      </c>
      <c r="P14">
        <v>2280</v>
      </c>
      <c r="Q14">
        <v>0</v>
      </c>
      <c r="R14">
        <v>317</v>
      </c>
      <c r="T14" t="s">
        <v>391</v>
      </c>
      <c r="U14">
        <v>36819</v>
      </c>
      <c r="V14">
        <v>352.79162932179997</v>
      </c>
      <c r="W14">
        <v>54622</v>
      </c>
      <c r="X14">
        <v>12121</v>
      </c>
      <c r="Y14">
        <v>62203</v>
      </c>
      <c r="Z14">
        <v>34759</v>
      </c>
      <c r="AA14">
        <v>13639</v>
      </c>
      <c r="AB14">
        <v>8474</v>
      </c>
      <c r="AC14">
        <v>14834</v>
      </c>
      <c r="AD14">
        <v>10168</v>
      </c>
      <c r="AE14">
        <v>6591</v>
      </c>
      <c r="AF14">
        <v>1014</v>
      </c>
      <c r="AH14" t="s">
        <v>429</v>
      </c>
      <c r="AI14">
        <v>1550</v>
      </c>
      <c r="AJ14">
        <v>318.41677419349998</v>
      </c>
      <c r="AK14">
        <v>1782</v>
      </c>
      <c r="AL14">
        <v>374</v>
      </c>
      <c r="AM14">
        <v>2157</v>
      </c>
      <c r="AN14">
        <v>1508</v>
      </c>
      <c r="AO14">
        <v>989</v>
      </c>
      <c r="AP14">
        <v>526</v>
      </c>
      <c r="AQ14">
        <v>610</v>
      </c>
      <c r="AR14">
        <v>299</v>
      </c>
      <c r="AS14">
        <v>5</v>
      </c>
      <c r="AT14">
        <v>5</v>
      </c>
      <c r="AV14" t="s">
        <v>394</v>
      </c>
      <c r="AW14">
        <v>349</v>
      </c>
      <c r="AX14">
        <v>52.163323782200003</v>
      </c>
      <c r="AY14">
        <v>417</v>
      </c>
      <c r="AZ14">
        <v>47</v>
      </c>
      <c r="BA14">
        <v>469</v>
      </c>
      <c r="BB14">
        <v>34</v>
      </c>
      <c r="BC14">
        <v>3</v>
      </c>
      <c r="BD14">
        <v>3</v>
      </c>
      <c r="BE14">
        <v>46</v>
      </c>
      <c r="BF14">
        <v>6</v>
      </c>
      <c r="BG14">
        <v>79</v>
      </c>
      <c r="BH14">
        <v>68</v>
      </c>
      <c r="BJ14" t="s">
        <v>606</v>
      </c>
      <c r="BK14" t="s">
        <v>386</v>
      </c>
      <c r="BL14">
        <v>16458</v>
      </c>
      <c r="BM14">
        <v>3424</v>
      </c>
      <c r="BN14">
        <v>87.512698991400001</v>
      </c>
      <c r="BO14">
        <v>21846</v>
      </c>
      <c r="BP14">
        <v>4363</v>
      </c>
      <c r="BQ14">
        <v>137.95573560380001</v>
      </c>
      <c r="BR14">
        <v>134.50446940180001</v>
      </c>
      <c r="BS14">
        <v>15422</v>
      </c>
      <c r="BT14">
        <v>2973</v>
      </c>
      <c r="BU14">
        <v>84.263779017000005</v>
      </c>
      <c r="BV14">
        <v>20981</v>
      </c>
      <c r="BW14">
        <v>4109</v>
      </c>
      <c r="BX14">
        <v>137.0520947524</v>
      </c>
      <c r="BY14">
        <v>134.39839376980001</v>
      </c>
      <c r="CA14" t="s">
        <v>407</v>
      </c>
      <c r="CB14" t="s">
        <v>768</v>
      </c>
      <c r="CC14" t="s">
        <v>1001</v>
      </c>
      <c r="CD14">
        <v>2121</v>
      </c>
      <c r="CE14">
        <v>550</v>
      </c>
      <c r="CF14">
        <v>99.578500707200007</v>
      </c>
      <c r="CG14">
        <v>2029</v>
      </c>
      <c r="CH14">
        <v>326</v>
      </c>
      <c r="CI14">
        <v>140.7442089699</v>
      </c>
      <c r="CJ14">
        <v>137.3742331288</v>
      </c>
      <c r="CL14" t="s">
        <v>407</v>
      </c>
      <c r="CM14" t="s">
        <v>749</v>
      </c>
      <c r="CN14" t="s">
        <v>756</v>
      </c>
      <c r="CO14">
        <v>161</v>
      </c>
      <c r="CP14">
        <v>17</v>
      </c>
      <c r="CQ14">
        <v>63.173913043500001</v>
      </c>
      <c r="CR14">
        <v>422</v>
      </c>
      <c r="CS14">
        <v>78</v>
      </c>
      <c r="CT14">
        <v>65.848341232199999</v>
      </c>
      <c r="CU14">
        <v>66.884615384599996</v>
      </c>
      <c r="CW14" t="s">
        <v>407</v>
      </c>
      <c r="CX14" t="s">
        <v>759</v>
      </c>
      <c r="CY14" t="s">
        <v>766</v>
      </c>
      <c r="CZ14">
        <v>61</v>
      </c>
      <c r="DA14">
        <v>16</v>
      </c>
      <c r="DB14">
        <v>99.213114754100005</v>
      </c>
      <c r="DC14">
        <v>64</v>
      </c>
      <c r="DD14">
        <v>10</v>
      </c>
      <c r="DE14">
        <v>142.21875</v>
      </c>
      <c r="DF14">
        <v>131.80000000000001</v>
      </c>
      <c r="DH14" t="s">
        <v>407</v>
      </c>
      <c r="DI14" t="s">
        <v>739</v>
      </c>
      <c r="DJ14" t="s">
        <v>746</v>
      </c>
      <c r="DK14">
        <v>58</v>
      </c>
      <c r="DL14">
        <v>22</v>
      </c>
      <c r="DM14">
        <v>109.46551724139999</v>
      </c>
      <c r="DN14">
        <v>72</v>
      </c>
      <c r="DO14">
        <v>10</v>
      </c>
      <c r="DP14">
        <v>115.8888888889</v>
      </c>
      <c r="DQ14">
        <v>148.9</v>
      </c>
    </row>
    <row r="15" spans="2:121" x14ac:dyDescent="0.2">
      <c r="B15" t="s">
        <v>118</v>
      </c>
      <c r="C15">
        <v>24</v>
      </c>
      <c r="D15">
        <v>13</v>
      </c>
      <c r="F15" t="s">
        <v>36</v>
      </c>
      <c r="G15">
        <v>326</v>
      </c>
      <c r="H15">
        <v>263.5644171779</v>
      </c>
      <c r="I15">
        <v>809</v>
      </c>
      <c r="J15">
        <v>93</v>
      </c>
      <c r="K15">
        <v>546</v>
      </c>
      <c r="L15">
        <v>318</v>
      </c>
      <c r="M15">
        <v>136</v>
      </c>
      <c r="N15">
        <v>56</v>
      </c>
      <c r="O15">
        <v>93</v>
      </c>
      <c r="P15">
        <v>37</v>
      </c>
      <c r="Q15">
        <v>2</v>
      </c>
      <c r="R15">
        <v>4</v>
      </c>
      <c r="T15" t="s">
        <v>370</v>
      </c>
      <c r="U15">
        <v>91445</v>
      </c>
      <c r="V15">
        <v>451.82445185630002</v>
      </c>
      <c r="W15">
        <v>75708</v>
      </c>
      <c r="X15">
        <v>20149</v>
      </c>
      <c r="Y15">
        <v>124337</v>
      </c>
      <c r="Z15">
        <v>90860</v>
      </c>
      <c r="AA15">
        <v>38701</v>
      </c>
      <c r="AB15">
        <v>26181</v>
      </c>
      <c r="AC15">
        <v>27911</v>
      </c>
      <c r="AD15">
        <v>20177</v>
      </c>
      <c r="AE15">
        <v>12533</v>
      </c>
      <c r="AF15">
        <v>51</v>
      </c>
      <c r="AH15" t="s">
        <v>409</v>
      </c>
      <c r="AI15">
        <v>622</v>
      </c>
      <c r="AJ15">
        <v>322.45980707400003</v>
      </c>
      <c r="AK15">
        <v>1474</v>
      </c>
      <c r="AL15">
        <v>312</v>
      </c>
      <c r="AM15">
        <v>989</v>
      </c>
      <c r="AN15">
        <v>569</v>
      </c>
      <c r="AO15">
        <v>361</v>
      </c>
      <c r="AP15">
        <v>152</v>
      </c>
      <c r="AQ15">
        <v>418</v>
      </c>
      <c r="AR15">
        <v>238</v>
      </c>
      <c r="AS15">
        <v>2</v>
      </c>
      <c r="AT15">
        <v>3</v>
      </c>
      <c r="AV15" t="s">
        <v>413</v>
      </c>
      <c r="AW15">
        <v>222</v>
      </c>
      <c r="AX15">
        <v>46.216216216200003</v>
      </c>
      <c r="AY15">
        <v>271</v>
      </c>
      <c r="AZ15">
        <v>10</v>
      </c>
      <c r="BA15">
        <v>276</v>
      </c>
      <c r="BB15">
        <v>10</v>
      </c>
      <c r="BC15">
        <v>2</v>
      </c>
      <c r="BD15">
        <v>2</v>
      </c>
      <c r="BE15">
        <v>9</v>
      </c>
      <c r="BF15">
        <v>4</v>
      </c>
      <c r="BG15">
        <v>560</v>
      </c>
      <c r="BH15">
        <v>49</v>
      </c>
      <c r="BJ15" t="s">
        <v>568</v>
      </c>
      <c r="BK15" t="s">
        <v>391</v>
      </c>
      <c r="BL15">
        <v>6370</v>
      </c>
      <c r="BM15">
        <v>1949</v>
      </c>
      <c r="BN15">
        <v>106.3174254317</v>
      </c>
      <c r="BO15">
        <v>8411</v>
      </c>
      <c r="BP15">
        <v>1788</v>
      </c>
      <c r="BQ15">
        <v>150.74604684339999</v>
      </c>
      <c r="BR15">
        <v>141.6213646532</v>
      </c>
      <c r="BS15">
        <v>3751</v>
      </c>
      <c r="BT15">
        <v>783</v>
      </c>
      <c r="BU15">
        <v>83.871234337499999</v>
      </c>
      <c r="BV15">
        <v>4962</v>
      </c>
      <c r="BW15">
        <v>976</v>
      </c>
      <c r="BX15">
        <v>131.3220475615</v>
      </c>
      <c r="BY15">
        <v>124.0389344262</v>
      </c>
      <c r="CA15" t="s">
        <v>422</v>
      </c>
      <c r="CB15" t="s">
        <v>768</v>
      </c>
      <c r="CC15" t="s">
        <v>1002</v>
      </c>
      <c r="CD15">
        <v>865</v>
      </c>
      <c r="CE15">
        <v>102</v>
      </c>
      <c r="CF15">
        <v>76.127167630100004</v>
      </c>
      <c r="CG15">
        <v>1093</v>
      </c>
      <c r="CH15">
        <v>212</v>
      </c>
      <c r="CI15">
        <v>142.69441903020001</v>
      </c>
      <c r="CJ15">
        <v>137.77830188679999</v>
      </c>
      <c r="CL15" t="s">
        <v>422</v>
      </c>
      <c r="CM15" t="s">
        <v>749</v>
      </c>
      <c r="CN15" t="s">
        <v>757</v>
      </c>
      <c r="CO15">
        <v>17</v>
      </c>
      <c r="CP15">
        <v>2</v>
      </c>
      <c r="CQ15">
        <v>53.882352941199997</v>
      </c>
      <c r="CR15">
        <v>77</v>
      </c>
      <c r="CS15">
        <v>11</v>
      </c>
      <c r="CT15">
        <v>59.402597402600001</v>
      </c>
      <c r="CU15">
        <v>54.272727272700003</v>
      </c>
      <c r="CW15" t="s">
        <v>422</v>
      </c>
      <c r="CX15" t="s">
        <v>759</v>
      </c>
      <c r="CY15" t="s">
        <v>767</v>
      </c>
      <c r="CZ15">
        <v>17</v>
      </c>
      <c r="DA15">
        <v>6</v>
      </c>
      <c r="DB15">
        <v>98.588235294100002</v>
      </c>
      <c r="DC15">
        <v>18</v>
      </c>
      <c r="DD15">
        <v>3</v>
      </c>
      <c r="DE15">
        <v>155.6111111111</v>
      </c>
      <c r="DF15">
        <v>162.3333333333</v>
      </c>
      <c r="DH15" t="s">
        <v>422</v>
      </c>
      <c r="DI15" t="s">
        <v>739</v>
      </c>
      <c r="DJ15" t="s">
        <v>747</v>
      </c>
      <c r="DK15">
        <v>4</v>
      </c>
      <c r="DL15">
        <v>0</v>
      </c>
      <c r="DM15">
        <v>71.25</v>
      </c>
      <c r="DN15">
        <v>25</v>
      </c>
      <c r="DO15">
        <v>4</v>
      </c>
      <c r="DP15">
        <v>129.44</v>
      </c>
      <c r="DQ15">
        <v>201.25</v>
      </c>
    </row>
    <row r="16" spans="2:121" x14ac:dyDescent="0.2">
      <c r="B16" t="s">
        <v>94</v>
      </c>
      <c r="C16">
        <v>386</v>
      </c>
      <c r="D16">
        <v>206</v>
      </c>
      <c r="F16" t="s">
        <v>61</v>
      </c>
      <c r="G16">
        <v>838</v>
      </c>
      <c r="H16">
        <v>166.39618138419999</v>
      </c>
      <c r="I16">
        <v>2411</v>
      </c>
      <c r="J16">
        <v>555</v>
      </c>
      <c r="K16">
        <v>1433</v>
      </c>
      <c r="L16">
        <v>789</v>
      </c>
      <c r="M16">
        <v>743</v>
      </c>
      <c r="N16">
        <v>544</v>
      </c>
      <c r="O16">
        <v>1508</v>
      </c>
      <c r="P16">
        <v>1137</v>
      </c>
      <c r="Q16">
        <v>0</v>
      </c>
      <c r="R16">
        <v>1</v>
      </c>
      <c r="T16" t="s">
        <v>8</v>
      </c>
      <c r="U16">
        <v>57</v>
      </c>
      <c r="V16">
        <v>1092.1403508772</v>
      </c>
      <c r="W16">
        <v>17</v>
      </c>
      <c r="X16">
        <v>2</v>
      </c>
      <c r="Y16">
        <v>61</v>
      </c>
      <c r="Z16">
        <v>58</v>
      </c>
      <c r="AA16">
        <v>10</v>
      </c>
      <c r="AB16">
        <v>8</v>
      </c>
      <c r="AC16">
        <v>50769</v>
      </c>
      <c r="AD16">
        <v>29307</v>
      </c>
      <c r="AE16">
        <v>0</v>
      </c>
      <c r="AF16">
        <v>1</v>
      </c>
      <c r="AH16" t="s">
        <v>395</v>
      </c>
      <c r="AI16">
        <v>6582</v>
      </c>
      <c r="AJ16">
        <v>484.12093588570002</v>
      </c>
      <c r="AK16">
        <v>6911</v>
      </c>
      <c r="AL16">
        <v>2009</v>
      </c>
      <c r="AM16">
        <v>9417</v>
      </c>
      <c r="AN16">
        <v>6503</v>
      </c>
      <c r="AO16">
        <v>2132</v>
      </c>
      <c r="AP16">
        <v>1663</v>
      </c>
      <c r="AQ16">
        <v>3033</v>
      </c>
      <c r="AR16">
        <v>1571</v>
      </c>
      <c r="AS16">
        <v>765</v>
      </c>
      <c r="AT16">
        <v>216</v>
      </c>
      <c r="AV16" t="s">
        <v>376</v>
      </c>
      <c r="AW16">
        <v>1668</v>
      </c>
      <c r="AX16">
        <v>94.757793765000002</v>
      </c>
      <c r="AY16">
        <v>2722</v>
      </c>
      <c r="AZ16">
        <v>714</v>
      </c>
      <c r="BA16">
        <v>2301</v>
      </c>
      <c r="BB16">
        <v>725</v>
      </c>
      <c r="BC16">
        <v>9</v>
      </c>
      <c r="BD16">
        <v>9</v>
      </c>
      <c r="BE16">
        <v>117</v>
      </c>
      <c r="BF16">
        <v>28</v>
      </c>
      <c r="BG16">
        <v>128</v>
      </c>
      <c r="BH16">
        <v>467</v>
      </c>
      <c r="BJ16" t="s">
        <v>560</v>
      </c>
      <c r="BK16" t="s">
        <v>391</v>
      </c>
      <c r="BL16">
        <v>7516</v>
      </c>
      <c r="BM16">
        <v>2000</v>
      </c>
      <c r="BN16">
        <v>105.106040447</v>
      </c>
      <c r="BO16">
        <v>11918</v>
      </c>
      <c r="BP16">
        <v>2399</v>
      </c>
      <c r="BQ16">
        <v>133.09489847290001</v>
      </c>
      <c r="BR16">
        <v>140.98457690699999</v>
      </c>
      <c r="BS16">
        <v>7596</v>
      </c>
      <c r="BT16">
        <v>2144</v>
      </c>
      <c r="BU16">
        <v>109.32030015799999</v>
      </c>
      <c r="BV16">
        <v>13273</v>
      </c>
      <c r="BW16">
        <v>2489</v>
      </c>
      <c r="BX16">
        <v>144.32856174189999</v>
      </c>
      <c r="BY16">
        <v>147.8376858176</v>
      </c>
      <c r="CA16" t="s">
        <v>386</v>
      </c>
      <c r="CB16" t="s">
        <v>768</v>
      </c>
      <c r="CD16">
        <v>62243</v>
      </c>
      <c r="CE16">
        <v>14328</v>
      </c>
      <c r="CF16">
        <v>92.210738556899997</v>
      </c>
      <c r="CG16">
        <v>87835</v>
      </c>
      <c r="CH16">
        <v>16653</v>
      </c>
      <c r="CI16">
        <v>132.21680423519999</v>
      </c>
      <c r="CJ16">
        <v>128.0298444725</v>
      </c>
      <c r="CL16" t="s">
        <v>386</v>
      </c>
      <c r="CM16" t="s">
        <v>749</v>
      </c>
      <c r="CO16">
        <v>3743</v>
      </c>
      <c r="CP16">
        <v>382</v>
      </c>
      <c r="CQ16">
        <v>65.7902751803</v>
      </c>
      <c r="CR16">
        <v>10378</v>
      </c>
      <c r="CS16">
        <v>1990</v>
      </c>
      <c r="CT16">
        <v>66.637598766599993</v>
      </c>
      <c r="CU16">
        <v>71.906030150800007</v>
      </c>
      <c r="CW16" t="s">
        <v>386</v>
      </c>
      <c r="CX16" t="s">
        <v>759</v>
      </c>
      <c r="CZ16">
        <v>2013</v>
      </c>
      <c r="DA16">
        <v>495</v>
      </c>
      <c r="DB16">
        <v>89.945355191299996</v>
      </c>
      <c r="DC16">
        <v>1609</v>
      </c>
      <c r="DD16">
        <v>396</v>
      </c>
      <c r="DE16">
        <v>143.78558110629999</v>
      </c>
      <c r="DF16">
        <v>146.14898989899999</v>
      </c>
      <c r="DH16" t="s">
        <v>386</v>
      </c>
      <c r="DI16" t="s">
        <v>739</v>
      </c>
      <c r="DK16">
        <v>2005</v>
      </c>
      <c r="DL16">
        <v>372</v>
      </c>
      <c r="DM16">
        <v>83.258852867800002</v>
      </c>
      <c r="DN16">
        <v>2155</v>
      </c>
      <c r="DO16">
        <v>508</v>
      </c>
      <c r="DP16">
        <v>132.3577726218</v>
      </c>
      <c r="DQ16">
        <v>139.22047244090001</v>
      </c>
    </row>
    <row r="17" spans="2:121" x14ac:dyDescent="0.2">
      <c r="B17" t="s">
        <v>119</v>
      </c>
      <c r="C17">
        <v>64</v>
      </c>
      <c r="D17">
        <v>48</v>
      </c>
      <c r="F17" t="s">
        <v>70</v>
      </c>
      <c r="G17">
        <v>6132</v>
      </c>
      <c r="H17">
        <v>267.72031963469999</v>
      </c>
      <c r="I17">
        <v>2311</v>
      </c>
      <c r="J17">
        <v>578</v>
      </c>
      <c r="K17">
        <v>12116</v>
      </c>
      <c r="L17">
        <v>7337</v>
      </c>
      <c r="M17">
        <v>1182</v>
      </c>
      <c r="N17">
        <v>609</v>
      </c>
      <c r="O17">
        <v>326</v>
      </c>
      <c r="P17">
        <v>122</v>
      </c>
      <c r="Q17">
        <v>0</v>
      </c>
      <c r="R17">
        <v>1</v>
      </c>
      <c r="T17" t="s">
        <v>405</v>
      </c>
      <c r="U17">
        <v>55207</v>
      </c>
      <c r="V17">
        <v>383.69956708389998</v>
      </c>
      <c r="W17">
        <v>58412</v>
      </c>
      <c r="X17">
        <v>13504</v>
      </c>
      <c r="Y17">
        <v>80283</v>
      </c>
      <c r="Z17">
        <v>55355</v>
      </c>
      <c r="AA17">
        <v>23876</v>
      </c>
      <c r="AB17">
        <v>17245</v>
      </c>
      <c r="AC17">
        <v>19566</v>
      </c>
      <c r="AD17">
        <v>14147</v>
      </c>
      <c r="AE17">
        <v>419</v>
      </c>
      <c r="AF17">
        <v>703</v>
      </c>
      <c r="AH17" t="s">
        <v>393</v>
      </c>
      <c r="AI17">
        <v>6524</v>
      </c>
      <c r="AJ17">
        <v>616.9748620478</v>
      </c>
      <c r="AK17">
        <v>5204</v>
      </c>
      <c r="AL17">
        <v>1126</v>
      </c>
      <c r="AM17">
        <v>9817</v>
      </c>
      <c r="AN17">
        <v>7463</v>
      </c>
      <c r="AO17">
        <v>2017</v>
      </c>
      <c r="AP17">
        <v>1557</v>
      </c>
      <c r="AQ17">
        <v>2882</v>
      </c>
      <c r="AR17">
        <v>2036</v>
      </c>
      <c r="AS17">
        <v>572</v>
      </c>
      <c r="AT17">
        <v>203</v>
      </c>
      <c r="AV17" t="s">
        <v>400</v>
      </c>
      <c r="AW17">
        <v>156</v>
      </c>
      <c r="AX17">
        <v>53.820512820499999</v>
      </c>
      <c r="AY17">
        <v>269</v>
      </c>
      <c r="AZ17">
        <v>11</v>
      </c>
      <c r="BA17">
        <v>224</v>
      </c>
      <c r="BB17">
        <v>9</v>
      </c>
      <c r="BC17">
        <v>0</v>
      </c>
      <c r="BE17">
        <v>6</v>
      </c>
      <c r="BF17">
        <v>3</v>
      </c>
      <c r="BG17">
        <v>279</v>
      </c>
      <c r="BH17">
        <v>31</v>
      </c>
      <c r="BJ17" t="s">
        <v>577</v>
      </c>
      <c r="BK17" t="s">
        <v>391</v>
      </c>
      <c r="BL17">
        <v>2389</v>
      </c>
      <c r="BM17">
        <v>430</v>
      </c>
      <c r="BN17">
        <v>82.814148179200004</v>
      </c>
      <c r="BO17">
        <v>3403</v>
      </c>
      <c r="BP17">
        <v>543</v>
      </c>
      <c r="BQ17">
        <v>109.7458125184</v>
      </c>
      <c r="BR17">
        <v>112.0423572744</v>
      </c>
      <c r="BS17">
        <v>3064</v>
      </c>
      <c r="BT17">
        <v>839</v>
      </c>
      <c r="BU17">
        <v>97.593668407300001</v>
      </c>
      <c r="BV17">
        <v>4767</v>
      </c>
      <c r="BW17">
        <v>866</v>
      </c>
      <c r="BX17">
        <v>127.6452695616</v>
      </c>
      <c r="BY17">
        <v>133.48845265590001</v>
      </c>
      <c r="CA17" t="s">
        <v>395</v>
      </c>
      <c r="CB17" t="s">
        <v>808</v>
      </c>
      <c r="CC17" t="s">
        <v>1003</v>
      </c>
      <c r="CD17">
        <v>6614</v>
      </c>
      <c r="CE17">
        <v>1971</v>
      </c>
      <c r="CF17">
        <v>104.8622618688</v>
      </c>
      <c r="CG17">
        <v>8915</v>
      </c>
      <c r="CH17">
        <v>1895</v>
      </c>
      <c r="CI17">
        <v>147.10095344920001</v>
      </c>
      <c r="CJ17">
        <v>139.5440633245</v>
      </c>
      <c r="CL17" t="s">
        <v>395</v>
      </c>
      <c r="CM17" t="s">
        <v>783</v>
      </c>
      <c r="CN17" t="s">
        <v>782</v>
      </c>
      <c r="CO17">
        <v>697</v>
      </c>
      <c r="CP17">
        <v>128</v>
      </c>
      <c r="CQ17">
        <v>78.839311334300007</v>
      </c>
      <c r="CR17">
        <v>1873</v>
      </c>
      <c r="CS17">
        <v>333</v>
      </c>
      <c r="CT17">
        <v>72.286171916699999</v>
      </c>
      <c r="CU17">
        <v>74.801801801799996</v>
      </c>
      <c r="CW17" t="s">
        <v>395</v>
      </c>
      <c r="CX17" t="s">
        <v>796</v>
      </c>
      <c r="CY17" t="s">
        <v>795</v>
      </c>
      <c r="CZ17">
        <v>242</v>
      </c>
      <c r="DA17">
        <v>76</v>
      </c>
      <c r="DB17">
        <v>96.979338842999994</v>
      </c>
      <c r="DC17">
        <v>184</v>
      </c>
      <c r="DD17">
        <v>54</v>
      </c>
      <c r="DE17">
        <v>151.9184782609</v>
      </c>
      <c r="DF17">
        <v>169.6111111111</v>
      </c>
      <c r="DH17" t="s">
        <v>395</v>
      </c>
      <c r="DI17" t="s">
        <v>770</v>
      </c>
      <c r="DJ17" t="s">
        <v>769</v>
      </c>
      <c r="DK17">
        <v>185</v>
      </c>
      <c r="DL17">
        <v>33</v>
      </c>
      <c r="DM17">
        <v>85.864864864899999</v>
      </c>
      <c r="DN17">
        <v>193</v>
      </c>
      <c r="DO17">
        <v>36</v>
      </c>
      <c r="DP17">
        <v>132.32642487050001</v>
      </c>
      <c r="DQ17">
        <v>155.0833333333</v>
      </c>
    </row>
    <row r="18" spans="2:121" x14ac:dyDescent="0.2">
      <c r="B18" t="s">
        <v>123</v>
      </c>
      <c r="C18">
        <v>41</v>
      </c>
      <c r="D18">
        <v>31</v>
      </c>
      <c r="F18" t="s">
        <v>83</v>
      </c>
      <c r="G18">
        <v>18781</v>
      </c>
      <c r="H18">
        <v>322.23523774030002</v>
      </c>
      <c r="I18">
        <v>18678</v>
      </c>
      <c r="J18">
        <v>5048</v>
      </c>
      <c r="K18">
        <v>30475</v>
      </c>
      <c r="L18">
        <v>19890</v>
      </c>
      <c r="M18">
        <v>11967</v>
      </c>
      <c r="N18">
        <v>7504</v>
      </c>
      <c r="O18">
        <v>3779</v>
      </c>
      <c r="P18">
        <v>2650</v>
      </c>
      <c r="Q18">
        <v>0</v>
      </c>
      <c r="R18">
        <v>20</v>
      </c>
      <c r="T18" t="s">
        <v>381</v>
      </c>
      <c r="U18">
        <v>63828</v>
      </c>
      <c r="V18">
        <v>347.70660211820001</v>
      </c>
      <c r="W18">
        <v>67447</v>
      </c>
      <c r="X18">
        <v>17814</v>
      </c>
      <c r="Y18">
        <v>87491</v>
      </c>
      <c r="Z18">
        <v>59949</v>
      </c>
      <c r="AA18">
        <v>26449</v>
      </c>
      <c r="AB18">
        <v>17926</v>
      </c>
      <c r="AC18">
        <v>30335</v>
      </c>
      <c r="AD18">
        <v>22477</v>
      </c>
      <c r="AE18">
        <v>150</v>
      </c>
      <c r="AF18">
        <v>1240</v>
      </c>
      <c r="AH18" t="s">
        <v>400</v>
      </c>
      <c r="AI18">
        <v>1208</v>
      </c>
      <c r="AJ18">
        <v>205.55711920530001</v>
      </c>
      <c r="AK18">
        <v>2524</v>
      </c>
      <c r="AL18">
        <v>479</v>
      </c>
      <c r="AM18">
        <v>1759</v>
      </c>
      <c r="AN18">
        <v>806</v>
      </c>
      <c r="AO18">
        <v>381</v>
      </c>
      <c r="AP18">
        <v>168</v>
      </c>
      <c r="AQ18">
        <v>447</v>
      </c>
      <c r="AR18">
        <v>280</v>
      </c>
      <c r="AS18">
        <v>1</v>
      </c>
      <c r="AT18">
        <v>7</v>
      </c>
      <c r="AV18" t="s">
        <v>429</v>
      </c>
      <c r="AW18">
        <v>18</v>
      </c>
      <c r="AX18">
        <v>56.111111111100001</v>
      </c>
      <c r="AY18">
        <v>28</v>
      </c>
      <c r="AZ18">
        <v>2</v>
      </c>
      <c r="BA18">
        <v>26</v>
      </c>
      <c r="BB18">
        <v>2</v>
      </c>
      <c r="BC18">
        <v>1</v>
      </c>
      <c r="BD18">
        <v>1</v>
      </c>
      <c r="BE18">
        <v>1</v>
      </c>
      <c r="BG18">
        <v>64</v>
      </c>
      <c r="BH18">
        <v>7</v>
      </c>
      <c r="BJ18" t="s">
        <v>570</v>
      </c>
      <c r="BK18" t="s">
        <v>391</v>
      </c>
      <c r="BL18">
        <v>7297</v>
      </c>
      <c r="BM18">
        <v>1686</v>
      </c>
      <c r="BN18">
        <v>94.763738522699995</v>
      </c>
      <c r="BO18">
        <v>8989</v>
      </c>
      <c r="BP18">
        <v>1751</v>
      </c>
      <c r="BQ18">
        <v>144.80743130490001</v>
      </c>
      <c r="BR18">
        <v>141.9149057681</v>
      </c>
      <c r="BS18">
        <v>2888</v>
      </c>
      <c r="BT18">
        <v>735</v>
      </c>
      <c r="BU18">
        <v>98.960872576200003</v>
      </c>
      <c r="BV18">
        <v>8896</v>
      </c>
      <c r="BW18">
        <v>1704</v>
      </c>
      <c r="BX18">
        <v>142.31744604319999</v>
      </c>
      <c r="BY18">
        <v>139.551056338</v>
      </c>
      <c r="CA18" t="s">
        <v>393</v>
      </c>
      <c r="CB18" t="s">
        <v>808</v>
      </c>
      <c r="CC18" t="s">
        <v>1004</v>
      </c>
      <c r="CD18">
        <v>4934</v>
      </c>
      <c r="CE18">
        <v>1040</v>
      </c>
      <c r="CF18">
        <v>88.007093635999993</v>
      </c>
      <c r="CG18">
        <v>6975</v>
      </c>
      <c r="CH18">
        <v>1259</v>
      </c>
      <c r="CI18">
        <v>125.1222939068</v>
      </c>
      <c r="CJ18">
        <v>130.60444797459999</v>
      </c>
      <c r="CL18" t="s">
        <v>393</v>
      </c>
      <c r="CM18" t="s">
        <v>783</v>
      </c>
      <c r="CN18" t="s">
        <v>784</v>
      </c>
      <c r="CO18">
        <v>417</v>
      </c>
      <c r="CP18">
        <v>48</v>
      </c>
      <c r="CQ18">
        <v>65.345323741000001</v>
      </c>
      <c r="CR18">
        <v>1146</v>
      </c>
      <c r="CS18">
        <v>220</v>
      </c>
      <c r="CT18">
        <v>73.624781849900003</v>
      </c>
      <c r="CU18">
        <v>68.809090909099993</v>
      </c>
      <c r="CW18" t="s">
        <v>393</v>
      </c>
      <c r="CX18" t="s">
        <v>796</v>
      </c>
      <c r="CY18" t="s">
        <v>797</v>
      </c>
      <c r="CZ18">
        <v>112</v>
      </c>
      <c r="DA18">
        <v>40</v>
      </c>
      <c r="DB18">
        <v>95.241071428599994</v>
      </c>
      <c r="DC18">
        <v>96</v>
      </c>
      <c r="DD18">
        <v>29</v>
      </c>
      <c r="DE18">
        <v>145.28125</v>
      </c>
      <c r="DF18">
        <v>145.62068965520001</v>
      </c>
      <c r="DH18" t="s">
        <v>393</v>
      </c>
      <c r="DI18" t="s">
        <v>770</v>
      </c>
      <c r="DJ18" t="s">
        <v>771</v>
      </c>
      <c r="DK18">
        <v>80</v>
      </c>
      <c r="DL18">
        <v>21</v>
      </c>
      <c r="DM18">
        <v>98.55</v>
      </c>
      <c r="DN18">
        <v>96</v>
      </c>
      <c r="DO18">
        <v>13</v>
      </c>
      <c r="DP18">
        <v>139.5416666667</v>
      </c>
      <c r="DQ18">
        <v>144.76923076919999</v>
      </c>
    </row>
    <row r="19" spans="2:121" x14ac:dyDescent="0.2">
      <c r="B19" t="s">
        <v>116</v>
      </c>
      <c r="C19">
        <v>17339</v>
      </c>
      <c r="D19">
        <v>3038</v>
      </c>
      <c r="F19" t="s">
        <v>68</v>
      </c>
      <c r="G19">
        <v>2923</v>
      </c>
      <c r="H19">
        <v>427.41703729049999</v>
      </c>
      <c r="I19">
        <v>3366</v>
      </c>
      <c r="J19">
        <v>815</v>
      </c>
      <c r="K19">
        <v>3467</v>
      </c>
      <c r="L19">
        <v>2467</v>
      </c>
      <c r="M19">
        <v>586</v>
      </c>
      <c r="N19">
        <v>404</v>
      </c>
      <c r="O19">
        <v>1154</v>
      </c>
      <c r="P19">
        <v>865</v>
      </c>
      <c r="Q19">
        <v>0</v>
      </c>
      <c r="R19">
        <v>120</v>
      </c>
      <c r="T19" t="s">
        <v>462</v>
      </c>
      <c r="U19">
        <v>300018</v>
      </c>
      <c r="V19">
        <v>390.13682845699998</v>
      </c>
      <c r="W19">
        <v>319607</v>
      </c>
      <c r="X19">
        <v>78861</v>
      </c>
      <c r="Y19">
        <v>434286</v>
      </c>
      <c r="Z19">
        <v>292545</v>
      </c>
      <c r="AA19">
        <v>122535</v>
      </c>
      <c r="AB19">
        <v>82840</v>
      </c>
      <c r="AC19">
        <v>160702</v>
      </c>
      <c r="AD19">
        <v>105444</v>
      </c>
      <c r="AE19">
        <v>19748</v>
      </c>
      <c r="AF19">
        <v>4127</v>
      </c>
      <c r="AH19" t="s">
        <v>423</v>
      </c>
      <c r="AI19">
        <v>1940</v>
      </c>
      <c r="AJ19">
        <v>244.4896907216</v>
      </c>
      <c r="AK19">
        <v>2315</v>
      </c>
      <c r="AL19">
        <v>445</v>
      </c>
      <c r="AM19">
        <v>2900</v>
      </c>
      <c r="AN19">
        <v>1620</v>
      </c>
      <c r="AO19">
        <v>1025</v>
      </c>
      <c r="AP19">
        <v>487</v>
      </c>
      <c r="AQ19">
        <v>648</v>
      </c>
      <c r="AR19">
        <v>379</v>
      </c>
      <c r="AS19">
        <v>11</v>
      </c>
      <c r="AT19">
        <v>14</v>
      </c>
      <c r="AV19" t="s">
        <v>383</v>
      </c>
      <c r="AW19">
        <v>1642</v>
      </c>
      <c r="AX19">
        <v>87.027405602900004</v>
      </c>
      <c r="AY19">
        <v>1646</v>
      </c>
      <c r="AZ19">
        <v>395</v>
      </c>
      <c r="BA19">
        <v>2067</v>
      </c>
      <c r="BB19">
        <v>550</v>
      </c>
      <c r="BC19">
        <v>29</v>
      </c>
      <c r="BD19">
        <v>28</v>
      </c>
      <c r="BE19">
        <v>113</v>
      </c>
      <c r="BF19">
        <v>45</v>
      </c>
      <c r="BG19">
        <v>193</v>
      </c>
      <c r="BH19">
        <v>437</v>
      </c>
      <c r="BJ19" t="s">
        <v>634</v>
      </c>
      <c r="BK19" t="s">
        <v>391</v>
      </c>
      <c r="BL19">
        <v>898</v>
      </c>
      <c r="BM19">
        <v>149</v>
      </c>
      <c r="BN19">
        <v>77.440979955499998</v>
      </c>
      <c r="BO19">
        <v>1376</v>
      </c>
      <c r="BP19">
        <v>220</v>
      </c>
      <c r="BQ19">
        <v>101.88808139530001</v>
      </c>
      <c r="BR19">
        <v>108.2409090909</v>
      </c>
      <c r="BS19">
        <v>1167</v>
      </c>
      <c r="BT19">
        <v>320</v>
      </c>
      <c r="BU19">
        <v>100.52870608400001</v>
      </c>
      <c r="BV19">
        <v>1932</v>
      </c>
      <c r="BW19">
        <v>334</v>
      </c>
      <c r="BX19">
        <v>134.3995859213</v>
      </c>
      <c r="BY19">
        <v>134.08982035930001</v>
      </c>
      <c r="CA19" t="s">
        <v>400</v>
      </c>
      <c r="CB19" t="s">
        <v>808</v>
      </c>
      <c r="CC19" t="s">
        <v>1005</v>
      </c>
      <c r="CD19">
        <v>2465</v>
      </c>
      <c r="CE19">
        <v>458</v>
      </c>
      <c r="CF19">
        <v>84.845436105499999</v>
      </c>
      <c r="CG19">
        <v>3528</v>
      </c>
      <c r="CH19">
        <v>561</v>
      </c>
      <c r="CI19">
        <v>108.8010204082</v>
      </c>
      <c r="CJ19">
        <v>109.60427807489999</v>
      </c>
      <c r="CL19" t="s">
        <v>400</v>
      </c>
      <c r="CM19" t="s">
        <v>783</v>
      </c>
      <c r="CN19" t="s">
        <v>785</v>
      </c>
      <c r="CO19">
        <v>220</v>
      </c>
      <c r="CP19">
        <v>13</v>
      </c>
      <c r="CQ19">
        <v>52.9863636364</v>
      </c>
      <c r="CR19">
        <v>703</v>
      </c>
      <c r="CS19">
        <v>125</v>
      </c>
      <c r="CT19">
        <v>67.089615931699996</v>
      </c>
      <c r="CU19">
        <v>71.072000000000003</v>
      </c>
      <c r="CW19" t="s">
        <v>400</v>
      </c>
      <c r="CX19" t="s">
        <v>796</v>
      </c>
      <c r="CY19" t="s">
        <v>798</v>
      </c>
      <c r="CZ19">
        <v>49</v>
      </c>
      <c r="DA19">
        <v>14</v>
      </c>
      <c r="DB19">
        <v>91.142857142899999</v>
      </c>
      <c r="DC19">
        <v>52</v>
      </c>
      <c r="DD19">
        <v>16</v>
      </c>
      <c r="DE19">
        <v>143.2884615385</v>
      </c>
      <c r="DF19">
        <v>160.1875</v>
      </c>
      <c r="DH19" t="s">
        <v>400</v>
      </c>
      <c r="DI19" t="s">
        <v>770</v>
      </c>
      <c r="DJ19" t="s">
        <v>772</v>
      </c>
      <c r="DK19">
        <v>21</v>
      </c>
      <c r="DL19">
        <v>5</v>
      </c>
      <c r="DM19">
        <v>97.666666666699996</v>
      </c>
      <c r="DN19">
        <v>51</v>
      </c>
      <c r="DO19">
        <v>9</v>
      </c>
      <c r="DP19">
        <v>125.6470588235</v>
      </c>
      <c r="DQ19">
        <v>133.8888888889</v>
      </c>
    </row>
    <row r="20" spans="2:121" x14ac:dyDescent="0.2">
      <c r="B20" t="s">
        <v>315</v>
      </c>
      <c r="C20">
        <v>1</v>
      </c>
      <c r="D20">
        <v>1</v>
      </c>
      <c r="F20" t="s">
        <v>74</v>
      </c>
      <c r="G20">
        <v>272</v>
      </c>
      <c r="H20">
        <v>108.3235294118</v>
      </c>
      <c r="I20">
        <v>855</v>
      </c>
      <c r="J20">
        <v>168</v>
      </c>
      <c r="K20">
        <v>491</v>
      </c>
      <c r="L20">
        <v>109</v>
      </c>
      <c r="M20">
        <v>362</v>
      </c>
      <c r="N20">
        <v>140</v>
      </c>
      <c r="O20">
        <v>45</v>
      </c>
      <c r="P20">
        <v>14</v>
      </c>
      <c r="Q20">
        <v>0</v>
      </c>
      <c r="R20">
        <v>0</v>
      </c>
      <c r="AH20" t="s">
        <v>394</v>
      </c>
      <c r="AI20">
        <v>6466</v>
      </c>
      <c r="AJ20">
        <v>546.35323229200003</v>
      </c>
      <c r="AK20">
        <v>3725</v>
      </c>
      <c r="AL20">
        <v>706</v>
      </c>
      <c r="AM20">
        <v>9245</v>
      </c>
      <c r="AN20">
        <v>6570</v>
      </c>
      <c r="AO20">
        <v>2568</v>
      </c>
      <c r="AP20">
        <v>1970</v>
      </c>
      <c r="AQ20">
        <v>1693</v>
      </c>
      <c r="AR20">
        <v>911</v>
      </c>
      <c r="AS20">
        <v>525</v>
      </c>
      <c r="AT20">
        <v>147</v>
      </c>
      <c r="AV20" t="s">
        <v>8</v>
      </c>
      <c r="AW20">
        <v>158</v>
      </c>
      <c r="AX20">
        <v>79.107594936699996</v>
      </c>
      <c r="AY20">
        <v>209</v>
      </c>
      <c r="AZ20">
        <v>104</v>
      </c>
      <c r="BA20">
        <v>346</v>
      </c>
      <c r="BB20">
        <v>153</v>
      </c>
      <c r="BC20">
        <v>10</v>
      </c>
      <c r="BD20">
        <v>9</v>
      </c>
      <c r="BE20">
        <v>12</v>
      </c>
      <c r="BF20">
        <v>4</v>
      </c>
      <c r="BG20">
        <v>37</v>
      </c>
      <c r="BH20">
        <v>25</v>
      </c>
      <c r="BJ20" t="s">
        <v>562</v>
      </c>
      <c r="BK20" t="s">
        <v>391</v>
      </c>
      <c r="BL20">
        <v>4810</v>
      </c>
      <c r="BM20">
        <v>1023</v>
      </c>
      <c r="BN20">
        <v>88.422245322199998</v>
      </c>
      <c r="BO20">
        <v>6656</v>
      </c>
      <c r="BP20">
        <v>1191</v>
      </c>
      <c r="BQ20">
        <v>128.36643629810001</v>
      </c>
      <c r="BR20">
        <v>133.0621326616</v>
      </c>
      <c r="BS20">
        <v>1581</v>
      </c>
      <c r="BT20">
        <v>496</v>
      </c>
      <c r="BU20">
        <v>107.8969006958</v>
      </c>
      <c r="BV20">
        <v>7243</v>
      </c>
      <c r="BW20">
        <v>1338</v>
      </c>
      <c r="BX20">
        <v>132.34295181549999</v>
      </c>
      <c r="BY20">
        <v>132.33109118089999</v>
      </c>
      <c r="CA20" t="s">
        <v>423</v>
      </c>
      <c r="CB20" t="s">
        <v>808</v>
      </c>
      <c r="CC20" t="s">
        <v>1006</v>
      </c>
      <c r="CD20">
        <v>2146</v>
      </c>
      <c r="CE20">
        <v>391</v>
      </c>
      <c r="CF20">
        <v>82.705964585299995</v>
      </c>
      <c r="CG20">
        <v>4117</v>
      </c>
      <c r="CH20">
        <v>820</v>
      </c>
      <c r="CI20">
        <v>124.8729657518</v>
      </c>
      <c r="CJ20">
        <v>110.47317073169999</v>
      </c>
      <c r="CL20" t="s">
        <v>423</v>
      </c>
      <c r="CM20" t="s">
        <v>783</v>
      </c>
      <c r="CN20" t="s">
        <v>786</v>
      </c>
      <c r="CO20">
        <v>189</v>
      </c>
      <c r="CP20">
        <v>13</v>
      </c>
      <c r="CQ20">
        <v>66.2962962963</v>
      </c>
      <c r="CR20">
        <v>609</v>
      </c>
      <c r="CS20">
        <v>107</v>
      </c>
      <c r="CT20">
        <v>67.857142857100001</v>
      </c>
      <c r="CU20">
        <v>62.7570093458</v>
      </c>
      <c r="CW20" t="s">
        <v>423</v>
      </c>
      <c r="CX20" t="s">
        <v>796</v>
      </c>
      <c r="CY20" t="s">
        <v>799</v>
      </c>
      <c r="CZ20">
        <v>104</v>
      </c>
      <c r="DA20">
        <v>19</v>
      </c>
      <c r="DB20">
        <v>79.548076923099998</v>
      </c>
      <c r="DC20">
        <v>64</v>
      </c>
      <c r="DD20">
        <v>15</v>
      </c>
      <c r="DE20">
        <v>119.59375</v>
      </c>
      <c r="DF20">
        <v>128.26666666669999</v>
      </c>
      <c r="DH20" t="s">
        <v>423</v>
      </c>
      <c r="DI20" t="s">
        <v>770</v>
      </c>
      <c r="DJ20" t="s">
        <v>773</v>
      </c>
      <c r="DK20">
        <v>151</v>
      </c>
      <c r="DL20">
        <v>25</v>
      </c>
      <c r="DM20">
        <v>74.807947019899999</v>
      </c>
      <c r="DN20">
        <v>153</v>
      </c>
      <c r="DO20">
        <v>36</v>
      </c>
      <c r="DP20">
        <v>125.39215686270001</v>
      </c>
      <c r="DQ20">
        <v>130</v>
      </c>
    </row>
    <row r="21" spans="2:121" x14ac:dyDescent="0.2">
      <c r="B21" t="s">
        <v>109</v>
      </c>
      <c r="C21">
        <v>20705</v>
      </c>
      <c r="D21">
        <v>11771</v>
      </c>
      <c r="F21" t="s">
        <v>8</v>
      </c>
      <c r="G21">
        <v>57</v>
      </c>
      <c r="H21">
        <v>1092.1403508772</v>
      </c>
      <c r="I21">
        <v>17</v>
      </c>
      <c r="J21">
        <v>2</v>
      </c>
      <c r="K21">
        <v>61</v>
      </c>
      <c r="L21">
        <v>58</v>
      </c>
      <c r="M21">
        <v>10</v>
      </c>
      <c r="N21">
        <v>8</v>
      </c>
      <c r="O21">
        <v>50769</v>
      </c>
      <c r="P21">
        <v>29307</v>
      </c>
      <c r="Q21">
        <v>0</v>
      </c>
      <c r="R21">
        <v>1</v>
      </c>
      <c r="AH21" t="s">
        <v>388</v>
      </c>
      <c r="AI21">
        <v>4907</v>
      </c>
      <c r="AJ21">
        <v>441.3482779702</v>
      </c>
      <c r="AK21">
        <v>5725</v>
      </c>
      <c r="AL21">
        <v>1472</v>
      </c>
      <c r="AM21">
        <v>7383</v>
      </c>
      <c r="AN21">
        <v>4937</v>
      </c>
      <c r="AO21">
        <v>1758</v>
      </c>
      <c r="AP21">
        <v>1225</v>
      </c>
      <c r="AQ21">
        <v>2238</v>
      </c>
      <c r="AR21">
        <v>1471</v>
      </c>
      <c r="AS21">
        <v>248</v>
      </c>
      <c r="AT21">
        <v>253</v>
      </c>
      <c r="AV21" t="s">
        <v>423</v>
      </c>
      <c r="AW21">
        <v>118</v>
      </c>
      <c r="AX21">
        <v>47.5508474576</v>
      </c>
      <c r="AY21">
        <v>196</v>
      </c>
      <c r="AZ21">
        <v>6</v>
      </c>
      <c r="BA21">
        <v>158</v>
      </c>
      <c r="BB21">
        <v>7</v>
      </c>
      <c r="BC21">
        <v>0</v>
      </c>
      <c r="BE21">
        <v>3</v>
      </c>
      <c r="BF21">
        <v>1</v>
      </c>
      <c r="BG21">
        <v>167</v>
      </c>
      <c r="BH21">
        <v>21</v>
      </c>
      <c r="BJ21" t="s">
        <v>579</v>
      </c>
      <c r="BK21" t="s">
        <v>391</v>
      </c>
      <c r="BL21">
        <v>2199</v>
      </c>
      <c r="BM21">
        <v>301</v>
      </c>
      <c r="BN21">
        <v>81.623919963600002</v>
      </c>
      <c r="BO21">
        <v>2578</v>
      </c>
      <c r="BP21">
        <v>525</v>
      </c>
      <c r="BQ21">
        <v>120.1202482545</v>
      </c>
      <c r="BR21">
        <v>120.66285714289999</v>
      </c>
      <c r="BS21">
        <v>5573</v>
      </c>
      <c r="BT21">
        <v>1641</v>
      </c>
      <c r="BU21">
        <v>113.1747712184</v>
      </c>
      <c r="BV21">
        <v>7493</v>
      </c>
      <c r="BW21">
        <v>1407</v>
      </c>
      <c r="BX21">
        <v>147.2220739357</v>
      </c>
      <c r="BY21">
        <v>140.51457000709999</v>
      </c>
      <c r="CA21" t="s">
        <v>396</v>
      </c>
      <c r="CB21" t="s">
        <v>808</v>
      </c>
      <c r="CC21" t="s">
        <v>1007</v>
      </c>
      <c r="CD21">
        <v>7345</v>
      </c>
      <c r="CE21">
        <v>1682</v>
      </c>
      <c r="CF21">
        <v>94.3003403676</v>
      </c>
      <c r="CG21">
        <v>9327</v>
      </c>
      <c r="CH21">
        <v>1807</v>
      </c>
      <c r="CI21">
        <v>142.9858475394</v>
      </c>
      <c r="CJ21">
        <v>139.10459324850001</v>
      </c>
      <c r="CL21" t="s">
        <v>396</v>
      </c>
      <c r="CM21" t="s">
        <v>783</v>
      </c>
      <c r="CN21" t="s">
        <v>787</v>
      </c>
      <c r="CO21">
        <v>768</v>
      </c>
      <c r="CP21">
        <v>109</v>
      </c>
      <c r="CQ21">
        <v>71.713541666699996</v>
      </c>
      <c r="CR21">
        <v>2097</v>
      </c>
      <c r="CS21">
        <v>415</v>
      </c>
      <c r="CT21">
        <v>72.313781592799998</v>
      </c>
      <c r="CU21">
        <v>74.407228915700003</v>
      </c>
      <c r="CW21" t="s">
        <v>396</v>
      </c>
      <c r="CX21" t="s">
        <v>796</v>
      </c>
      <c r="CY21" t="s">
        <v>800</v>
      </c>
      <c r="CZ21">
        <v>177</v>
      </c>
      <c r="DA21">
        <v>55</v>
      </c>
      <c r="DB21">
        <v>89.627118644099994</v>
      </c>
      <c r="DC21">
        <v>151</v>
      </c>
      <c r="DD21">
        <v>37</v>
      </c>
      <c r="DE21">
        <v>148.76821192049999</v>
      </c>
      <c r="DF21">
        <v>153.8648648649</v>
      </c>
      <c r="DH21" t="s">
        <v>396</v>
      </c>
      <c r="DI21" t="s">
        <v>770</v>
      </c>
      <c r="DJ21" t="s">
        <v>774</v>
      </c>
      <c r="DK21">
        <v>123</v>
      </c>
      <c r="DL21">
        <v>24</v>
      </c>
      <c r="DM21">
        <v>79.536585365899995</v>
      </c>
      <c r="DN21">
        <v>141</v>
      </c>
      <c r="DO21">
        <v>22</v>
      </c>
      <c r="DP21">
        <v>128.99290780140001</v>
      </c>
      <c r="DQ21">
        <v>105.63636363640001</v>
      </c>
    </row>
    <row r="22" spans="2:121" x14ac:dyDescent="0.2">
      <c r="B22" t="s">
        <v>110</v>
      </c>
      <c r="C22">
        <v>1344</v>
      </c>
      <c r="D22">
        <v>404</v>
      </c>
      <c r="F22" t="s">
        <v>44</v>
      </c>
      <c r="G22">
        <v>1066</v>
      </c>
      <c r="H22">
        <v>318.76078799250001</v>
      </c>
      <c r="I22">
        <v>1874</v>
      </c>
      <c r="J22">
        <v>477</v>
      </c>
      <c r="K22">
        <v>2676</v>
      </c>
      <c r="L22">
        <v>1902</v>
      </c>
      <c r="M22">
        <v>512</v>
      </c>
      <c r="N22">
        <v>314</v>
      </c>
      <c r="O22">
        <v>822</v>
      </c>
      <c r="P22">
        <v>594</v>
      </c>
      <c r="Q22">
        <v>0</v>
      </c>
      <c r="R22">
        <v>6</v>
      </c>
      <c r="AH22" t="s">
        <v>417</v>
      </c>
      <c r="AI22">
        <v>1236</v>
      </c>
      <c r="AJ22">
        <v>311.58009708740002</v>
      </c>
      <c r="AK22">
        <v>1397</v>
      </c>
      <c r="AL22">
        <v>196</v>
      </c>
      <c r="AM22">
        <v>1959</v>
      </c>
      <c r="AN22">
        <v>1089</v>
      </c>
      <c r="AO22">
        <v>988</v>
      </c>
      <c r="AP22">
        <v>740</v>
      </c>
      <c r="AQ22">
        <v>381</v>
      </c>
      <c r="AR22">
        <v>244</v>
      </c>
      <c r="AS22">
        <v>337</v>
      </c>
      <c r="AT22">
        <v>3</v>
      </c>
      <c r="AV22" t="s">
        <v>377</v>
      </c>
      <c r="AW22">
        <v>373</v>
      </c>
      <c r="AX22">
        <v>96.233243967799993</v>
      </c>
      <c r="AY22">
        <v>614</v>
      </c>
      <c r="AZ22">
        <v>151</v>
      </c>
      <c r="BA22">
        <v>494</v>
      </c>
      <c r="BB22">
        <v>153</v>
      </c>
      <c r="BC22">
        <v>11</v>
      </c>
      <c r="BD22">
        <v>11</v>
      </c>
      <c r="BE22">
        <v>36</v>
      </c>
      <c r="BF22">
        <v>16</v>
      </c>
      <c r="BG22">
        <v>46</v>
      </c>
      <c r="BH22">
        <v>161</v>
      </c>
      <c r="BJ22" t="s">
        <v>391</v>
      </c>
      <c r="BK22" t="s">
        <v>391</v>
      </c>
      <c r="BL22">
        <v>50544</v>
      </c>
      <c r="BM22">
        <v>11371</v>
      </c>
      <c r="BN22">
        <v>91.841860557100006</v>
      </c>
      <c r="BO22">
        <v>72813</v>
      </c>
      <c r="BP22">
        <v>14043</v>
      </c>
      <c r="BQ22">
        <v>129.13820334280001</v>
      </c>
      <c r="BR22">
        <v>129.3153172399</v>
      </c>
      <c r="BS22">
        <v>40947</v>
      </c>
      <c r="BT22">
        <v>10518</v>
      </c>
      <c r="BU22">
        <v>99.117127017900003</v>
      </c>
      <c r="BV22">
        <v>82132</v>
      </c>
      <c r="BW22">
        <v>15551</v>
      </c>
      <c r="BX22">
        <v>137.1886962451</v>
      </c>
      <c r="BY22">
        <v>135.21053308469999</v>
      </c>
      <c r="CA22" t="s">
        <v>402</v>
      </c>
      <c r="CB22" t="s">
        <v>808</v>
      </c>
      <c r="CC22" t="s">
        <v>1008</v>
      </c>
      <c r="CD22">
        <v>4385</v>
      </c>
      <c r="CE22">
        <v>800</v>
      </c>
      <c r="CF22">
        <v>79.9286202965</v>
      </c>
      <c r="CG22">
        <v>8549</v>
      </c>
      <c r="CH22">
        <v>1510</v>
      </c>
      <c r="CI22">
        <v>111.3477599719</v>
      </c>
      <c r="CJ22">
        <v>110.0033112583</v>
      </c>
      <c r="CL22" t="s">
        <v>402</v>
      </c>
      <c r="CM22" t="s">
        <v>783</v>
      </c>
      <c r="CN22" t="s">
        <v>788</v>
      </c>
      <c r="CO22">
        <v>243</v>
      </c>
      <c r="CP22">
        <v>18</v>
      </c>
      <c r="CQ22">
        <v>62.3374485597</v>
      </c>
      <c r="CR22">
        <v>842</v>
      </c>
      <c r="CS22">
        <v>142</v>
      </c>
      <c r="CT22">
        <v>65.182897862199994</v>
      </c>
      <c r="CU22">
        <v>87.521126760599998</v>
      </c>
      <c r="CW22" t="s">
        <v>402</v>
      </c>
      <c r="CX22" t="s">
        <v>796</v>
      </c>
      <c r="CY22" t="s">
        <v>801</v>
      </c>
      <c r="CZ22">
        <v>61</v>
      </c>
      <c r="DA22">
        <v>18</v>
      </c>
      <c r="DB22">
        <v>94.868852458999996</v>
      </c>
      <c r="DC22">
        <v>76</v>
      </c>
      <c r="DD22">
        <v>18</v>
      </c>
      <c r="DE22">
        <v>134.0394736842</v>
      </c>
      <c r="DF22">
        <v>142</v>
      </c>
      <c r="DH22" t="s">
        <v>402</v>
      </c>
      <c r="DI22" t="s">
        <v>770</v>
      </c>
      <c r="DJ22" t="s">
        <v>775</v>
      </c>
      <c r="DK22">
        <v>35</v>
      </c>
      <c r="DL22">
        <v>5</v>
      </c>
      <c r="DM22">
        <v>83.714285714300004</v>
      </c>
      <c r="DN22">
        <v>41</v>
      </c>
      <c r="DO22">
        <v>7</v>
      </c>
      <c r="DP22">
        <v>131.1219512195</v>
      </c>
      <c r="DQ22">
        <v>170.8571428571</v>
      </c>
    </row>
    <row r="23" spans="2:121" x14ac:dyDescent="0.2">
      <c r="B23" t="s">
        <v>1059</v>
      </c>
      <c r="C23">
        <v>1267</v>
      </c>
      <c r="D23">
        <v>671</v>
      </c>
      <c r="F23" t="s">
        <v>43</v>
      </c>
      <c r="G23">
        <v>78</v>
      </c>
      <c r="H23">
        <v>86.423076923099998</v>
      </c>
      <c r="I23">
        <v>859</v>
      </c>
      <c r="J23">
        <v>152</v>
      </c>
      <c r="K23">
        <v>193</v>
      </c>
      <c r="L23">
        <v>15</v>
      </c>
      <c r="M23">
        <v>90</v>
      </c>
      <c r="N23">
        <v>38</v>
      </c>
      <c r="O23">
        <v>67</v>
      </c>
      <c r="P23">
        <v>38</v>
      </c>
      <c r="Q23">
        <v>0</v>
      </c>
      <c r="R23">
        <v>1</v>
      </c>
      <c r="AH23" t="s">
        <v>377</v>
      </c>
      <c r="AI23">
        <v>8094</v>
      </c>
      <c r="AJ23">
        <v>655.66580182849998</v>
      </c>
      <c r="AK23">
        <v>5577</v>
      </c>
      <c r="AL23">
        <v>1474</v>
      </c>
      <c r="AM23">
        <v>11161</v>
      </c>
      <c r="AN23">
        <v>8323</v>
      </c>
      <c r="AO23">
        <v>2955</v>
      </c>
      <c r="AP23">
        <v>2304</v>
      </c>
      <c r="AQ23">
        <v>3028</v>
      </c>
      <c r="AR23">
        <v>1958</v>
      </c>
      <c r="AS23">
        <v>404</v>
      </c>
      <c r="AT23">
        <v>6</v>
      </c>
      <c r="AV23" t="s">
        <v>80</v>
      </c>
      <c r="AW23">
        <v>183</v>
      </c>
      <c r="AX23">
        <v>50.693989070999997</v>
      </c>
      <c r="AY23">
        <v>416</v>
      </c>
      <c r="AZ23">
        <v>23</v>
      </c>
      <c r="BA23">
        <v>294</v>
      </c>
      <c r="BB23">
        <v>34</v>
      </c>
      <c r="BC23">
        <v>2</v>
      </c>
      <c r="BE23">
        <v>24</v>
      </c>
      <c r="BF23">
        <v>12</v>
      </c>
      <c r="BG23">
        <v>412</v>
      </c>
      <c r="BH23">
        <v>67</v>
      </c>
      <c r="BJ23" t="s">
        <v>572</v>
      </c>
      <c r="BK23" t="s">
        <v>391</v>
      </c>
      <c r="BL23">
        <v>4109</v>
      </c>
      <c r="BM23">
        <v>799</v>
      </c>
      <c r="BN23">
        <v>83.146020929700001</v>
      </c>
      <c r="BO23">
        <v>5629</v>
      </c>
      <c r="BP23">
        <v>1135</v>
      </c>
      <c r="BQ23">
        <v>122.77082963230001</v>
      </c>
      <c r="BR23">
        <v>125</v>
      </c>
      <c r="BS23">
        <v>4267</v>
      </c>
      <c r="BT23">
        <v>966</v>
      </c>
      <c r="BU23">
        <v>91.754862901300001</v>
      </c>
      <c r="BV23">
        <v>6671</v>
      </c>
      <c r="BW23">
        <v>1242</v>
      </c>
      <c r="BX23">
        <v>142.84859841100001</v>
      </c>
      <c r="BY23">
        <v>139.9057971014</v>
      </c>
      <c r="CA23" t="s">
        <v>398</v>
      </c>
      <c r="CB23" t="s">
        <v>808</v>
      </c>
      <c r="CC23" t="s">
        <v>1009</v>
      </c>
      <c r="CD23">
        <v>5657</v>
      </c>
      <c r="CE23">
        <v>1245</v>
      </c>
      <c r="CF23">
        <v>87.500618702500006</v>
      </c>
      <c r="CG23">
        <v>8406</v>
      </c>
      <c r="CH23">
        <v>1674</v>
      </c>
      <c r="CI23">
        <v>117.592671901</v>
      </c>
      <c r="CJ23">
        <v>118.780167264</v>
      </c>
      <c r="CL23" t="s">
        <v>398</v>
      </c>
      <c r="CM23" t="s">
        <v>783</v>
      </c>
      <c r="CN23" t="s">
        <v>789</v>
      </c>
      <c r="CO23">
        <v>504</v>
      </c>
      <c r="CP23">
        <v>76</v>
      </c>
      <c r="CQ23">
        <v>70.724206349200003</v>
      </c>
      <c r="CR23">
        <v>1450</v>
      </c>
      <c r="CS23">
        <v>280</v>
      </c>
      <c r="CT23">
        <v>70.859310344799994</v>
      </c>
      <c r="CU23">
        <v>71.210714285700007</v>
      </c>
      <c r="CW23" t="s">
        <v>398</v>
      </c>
      <c r="CX23" t="s">
        <v>796</v>
      </c>
      <c r="CY23" t="s">
        <v>802</v>
      </c>
      <c r="CZ23">
        <v>178</v>
      </c>
      <c r="DA23">
        <v>31</v>
      </c>
      <c r="DB23">
        <v>78.297752809000002</v>
      </c>
      <c r="DC23">
        <v>182</v>
      </c>
      <c r="DD23">
        <v>43</v>
      </c>
      <c r="DE23">
        <v>136.1978021978</v>
      </c>
      <c r="DF23">
        <v>142.6976744186</v>
      </c>
      <c r="DH23" t="s">
        <v>398</v>
      </c>
      <c r="DI23" t="s">
        <v>770</v>
      </c>
      <c r="DJ23" t="s">
        <v>776</v>
      </c>
      <c r="DK23">
        <v>150</v>
      </c>
      <c r="DL23">
        <v>30</v>
      </c>
      <c r="DM23">
        <v>81.066666666700002</v>
      </c>
      <c r="DN23">
        <v>163</v>
      </c>
      <c r="DO23">
        <v>34</v>
      </c>
      <c r="DP23">
        <v>136.98159509199999</v>
      </c>
      <c r="DQ23">
        <v>130.9117647059</v>
      </c>
    </row>
    <row r="24" spans="2:121" x14ac:dyDescent="0.2">
      <c r="B24" t="s">
        <v>104</v>
      </c>
      <c r="C24">
        <v>37085</v>
      </c>
      <c r="D24">
        <v>11018</v>
      </c>
      <c r="F24" t="s">
        <v>79</v>
      </c>
      <c r="G24">
        <v>11486</v>
      </c>
      <c r="H24">
        <v>354.27407278430002</v>
      </c>
      <c r="I24">
        <v>17381</v>
      </c>
      <c r="J24">
        <v>3602</v>
      </c>
      <c r="K24">
        <v>13670</v>
      </c>
      <c r="L24">
        <v>8891</v>
      </c>
      <c r="M24">
        <v>3427</v>
      </c>
      <c r="N24">
        <v>2203</v>
      </c>
      <c r="O24">
        <v>6229</v>
      </c>
      <c r="P24">
        <v>1975</v>
      </c>
      <c r="Q24">
        <v>2</v>
      </c>
      <c r="R24">
        <v>204</v>
      </c>
      <c r="T24" t="s">
        <v>648</v>
      </c>
      <c r="U24" t="s">
        <v>306</v>
      </c>
      <c r="V24" t="s">
        <v>133</v>
      </c>
      <c r="W24" t="s">
        <v>214</v>
      </c>
      <c r="X24" t="s">
        <v>215</v>
      </c>
      <c r="Y24" t="s">
        <v>216</v>
      </c>
      <c r="Z24" t="s">
        <v>217</v>
      </c>
      <c r="AA24" t="s">
        <v>218</v>
      </c>
      <c r="AB24" t="s">
        <v>219</v>
      </c>
      <c r="AC24" t="s">
        <v>220</v>
      </c>
      <c r="AD24" t="s">
        <v>221</v>
      </c>
      <c r="AE24" t="s">
        <v>222</v>
      </c>
      <c r="AF24" t="s">
        <v>223</v>
      </c>
      <c r="AH24" t="s">
        <v>372</v>
      </c>
      <c r="AI24">
        <v>4376</v>
      </c>
      <c r="AJ24">
        <v>727.56398537480004</v>
      </c>
      <c r="AK24">
        <v>4487</v>
      </c>
      <c r="AL24">
        <v>1157</v>
      </c>
      <c r="AM24">
        <v>6444</v>
      </c>
      <c r="AN24">
        <v>4967</v>
      </c>
      <c r="AO24">
        <v>3003</v>
      </c>
      <c r="AP24">
        <v>2327</v>
      </c>
      <c r="AQ24">
        <v>1440</v>
      </c>
      <c r="AR24">
        <v>1034</v>
      </c>
      <c r="AS24">
        <v>714</v>
      </c>
      <c r="AT24">
        <v>10</v>
      </c>
      <c r="AV24" t="s">
        <v>398</v>
      </c>
      <c r="AW24">
        <v>611</v>
      </c>
      <c r="AX24">
        <v>46.628477905099999</v>
      </c>
      <c r="AY24">
        <v>646</v>
      </c>
      <c r="AZ24">
        <v>84</v>
      </c>
      <c r="BA24">
        <v>829</v>
      </c>
      <c r="BB24">
        <v>41</v>
      </c>
      <c r="BC24">
        <v>3</v>
      </c>
      <c r="BD24">
        <v>1</v>
      </c>
      <c r="BE24">
        <v>35</v>
      </c>
      <c r="BF24">
        <v>11</v>
      </c>
      <c r="BG24">
        <v>112</v>
      </c>
      <c r="BH24">
        <v>55</v>
      </c>
      <c r="BJ24" t="s">
        <v>636</v>
      </c>
      <c r="BK24" t="s">
        <v>391</v>
      </c>
      <c r="BL24">
        <v>928</v>
      </c>
      <c r="BM24">
        <v>168</v>
      </c>
      <c r="BN24">
        <v>77.739224137899996</v>
      </c>
      <c r="BO24">
        <v>1275</v>
      </c>
      <c r="BP24">
        <v>183</v>
      </c>
      <c r="BQ24">
        <v>106.12705882349999</v>
      </c>
      <c r="BR24">
        <v>105.3224043716</v>
      </c>
      <c r="BS24">
        <v>1617</v>
      </c>
      <c r="BT24">
        <v>439</v>
      </c>
      <c r="BU24">
        <v>104.1372912801</v>
      </c>
      <c r="BV24">
        <v>2286</v>
      </c>
      <c r="BW24">
        <v>360</v>
      </c>
      <c r="BX24">
        <v>141.39020122479999</v>
      </c>
      <c r="BY24">
        <v>164.625</v>
      </c>
      <c r="CA24" t="s">
        <v>401</v>
      </c>
      <c r="CB24" t="s">
        <v>808</v>
      </c>
      <c r="CC24" t="s">
        <v>1010</v>
      </c>
      <c r="CD24">
        <v>2159</v>
      </c>
      <c r="CE24">
        <v>290</v>
      </c>
      <c r="CF24">
        <v>80.656785548900004</v>
      </c>
      <c r="CG24">
        <v>2694</v>
      </c>
      <c r="CH24">
        <v>551</v>
      </c>
      <c r="CI24">
        <v>117.2542687454</v>
      </c>
      <c r="CJ24">
        <v>114.8947368421</v>
      </c>
      <c r="CL24" t="s">
        <v>401</v>
      </c>
      <c r="CM24" t="s">
        <v>783</v>
      </c>
      <c r="CN24" t="s">
        <v>790</v>
      </c>
      <c r="CO24">
        <v>85</v>
      </c>
      <c r="CP24">
        <v>14</v>
      </c>
      <c r="CQ24">
        <v>78.882352941199997</v>
      </c>
      <c r="CR24">
        <v>255</v>
      </c>
      <c r="CS24">
        <v>61</v>
      </c>
      <c r="CT24">
        <v>66.470588235299999</v>
      </c>
      <c r="CU24">
        <v>82.688524590200004</v>
      </c>
      <c r="CW24" t="s">
        <v>401</v>
      </c>
      <c r="CX24" t="s">
        <v>796</v>
      </c>
      <c r="CY24" t="s">
        <v>803</v>
      </c>
      <c r="CZ24">
        <v>54</v>
      </c>
      <c r="DA24">
        <v>12</v>
      </c>
      <c r="DB24">
        <v>91.2037037037</v>
      </c>
      <c r="DC24">
        <v>38</v>
      </c>
      <c r="DD24">
        <v>12</v>
      </c>
      <c r="DE24">
        <v>122.8684210526</v>
      </c>
      <c r="DF24">
        <v>139.6666666667</v>
      </c>
      <c r="DH24" t="s">
        <v>401</v>
      </c>
      <c r="DI24" t="s">
        <v>770</v>
      </c>
      <c r="DJ24" t="s">
        <v>777</v>
      </c>
      <c r="DK24">
        <v>86</v>
      </c>
      <c r="DL24">
        <v>20</v>
      </c>
      <c r="DM24">
        <v>86.313953488400003</v>
      </c>
      <c r="DN24">
        <v>76</v>
      </c>
      <c r="DO24">
        <v>20</v>
      </c>
      <c r="DP24">
        <v>115.7763157895</v>
      </c>
      <c r="DQ24">
        <v>135.94999999999999</v>
      </c>
    </row>
    <row r="25" spans="2:121" x14ac:dyDescent="0.2">
      <c r="B25" t="s">
        <v>103</v>
      </c>
      <c r="C25">
        <v>42</v>
      </c>
      <c r="D25">
        <v>40</v>
      </c>
      <c r="F25" t="s">
        <v>35</v>
      </c>
      <c r="G25">
        <v>4215</v>
      </c>
      <c r="H25">
        <v>620.33357058130002</v>
      </c>
      <c r="I25">
        <v>3543</v>
      </c>
      <c r="J25">
        <v>919</v>
      </c>
      <c r="K25">
        <v>5648</v>
      </c>
      <c r="L25">
        <v>4408</v>
      </c>
      <c r="M25">
        <v>2697</v>
      </c>
      <c r="N25">
        <v>2081</v>
      </c>
      <c r="O25">
        <v>800</v>
      </c>
      <c r="P25">
        <v>640</v>
      </c>
      <c r="Q25">
        <v>0</v>
      </c>
      <c r="R25">
        <v>1</v>
      </c>
      <c r="T25" t="s">
        <v>386</v>
      </c>
      <c r="U25">
        <v>55881</v>
      </c>
      <c r="V25">
        <v>378.963601224</v>
      </c>
      <c r="W25">
        <v>65562</v>
      </c>
      <c r="X25">
        <v>15111</v>
      </c>
      <c r="Y25">
        <v>78186</v>
      </c>
      <c r="Z25">
        <v>51805</v>
      </c>
      <c r="AA25">
        <v>18997</v>
      </c>
      <c r="AB25">
        <v>11941</v>
      </c>
      <c r="AC25">
        <v>27346</v>
      </c>
      <c r="AD25">
        <v>15546</v>
      </c>
      <c r="AE25">
        <v>937</v>
      </c>
      <c r="AF25">
        <v>1068</v>
      </c>
      <c r="AH25" t="s">
        <v>396</v>
      </c>
      <c r="AI25">
        <v>3590</v>
      </c>
      <c r="AJ25">
        <v>310.27075208909997</v>
      </c>
      <c r="AK25">
        <v>7546</v>
      </c>
      <c r="AL25">
        <v>1818</v>
      </c>
      <c r="AM25">
        <v>6664</v>
      </c>
      <c r="AN25">
        <v>4262</v>
      </c>
      <c r="AO25">
        <v>1223</v>
      </c>
      <c r="AP25">
        <v>893</v>
      </c>
      <c r="AQ25">
        <v>2103</v>
      </c>
      <c r="AR25">
        <v>1185</v>
      </c>
      <c r="AS25">
        <v>794</v>
      </c>
      <c r="AT25">
        <v>194</v>
      </c>
      <c r="AV25" t="s">
        <v>408</v>
      </c>
      <c r="AW25">
        <v>908</v>
      </c>
      <c r="AX25">
        <v>51.577092510999996</v>
      </c>
      <c r="AY25">
        <v>1611</v>
      </c>
      <c r="AZ25">
        <v>86</v>
      </c>
      <c r="BA25">
        <v>1228</v>
      </c>
      <c r="BB25">
        <v>53</v>
      </c>
      <c r="BC25">
        <v>13</v>
      </c>
      <c r="BD25">
        <v>6</v>
      </c>
      <c r="BE25">
        <v>80</v>
      </c>
      <c r="BF25">
        <v>36</v>
      </c>
      <c r="BG25">
        <v>1289</v>
      </c>
      <c r="BH25">
        <v>273</v>
      </c>
      <c r="BJ25" t="s">
        <v>575</v>
      </c>
      <c r="BK25" t="s">
        <v>391</v>
      </c>
      <c r="BL25">
        <v>5561</v>
      </c>
      <c r="BM25">
        <v>1262</v>
      </c>
      <c r="BN25">
        <v>87.936881855799996</v>
      </c>
      <c r="BO25">
        <v>7803</v>
      </c>
      <c r="BP25">
        <v>1549</v>
      </c>
      <c r="BQ25">
        <v>119.5098039216</v>
      </c>
      <c r="BR25">
        <v>123.2472562944</v>
      </c>
      <c r="BS25">
        <v>5674</v>
      </c>
      <c r="BT25">
        <v>1387</v>
      </c>
      <c r="BU25">
        <v>91.557455058200006</v>
      </c>
      <c r="BV25">
        <v>8997</v>
      </c>
      <c r="BW25">
        <v>1766</v>
      </c>
      <c r="BX25">
        <v>125.00211181500001</v>
      </c>
      <c r="BY25">
        <v>135.62174405440001</v>
      </c>
      <c r="CA25" t="s">
        <v>420</v>
      </c>
      <c r="CB25" t="s">
        <v>808</v>
      </c>
      <c r="CC25" t="s">
        <v>1011</v>
      </c>
      <c r="CD25">
        <v>648</v>
      </c>
      <c r="CE25">
        <v>113</v>
      </c>
      <c r="CF25">
        <v>79.779320987700004</v>
      </c>
      <c r="CG25">
        <v>1036</v>
      </c>
      <c r="CH25">
        <v>181</v>
      </c>
      <c r="CI25">
        <v>99.300193050199994</v>
      </c>
      <c r="CJ25">
        <v>104.18232044200001</v>
      </c>
      <c r="CL25" t="s">
        <v>420</v>
      </c>
      <c r="CM25" t="s">
        <v>783</v>
      </c>
      <c r="CN25" t="s">
        <v>791</v>
      </c>
      <c r="CO25">
        <v>39</v>
      </c>
      <c r="CP25">
        <v>2</v>
      </c>
      <c r="CQ25">
        <v>53.538461538500002</v>
      </c>
      <c r="CR25">
        <v>109</v>
      </c>
      <c r="CS25">
        <v>19</v>
      </c>
      <c r="CT25">
        <v>58.541284403699997</v>
      </c>
      <c r="CU25">
        <v>50.789473684199997</v>
      </c>
      <c r="CW25" t="s">
        <v>420</v>
      </c>
      <c r="CX25" t="s">
        <v>796</v>
      </c>
      <c r="CY25" t="s">
        <v>804</v>
      </c>
      <c r="CZ25">
        <v>15</v>
      </c>
      <c r="DA25">
        <v>4</v>
      </c>
      <c r="DB25">
        <v>87.333333333300004</v>
      </c>
      <c r="DC25">
        <v>19</v>
      </c>
      <c r="DD25">
        <v>1</v>
      </c>
      <c r="DE25">
        <v>102.8421052632</v>
      </c>
      <c r="DF25">
        <v>187</v>
      </c>
      <c r="DH25" t="s">
        <v>420</v>
      </c>
      <c r="DI25" t="s">
        <v>770</v>
      </c>
      <c r="DJ25" t="s">
        <v>778</v>
      </c>
      <c r="DK25">
        <v>6</v>
      </c>
      <c r="DL25">
        <v>3</v>
      </c>
      <c r="DM25">
        <v>92.166666666699996</v>
      </c>
      <c r="DN25">
        <v>6</v>
      </c>
      <c r="DO25">
        <v>2</v>
      </c>
      <c r="DP25">
        <v>110</v>
      </c>
      <c r="DQ25">
        <v>86</v>
      </c>
    </row>
    <row r="26" spans="2:121" x14ac:dyDescent="0.2">
      <c r="B26" t="s">
        <v>96</v>
      </c>
      <c r="C26">
        <v>118763</v>
      </c>
      <c r="D26">
        <v>67952</v>
      </c>
      <c r="F26" t="s">
        <v>39</v>
      </c>
      <c r="G26">
        <v>9446</v>
      </c>
      <c r="H26">
        <v>293.32913402499997</v>
      </c>
      <c r="I26">
        <v>8815</v>
      </c>
      <c r="J26">
        <v>2406</v>
      </c>
      <c r="K26">
        <v>15399</v>
      </c>
      <c r="L26">
        <v>10382</v>
      </c>
      <c r="M26">
        <v>2800</v>
      </c>
      <c r="N26">
        <v>1767</v>
      </c>
      <c r="O26">
        <v>1366</v>
      </c>
      <c r="P26">
        <v>537</v>
      </c>
      <c r="Q26">
        <v>1</v>
      </c>
      <c r="R26">
        <v>56</v>
      </c>
      <c r="T26" t="s">
        <v>391</v>
      </c>
      <c r="U26">
        <v>38326</v>
      </c>
      <c r="V26">
        <v>386.95997495170002</v>
      </c>
      <c r="W26">
        <v>50397</v>
      </c>
      <c r="X26">
        <v>11619</v>
      </c>
      <c r="Y26">
        <v>60260</v>
      </c>
      <c r="Z26">
        <v>37025</v>
      </c>
      <c r="AA26">
        <v>13582</v>
      </c>
      <c r="AB26">
        <v>9113</v>
      </c>
      <c r="AC26">
        <v>23592</v>
      </c>
      <c r="AD26">
        <v>15503</v>
      </c>
      <c r="AE26">
        <v>4171</v>
      </c>
      <c r="AF26">
        <v>1043</v>
      </c>
      <c r="AH26" t="s">
        <v>402</v>
      </c>
      <c r="AI26">
        <v>1592</v>
      </c>
      <c r="AJ26">
        <v>188.04271356780001</v>
      </c>
      <c r="AK26">
        <v>4344</v>
      </c>
      <c r="AL26">
        <v>823</v>
      </c>
      <c r="AM26">
        <v>2841</v>
      </c>
      <c r="AN26">
        <v>1176</v>
      </c>
      <c r="AO26">
        <v>710</v>
      </c>
      <c r="AP26">
        <v>254</v>
      </c>
      <c r="AQ26">
        <v>1218</v>
      </c>
      <c r="AR26">
        <v>769</v>
      </c>
      <c r="AS26">
        <v>6</v>
      </c>
      <c r="AT26">
        <v>5</v>
      </c>
      <c r="AV26" t="s">
        <v>404</v>
      </c>
      <c r="AW26">
        <v>137</v>
      </c>
      <c r="AX26">
        <v>47.525547445299999</v>
      </c>
      <c r="AY26">
        <v>226</v>
      </c>
      <c r="AZ26">
        <v>8</v>
      </c>
      <c r="BA26">
        <v>193</v>
      </c>
      <c r="BB26">
        <v>6</v>
      </c>
      <c r="BC26">
        <v>3</v>
      </c>
      <c r="BD26">
        <v>1</v>
      </c>
      <c r="BE26">
        <v>14</v>
      </c>
      <c r="BF26">
        <v>8</v>
      </c>
      <c r="BG26">
        <v>324</v>
      </c>
      <c r="BH26">
        <v>41</v>
      </c>
      <c r="BJ26" t="s">
        <v>581</v>
      </c>
      <c r="BK26" t="s">
        <v>391</v>
      </c>
      <c r="BL26">
        <v>6272</v>
      </c>
      <c r="BM26">
        <v>1213</v>
      </c>
      <c r="BN26">
        <v>83.898915816300004</v>
      </c>
      <c r="BO26">
        <v>10899</v>
      </c>
      <c r="BP26">
        <v>1986</v>
      </c>
      <c r="BQ26">
        <v>118.4223323241</v>
      </c>
      <c r="BR26">
        <v>113.8434038268</v>
      </c>
      <c r="BS26">
        <v>2029</v>
      </c>
      <c r="BT26">
        <v>553</v>
      </c>
      <c r="BU26">
        <v>101.4923607689</v>
      </c>
      <c r="BV26">
        <v>12785</v>
      </c>
      <c r="BW26">
        <v>2491</v>
      </c>
      <c r="BX26">
        <v>132.82894016430001</v>
      </c>
      <c r="BY26">
        <v>120.8586912886</v>
      </c>
      <c r="CA26" t="s">
        <v>392</v>
      </c>
      <c r="CB26" t="s">
        <v>808</v>
      </c>
      <c r="CC26" t="s">
        <v>1012</v>
      </c>
      <c r="CD26">
        <v>7727</v>
      </c>
      <c r="CE26">
        <v>2031</v>
      </c>
      <c r="CF26">
        <v>104.2634916526</v>
      </c>
      <c r="CG26">
        <v>12355</v>
      </c>
      <c r="CH26">
        <v>2489</v>
      </c>
      <c r="CI26">
        <v>130.3679481991</v>
      </c>
      <c r="CJ26">
        <v>137.4817195661</v>
      </c>
      <c r="CL26" t="s">
        <v>392</v>
      </c>
      <c r="CM26" t="s">
        <v>783</v>
      </c>
      <c r="CN26" t="s">
        <v>792</v>
      </c>
      <c r="CO26">
        <v>830</v>
      </c>
      <c r="CP26">
        <v>116</v>
      </c>
      <c r="CQ26">
        <v>71.968674698800001</v>
      </c>
      <c r="CR26">
        <v>2388</v>
      </c>
      <c r="CS26">
        <v>440</v>
      </c>
      <c r="CT26">
        <v>71.880653266300001</v>
      </c>
      <c r="CU26">
        <v>82.047727272700001</v>
      </c>
      <c r="CW26" t="s">
        <v>392</v>
      </c>
      <c r="CX26" t="s">
        <v>796</v>
      </c>
      <c r="CY26" t="s">
        <v>805</v>
      </c>
      <c r="CZ26">
        <v>253</v>
      </c>
      <c r="DA26">
        <v>75</v>
      </c>
      <c r="DB26">
        <v>94.312252964400002</v>
      </c>
      <c r="DC26">
        <v>218</v>
      </c>
      <c r="DD26">
        <v>57</v>
      </c>
      <c r="DE26">
        <v>146.82568807339999</v>
      </c>
      <c r="DF26">
        <v>161.49122807020001</v>
      </c>
      <c r="DH26" t="s">
        <v>392</v>
      </c>
      <c r="DI26" t="s">
        <v>770</v>
      </c>
      <c r="DJ26" t="s">
        <v>779</v>
      </c>
      <c r="DK26">
        <v>127</v>
      </c>
      <c r="DL26">
        <v>30</v>
      </c>
      <c r="DM26">
        <v>92.456692913400005</v>
      </c>
      <c r="DN26">
        <v>176</v>
      </c>
      <c r="DO26">
        <v>42</v>
      </c>
      <c r="DP26">
        <v>139.57386363640001</v>
      </c>
      <c r="DQ26">
        <v>157.88095238099999</v>
      </c>
    </row>
    <row r="27" spans="2:121" x14ac:dyDescent="0.2">
      <c r="B27" t="s">
        <v>88</v>
      </c>
      <c r="C27">
        <v>77036</v>
      </c>
      <c r="D27">
        <v>20762</v>
      </c>
      <c r="F27" t="s">
        <v>55</v>
      </c>
      <c r="G27">
        <v>747</v>
      </c>
      <c r="H27">
        <v>189.18607764390001</v>
      </c>
      <c r="I27">
        <v>864</v>
      </c>
      <c r="J27">
        <v>245</v>
      </c>
      <c r="K27">
        <v>897</v>
      </c>
      <c r="L27">
        <v>536</v>
      </c>
      <c r="M27">
        <v>268</v>
      </c>
      <c r="N27">
        <v>102</v>
      </c>
      <c r="O27">
        <v>914</v>
      </c>
      <c r="P27">
        <v>585</v>
      </c>
      <c r="Q27">
        <v>412</v>
      </c>
      <c r="R27">
        <v>150</v>
      </c>
      <c r="T27" t="s">
        <v>370</v>
      </c>
      <c r="U27">
        <v>68168</v>
      </c>
      <c r="V27">
        <v>427.00293392790002</v>
      </c>
      <c r="W27">
        <v>69873</v>
      </c>
      <c r="X27">
        <v>18210</v>
      </c>
      <c r="Y27">
        <v>98366</v>
      </c>
      <c r="Z27">
        <v>67407</v>
      </c>
      <c r="AA27">
        <v>35002</v>
      </c>
      <c r="AB27">
        <v>24541</v>
      </c>
      <c r="AC27">
        <v>35389</v>
      </c>
      <c r="AD27">
        <v>23732</v>
      </c>
      <c r="AE27">
        <v>8373</v>
      </c>
      <c r="AF27">
        <v>131</v>
      </c>
      <c r="AH27" t="s">
        <v>390</v>
      </c>
      <c r="AI27">
        <v>4313</v>
      </c>
      <c r="AJ27">
        <v>408.39160677019999</v>
      </c>
      <c r="AK27">
        <v>4388</v>
      </c>
      <c r="AL27">
        <v>1418</v>
      </c>
      <c r="AM27">
        <v>6487</v>
      </c>
      <c r="AN27">
        <v>4795</v>
      </c>
      <c r="AO27">
        <v>1413</v>
      </c>
      <c r="AP27">
        <v>955</v>
      </c>
      <c r="AQ27">
        <v>2626</v>
      </c>
      <c r="AR27">
        <v>1951</v>
      </c>
      <c r="AS27">
        <v>302</v>
      </c>
      <c r="AT27">
        <v>159</v>
      </c>
      <c r="AV27" t="s">
        <v>375</v>
      </c>
      <c r="AW27">
        <v>483</v>
      </c>
      <c r="AX27">
        <v>101.15734989649999</v>
      </c>
      <c r="AY27">
        <v>778</v>
      </c>
      <c r="AZ27">
        <v>195</v>
      </c>
      <c r="BA27">
        <v>608</v>
      </c>
      <c r="BB27">
        <v>227</v>
      </c>
      <c r="BC27">
        <v>3</v>
      </c>
      <c r="BD27">
        <v>3</v>
      </c>
      <c r="BE27">
        <v>34</v>
      </c>
      <c r="BF27">
        <v>10</v>
      </c>
      <c r="BG27">
        <v>51</v>
      </c>
      <c r="BH27">
        <v>199</v>
      </c>
      <c r="BJ27" t="s">
        <v>640</v>
      </c>
      <c r="BK27" t="s">
        <v>391</v>
      </c>
      <c r="BL27">
        <v>2195</v>
      </c>
      <c r="BM27">
        <v>391</v>
      </c>
      <c r="BN27">
        <v>82.978587699299993</v>
      </c>
      <c r="BO27">
        <v>3876</v>
      </c>
      <c r="BP27">
        <v>773</v>
      </c>
      <c r="BQ27">
        <v>134.09881320950001</v>
      </c>
      <c r="BR27">
        <v>118.25614489</v>
      </c>
      <c r="BS27">
        <v>1740</v>
      </c>
      <c r="BT27">
        <v>215</v>
      </c>
      <c r="BU27">
        <v>71.7051724138</v>
      </c>
      <c r="BV27">
        <v>2827</v>
      </c>
      <c r="BW27">
        <v>578</v>
      </c>
      <c r="BX27">
        <v>143.39228864520001</v>
      </c>
      <c r="BY27">
        <v>116.0709342561</v>
      </c>
      <c r="CA27" t="s">
        <v>421</v>
      </c>
      <c r="CB27" t="s">
        <v>808</v>
      </c>
      <c r="CC27" t="s">
        <v>1013</v>
      </c>
      <c r="CD27">
        <v>950</v>
      </c>
      <c r="CE27">
        <v>174</v>
      </c>
      <c r="CF27">
        <v>78.348421052600003</v>
      </c>
      <c r="CG27">
        <v>1375</v>
      </c>
      <c r="CH27">
        <v>196</v>
      </c>
      <c r="CI27">
        <v>108.4094545455</v>
      </c>
      <c r="CJ27">
        <v>102.9489795918</v>
      </c>
      <c r="CL27" t="s">
        <v>421</v>
      </c>
      <c r="CM27" t="s">
        <v>783</v>
      </c>
      <c r="CN27" t="s">
        <v>793</v>
      </c>
      <c r="CO27">
        <v>42</v>
      </c>
      <c r="CP27">
        <v>3</v>
      </c>
      <c r="CQ27">
        <v>58.880952381</v>
      </c>
      <c r="CR27">
        <v>177</v>
      </c>
      <c r="CS27">
        <v>40</v>
      </c>
      <c r="CT27">
        <v>64.542372881399999</v>
      </c>
      <c r="CU27">
        <v>61.375</v>
      </c>
      <c r="CW27" t="s">
        <v>421</v>
      </c>
      <c r="CX27" t="s">
        <v>796</v>
      </c>
      <c r="CY27" t="s">
        <v>806</v>
      </c>
      <c r="CZ27">
        <v>16</v>
      </c>
      <c r="DA27">
        <v>3</v>
      </c>
      <c r="DB27">
        <v>80.4375</v>
      </c>
      <c r="DC27">
        <v>14</v>
      </c>
      <c r="DD27">
        <v>5</v>
      </c>
      <c r="DE27">
        <v>155.42857142860001</v>
      </c>
      <c r="DF27">
        <v>128.19999999999999</v>
      </c>
      <c r="DH27" t="s">
        <v>421</v>
      </c>
      <c r="DI27" t="s">
        <v>770</v>
      </c>
      <c r="DJ27" t="s">
        <v>780</v>
      </c>
      <c r="DK27">
        <v>6</v>
      </c>
      <c r="DL27">
        <v>1</v>
      </c>
      <c r="DM27">
        <v>73.333333333300004</v>
      </c>
      <c r="DN27">
        <v>15</v>
      </c>
      <c r="DO27">
        <v>1</v>
      </c>
      <c r="DP27">
        <v>158.6666666667</v>
      </c>
      <c r="DQ27">
        <v>156</v>
      </c>
    </row>
    <row r="28" spans="2:121" x14ac:dyDescent="0.2">
      <c r="B28" t="s">
        <v>106</v>
      </c>
      <c r="C28">
        <v>60016</v>
      </c>
      <c r="D28">
        <v>33341</v>
      </c>
      <c r="F28" t="s">
        <v>69</v>
      </c>
      <c r="G28">
        <v>14897</v>
      </c>
      <c r="H28">
        <v>423.10995502449998</v>
      </c>
      <c r="I28">
        <v>11194</v>
      </c>
      <c r="J28">
        <v>3114</v>
      </c>
      <c r="K28">
        <v>17526</v>
      </c>
      <c r="L28">
        <v>11854</v>
      </c>
      <c r="M28">
        <v>7794</v>
      </c>
      <c r="N28">
        <v>5968</v>
      </c>
      <c r="O28">
        <v>4468</v>
      </c>
      <c r="P28">
        <v>3827</v>
      </c>
      <c r="Q28">
        <v>5</v>
      </c>
      <c r="R28">
        <v>4</v>
      </c>
      <c r="T28" t="s">
        <v>8</v>
      </c>
      <c r="U28">
        <v>3955</v>
      </c>
      <c r="V28">
        <v>383.53527180779997</v>
      </c>
      <c r="W28">
        <v>4259</v>
      </c>
      <c r="X28">
        <v>1869</v>
      </c>
      <c r="Y28">
        <v>5458</v>
      </c>
      <c r="Z28">
        <v>3957</v>
      </c>
      <c r="AA28">
        <v>1491</v>
      </c>
      <c r="AB28">
        <v>839</v>
      </c>
      <c r="AC28">
        <v>1778</v>
      </c>
      <c r="AD28">
        <v>1156</v>
      </c>
      <c r="AE28">
        <v>456</v>
      </c>
      <c r="AF28">
        <v>145</v>
      </c>
      <c r="AH28" t="s">
        <v>398</v>
      </c>
      <c r="AI28">
        <v>5062</v>
      </c>
      <c r="AJ28">
        <v>268.520545239</v>
      </c>
      <c r="AK28">
        <v>6001</v>
      </c>
      <c r="AL28">
        <v>1321</v>
      </c>
      <c r="AM28">
        <v>7345</v>
      </c>
      <c r="AN28">
        <v>4132</v>
      </c>
      <c r="AO28">
        <v>2327</v>
      </c>
      <c r="AP28">
        <v>1739</v>
      </c>
      <c r="AQ28">
        <v>7231</v>
      </c>
      <c r="AR28">
        <v>5395</v>
      </c>
      <c r="AS28">
        <v>722</v>
      </c>
      <c r="AT28">
        <v>65</v>
      </c>
      <c r="AV28" t="s">
        <v>382</v>
      </c>
      <c r="AW28">
        <v>1419</v>
      </c>
      <c r="AX28">
        <v>100.7681465821</v>
      </c>
      <c r="AY28">
        <v>1780</v>
      </c>
      <c r="AZ28">
        <v>419</v>
      </c>
      <c r="BA28">
        <v>1770</v>
      </c>
      <c r="BB28">
        <v>591</v>
      </c>
      <c r="BC28">
        <v>11</v>
      </c>
      <c r="BD28">
        <v>10</v>
      </c>
      <c r="BE28">
        <v>111</v>
      </c>
      <c r="BF28">
        <v>38</v>
      </c>
      <c r="BG28">
        <v>150</v>
      </c>
      <c r="BH28">
        <v>501</v>
      </c>
      <c r="BJ28" t="s">
        <v>534</v>
      </c>
      <c r="BK28" t="s">
        <v>370</v>
      </c>
      <c r="BL28">
        <v>4537</v>
      </c>
      <c r="BM28">
        <v>1140</v>
      </c>
      <c r="BN28">
        <v>102.34097421200001</v>
      </c>
      <c r="BO28">
        <v>5896</v>
      </c>
      <c r="BP28">
        <v>999</v>
      </c>
      <c r="BQ28">
        <v>146.1066824966</v>
      </c>
      <c r="BR28">
        <v>147.9259259259</v>
      </c>
      <c r="BS28">
        <v>2507</v>
      </c>
      <c r="BT28">
        <v>680</v>
      </c>
      <c r="BU28">
        <v>93.885520542500004</v>
      </c>
      <c r="BV28">
        <v>3789</v>
      </c>
      <c r="BW28">
        <v>672</v>
      </c>
      <c r="BX28">
        <v>134.0076537345</v>
      </c>
      <c r="BY28">
        <v>141.17559523809999</v>
      </c>
      <c r="CA28" t="s">
        <v>397</v>
      </c>
      <c r="CB28" t="s">
        <v>808</v>
      </c>
      <c r="CC28" t="s">
        <v>1014</v>
      </c>
      <c r="CD28">
        <v>3753</v>
      </c>
      <c r="CE28">
        <v>748</v>
      </c>
      <c r="CF28">
        <v>85.0743405276</v>
      </c>
      <c r="CG28">
        <v>5463</v>
      </c>
      <c r="CH28">
        <v>1085</v>
      </c>
      <c r="CI28">
        <v>118.54457257919999</v>
      </c>
      <c r="CJ28">
        <v>115.4276497696</v>
      </c>
      <c r="CL28" t="s">
        <v>397</v>
      </c>
      <c r="CM28" t="s">
        <v>783</v>
      </c>
      <c r="CN28" t="s">
        <v>794</v>
      </c>
      <c r="CO28">
        <v>294</v>
      </c>
      <c r="CP28">
        <v>34</v>
      </c>
      <c r="CQ28">
        <v>61.581632653100002</v>
      </c>
      <c r="CR28">
        <v>892</v>
      </c>
      <c r="CS28">
        <v>175</v>
      </c>
      <c r="CT28">
        <v>58.975336322899999</v>
      </c>
      <c r="CU28">
        <v>68.56</v>
      </c>
      <c r="CW28" t="s">
        <v>397</v>
      </c>
      <c r="CX28" t="s">
        <v>796</v>
      </c>
      <c r="CY28" t="s">
        <v>807</v>
      </c>
      <c r="CZ28">
        <v>86</v>
      </c>
      <c r="DA28">
        <v>18</v>
      </c>
      <c r="DB28">
        <v>80.593023255800006</v>
      </c>
      <c r="DC28">
        <v>91</v>
      </c>
      <c r="DD28">
        <v>23</v>
      </c>
      <c r="DE28">
        <v>141.13186813190001</v>
      </c>
      <c r="DF28">
        <v>156</v>
      </c>
      <c r="DH28" t="s">
        <v>397</v>
      </c>
      <c r="DI28" t="s">
        <v>770</v>
      </c>
      <c r="DJ28" t="s">
        <v>781</v>
      </c>
      <c r="DK28">
        <v>46</v>
      </c>
      <c r="DL28">
        <v>10</v>
      </c>
      <c r="DM28">
        <v>82.434782608700004</v>
      </c>
      <c r="DN28">
        <v>70</v>
      </c>
      <c r="DO28">
        <v>12</v>
      </c>
      <c r="DP28">
        <v>128.5</v>
      </c>
      <c r="DQ28">
        <v>127</v>
      </c>
    </row>
    <row r="29" spans="2:121" x14ac:dyDescent="0.2">
      <c r="B29" t="s">
        <v>20</v>
      </c>
      <c r="C29">
        <v>280</v>
      </c>
      <c r="D29">
        <v>159</v>
      </c>
      <c r="F29" t="s">
        <v>41</v>
      </c>
      <c r="G29">
        <v>911</v>
      </c>
      <c r="H29">
        <v>129.57738748630001</v>
      </c>
      <c r="I29">
        <v>2334</v>
      </c>
      <c r="J29">
        <v>426</v>
      </c>
      <c r="K29">
        <v>1331</v>
      </c>
      <c r="L29">
        <v>478</v>
      </c>
      <c r="M29">
        <v>307</v>
      </c>
      <c r="N29">
        <v>67</v>
      </c>
      <c r="O29">
        <v>208</v>
      </c>
      <c r="P29">
        <v>98</v>
      </c>
      <c r="Q29">
        <v>0</v>
      </c>
      <c r="R29">
        <v>5</v>
      </c>
      <c r="T29" t="s">
        <v>405</v>
      </c>
      <c r="U29">
        <v>61696</v>
      </c>
      <c r="V29">
        <v>392.28940287860001</v>
      </c>
      <c r="W29">
        <v>57953</v>
      </c>
      <c r="X29">
        <v>13476</v>
      </c>
      <c r="Y29">
        <v>88564</v>
      </c>
      <c r="Z29">
        <v>62710</v>
      </c>
      <c r="AA29">
        <v>23552</v>
      </c>
      <c r="AB29">
        <v>16682</v>
      </c>
      <c r="AC29">
        <v>29947</v>
      </c>
      <c r="AD29">
        <v>19501</v>
      </c>
      <c r="AE29">
        <v>99</v>
      </c>
      <c r="AF29">
        <v>579</v>
      </c>
      <c r="AH29" t="s">
        <v>419</v>
      </c>
      <c r="AI29">
        <v>708</v>
      </c>
      <c r="AJ29">
        <v>272.59039548020002</v>
      </c>
      <c r="AK29">
        <v>696</v>
      </c>
      <c r="AL29">
        <v>72</v>
      </c>
      <c r="AM29">
        <v>1126</v>
      </c>
      <c r="AN29">
        <v>630</v>
      </c>
      <c r="AO29">
        <v>444</v>
      </c>
      <c r="AP29">
        <v>192</v>
      </c>
      <c r="AQ29">
        <v>336</v>
      </c>
      <c r="AR29">
        <v>175</v>
      </c>
      <c r="AS29">
        <v>1</v>
      </c>
      <c r="AT29">
        <v>5</v>
      </c>
      <c r="AV29" t="s">
        <v>419</v>
      </c>
      <c r="AW29">
        <v>36</v>
      </c>
      <c r="AX29">
        <v>48.222222222200003</v>
      </c>
      <c r="AY29">
        <v>85</v>
      </c>
      <c r="AZ29">
        <v>3</v>
      </c>
      <c r="BA29">
        <v>53</v>
      </c>
      <c r="BB29">
        <v>4</v>
      </c>
      <c r="BC29">
        <v>0</v>
      </c>
      <c r="BE29">
        <v>0</v>
      </c>
      <c r="BG29">
        <v>119</v>
      </c>
      <c r="BH29">
        <v>11</v>
      </c>
      <c r="BJ29" t="s">
        <v>513</v>
      </c>
      <c r="BK29" t="s">
        <v>370</v>
      </c>
      <c r="BL29">
        <v>3681</v>
      </c>
      <c r="BM29">
        <v>929</v>
      </c>
      <c r="BN29">
        <v>95.2610703613</v>
      </c>
      <c r="BO29">
        <v>4309</v>
      </c>
      <c r="BP29">
        <v>713</v>
      </c>
      <c r="BQ29">
        <v>134.9475516361</v>
      </c>
      <c r="BR29">
        <v>154.0827489481</v>
      </c>
      <c r="BS29">
        <v>3276</v>
      </c>
      <c r="BT29">
        <v>816</v>
      </c>
      <c r="BU29">
        <v>93.717032966999994</v>
      </c>
      <c r="BV29">
        <v>4002</v>
      </c>
      <c r="BW29">
        <v>680</v>
      </c>
      <c r="BX29">
        <v>125.6981509245</v>
      </c>
      <c r="BY29">
        <v>147.71911764710001</v>
      </c>
      <c r="CA29" t="s">
        <v>391</v>
      </c>
      <c r="CB29" t="s">
        <v>808</v>
      </c>
      <c r="CD29">
        <v>48783</v>
      </c>
      <c r="CE29">
        <v>10943</v>
      </c>
      <c r="CF29">
        <v>91.788635385299997</v>
      </c>
      <c r="CG29">
        <v>72740</v>
      </c>
      <c r="CH29">
        <v>14028</v>
      </c>
      <c r="CI29">
        <v>126.2336541105</v>
      </c>
      <c r="CJ29">
        <v>125.9638579983</v>
      </c>
      <c r="CL29" t="s">
        <v>391</v>
      </c>
      <c r="CM29" t="s">
        <v>783</v>
      </c>
      <c r="CO29">
        <v>4328</v>
      </c>
      <c r="CP29">
        <v>574</v>
      </c>
      <c r="CQ29">
        <v>69.630545286499995</v>
      </c>
      <c r="CR29">
        <v>12541</v>
      </c>
      <c r="CS29">
        <v>2357</v>
      </c>
      <c r="CT29">
        <v>69.893868112600003</v>
      </c>
      <c r="CU29">
        <v>74.439966058500005</v>
      </c>
      <c r="CW29" t="s">
        <v>391</v>
      </c>
      <c r="CX29" t="s">
        <v>796</v>
      </c>
      <c r="CZ29">
        <v>1347</v>
      </c>
      <c r="DA29">
        <v>365</v>
      </c>
      <c r="DB29">
        <v>89.663697104700006</v>
      </c>
      <c r="DC29">
        <v>1185</v>
      </c>
      <c r="DD29">
        <v>310</v>
      </c>
      <c r="DE29">
        <v>141.85147679319999</v>
      </c>
      <c r="DF29">
        <v>153.39032258060001</v>
      </c>
      <c r="DH29" t="s">
        <v>391</v>
      </c>
      <c r="DI29" t="s">
        <v>770</v>
      </c>
      <c r="DK29">
        <v>1016</v>
      </c>
      <c r="DL29">
        <v>207</v>
      </c>
      <c r="DM29">
        <v>84.585629921299997</v>
      </c>
      <c r="DN29">
        <v>1181</v>
      </c>
      <c r="DO29">
        <v>234</v>
      </c>
      <c r="DP29">
        <v>131.93818797629999</v>
      </c>
      <c r="DQ29">
        <v>138.9871794872</v>
      </c>
    </row>
    <row r="30" spans="2:121" x14ac:dyDescent="0.2">
      <c r="B30" t="s">
        <v>22</v>
      </c>
      <c r="C30">
        <v>193020</v>
      </c>
      <c r="D30">
        <v>41845</v>
      </c>
      <c r="F30" t="s">
        <v>45</v>
      </c>
      <c r="G30">
        <v>1513</v>
      </c>
      <c r="H30">
        <v>273.32055518840002</v>
      </c>
      <c r="I30">
        <v>1977</v>
      </c>
      <c r="J30">
        <v>427</v>
      </c>
      <c r="K30">
        <v>1875</v>
      </c>
      <c r="L30">
        <v>1314</v>
      </c>
      <c r="M30">
        <v>981</v>
      </c>
      <c r="N30">
        <v>548</v>
      </c>
      <c r="O30">
        <v>289</v>
      </c>
      <c r="P30">
        <v>98</v>
      </c>
      <c r="Q30">
        <v>0</v>
      </c>
      <c r="R30">
        <v>1</v>
      </c>
      <c r="T30" t="s">
        <v>381</v>
      </c>
      <c r="U30">
        <v>71992</v>
      </c>
      <c r="V30">
        <v>364.11091510170002</v>
      </c>
      <c r="W30">
        <v>71563</v>
      </c>
      <c r="X30">
        <v>18576</v>
      </c>
      <c r="Y30">
        <v>103452</v>
      </c>
      <c r="Z30">
        <v>69641</v>
      </c>
      <c r="AA30">
        <v>29911</v>
      </c>
      <c r="AB30">
        <v>19724</v>
      </c>
      <c r="AC30">
        <v>42650</v>
      </c>
      <c r="AD30">
        <v>30006</v>
      </c>
      <c r="AE30">
        <v>5712</v>
      </c>
      <c r="AF30">
        <v>1161</v>
      </c>
      <c r="AH30" t="s">
        <v>401</v>
      </c>
      <c r="AI30">
        <v>1219</v>
      </c>
      <c r="AJ30">
        <v>237.10418375719999</v>
      </c>
      <c r="AK30">
        <v>2196</v>
      </c>
      <c r="AL30">
        <v>332</v>
      </c>
      <c r="AM30">
        <v>2002</v>
      </c>
      <c r="AN30">
        <v>1070</v>
      </c>
      <c r="AO30">
        <v>758</v>
      </c>
      <c r="AP30">
        <v>552</v>
      </c>
      <c r="AQ30">
        <v>600</v>
      </c>
      <c r="AR30">
        <v>352</v>
      </c>
      <c r="AS30">
        <v>2</v>
      </c>
      <c r="AT30">
        <v>13</v>
      </c>
      <c r="AV30" t="s">
        <v>385</v>
      </c>
      <c r="AW30">
        <v>689</v>
      </c>
      <c r="AX30">
        <v>50.403483309099997</v>
      </c>
      <c r="AY30">
        <v>701</v>
      </c>
      <c r="AZ30">
        <v>71</v>
      </c>
      <c r="BA30">
        <v>886</v>
      </c>
      <c r="BB30">
        <v>71</v>
      </c>
      <c r="BC30">
        <v>1</v>
      </c>
      <c r="BD30">
        <v>1</v>
      </c>
      <c r="BE30">
        <v>67</v>
      </c>
      <c r="BF30">
        <v>10</v>
      </c>
      <c r="BG30">
        <v>125</v>
      </c>
      <c r="BH30">
        <v>74</v>
      </c>
      <c r="BJ30" t="s">
        <v>521</v>
      </c>
      <c r="BK30" t="s">
        <v>370</v>
      </c>
      <c r="BL30">
        <v>3768</v>
      </c>
      <c r="BM30">
        <v>677</v>
      </c>
      <c r="BN30">
        <v>87.464968152899999</v>
      </c>
      <c r="BO30">
        <v>5126</v>
      </c>
      <c r="BP30">
        <v>901</v>
      </c>
      <c r="BQ30">
        <v>145.64065548190001</v>
      </c>
      <c r="BR30">
        <v>134.27081021090001</v>
      </c>
      <c r="BS30">
        <v>3358</v>
      </c>
      <c r="BT30">
        <v>414</v>
      </c>
      <c r="BU30">
        <v>77.320726622999999</v>
      </c>
      <c r="BV30">
        <v>3965</v>
      </c>
      <c r="BW30">
        <v>706</v>
      </c>
      <c r="BX30">
        <v>141.22673392179999</v>
      </c>
      <c r="BY30">
        <v>126.8257790368</v>
      </c>
      <c r="CA30" t="s">
        <v>374</v>
      </c>
      <c r="CB30" t="s">
        <v>857</v>
      </c>
      <c r="CC30" t="s">
        <v>980</v>
      </c>
      <c r="CD30">
        <v>1940</v>
      </c>
      <c r="CE30">
        <v>441</v>
      </c>
      <c r="CF30">
        <v>90.635567010299994</v>
      </c>
      <c r="CG30">
        <v>2548</v>
      </c>
      <c r="CH30">
        <v>524</v>
      </c>
      <c r="CI30">
        <v>116.96821036110001</v>
      </c>
      <c r="CJ30">
        <v>118.6164122137</v>
      </c>
      <c r="CL30" t="s">
        <v>374</v>
      </c>
      <c r="CM30" t="s">
        <v>826</v>
      </c>
      <c r="CN30" t="s">
        <v>825</v>
      </c>
      <c r="CO30">
        <v>212</v>
      </c>
      <c r="CP30">
        <v>33</v>
      </c>
      <c r="CQ30">
        <v>77.245283018899997</v>
      </c>
      <c r="CR30">
        <v>349</v>
      </c>
      <c r="CS30">
        <v>70</v>
      </c>
      <c r="CT30">
        <v>89.699140401099996</v>
      </c>
      <c r="CU30">
        <v>103.91428571429999</v>
      </c>
      <c r="CW30" t="s">
        <v>374</v>
      </c>
      <c r="CX30" t="s">
        <v>842</v>
      </c>
      <c r="CY30" t="s">
        <v>841</v>
      </c>
      <c r="CZ30">
        <v>47</v>
      </c>
      <c r="DA30">
        <v>18</v>
      </c>
      <c r="DB30">
        <v>97.170212766000006</v>
      </c>
      <c r="DC30">
        <v>52</v>
      </c>
      <c r="DD30">
        <v>9</v>
      </c>
      <c r="DE30">
        <v>138.76923076919999</v>
      </c>
      <c r="DF30">
        <v>144</v>
      </c>
      <c r="DH30" t="s">
        <v>374</v>
      </c>
      <c r="DI30" t="s">
        <v>810</v>
      </c>
      <c r="DJ30" t="s">
        <v>809</v>
      </c>
      <c r="DK30">
        <v>50</v>
      </c>
      <c r="DL30">
        <v>17</v>
      </c>
      <c r="DM30">
        <v>96.78</v>
      </c>
      <c r="DN30">
        <v>64</v>
      </c>
      <c r="DO30">
        <v>18</v>
      </c>
      <c r="DP30">
        <v>145.71875</v>
      </c>
      <c r="DQ30">
        <v>143.8333333333</v>
      </c>
    </row>
    <row r="31" spans="2:121" x14ac:dyDescent="0.2">
      <c r="B31" t="s">
        <v>157</v>
      </c>
      <c r="C31">
        <v>3778</v>
      </c>
      <c r="D31">
        <v>3620</v>
      </c>
      <c r="F31" t="s">
        <v>73</v>
      </c>
      <c r="G31">
        <v>11067</v>
      </c>
      <c r="H31">
        <v>384.56410951480001</v>
      </c>
      <c r="I31">
        <v>7140</v>
      </c>
      <c r="J31">
        <v>1237</v>
      </c>
      <c r="K31">
        <v>15992</v>
      </c>
      <c r="L31">
        <v>11438</v>
      </c>
      <c r="M31">
        <v>4897</v>
      </c>
      <c r="N31">
        <v>3570</v>
      </c>
      <c r="O31">
        <v>4329</v>
      </c>
      <c r="P31">
        <v>3549</v>
      </c>
      <c r="Q31">
        <v>2</v>
      </c>
      <c r="R31">
        <v>151</v>
      </c>
      <c r="T31" t="s">
        <v>462</v>
      </c>
      <c r="U31">
        <v>300018</v>
      </c>
      <c r="V31">
        <v>390.13682845699998</v>
      </c>
      <c r="W31">
        <v>319607</v>
      </c>
      <c r="X31">
        <v>78861</v>
      </c>
      <c r="Y31">
        <v>434286</v>
      </c>
      <c r="Z31">
        <v>292545</v>
      </c>
      <c r="AA31">
        <v>122535</v>
      </c>
      <c r="AB31">
        <v>82840</v>
      </c>
      <c r="AC31">
        <v>160702</v>
      </c>
      <c r="AD31">
        <v>105444</v>
      </c>
      <c r="AE31">
        <v>19748</v>
      </c>
      <c r="AF31">
        <v>4127</v>
      </c>
      <c r="AH31" t="s">
        <v>414</v>
      </c>
      <c r="AI31">
        <v>3584</v>
      </c>
      <c r="AJ31">
        <v>419.65597098209997</v>
      </c>
      <c r="AK31">
        <v>3619</v>
      </c>
      <c r="AL31">
        <v>877</v>
      </c>
      <c r="AM31">
        <v>4832</v>
      </c>
      <c r="AN31">
        <v>3247</v>
      </c>
      <c r="AO31">
        <v>993</v>
      </c>
      <c r="AP31">
        <v>604</v>
      </c>
      <c r="AQ31">
        <v>1889</v>
      </c>
      <c r="AR31">
        <v>1327</v>
      </c>
      <c r="AS31">
        <v>7</v>
      </c>
      <c r="AT31">
        <v>120</v>
      </c>
      <c r="AV31" t="s">
        <v>406</v>
      </c>
      <c r="AW31">
        <v>68</v>
      </c>
      <c r="AX31">
        <v>46.544117647100002</v>
      </c>
      <c r="AY31">
        <v>124</v>
      </c>
      <c r="AZ31">
        <v>3</v>
      </c>
      <c r="BA31">
        <v>94</v>
      </c>
      <c r="BB31">
        <v>2</v>
      </c>
      <c r="BC31">
        <v>0</v>
      </c>
      <c r="BE31">
        <v>5</v>
      </c>
      <c r="BF31">
        <v>3</v>
      </c>
      <c r="BG31">
        <v>219</v>
      </c>
      <c r="BH31">
        <v>26</v>
      </c>
      <c r="BJ31" t="s">
        <v>523</v>
      </c>
      <c r="BK31" t="s">
        <v>370</v>
      </c>
      <c r="BL31">
        <v>1913</v>
      </c>
      <c r="BM31">
        <v>440</v>
      </c>
      <c r="BN31">
        <v>91.658128593800001</v>
      </c>
      <c r="BO31">
        <v>2450</v>
      </c>
      <c r="BP31">
        <v>496</v>
      </c>
      <c r="BQ31">
        <v>118.27061224489999</v>
      </c>
      <c r="BR31">
        <v>118.5181451613</v>
      </c>
      <c r="BS31">
        <v>2474</v>
      </c>
      <c r="BT31">
        <v>713</v>
      </c>
      <c r="BU31">
        <v>102.7510105093</v>
      </c>
      <c r="BV31">
        <v>3726</v>
      </c>
      <c r="BW31">
        <v>718</v>
      </c>
      <c r="BX31">
        <v>137.9838969404</v>
      </c>
      <c r="BY31">
        <v>131.4610027855</v>
      </c>
      <c r="CA31" t="s">
        <v>424</v>
      </c>
      <c r="CB31" t="s">
        <v>857</v>
      </c>
      <c r="CC31" t="s">
        <v>981</v>
      </c>
      <c r="CD31">
        <v>850</v>
      </c>
      <c r="CE31">
        <v>227</v>
      </c>
      <c r="CF31">
        <v>101.0211764706</v>
      </c>
      <c r="CG31">
        <v>1200</v>
      </c>
      <c r="CH31">
        <v>233</v>
      </c>
      <c r="CI31">
        <v>144.42416666669999</v>
      </c>
      <c r="CJ31">
        <v>140.99141630899999</v>
      </c>
      <c r="CL31" t="s">
        <v>424</v>
      </c>
      <c r="CM31" t="s">
        <v>826</v>
      </c>
      <c r="CN31" t="s">
        <v>827</v>
      </c>
      <c r="CO31">
        <v>73</v>
      </c>
      <c r="CP31">
        <v>10</v>
      </c>
      <c r="CQ31">
        <v>78.726027397300001</v>
      </c>
      <c r="CR31">
        <v>115</v>
      </c>
      <c r="CS31">
        <v>23</v>
      </c>
      <c r="CT31">
        <v>93.2</v>
      </c>
      <c r="CU31">
        <v>81</v>
      </c>
      <c r="CW31" t="s">
        <v>424</v>
      </c>
      <c r="CX31" t="s">
        <v>842</v>
      </c>
      <c r="CY31" t="s">
        <v>843</v>
      </c>
      <c r="CZ31">
        <v>16</v>
      </c>
      <c r="DA31">
        <v>5</v>
      </c>
      <c r="DB31">
        <v>100.25</v>
      </c>
      <c r="DC31">
        <v>18</v>
      </c>
      <c r="DD31">
        <v>2</v>
      </c>
      <c r="DE31">
        <v>141</v>
      </c>
      <c r="DF31">
        <v>135</v>
      </c>
      <c r="DH31" t="s">
        <v>424</v>
      </c>
      <c r="DI31" t="s">
        <v>810</v>
      </c>
      <c r="DJ31" t="s">
        <v>811</v>
      </c>
      <c r="DK31">
        <v>26</v>
      </c>
      <c r="DL31">
        <v>13</v>
      </c>
      <c r="DM31">
        <v>112.3461538462</v>
      </c>
      <c r="DN31">
        <v>18</v>
      </c>
      <c r="DO31">
        <v>4</v>
      </c>
      <c r="DP31">
        <v>157.1666666667</v>
      </c>
      <c r="DQ31">
        <v>164.25</v>
      </c>
    </row>
    <row r="32" spans="2:121" x14ac:dyDescent="0.2">
      <c r="B32" t="s">
        <v>114</v>
      </c>
      <c r="C32">
        <v>5827</v>
      </c>
      <c r="D32">
        <v>1508</v>
      </c>
      <c r="F32" t="s">
        <v>65</v>
      </c>
      <c r="G32">
        <v>4002</v>
      </c>
      <c r="H32">
        <v>487.0167416292</v>
      </c>
      <c r="I32">
        <v>4856</v>
      </c>
      <c r="J32">
        <v>1567</v>
      </c>
      <c r="K32">
        <v>5458</v>
      </c>
      <c r="L32">
        <v>4206</v>
      </c>
      <c r="M32">
        <v>798</v>
      </c>
      <c r="N32">
        <v>437</v>
      </c>
      <c r="O32">
        <v>1026</v>
      </c>
      <c r="P32">
        <v>690</v>
      </c>
      <c r="Q32">
        <v>0</v>
      </c>
      <c r="R32">
        <v>2</v>
      </c>
      <c r="AH32" t="s">
        <v>416</v>
      </c>
      <c r="AI32">
        <v>1392</v>
      </c>
      <c r="AJ32">
        <v>366.58117816089998</v>
      </c>
      <c r="AK32">
        <v>1103</v>
      </c>
      <c r="AL32">
        <v>265</v>
      </c>
      <c r="AM32">
        <v>2070</v>
      </c>
      <c r="AN32">
        <v>1349</v>
      </c>
      <c r="AO32">
        <v>470</v>
      </c>
      <c r="AP32">
        <v>401</v>
      </c>
      <c r="AQ32">
        <v>240</v>
      </c>
      <c r="AR32">
        <v>142</v>
      </c>
      <c r="AS32">
        <v>156</v>
      </c>
      <c r="AT32">
        <v>4</v>
      </c>
      <c r="AV32" t="s">
        <v>416</v>
      </c>
      <c r="AW32">
        <v>105</v>
      </c>
      <c r="AX32">
        <v>108.1142857143</v>
      </c>
      <c r="AY32">
        <v>155</v>
      </c>
      <c r="AZ32">
        <v>33</v>
      </c>
      <c r="BA32">
        <v>145</v>
      </c>
      <c r="BB32">
        <v>53</v>
      </c>
      <c r="BC32">
        <v>0</v>
      </c>
      <c r="BE32">
        <v>13</v>
      </c>
      <c r="BF32">
        <v>2</v>
      </c>
      <c r="BG32">
        <v>9</v>
      </c>
      <c r="BH32">
        <v>35</v>
      </c>
      <c r="BJ32" t="s">
        <v>538</v>
      </c>
      <c r="BK32" t="s">
        <v>370</v>
      </c>
      <c r="BL32">
        <v>2601</v>
      </c>
      <c r="BM32">
        <v>534</v>
      </c>
      <c r="BN32">
        <v>88.646674356000005</v>
      </c>
      <c r="BO32">
        <v>3297</v>
      </c>
      <c r="BP32">
        <v>585</v>
      </c>
      <c r="BQ32">
        <v>120.7197452229</v>
      </c>
      <c r="BR32">
        <v>132.8085470085</v>
      </c>
      <c r="BS32">
        <v>4633</v>
      </c>
      <c r="BT32">
        <v>1417</v>
      </c>
      <c r="BU32">
        <v>106.0220159724</v>
      </c>
      <c r="BV32">
        <v>7252</v>
      </c>
      <c r="BW32">
        <v>1354</v>
      </c>
      <c r="BX32">
        <v>138.07501378929999</v>
      </c>
      <c r="BY32">
        <v>146.78581979320001</v>
      </c>
      <c r="CA32" t="s">
        <v>415</v>
      </c>
      <c r="CB32" t="s">
        <v>857</v>
      </c>
      <c r="CC32" t="s">
        <v>982</v>
      </c>
      <c r="CD32">
        <v>355</v>
      </c>
      <c r="CE32">
        <v>101</v>
      </c>
      <c r="CF32">
        <v>96.002816901399996</v>
      </c>
      <c r="CG32">
        <v>554</v>
      </c>
      <c r="CH32">
        <v>130</v>
      </c>
      <c r="CI32">
        <v>146.29061371840001</v>
      </c>
      <c r="CJ32">
        <v>139.9307692308</v>
      </c>
      <c r="CL32" t="s">
        <v>415</v>
      </c>
      <c r="CM32" t="s">
        <v>826</v>
      </c>
      <c r="CN32" t="s">
        <v>828</v>
      </c>
      <c r="CO32">
        <v>69</v>
      </c>
      <c r="CP32">
        <v>17</v>
      </c>
      <c r="CQ32">
        <v>83.536231884100005</v>
      </c>
      <c r="CR32">
        <v>116</v>
      </c>
      <c r="CS32">
        <v>26</v>
      </c>
      <c r="CT32">
        <v>94.017241379300003</v>
      </c>
      <c r="CU32">
        <v>104.9230769231</v>
      </c>
      <c r="CW32" t="s">
        <v>415</v>
      </c>
      <c r="CX32" t="s">
        <v>842</v>
      </c>
      <c r="CY32" t="s">
        <v>844</v>
      </c>
      <c r="CZ32">
        <v>25</v>
      </c>
      <c r="DA32">
        <v>10</v>
      </c>
      <c r="DB32">
        <v>108.12</v>
      </c>
      <c r="DC32">
        <v>13</v>
      </c>
      <c r="DD32">
        <v>4</v>
      </c>
      <c r="DE32">
        <v>163.61538461539999</v>
      </c>
      <c r="DF32">
        <v>176.25</v>
      </c>
      <c r="DH32" t="s">
        <v>415</v>
      </c>
      <c r="DI32" t="s">
        <v>810</v>
      </c>
      <c r="DJ32" t="s">
        <v>812</v>
      </c>
      <c r="DK32">
        <v>24</v>
      </c>
      <c r="DL32">
        <v>3</v>
      </c>
      <c r="DM32">
        <v>75.833333333300004</v>
      </c>
      <c r="DN32">
        <v>26</v>
      </c>
      <c r="DO32">
        <v>7</v>
      </c>
      <c r="DP32">
        <v>146.38461538460001</v>
      </c>
      <c r="DQ32">
        <v>150.1428571429</v>
      </c>
    </row>
    <row r="33" spans="2:121" x14ac:dyDescent="0.2">
      <c r="B33" t="s">
        <v>122</v>
      </c>
      <c r="C33">
        <v>633</v>
      </c>
      <c r="D33">
        <v>20</v>
      </c>
      <c r="F33" t="s">
        <v>67</v>
      </c>
      <c r="G33">
        <v>857</v>
      </c>
      <c r="H33">
        <v>182.9474912485</v>
      </c>
      <c r="I33">
        <v>1950</v>
      </c>
      <c r="J33">
        <v>419</v>
      </c>
      <c r="K33">
        <v>3917</v>
      </c>
      <c r="L33">
        <v>1401</v>
      </c>
      <c r="M33">
        <v>2992</v>
      </c>
      <c r="N33">
        <v>2213</v>
      </c>
      <c r="O33">
        <v>469</v>
      </c>
      <c r="P33">
        <v>233</v>
      </c>
      <c r="Q33">
        <v>0</v>
      </c>
      <c r="R33">
        <v>0</v>
      </c>
      <c r="AH33" t="s">
        <v>375</v>
      </c>
      <c r="AI33">
        <v>2306</v>
      </c>
      <c r="AJ33">
        <v>327.77493495229999</v>
      </c>
      <c r="AK33">
        <v>3880</v>
      </c>
      <c r="AL33">
        <v>1022</v>
      </c>
      <c r="AM33">
        <v>3704</v>
      </c>
      <c r="AN33">
        <v>2403</v>
      </c>
      <c r="AO33">
        <v>1313</v>
      </c>
      <c r="AP33">
        <v>877</v>
      </c>
      <c r="AQ33">
        <v>2179</v>
      </c>
      <c r="AR33">
        <v>1567</v>
      </c>
      <c r="AS33">
        <v>698</v>
      </c>
      <c r="AT33">
        <v>4</v>
      </c>
      <c r="AV33" t="s">
        <v>427</v>
      </c>
      <c r="AW33">
        <v>241</v>
      </c>
      <c r="AX33">
        <v>47.892116182599999</v>
      </c>
      <c r="AY33">
        <v>399</v>
      </c>
      <c r="AZ33">
        <v>23</v>
      </c>
      <c r="BA33">
        <v>314</v>
      </c>
      <c r="BB33">
        <v>10</v>
      </c>
      <c r="BC33">
        <v>1</v>
      </c>
      <c r="BD33">
        <v>1</v>
      </c>
      <c r="BE33">
        <v>18</v>
      </c>
      <c r="BF33">
        <v>6</v>
      </c>
      <c r="BG33">
        <v>352</v>
      </c>
      <c r="BH33">
        <v>74</v>
      </c>
      <c r="BJ33" t="s">
        <v>623</v>
      </c>
      <c r="BK33" t="s">
        <v>370</v>
      </c>
      <c r="BL33">
        <v>1065</v>
      </c>
      <c r="BM33">
        <v>216</v>
      </c>
      <c r="BN33">
        <v>90.713615023499997</v>
      </c>
      <c r="BO33">
        <v>1592</v>
      </c>
      <c r="BP33">
        <v>310</v>
      </c>
      <c r="BQ33">
        <v>138.37311557789999</v>
      </c>
      <c r="BR33">
        <v>151.99032258060001</v>
      </c>
      <c r="BS33">
        <v>1164</v>
      </c>
      <c r="BT33">
        <v>223</v>
      </c>
      <c r="BU33">
        <v>87.547250859100004</v>
      </c>
      <c r="BV33">
        <v>1621</v>
      </c>
      <c r="BW33">
        <v>319</v>
      </c>
      <c r="BX33">
        <v>143.47501542259999</v>
      </c>
      <c r="BY33">
        <v>152.14733542319999</v>
      </c>
      <c r="CA33" t="s">
        <v>417</v>
      </c>
      <c r="CB33" t="s">
        <v>857</v>
      </c>
      <c r="CC33" t="s">
        <v>983</v>
      </c>
      <c r="CD33">
        <v>1445</v>
      </c>
      <c r="CE33">
        <v>183</v>
      </c>
      <c r="CF33">
        <v>76.5363321799</v>
      </c>
      <c r="CG33">
        <v>1856</v>
      </c>
      <c r="CH33">
        <v>307</v>
      </c>
      <c r="CI33">
        <v>110.7047413793</v>
      </c>
      <c r="CJ33">
        <v>122.1107491857</v>
      </c>
      <c r="CL33" t="s">
        <v>417</v>
      </c>
      <c r="CM33" t="s">
        <v>826</v>
      </c>
      <c r="CN33" t="s">
        <v>829</v>
      </c>
      <c r="CO33">
        <v>125</v>
      </c>
      <c r="CP33">
        <v>16</v>
      </c>
      <c r="CQ33">
        <v>66.847999999999999</v>
      </c>
      <c r="CR33">
        <v>226</v>
      </c>
      <c r="CS33">
        <v>37</v>
      </c>
      <c r="CT33">
        <v>81.1725663717</v>
      </c>
      <c r="CU33">
        <v>80.081081081099995</v>
      </c>
      <c r="CW33" t="s">
        <v>417</v>
      </c>
      <c r="CX33" t="s">
        <v>842</v>
      </c>
      <c r="CY33" t="s">
        <v>845</v>
      </c>
      <c r="CZ33">
        <v>23</v>
      </c>
      <c r="DA33">
        <v>10</v>
      </c>
      <c r="DB33">
        <v>113.7391304348</v>
      </c>
      <c r="DC33">
        <v>19</v>
      </c>
      <c r="DD33">
        <v>6</v>
      </c>
      <c r="DE33">
        <v>155.68421052630001</v>
      </c>
      <c r="DF33">
        <v>140.8333333333</v>
      </c>
      <c r="DH33" t="s">
        <v>417</v>
      </c>
      <c r="DI33" t="s">
        <v>810</v>
      </c>
      <c r="DJ33" t="s">
        <v>813</v>
      </c>
      <c r="DK33">
        <v>13</v>
      </c>
      <c r="DL33">
        <v>3</v>
      </c>
      <c r="DM33">
        <v>90.461538461499998</v>
      </c>
      <c r="DN33">
        <v>23</v>
      </c>
      <c r="DO33">
        <v>6</v>
      </c>
      <c r="DP33">
        <v>164.5652173913</v>
      </c>
      <c r="DQ33">
        <v>167.8333333333</v>
      </c>
    </row>
    <row r="34" spans="2:121" x14ac:dyDescent="0.2">
      <c r="B34" t="s">
        <v>93</v>
      </c>
      <c r="C34">
        <v>217</v>
      </c>
      <c r="D34">
        <v>171</v>
      </c>
      <c r="F34" t="s">
        <v>37</v>
      </c>
      <c r="G34">
        <v>5516</v>
      </c>
      <c r="H34">
        <v>506.42820884700001</v>
      </c>
      <c r="I34">
        <v>6134</v>
      </c>
      <c r="J34">
        <v>1821</v>
      </c>
      <c r="K34">
        <v>7065</v>
      </c>
      <c r="L34">
        <v>5347</v>
      </c>
      <c r="M34">
        <v>1789</v>
      </c>
      <c r="N34">
        <v>1475</v>
      </c>
      <c r="O34">
        <v>1338</v>
      </c>
      <c r="P34">
        <v>691</v>
      </c>
      <c r="Q34">
        <v>0</v>
      </c>
      <c r="R34">
        <v>218</v>
      </c>
      <c r="AH34" t="s">
        <v>406</v>
      </c>
      <c r="AI34">
        <v>1375</v>
      </c>
      <c r="AJ34">
        <v>233.50545454549999</v>
      </c>
      <c r="AK34">
        <v>2684</v>
      </c>
      <c r="AL34">
        <v>640</v>
      </c>
      <c r="AM34">
        <v>2145</v>
      </c>
      <c r="AN34">
        <v>987</v>
      </c>
      <c r="AO34">
        <v>577</v>
      </c>
      <c r="AP34">
        <v>284</v>
      </c>
      <c r="AQ34">
        <v>843</v>
      </c>
      <c r="AR34">
        <v>522</v>
      </c>
      <c r="AS34">
        <v>5</v>
      </c>
      <c r="AT34">
        <v>14</v>
      </c>
      <c r="AV34" t="s">
        <v>396</v>
      </c>
      <c r="AW34">
        <v>699</v>
      </c>
      <c r="AX34">
        <v>51.972818311899999</v>
      </c>
      <c r="AY34">
        <v>1003</v>
      </c>
      <c r="AZ34">
        <v>126</v>
      </c>
      <c r="BA34">
        <v>946</v>
      </c>
      <c r="BB34">
        <v>67</v>
      </c>
      <c r="BC34">
        <v>1</v>
      </c>
      <c r="BD34">
        <v>1</v>
      </c>
      <c r="BE34">
        <v>57</v>
      </c>
      <c r="BF34">
        <v>15</v>
      </c>
      <c r="BG34">
        <v>105</v>
      </c>
      <c r="BH34">
        <v>96</v>
      </c>
      <c r="BJ34" t="s">
        <v>519</v>
      </c>
      <c r="BK34" t="s">
        <v>370</v>
      </c>
      <c r="BL34">
        <v>4657</v>
      </c>
      <c r="BM34">
        <v>1347</v>
      </c>
      <c r="BN34">
        <v>101.62314794930001</v>
      </c>
      <c r="BO34">
        <v>5793</v>
      </c>
      <c r="BP34">
        <v>1111</v>
      </c>
      <c r="BQ34">
        <v>138.18418781290001</v>
      </c>
      <c r="BR34">
        <v>129.3141314131</v>
      </c>
      <c r="BS34">
        <v>3870</v>
      </c>
      <c r="BT34">
        <v>1034</v>
      </c>
      <c r="BU34">
        <v>96.061240310100004</v>
      </c>
      <c r="BV34">
        <v>4655</v>
      </c>
      <c r="BW34">
        <v>876</v>
      </c>
      <c r="BX34">
        <v>131.87583243820001</v>
      </c>
      <c r="BY34">
        <v>126.997716895</v>
      </c>
      <c r="CA34" t="s">
        <v>377</v>
      </c>
      <c r="CB34" t="s">
        <v>857</v>
      </c>
      <c r="CC34" t="s">
        <v>984</v>
      </c>
      <c r="CD34">
        <v>5069</v>
      </c>
      <c r="CE34">
        <v>1311</v>
      </c>
      <c r="CF34">
        <v>103.65831524959999</v>
      </c>
      <c r="CG34">
        <v>6929</v>
      </c>
      <c r="CH34">
        <v>1229</v>
      </c>
      <c r="CI34">
        <v>138.38014143460001</v>
      </c>
      <c r="CJ34">
        <v>139.3458096013</v>
      </c>
      <c r="CL34" t="s">
        <v>377</v>
      </c>
      <c r="CM34" t="s">
        <v>826</v>
      </c>
      <c r="CN34" t="s">
        <v>830</v>
      </c>
      <c r="CO34">
        <v>448</v>
      </c>
      <c r="CP34">
        <v>70</v>
      </c>
      <c r="CQ34">
        <v>75.517857142899999</v>
      </c>
      <c r="CR34">
        <v>777</v>
      </c>
      <c r="CS34">
        <v>149</v>
      </c>
      <c r="CT34">
        <v>90.864864864899999</v>
      </c>
      <c r="CU34">
        <v>106.40268456379999</v>
      </c>
      <c r="CW34" t="s">
        <v>377</v>
      </c>
      <c r="CX34" t="s">
        <v>842</v>
      </c>
      <c r="CY34" t="s">
        <v>846</v>
      </c>
      <c r="CZ34">
        <v>224</v>
      </c>
      <c r="DA34">
        <v>71</v>
      </c>
      <c r="DB34">
        <v>94.861607142899999</v>
      </c>
      <c r="DC34">
        <v>224</v>
      </c>
      <c r="DD34">
        <v>48</v>
      </c>
      <c r="DE34">
        <v>152.7053571429</v>
      </c>
      <c r="DF34">
        <v>161.25</v>
      </c>
      <c r="DH34" t="s">
        <v>377</v>
      </c>
      <c r="DI34" t="s">
        <v>810</v>
      </c>
      <c r="DJ34" t="s">
        <v>814</v>
      </c>
      <c r="DK34">
        <v>319</v>
      </c>
      <c r="DL34">
        <v>75</v>
      </c>
      <c r="DM34">
        <v>90.8840125392</v>
      </c>
      <c r="DN34">
        <v>294</v>
      </c>
      <c r="DO34">
        <v>82</v>
      </c>
      <c r="DP34">
        <v>152.8945578231</v>
      </c>
      <c r="DQ34">
        <v>154.18292682929999</v>
      </c>
    </row>
    <row r="35" spans="2:121" x14ac:dyDescent="0.2">
      <c r="B35" t="s">
        <v>89</v>
      </c>
      <c r="C35">
        <v>2</v>
      </c>
      <c r="F35" t="s">
        <v>71</v>
      </c>
      <c r="G35">
        <v>6864</v>
      </c>
      <c r="H35">
        <v>352.56089743590002</v>
      </c>
      <c r="I35">
        <v>11060</v>
      </c>
      <c r="J35">
        <v>2211</v>
      </c>
      <c r="K35">
        <v>17475</v>
      </c>
      <c r="L35">
        <v>10281</v>
      </c>
      <c r="M35">
        <v>5085</v>
      </c>
      <c r="N35">
        <v>3110</v>
      </c>
      <c r="O35">
        <v>2336</v>
      </c>
      <c r="P35">
        <v>1500</v>
      </c>
      <c r="Q35">
        <v>0</v>
      </c>
      <c r="R35">
        <v>60</v>
      </c>
      <c r="AH35" t="s">
        <v>60</v>
      </c>
      <c r="AI35">
        <v>5246</v>
      </c>
      <c r="AJ35">
        <v>302.65554708349998</v>
      </c>
      <c r="AK35">
        <v>8742</v>
      </c>
      <c r="AL35">
        <v>2099</v>
      </c>
      <c r="AM35">
        <v>8765</v>
      </c>
      <c r="AN35">
        <v>5114</v>
      </c>
      <c r="AO35">
        <v>4062</v>
      </c>
      <c r="AP35">
        <v>2951</v>
      </c>
      <c r="AQ35">
        <v>4426</v>
      </c>
      <c r="AR35">
        <v>1640</v>
      </c>
      <c r="AS35">
        <v>1520</v>
      </c>
      <c r="AT35">
        <v>8</v>
      </c>
      <c r="AV35" t="s">
        <v>373</v>
      </c>
      <c r="AW35">
        <v>103</v>
      </c>
      <c r="AX35">
        <v>85.436893203899999</v>
      </c>
      <c r="AY35">
        <v>165</v>
      </c>
      <c r="AZ35">
        <v>41</v>
      </c>
      <c r="BA35">
        <v>144</v>
      </c>
      <c r="BB35">
        <v>41</v>
      </c>
      <c r="BC35">
        <v>1</v>
      </c>
      <c r="BD35">
        <v>1</v>
      </c>
      <c r="BE35">
        <v>20</v>
      </c>
      <c r="BF35">
        <v>9</v>
      </c>
      <c r="BG35">
        <v>11</v>
      </c>
      <c r="BH35">
        <v>30</v>
      </c>
      <c r="BJ35" t="s">
        <v>525</v>
      </c>
      <c r="BK35" t="s">
        <v>370</v>
      </c>
      <c r="BL35">
        <v>2622</v>
      </c>
      <c r="BM35">
        <v>562</v>
      </c>
      <c r="BN35">
        <v>88.297482837499999</v>
      </c>
      <c r="BO35">
        <v>3277</v>
      </c>
      <c r="BP35">
        <v>592</v>
      </c>
      <c r="BQ35">
        <v>141.31431187059999</v>
      </c>
      <c r="BR35">
        <v>139.18412162160001</v>
      </c>
      <c r="BS35">
        <v>2287</v>
      </c>
      <c r="BT35">
        <v>358</v>
      </c>
      <c r="BU35">
        <v>77.618714473099999</v>
      </c>
      <c r="BV35">
        <v>2531</v>
      </c>
      <c r="BW35">
        <v>432</v>
      </c>
      <c r="BX35">
        <v>136.8976689056</v>
      </c>
      <c r="BY35">
        <v>134.150462963</v>
      </c>
      <c r="CA35" t="s">
        <v>372</v>
      </c>
      <c r="CB35" t="s">
        <v>857</v>
      </c>
      <c r="CC35" t="s">
        <v>985</v>
      </c>
      <c r="CD35">
        <v>4421</v>
      </c>
      <c r="CE35">
        <v>1092</v>
      </c>
      <c r="CF35">
        <v>94.972404433400001</v>
      </c>
      <c r="CG35">
        <v>5354</v>
      </c>
      <c r="CH35">
        <v>923</v>
      </c>
      <c r="CI35">
        <v>132.06686589469999</v>
      </c>
      <c r="CJ35">
        <v>144.82015167930001</v>
      </c>
      <c r="CL35" t="s">
        <v>372</v>
      </c>
      <c r="CM35" t="s">
        <v>826</v>
      </c>
      <c r="CN35" t="s">
        <v>831</v>
      </c>
      <c r="CO35">
        <v>451</v>
      </c>
      <c r="CP35">
        <v>66</v>
      </c>
      <c r="CQ35">
        <v>75.317073170699999</v>
      </c>
      <c r="CR35">
        <v>749</v>
      </c>
      <c r="CS35">
        <v>138</v>
      </c>
      <c r="CT35">
        <v>83.444592790399994</v>
      </c>
      <c r="CU35">
        <v>92.753623188399999</v>
      </c>
      <c r="CW35" t="s">
        <v>372</v>
      </c>
      <c r="CX35" t="s">
        <v>842</v>
      </c>
      <c r="CY35" t="s">
        <v>847</v>
      </c>
      <c r="CZ35">
        <v>75</v>
      </c>
      <c r="DA35">
        <v>32</v>
      </c>
      <c r="DB35">
        <v>110.5733333333</v>
      </c>
      <c r="DC35">
        <v>93</v>
      </c>
      <c r="DD35">
        <v>27</v>
      </c>
      <c r="DE35">
        <v>140.9139784946</v>
      </c>
      <c r="DF35">
        <v>150.4074074074</v>
      </c>
      <c r="DH35" t="s">
        <v>372</v>
      </c>
      <c r="DI35" t="s">
        <v>810</v>
      </c>
      <c r="DJ35" t="s">
        <v>815</v>
      </c>
      <c r="DK35">
        <v>38</v>
      </c>
      <c r="DL35">
        <v>10</v>
      </c>
      <c r="DM35">
        <v>90.184210526300006</v>
      </c>
      <c r="DN35">
        <v>56</v>
      </c>
      <c r="DO35">
        <v>12</v>
      </c>
      <c r="DP35">
        <v>131.66071428570001</v>
      </c>
      <c r="DQ35">
        <v>157.0833333333</v>
      </c>
    </row>
    <row r="36" spans="2:121" x14ac:dyDescent="0.2">
      <c r="B36" t="s">
        <v>95</v>
      </c>
      <c r="C36">
        <v>1164</v>
      </c>
      <c r="D36">
        <v>780</v>
      </c>
      <c r="F36" t="s">
        <v>47</v>
      </c>
      <c r="G36">
        <v>2049</v>
      </c>
      <c r="H36">
        <v>235.48365056119999</v>
      </c>
      <c r="I36">
        <v>2344</v>
      </c>
      <c r="J36">
        <v>525</v>
      </c>
      <c r="K36">
        <v>3275</v>
      </c>
      <c r="L36">
        <v>2129</v>
      </c>
      <c r="M36">
        <v>491</v>
      </c>
      <c r="N36">
        <v>93</v>
      </c>
      <c r="O36">
        <v>1243</v>
      </c>
      <c r="P36">
        <v>905</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16145</v>
      </c>
      <c r="AJ36">
        <v>312.4677609167</v>
      </c>
      <c r="AK36">
        <v>17462</v>
      </c>
      <c r="AL36">
        <v>4575</v>
      </c>
      <c r="AM36">
        <v>21744</v>
      </c>
      <c r="AN36">
        <v>14542</v>
      </c>
      <c r="AO36">
        <v>9534</v>
      </c>
      <c r="AP36">
        <v>6123</v>
      </c>
      <c r="AQ36">
        <v>6782</v>
      </c>
      <c r="AR36">
        <v>4328</v>
      </c>
      <c r="AS36">
        <v>1201</v>
      </c>
      <c r="AT36">
        <v>47</v>
      </c>
      <c r="AV36" t="s">
        <v>384</v>
      </c>
      <c r="AW36">
        <v>1025</v>
      </c>
      <c r="AX36">
        <v>92.649756097600005</v>
      </c>
      <c r="AY36">
        <v>1041</v>
      </c>
      <c r="AZ36">
        <v>249</v>
      </c>
      <c r="BA36">
        <v>1284</v>
      </c>
      <c r="BB36">
        <v>407</v>
      </c>
      <c r="BC36">
        <v>8</v>
      </c>
      <c r="BD36">
        <v>6</v>
      </c>
      <c r="BE36">
        <v>44</v>
      </c>
      <c r="BF36">
        <v>13</v>
      </c>
      <c r="BG36">
        <v>109</v>
      </c>
      <c r="BH36">
        <v>277</v>
      </c>
      <c r="BJ36" t="s">
        <v>370</v>
      </c>
      <c r="BK36" t="s">
        <v>370</v>
      </c>
      <c r="BL36">
        <v>68388</v>
      </c>
      <c r="BM36">
        <v>17578</v>
      </c>
      <c r="BN36">
        <v>97.371132362400004</v>
      </c>
      <c r="BO36">
        <v>93390</v>
      </c>
      <c r="BP36">
        <v>17524</v>
      </c>
      <c r="BQ36">
        <v>135.4536138773</v>
      </c>
      <c r="BR36">
        <v>132.35830860530001</v>
      </c>
      <c r="BS36">
        <v>67265</v>
      </c>
      <c r="BT36">
        <v>16874</v>
      </c>
      <c r="BU36">
        <v>95.395822493099999</v>
      </c>
      <c r="BV36">
        <v>92014</v>
      </c>
      <c r="BW36">
        <v>17325</v>
      </c>
      <c r="BX36">
        <v>133.91633881800001</v>
      </c>
      <c r="BY36">
        <v>131.1727561328</v>
      </c>
      <c r="CA36" t="s">
        <v>416</v>
      </c>
      <c r="CB36" t="s">
        <v>857</v>
      </c>
      <c r="CC36" t="s">
        <v>986</v>
      </c>
      <c r="CD36">
        <v>1142</v>
      </c>
      <c r="CE36">
        <v>245</v>
      </c>
      <c r="CF36">
        <v>92.2749562172</v>
      </c>
      <c r="CG36">
        <v>1681</v>
      </c>
      <c r="CH36">
        <v>334</v>
      </c>
      <c r="CI36">
        <v>136.05175490779999</v>
      </c>
      <c r="CJ36">
        <v>149.06886227539999</v>
      </c>
      <c r="CL36" t="s">
        <v>416</v>
      </c>
      <c r="CM36" t="s">
        <v>826</v>
      </c>
      <c r="CN36" t="s">
        <v>832</v>
      </c>
      <c r="CO36">
        <v>100</v>
      </c>
      <c r="CP36">
        <v>10</v>
      </c>
      <c r="CQ36">
        <v>69.510000000000005</v>
      </c>
      <c r="CR36">
        <v>177</v>
      </c>
      <c r="CS36">
        <v>37</v>
      </c>
      <c r="CT36">
        <v>93.6836158192</v>
      </c>
      <c r="CU36">
        <v>103.6216216216</v>
      </c>
      <c r="CW36" t="s">
        <v>416</v>
      </c>
      <c r="CX36" t="s">
        <v>842</v>
      </c>
      <c r="CY36" t="s">
        <v>848</v>
      </c>
      <c r="CZ36">
        <v>26</v>
      </c>
      <c r="DA36">
        <v>9</v>
      </c>
      <c r="DB36">
        <v>98.576923076900002</v>
      </c>
      <c r="DC36">
        <v>18</v>
      </c>
      <c r="DD36">
        <v>8</v>
      </c>
      <c r="DE36">
        <v>150.55555555559999</v>
      </c>
      <c r="DF36">
        <v>163.25</v>
      </c>
      <c r="DH36" t="s">
        <v>416</v>
      </c>
      <c r="DI36" t="s">
        <v>810</v>
      </c>
      <c r="DJ36" t="s">
        <v>816</v>
      </c>
      <c r="DK36">
        <v>15</v>
      </c>
      <c r="DL36">
        <v>7</v>
      </c>
      <c r="DM36">
        <v>114.9333333333</v>
      </c>
      <c r="DN36">
        <v>25</v>
      </c>
      <c r="DO36">
        <v>6</v>
      </c>
      <c r="DP36">
        <v>129.91999999999999</v>
      </c>
      <c r="DQ36">
        <v>119.6666666667</v>
      </c>
    </row>
    <row r="37" spans="2:121" x14ac:dyDescent="0.2">
      <c r="B37" t="s">
        <v>1060</v>
      </c>
      <c r="C37">
        <v>113</v>
      </c>
      <c r="D37">
        <v>107</v>
      </c>
      <c r="F37" t="s">
        <v>82</v>
      </c>
      <c r="G37">
        <v>620</v>
      </c>
      <c r="H37">
        <v>401.23870967739998</v>
      </c>
      <c r="I37">
        <v>704</v>
      </c>
      <c r="J37">
        <v>191</v>
      </c>
      <c r="K37">
        <v>690</v>
      </c>
      <c r="L37">
        <v>539</v>
      </c>
      <c r="M37">
        <v>52</v>
      </c>
      <c r="N37">
        <v>14</v>
      </c>
      <c r="O37">
        <v>156</v>
      </c>
      <c r="P37">
        <v>75</v>
      </c>
      <c r="Q37">
        <v>0</v>
      </c>
      <c r="R37">
        <v>0</v>
      </c>
      <c r="T37" t="s">
        <v>391</v>
      </c>
      <c r="U37">
        <v>3865</v>
      </c>
      <c r="V37">
        <v>50.250970245799998</v>
      </c>
      <c r="W37">
        <v>5466</v>
      </c>
      <c r="X37">
        <v>626</v>
      </c>
      <c r="Y37">
        <v>5387</v>
      </c>
      <c r="Z37">
        <v>307</v>
      </c>
      <c r="AA37">
        <v>15</v>
      </c>
      <c r="AB37">
        <v>13</v>
      </c>
      <c r="AC37">
        <v>280</v>
      </c>
      <c r="AD37">
        <v>75</v>
      </c>
      <c r="AE37">
        <v>1995</v>
      </c>
      <c r="AF37">
        <v>606</v>
      </c>
      <c r="AH37" t="s">
        <v>420</v>
      </c>
      <c r="AI37">
        <v>155</v>
      </c>
      <c r="AJ37">
        <v>287.01290322580002</v>
      </c>
      <c r="AK37">
        <v>650</v>
      </c>
      <c r="AL37">
        <v>118</v>
      </c>
      <c r="AM37">
        <v>316</v>
      </c>
      <c r="AN37">
        <v>139</v>
      </c>
      <c r="AO37">
        <v>113</v>
      </c>
      <c r="AP37">
        <v>60</v>
      </c>
      <c r="AQ37">
        <v>145</v>
      </c>
      <c r="AR37">
        <v>89</v>
      </c>
      <c r="AS37">
        <v>0</v>
      </c>
      <c r="AT37">
        <v>0</v>
      </c>
      <c r="AV37" t="s">
        <v>397</v>
      </c>
      <c r="AW37">
        <v>352</v>
      </c>
      <c r="AX37">
        <v>45.051136363600001</v>
      </c>
      <c r="AY37">
        <v>394</v>
      </c>
      <c r="AZ37">
        <v>36</v>
      </c>
      <c r="BA37">
        <v>487</v>
      </c>
      <c r="BB37">
        <v>16</v>
      </c>
      <c r="BC37">
        <v>1</v>
      </c>
      <c r="BD37">
        <v>1</v>
      </c>
      <c r="BE37">
        <v>27</v>
      </c>
      <c r="BF37">
        <v>10</v>
      </c>
      <c r="BG37">
        <v>65</v>
      </c>
      <c r="BH37">
        <v>46</v>
      </c>
      <c r="BJ37" t="s">
        <v>527</v>
      </c>
      <c r="BK37" t="s">
        <v>370</v>
      </c>
      <c r="BL37">
        <v>6916</v>
      </c>
      <c r="BM37">
        <v>2282</v>
      </c>
      <c r="BN37">
        <v>117.3017640254</v>
      </c>
      <c r="BO37">
        <v>10162</v>
      </c>
      <c r="BP37">
        <v>1839</v>
      </c>
      <c r="BQ37">
        <v>150.30810864</v>
      </c>
      <c r="BR37">
        <v>143.37248504620001</v>
      </c>
      <c r="BS37">
        <v>6943</v>
      </c>
      <c r="BT37">
        <v>2345</v>
      </c>
      <c r="BU37">
        <v>117.39348984590001</v>
      </c>
      <c r="BV37">
        <v>10534</v>
      </c>
      <c r="BW37">
        <v>1866</v>
      </c>
      <c r="BX37">
        <v>150.08107081829999</v>
      </c>
      <c r="BY37">
        <v>142.70578778140001</v>
      </c>
      <c r="CA37" t="s">
        <v>375</v>
      </c>
      <c r="CB37" t="s">
        <v>857</v>
      </c>
      <c r="CC37" t="s">
        <v>987</v>
      </c>
      <c r="CD37">
        <v>3767</v>
      </c>
      <c r="CE37">
        <v>957</v>
      </c>
      <c r="CF37">
        <v>98.694717281699994</v>
      </c>
      <c r="CG37">
        <v>5268</v>
      </c>
      <c r="CH37">
        <v>975</v>
      </c>
      <c r="CI37">
        <v>140.03682612</v>
      </c>
      <c r="CJ37">
        <v>135.64923076919999</v>
      </c>
      <c r="CL37" t="s">
        <v>375</v>
      </c>
      <c r="CM37" t="s">
        <v>826</v>
      </c>
      <c r="CN37" t="s">
        <v>833</v>
      </c>
      <c r="CO37">
        <v>501</v>
      </c>
      <c r="CP37">
        <v>60</v>
      </c>
      <c r="CQ37">
        <v>73.381237525000003</v>
      </c>
      <c r="CR37">
        <v>798</v>
      </c>
      <c r="CS37">
        <v>168</v>
      </c>
      <c r="CT37">
        <v>89.774436090199998</v>
      </c>
      <c r="CU37">
        <v>106.2619047619</v>
      </c>
      <c r="CW37" t="s">
        <v>375</v>
      </c>
      <c r="CX37" t="s">
        <v>842</v>
      </c>
      <c r="CY37" t="s">
        <v>849</v>
      </c>
      <c r="CZ37">
        <v>118</v>
      </c>
      <c r="DA37">
        <v>36</v>
      </c>
      <c r="DB37">
        <v>97.101694915300001</v>
      </c>
      <c r="DC37">
        <v>76</v>
      </c>
      <c r="DD37">
        <v>17</v>
      </c>
      <c r="DE37">
        <v>148.97368421050001</v>
      </c>
      <c r="DF37">
        <v>158.70588235290001</v>
      </c>
      <c r="DH37" t="s">
        <v>375</v>
      </c>
      <c r="DI37" t="s">
        <v>810</v>
      </c>
      <c r="DJ37" t="s">
        <v>817</v>
      </c>
      <c r="DK37">
        <v>71</v>
      </c>
      <c r="DL37">
        <v>21</v>
      </c>
      <c r="DM37">
        <v>87.971830985899999</v>
      </c>
      <c r="DN37">
        <v>91</v>
      </c>
      <c r="DO37">
        <v>17</v>
      </c>
      <c r="DP37">
        <v>139.2967032967</v>
      </c>
      <c r="DQ37">
        <v>144.23529411760001</v>
      </c>
    </row>
    <row r="38" spans="2:121" x14ac:dyDescent="0.2">
      <c r="B38" t="s">
        <v>115</v>
      </c>
      <c r="C38">
        <v>3516</v>
      </c>
      <c r="D38">
        <v>933</v>
      </c>
      <c r="F38" t="s">
        <v>49</v>
      </c>
      <c r="G38">
        <v>3829</v>
      </c>
      <c r="H38">
        <v>416.1352833638</v>
      </c>
      <c r="I38">
        <v>4107</v>
      </c>
      <c r="J38">
        <v>1376</v>
      </c>
      <c r="K38">
        <v>5954</v>
      </c>
      <c r="L38">
        <v>4486</v>
      </c>
      <c r="M38">
        <v>2115</v>
      </c>
      <c r="N38">
        <v>1611</v>
      </c>
      <c r="O38">
        <v>2027</v>
      </c>
      <c r="P38">
        <v>1661</v>
      </c>
      <c r="Q38">
        <v>46</v>
      </c>
      <c r="R38">
        <v>198</v>
      </c>
      <c r="T38" t="s">
        <v>381</v>
      </c>
      <c r="U38">
        <v>8956</v>
      </c>
      <c r="V38">
        <v>80.964158106300005</v>
      </c>
      <c r="W38">
        <v>9116</v>
      </c>
      <c r="X38">
        <v>1924</v>
      </c>
      <c r="Y38">
        <v>11211</v>
      </c>
      <c r="Z38">
        <v>2735</v>
      </c>
      <c r="AA38">
        <v>69</v>
      </c>
      <c r="AB38">
        <v>62</v>
      </c>
      <c r="AC38">
        <v>506</v>
      </c>
      <c r="AD38">
        <v>150</v>
      </c>
      <c r="AE38">
        <v>980</v>
      </c>
      <c r="AF38">
        <v>1909</v>
      </c>
      <c r="AH38" t="s">
        <v>392</v>
      </c>
      <c r="AI38">
        <v>6221</v>
      </c>
      <c r="AJ38">
        <v>427.11766597010001</v>
      </c>
      <c r="AK38">
        <v>8037</v>
      </c>
      <c r="AL38">
        <v>2179</v>
      </c>
      <c r="AM38">
        <v>10812</v>
      </c>
      <c r="AN38">
        <v>6243</v>
      </c>
      <c r="AO38">
        <v>1867</v>
      </c>
      <c r="AP38">
        <v>1116</v>
      </c>
      <c r="AQ38">
        <v>4194</v>
      </c>
      <c r="AR38">
        <v>2840</v>
      </c>
      <c r="AS38">
        <v>853</v>
      </c>
      <c r="AT38">
        <v>319</v>
      </c>
      <c r="AV38" t="s">
        <v>392</v>
      </c>
      <c r="AW38">
        <v>704</v>
      </c>
      <c r="AX38">
        <v>50.181818181799997</v>
      </c>
      <c r="AY38">
        <v>1152</v>
      </c>
      <c r="AZ38">
        <v>147</v>
      </c>
      <c r="BA38">
        <v>1077</v>
      </c>
      <c r="BB38">
        <v>73</v>
      </c>
      <c r="BC38">
        <v>6</v>
      </c>
      <c r="BD38">
        <v>6</v>
      </c>
      <c r="BE38">
        <v>67</v>
      </c>
      <c r="BF38">
        <v>15</v>
      </c>
      <c r="BG38">
        <v>117</v>
      </c>
      <c r="BH38">
        <v>104</v>
      </c>
      <c r="BJ38" t="s">
        <v>530</v>
      </c>
      <c r="BK38" t="s">
        <v>370</v>
      </c>
      <c r="BL38">
        <v>4519</v>
      </c>
      <c r="BM38">
        <v>1461</v>
      </c>
      <c r="BN38">
        <v>114.25780039830001</v>
      </c>
      <c r="BO38">
        <v>5461</v>
      </c>
      <c r="BP38">
        <v>1003</v>
      </c>
      <c r="BQ38">
        <v>161.22559970699999</v>
      </c>
      <c r="BR38">
        <v>153.96211365900001</v>
      </c>
      <c r="BS38">
        <v>4045</v>
      </c>
      <c r="BT38">
        <v>1477</v>
      </c>
      <c r="BU38">
        <v>123.62991347339999</v>
      </c>
      <c r="BV38">
        <v>4344</v>
      </c>
      <c r="BW38">
        <v>779</v>
      </c>
      <c r="BX38">
        <v>176.6169429098</v>
      </c>
      <c r="BY38">
        <v>167.3838254172</v>
      </c>
      <c r="CA38" t="s">
        <v>60</v>
      </c>
      <c r="CB38" t="s">
        <v>857</v>
      </c>
      <c r="CC38" t="s">
        <v>519</v>
      </c>
      <c r="CD38">
        <v>8332</v>
      </c>
      <c r="CE38">
        <v>1967</v>
      </c>
      <c r="CF38">
        <v>94.226116178599995</v>
      </c>
      <c r="CG38">
        <v>11450</v>
      </c>
      <c r="CH38">
        <v>2131</v>
      </c>
      <c r="CI38">
        <v>135.62454148469999</v>
      </c>
      <c r="CJ38">
        <v>126.06804317220001</v>
      </c>
      <c r="CL38" t="s">
        <v>60</v>
      </c>
      <c r="CM38" t="s">
        <v>826</v>
      </c>
      <c r="CN38" t="s">
        <v>834</v>
      </c>
      <c r="CO38">
        <v>1233</v>
      </c>
      <c r="CP38">
        <v>164</v>
      </c>
      <c r="CQ38">
        <v>75.392538523900001</v>
      </c>
      <c r="CR38">
        <v>2032</v>
      </c>
      <c r="CS38">
        <v>406</v>
      </c>
      <c r="CT38">
        <v>91.788877952799993</v>
      </c>
      <c r="CU38">
        <v>105.2463054187</v>
      </c>
      <c r="CW38" t="s">
        <v>60</v>
      </c>
      <c r="CX38" t="s">
        <v>842</v>
      </c>
      <c r="CY38" t="s">
        <v>850</v>
      </c>
      <c r="CZ38">
        <v>264</v>
      </c>
      <c r="DA38">
        <v>72</v>
      </c>
      <c r="DB38">
        <v>92.223484848499993</v>
      </c>
      <c r="DC38">
        <v>193</v>
      </c>
      <c r="DD38">
        <v>36</v>
      </c>
      <c r="DE38">
        <v>137.22279792750001</v>
      </c>
      <c r="DF38">
        <v>153.0833333333</v>
      </c>
      <c r="DH38" t="s">
        <v>60</v>
      </c>
      <c r="DI38" t="s">
        <v>810</v>
      </c>
      <c r="DJ38" t="s">
        <v>818</v>
      </c>
      <c r="DK38">
        <v>138</v>
      </c>
      <c r="DL38">
        <v>33</v>
      </c>
      <c r="DM38">
        <v>88.985507246400005</v>
      </c>
      <c r="DN38">
        <v>169</v>
      </c>
      <c r="DO38">
        <v>45</v>
      </c>
      <c r="DP38">
        <v>141.43195266270001</v>
      </c>
      <c r="DQ38">
        <v>130.44444444440001</v>
      </c>
    </row>
    <row r="39" spans="2:121" x14ac:dyDescent="0.2">
      <c r="B39" t="s">
        <v>99</v>
      </c>
      <c r="C39">
        <v>14836</v>
      </c>
      <c r="D39">
        <v>2449</v>
      </c>
      <c r="F39" t="s">
        <v>60</v>
      </c>
      <c r="G39">
        <v>3647</v>
      </c>
      <c r="H39">
        <v>310.56567041400001</v>
      </c>
      <c r="I39">
        <v>4525</v>
      </c>
      <c r="J39">
        <v>1324</v>
      </c>
      <c r="K39">
        <v>5065</v>
      </c>
      <c r="L39">
        <v>3423</v>
      </c>
      <c r="M39">
        <v>3218</v>
      </c>
      <c r="N39">
        <v>2717</v>
      </c>
      <c r="O39">
        <v>2483</v>
      </c>
      <c r="P39">
        <v>216</v>
      </c>
      <c r="Q39">
        <v>0</v>
      </c>
      <c r="R39">
        <v>1</v>
      </c>
      <c r="T39" t="s">
        <v>370</v>
      </c>
      <c r="U39">
        <v>7755</v>
      </c>
      <c r="V39">
        <v>93.797549967799995</v>
      </c>
      <c r="W39">
        <v>10815</v>
      </c>
      <c r="X39">
        <v>2723</v>
      </c>
      <c r="Y39">
        <v>10204</v>
      </c>
      <c r="Z39">
        <v>3119</v>
      </c>
      <c r="AA39">
        <v>220</v>
      </c>
      <c r="AB39">
        <v>216</v>
      </c>
      <c r="AC39">
        <v>567</v>
      </c>
      <c r="AD39">
        <v>193</v>
      </c>
      <c r="AE39">
        <v>841</v>
      </c>
      <c r="AF39">
        <v>2421</v>
      </c>
      <c r="AH39" t="s">
        <v>413</v>
      </c>
      <c r="AI39">
        <v>2858</v>
      </c>
      <c r="AJ39">
        <v>301.82715185439997</v>
      </c>
      <c r="AK39">
        <v>5778</v>
      </c>
      <c r="AL39">
        <v>986</v>
      </c>
      <c r="AM39">
        <v>4119</v>
      </c>
      <c r="AN39">
        <v>1879</v>
      </c>
      <c r="AO39">
        <v>1310</v>
      </c>
      <c r="AP39">
        <v>603</v>
      </c>
      <c r="AQ39">
        <v>2553</v>
      </c>
      <c r="AR39">
        <v>1353</v>
      </c>
      <c r="AS39">
        <v>6</v>
      </c>
      <c r="AT39">
        <v>71</v>
      </c>
      <c r="AV39" t="s">
        <v>415</v>
      </c>
      <c r="AW39">
        <v>44</v>
      </c>
      <c r="AX39">
        <v>116.79545454549999</v>
      </c>
      <c r="AY39">
        <v>65</v>
      </c>
      <c r="AZ39">
        <v>16</v>
      </c>
      <c r="BA39">
        <v>59</v>
      </c>
      <c r="BB39">
        <v>24</v>
      </c>
      <c r="BC39">
        <v>2</v>
      </c>
      <c r="BD39">
        <v>2</v>
      </c>
      <c r="BE39">
        <v>0</v>
      </c>
      <c r="BG39">
        <v>9</v>
      </c>
      <c r="BH39">
        <v>18</v>
      </c>
      <c r="BJ39" t="s">
        <v>515</v>
      </c>
      <c r="BK39" t="s">
        <v>370</v>
      </c>
      <c r="BL39">
        <v>2303</v>
      </c>
      <c r="BM39">
        <v>433</v>
      </c>
      <c r="BN39">
        <v>79.500651324399996</v>
      </c>
      <c r="BO39">
        <v>8354</v>
      </c>
      <c r="BP39">
        <v>1724</v>
      </c>
      <c r="BQ39">
        <v>58.303686856600002</v>
      </c>
      <c r="BR39">
        <v>62.858468677499999</v>
      </c>
      <c r="BS39">
        <v>3489</v>
      </c>
      <c r="BT39">
        <v>930</v>
      </c>
      <c r="BU39">
        <v>98.134422470600001</v>
      </c>
      <c r="BV39">
        <v>10220</v>
      </c>
      <c r="BW39">
        <v>2045</v>
      </c>
      <c r="BX39">
        <v>81.528571428600003</v>
      </c>
      <c r="BY39">
        <v>78.733007334999996</v>
      </c>
      <c r="CA39" t="s">
        <v>383</v>
      </c>
      <c r="CB39" t="s">
        <v>857</v>
      </c>
      <c r="CC39" t="s">
        <v>988</v>
      </c>
      <c r="CD39">
        <v>16220</v>
      </c>
      <c r="CE39">
        <v>4079</v>
      </c>
      <c r="CF39">
        <v>94.6445745993</v>
      </c>
      <c r="CG39">
        <v>20779</v>
      </c>
      <c r="CH39">
        <v>3826</v>
      </c>
      <c r="CI39">
        <v>142.64502622840001</v>
      </c>
      <c r="CJ39">
        <v>140.05384213280001</v>
      </c>
      <c r="CL39" t="s">
        <v>383</v>
      </c>
      <c r="CM39" t="s">
        <v>826</v>
      </c>
      <c r="CN39" t="s">
        <v>835</v>
      </c>
      <c r="CO39">
        <v>1360</v>
      </c>
      <c r="CP39">
        <v>187</v>
      </c>
      <c r="CQ39">
        <v>71.555882352899999</v>
      </c>
      <c r="CR39">
        <v>1991</v>
      </c>
      <c r="CS39">
        <v>415</v>
      </c>
      <c r="CT39">
        <v>89.062280261200002</v>
      </c>
      <c r="CU39">
        <v>103.4626506024</v>
      </c>
      <c r="CW39" t="s">
        <v>383</v>
      </c>
      <c r="CX39" t="s">
        <v>842</v>
      </c>
      <c r="CY39" t="s">
        <v>851</v>
      </c>
      <c r="CZ39">
        <v>583</v>
      </c>
      <c r="DA39">
        <v>179</v>
      </c>
      <c r="DB39">
        <v>100.974271012</v>
      </c>
      <c r="DC39">
        <v>472</v>
      </c>
      <c r="DD39">
        <v>102</v>
      </c>
      <c r="DE39">
        <v>154.031779661</v>
      </c>
      <c r="DF39">
        <v>163.23529411760001</v>
      </c>
      <c r="DH39" t="s">
        <v>383</v>
      </c>
      <c r="DI39" t="s">
        <v>810</v>
      </c>
      <c r="DJ39" t="s">
        <v>819</v>
      </c>
      <c r="DK39">
        <v>1064</v>
      </c>
      <c r="DL39">
        <v>250</v>
      </c>
      <c r="DM39">
        <v>89.187969924800001</v>
      </c>
      <c r="DN39">
        <v>881</v>
      </c>
      <c r="DO39">
        <v>197</v>
      </c>
      <c r="DP39">
        <v>147.43927355279999</v>
      </c>
      <c r="DQ39">
        <v>154.0304568528</v>
      </c>
    </row>
    <row r="40" spans="2:121" x14ac:dyDescent="0.2">
      <c r="B40" t="s">
        <v>124</v>
      </c>
      <c r="C40">
        <v>294</v>
      </c>
      <c r="D40">
        <v>110</v>
      </c>
      <c r="F40" t="s">
        <v>52</v>
      </c>
      <c r="G40">
        <v>7469</v>
      </c>
      <c r="H40">
        <v>393.92796893830001</v>
      </c>
      <c r="I40">
        <v>9172</v>
      </c>
      <c r="J40">
        <v>2069</v>
      </c>
      <c r="K40">
        <v>8969</v>
      </c>
      <c r="L40">
        <v>6591</v>
      </c>
      <c r="M40">
        <v>1044</v>
      </c>
      <c r="N40">
        <v>884</v>
      </c>
      <c r="O40">
        <v>3955</v>
      </c>
      <c r="P40">
        <v>3315</v>
      </c>
      <c r="Q40">
        <v>4</v>
      </c>
      <c r="R40">
        <v>30</v>
      </c>
      <c r="T40" t="s">
        <v>8</v>
      </c>
      <c r="U40">
        <v>158</v>
      </c>
      <c r="V40">
        <v>79.107594936699996</v>
      </c>
      <c r="W40">
        <v>209</v>
      </c>
      <c r="X40">
        <v>104</v>
      </c>
      <c r="Y40">
        <v>346</v>
      </c>
      <c r="Z40">
        <v>153</v>
      </c>
      <c r="AA40">
        <v>10</v>
      </c>
      <c r="AB40">
        <v>9</v>
      </c>
      <c r="AC40">
        <v>12</v>
      </c>
      <c r="AD40">
        <v>4</v>
      </c>
      <c r="AE40">
        <v>37</v>
      </c>
      <c r="AF40">
        <v>25</v>
      </c>
      <c r="AH40" t="s">
        <v>410</v>
      </c>
      <c r="AI40">
        <v>7195</v>
      </c>
      <c r="AJ40">
        <v>456.07838776929998</v>
      </c>
      <c r="AK40">
        <v>4613</v>
      </c>
      <c r="AL40">
        <v>1166</v>
      </c>
      <c r="AM40">
        <v>9729</v>
      </c>
      <c r="AN40">
        <v>7572</v>
      </c>
      <c r="AO40">
        <v>3001</v>
      </c>
      <c r="AP40">
        <v>2673</v>
      </c>
      <c r="AQ40">
        <v>2813</v>
      </c>
      <c r="AR40">
        <v>1667</v>
      </c>
      <c r="AS40">
        <v>7</v>
      </c>
      <c r="AT40">
        <v>82</v>
      </c>
      <c r="AV40" t="s">
        <v>411</v>
      </c>
      <c r="AW40">
        <v>870</v>
      </c>
      <c r="AX40">
        <v>50.7850574713</v>
      </c>
      <c r="AY40">
        <v>1375</v>
      </c>
      <c r="AZ40">
        <v>51</v>
      </c>
      <c r="BA40">
        <v>1234</v>
      </c>
      <c r="BB40">
        <v>54</v>
      </c>
      <c r="BC40">
        <v>8</v>
      </c>
      <c r="BD40">
        <v>6</v>
      </c>
      <c r="BE40">
        <v>73</v>
      </c>
      <c r="BF40">
        <v>36</v>
      </c>
      <c r="BG40">
        <v>1340</v>
      </c>
      <c r="BH40">
        <v>301</v>
      </c>
      <c r="BJ40" t="s">
        <v>536</v>
      </c>
      <c r="BK40" t="s">
        <v>370</v>
      </c>
      <c r="BL40">
        <v>10244</v>
      </c>
      <c r="BM40">
        <v>2859</v>
      </c>
      <c r="BN40">
        <v>94.567161265099998</v>
      </c>
      <c r="BO40">
        <v>13430</v>
      </c>
      <c r="BP40">
        <v>2897</v>
      </c>
      <c r="BQ40">
        <v>138.5265822785</v>
      </c>
      <c r="BR40">
        <v>127.0024162927</v>
      </c>
      <c r="BS40">
        <v>9887</v>
      </c>
      <c r="BT40">
        <v>2636</v>
      </c>
      <c r="BU40">
        <v>91.433801962199993</v>
      </c>
      <c r="BV40">
        <v>13555</v>
      </c>
      <c r="BW40">
        <v>2845</v>
      </c>
      <c r="BX40">
        <v>134.5842862412</v>
      </c>
      <c r="BY40">
        <v>126.3887521968</v>
      </c>
      <c r="CA40" t="s">
        <v>376</v>
      </c>
      <c r="CB40" t="s">
        <v>857</v>
      </c>
      <c r="CC40" t="s">
        <v>989</v>
      </c>
      <c r="CD40">
        <v>8082</v>
      </c>
      <c r="CE40">
        <v>2396</v>
      </c>
      <c r="CF40">
        <v>108.93541202670001</v>
      </c>
      <c r="CG40">
        <v>12381</v>
      </c>
      <c r="CH40">
        <v>2257</v>
      </c>
      <c r="CI40">
        <v>144.08537274860001</v>
      </c>
      <c r="CJ40">
        <v>136.71555161719999</v>
      </c>
      <c r="CL40" t="s">
        <v>376</v>
      </c>
      <c r="CM40" t="s">
        <v>826</v>
      </c>
      <c r="CN40" t="s">
        <v>836</v>
      </c>
      <c r="CO40">
        <v>1523</v>
      </c>
      <c r="CP40">
        <v>206</v>
      </c>
      <c r="CQ40">
        <v>72.421536441200004</v>
      </c>
      <c r="CR40">
        <v>2387</v>
      </c>
      <c r="CS40">
        <v>463</v>
      </c>
      <c r="CT40">
        <v>89.224549643900005</v>
      </c>
      <c r="CU40">
        <v>100.7796976242</v>
      </c>
      <c r="CW40" t="s">
        <v>376</v>
      </c>
      <c r="CX40" t="s">
        <v>842</v>
      </c>
      <c r="CY40" t="s">
        <v>852</v>
      </c>
      <c r="CZ40">
        <v>195</v>
      </c>
      <c r="DA40">
        <v>63</v>
      </c>
      <c r="DB40">
        <v>96.097435897400004</v>
      </c>
      <c r="DC40">
        <v>170</v>
      </c>
      <c r="DD40">
        <v>36</v>
      </c>
      <c r="DE40">
        <v>144.1470588235</v>
      </c>
      <c r="DF40">
        <v>160.2222222222</v>
      </c>
      <c r="DH40" t="s">
        <v>376</v>
      </c>
      <c r="DI40" t="s">
        <v>810</v>
      </c>
      <c r="DJ40" t="s">
        <v>820</v>
      </c>
      <c r="DK40">
        <v>114</v>
      </c>
      <c r="DL40">
        <v>24</v>
      </c>
      <c r="DM40">
        <v>85.649122806999998</v>
      </c>
      <c r="DN40">
        <v>173</v>
      </c>
      <c r="DO40">
        <v>29</v>
      </c>
      <c r="DP40">
        <v>133.41618497109999</v>
      </c>
      <c r="DQ40">
        <v>146.5862068966</v>
      </c>
    </row>
    <row r="41" spans="2:121" x14ac:dyDescent="0.2">
      <c r="B41" t="s">
        <v>105</v>
      </c>
      <c r="C41">
        <v>7350</v>
      </c>
      <c r="D41">
        <v>5875</v>
      </c>
      <c r="F41" t="s">
        <v>25</v>
      </c>
      <c r="G41">
        <v>12990</v>
      </c>
      <c r="H41">
        <v>349.2929176289</v>
      </c>
      <c r="I41">
        <v>16041</v>
      </c>
      <c r="J41">
        <v>4485</v>
      </c>
      <c r="K41">
        <v>18432</v>
      </c>
      <c r="L41">
        <v>13357</v>
      </c>
      <c r="M41">
        <v>7495</v>
      </c>
      <c r="N41">
        <v>4974</v>
      </c>
      <c r="O41">
        <v>10843</v>
      </c>
      <c r="P41">
        <v>10044</v>
      </c>
      <c r="Q41">
        <v>63</v>
      </c>
      <c r="R41">
        <v>9</v>
      </c>
      <c r="T41" t="s">
        <v>386</v>
      </c>
      <c r="U41">
        <v>2625</v>
      </c>
      <c r="V41">
        <v>48.951238095199997</v>
      </c>
      <c r="W41">
        <v>3084</v>
      </c>
      <c r="X41">
        <v>193</v>
      </c>
      <c r="Y41">
        <v>3429</v>
      </c>
      <c r="Z41">
        <v>159</v>
      </c>
      <c r="AA41">
        <v>22</v>
      </c>
      <c r="AB41">
        <v>16</v>
      </c>
      <c r="AC41">
        <v>174</v>
      </c>
      <c r="AD41">
        <v>69</v>
      </c>
      <c r="AE41">
        <v>2735</v>
      </c>
      <c r="AF41">
        <v>537</v>
      </c>
      <c r="AH41" t="s">
        <v>8</v>
      </c>
      <c r="AI41">
        <v>3955</v>
      </c>
      <c r="AJ41">
        <v>383.53527180779997</v>
      </c>
      <c r="AK41">
        <v>4259</v>
      </c>
      <c r="AL41">
        <v>1869</v>
      </c>
      <c r="AM41">
        <v>5458</v>
      </c>
      <c r="AN41">
        <v>3957</v>
      </c>
      <c r="AO41">
        <v>1491</v>
      </c>
      <c r="AP41">
        <v>839</v>
      </c>
      <c r="AQ41">
        <v>1778</v>
      </c>
      <c r="AR41">
        <v>1156</v>
      </c>
      <c r="AS41">
        <v>456</v>
      </c>
      <c r="AT41">
        <v>145</v>
      </c>
      <c r="AV41" t="s">
        <v>417</v>
      </c>
      <c r="AW41">
        <v>144</v>
      </c>
      <c r="AX41">
        <v>96.888888888899999</v>
      </c>
      <c r="AY41">
        <v>154</v>
      </c>
      <c r="AZ41">
        <v>31</v>
      </c>
      <c r="BA41">
        <v>186</v>
      </c>
      <c r="BB41">
        <v>57</v>
      </c>
      <c r="BC41">
        <v>1</v>
      </c>
      <c r="BD41">
        <v>1</v>
      </c>
      <c r="BE41">
        <v>7</v>
      </c>
      <c r="BF41">
        <v>2</v>
      </c>
      <c r="BG41">
        <v>20</v>
      </c>
      <c r="BH41">
        <v>33</v>
      </c>
      <c r="BJ41" t="s">
        <v>628</v>
      </c>
      <c r="BK41" t="s">
        <v>370</v>
      </c>
      <c r="BL41">
        <v>1428</v>
      </c>
      <c r="BM41">
        <v>172</v>
      </c>
      <c r="BN41">
        <v>75.516106442600005</v>
      </c>
      <c r="BO41">
        <v>1777</v>
      </c>
      <c r="BP41">
        <v>277</v>
      </c>
      <c r="BQ41">
        <v>110.93359594819999</v>
      </c>
      <c r="BR41">
        <v>123.678700361</v>
      </c>
      <c r="BS41">
        <v>4390</v>
      </c>
      <c r="BT41">
        <v>1408</v>
      </c>
      <c r="BU41">
        <v>111.2981776765</v>
      </c>
      <c r="BV41">
        <v>7108</v>
      </c>
      <c r="BW41">
        <v>1294</v>
      </c>
      <c r="BX41">
        <v>137.27265053459999</v>
      </c>
      <c r="BY41">
        <v>145.90417310660001</v>
      </c>
      <c r="CA41" t="s">
        <v>373</v>
      </c>
      <c r="CB41" t="s">
        <v>857</v>
      </c>
      <c r="CC41" t="s">
        <v>990</v>
      </c>
      <c r="CD41">
        <v>840</v>
      </c>
      <c r="CE41">
        <v>188</v>
      </c>
      <c r="CF41">
        <v>88.169047618999997</v>
      </c>
      <c r="CG41">
        <v>1299</v>
      </c>
      <c r="CH41">
        <v>261</v>
      </c>
      <c r="CI41">
        <v>117.16551193230001</v>
      </c>
      <c r="CJ41">
        <v>119.4367816092</v>
      </c>
      <c r="CL41" t="s">
        <v>373</v>
      </c>
      <c r="CM41" t="s">
        <v>826</v>
      </c>
      <c r="CN41" t="s">
        <v>837</v>
      </c>
      <c r="CO41">
        <v>101</v>
      </c>
      <c r="CP41">
        <v>12</v>
      </c>
      <c r="CQ41">
        <v>71.742574257399994</v>
      </c>
      <c r="CR41">
        <v>199</v>
      </c>
      <c r="CS41">
        <v>35</v>
      </c>
      <c r="CT41">
        <v>94.517587939699993</v>
      </c>
      <c r="CU41">
        <v>102.9714285714</v>
      </c>
      <c r="CW41" t="s">
        <v>373</v>
      </c>
      <c r="CX41" t="s">
        <v>842</v>
      </c>
      <c r="CY41" t="s">
        <v>853</v>
      </c>
      <c r="CZ41">
        <v>12</v>
      </c>
      <c r="DA41">
        <v>4</v>
      </c>
      <c r="DB41">
        <v>89.166666666699996</v>
      </c>
      <c r="DC41">
        <v>11</v>
      </c>
      <c r="DD41">
        <v>3</v>
      </c>
      <c r="DE41">
        <v>177.2727272727</v>
      </c>
      <c r="DF41">
        <v>229.6666666667</v>
      </c>
      <c r="DH41" t="s">
        <v>373</v>
      </c>
      <c r="DI41" t="s">
        <v>810</v>
      </c>
      <c r="DJ41" t="s">
        <v>821</v>
      </c>
      <c r="DK41">
        <v>7</v>
      </c>
      <c r="DL41">
        <v>3</v>
      </c>
      <c r="DM41">
        <v>100.57142857140001</v>
      </c>
      <c r="DN41">
        <v>13</v>
      </c>
      <c r="DO41">
        <v>3</v>
      </c>
      <c r="DP41">
        <v>124.8461538462</v>
      </c>
      <c r="DQ41">
        <v>127.6666666667</v>
      </c>
    </row>
    <row r="42" spans="2:121" x14ac:dyDescent="0.2">
      <c r="B42" t="s">
        <v>112</v>
      </c>
      <c r="C42">
        <v>7834</v>
      </c>
      <c r="D42">
        <v>721</v>
      </c>
      <c r="F42" t="s">
        <v>66</v>
      </c>
      <c r="G42">
        <v>6556</v>
      </c>
      <c r="H42">
        <v>461.73215375230001</v>
      </c>
      <c r="I42">
        <v>4452</v>
      </c>
      <c r="J42">
        <v>1094</v>
      </c>
      <c r="K42">
        <v>8033</v>
      </c>
      <c r="L42">
        <v>6224</v>
      </c>
      <c r="M42">
        <v>2935</v>
      </c>
      <c r="N42">
        <v>2744</v>
      </c>
      <c r="O42">
        <v>1960</v>
      </c>
      <c r="P42">
        <v>1164</v>
      </c>
      <c r="Q42">
        <v>1</v>
      </c>
      <c r="R42">
        <v>80</v>
      </c>
      <c r="T42" t="s">
        <v>405</v>
      </c>
      <c r="U42">
        <v>1761</v>
      </c>
      <c r="V42">
        <v>50.027257240200001</v>
      </c>
      <c r="W42">
        <v>3115</v>
      </c>
      <c r="X42">
        <v>156</v>
      </c>
      <c r="Y42">
        <v>2441</v>
      </c>
      <c r="Z42">
        <v>122</v>
      </c>
      <c r="AA42">
        <v>19</v>
      </c>
      <c r="AB42">
        <v>10</v>
      </c>
      <c r="AC42">
        <v>153</v>
      </c>
      <c r="AD42">
        <v>70</v>
      </c>
      <c r="AE42">
        <v>2918</v>
      </c>
      <c r="AF42">
        <v>541</v>
      </c>
      <c r="AH42" t="s">
        <v>376</v>
      </c>
      <c r="AI42">
        <v>7171</v>
      </c>
      <c r="AJ42">
        <v>465.64872402729998</v>
      </c>
      <c r="AK42">
        <v>8468</v>
      </c>
      <c r="AL42">
        <v>2470</v>
      </c>
      <c r="AM42">
        <v>11208</v>
      </c>
      <c r="AN42">
        <v>8403</v>
      </c>
      <c r="AO42">
        <v>2055</v>
      </c>
      <c r="AP42">
        <v>1262</v>
      </c>
      <c r="AQ42">
        <v>6483</v>
      </c>
      <c r="AR42">
        <v>5138</v>
      </c>
      <c r="AS42">
        <v>1435</v>
      </c>
      <c r="AT42">
        <v>12</v>
      </c>
      <c r="AV42" t="s">
        <v>412</v>
      </c>
      <c r="AW42">
        <v>304</v>
      </c>
      <c r="AX42">
        <v>47.088815789500003</v>
      </c>
      <c r="AY42">
        <v>266</v>
      </c>
      <c r="AZ42">
        <v>30</v>
      </c>
      <c r="BA42">
        <v>392</v>
      </c>
      <c r="BB42">
        <v>20</v>
      </c>
      <c r="BC42">
        <v>4</v>
      </c>
      <c r="BD42">
        <v>3</v>
      </c>
      <c r="BE42">
        <v>19</v>
      </c>
      <c r="BF42">
        <v>2</v>
      </c>
      <c r="BG42">
        <v>72</v>
      </c>
      <c r="BH42">
        <v>26</v>
      </c>
      <c r="BJ42" t="s">
        <v>630</v>
      </c>
      <c r="BK42" t="s">
        <v>370</v>
      </c>
      <c r="BL42">
        <v>495</v>
      </c>
      <c r="BM42">
        <v>138</v>
      </c>
      <c r="BN42">
        <v>102.1454545455</v>
      </c>
      <c r="BO42">
        <v>578</v>
      </c>
      <c r="BP42">
        <v>166</v>
      </c>
      <c r="BQ42">
        <v>137.5743944637</v>
      </c>
      <c r="BR42">
        <v>125.8012048193</v>
      </c>
      <c r="BS42">
        <v>713</v>
      </c>
      <c r="BT42">
        <v>193</v>
      </c>
      <c r="BU42">
        <v>98.381486675999994</v>
      </c>
      <c r="BV42">
        <v>810</v>
      </c>
      <c r="BW42">
        <v>171</v>
      </c>
      <c r="BX42">
        <v>162.34444444440001</v>
      </c>
      <c r="BY42">
        <v>139.79532163740001</v>
      </c>
      <c r="CA42" t="s">
        <v>418</v>
      </c>
      <c r="CB42" t="s">
        <v>857</v>
      </c>
      <c r="CC42" t="s">
        <v>991</v>
      </c>
      <c r="CD42">
        <v>449</v>
      </c>
      <c r="CE42">
        <v>109</v>
      </c>
      <c r="CF42">
        <v>98.073496659200003</v>
      </c>
      <c r="CG42">
        <v>578</v>
      </c>
      <c r="CH42">
        <v>141</v>
      </c>
      <c r="CI42">
        <v>136.0847750865</v>
      </c>
      <c r="CJ42">
        <v>119.5602836879</v>
      </c>
      <c r="CL42" t="s">
        <v>418</v>
      </c>
      <c r="CM42" t="s">
        <v>826</v>
      </c>
      <c r="CN42" t="s">
        <v>838</v>
      </c>
      <c r="CO42">
        <v>50</v>
      </c>
      <c r="CP42">
        <v>6</v>
      </c>
      <c r="CQ42">
        <v>69.040000000000006</v>
      </c>
      <c r="CR42">
        <v>65</v>
      </c>
      <c r="CS42">
        <v>18</v>
      </c>
      <c r="CT42">
        <v>94.630769230799999</v>
      </c>
      <c r="CU42">
        <v>87.111111111100001</v>
      </c>
      <c r="CW42" t="s">
        <v>418</v>
      </c>
      <c r="CX42" t="s">
        <v>842</v>
      </c>
      <c r="CY42" t="s">
        <v>854</v>
      </c>
      <c r="CZ42">
        <v>5</v>
      </c>
      <c r="DA42">
        <v>2</v>
      </c>
      <c r="DB42">
        <v>80.599999999999994</v>
      </c>
      <c r="DC42">
        <v>5</v>
      </c>
      <c r="DD42">
        <v>0</v>
      </c>
      <c r="DE42">
        <v>125</v>
      </c>
      <c r="DF42">
        <v>0</v>
      </c>
      <c r="DH42" t="s">
        <v>418</v>
      </c>
      <c r="DI42" t="s">
        <v>810</v>
      </c>
      <c r="DJ42" t="s">
        <v>822</v>
      </c>
      <c r="DK42">
        <v>4</v>
      </c>
      <c r="DL42">
        <v>0</v>
      </c>
      <c r="DM42">
        <v>85.5</v>
      </c>
      <c r="DN42">
        <v>8</v>
      </c>
      <c r="DO42">
        <v>2</v>
      </c>
      <c r="DP42">
        <v>111.625</v>
      </c>
      <c r="DQ42">
        <v>128.5</v>
      </c>
    </row>
    <row r="43" spans="2:121" x14ac:dyDescent="0.2">
      <c r="B43" t="s">
        <v>113</v>
      </c>
      <c r="C43">
        <v>16121</v>
      </c>
      <c r="D43">
        <v>4475</v>
      </c>
      <c r="F43" t="s">
        <v>32</v>
      </c>
      <c r="G43">
        <v>2023</v>
      </c>
      <c r="H43">
        <v>473.57834898670001</v>
      </c>
      <c r="I43">
        <v>1202</v>
      </c>
      <c r="J43">
        <v>353</v>
      </c>
      <c r="K43">
        <v>2746</v>
      </c>
      <c r="L43">
        <v>2081</v>
      </c>
      <c r="M43">
        <v>2100</v>
      </c>
      <c r="N43">
        <v>1749</v>
      </c>
      <c r="O43">
        <v>551</v>
      </c>
      <c r="P43">
        <v>270</v>
      </c>
      <c r="Q43">
        <v>0</v>
      </c>
      <c r="R43">
        <v>2</v>
      </c>
      <c r="AH43" t="s">
        <v>428</v>
      </c>
      <c r="AI43">
        <v>1769</v>
      </c>
      <c r="AJ43">
        <v>307.43753533069997</v>
      </c>
      <c r="AK43">
        <v>3148</v>
      </c>
      <c r="AL43">
        <v>917</v>
      </c>
      <c r="AM43">
        <v>4417</v>
      </c>
      <c r="AN43">
        <v>2292</v>
      </c>
      <c r="AO43">
        <v>917</v>
      </c>
      <c r="AP43">
        <v>670</v>
      </c>
      <c r="AQ43">
        <v>1637</v>
      </c>
      <c r="AR43">
        <v>1181</v>
      </c>
      <c r="AS43">
        <v>389</v>
      </c>
      <c r="AT43">
        <v>4</v>
      </c>
      <c r="AV43" t="s">
        <v>60</v>
      </c>
      <c r="AW43">
        <v>1294</v>
      </c>
      <c r="AX43">
        <v>97.747295208699995</v>
      </c>
      <c r="AY43">
        <v>2204</v>
      </c>
      <c r="AZ43">
        <v>600</v>
      </c>
      <c r="BA43">
        <v>1764</v>
      </c>
      <c r="BB43">
        <v>575</v>
      </c>
      <c r="BC43">
        <v>15</v>
      </c>
      <c r="BD43">
        <v>14</v>
      </c>
      <c r="BE43">
        <v>81</v>
      </c>
      <c r="BF43">
        <v>29</v>
      </c>
      <c r="BG43">
        <v>122</v>
      </c>
      <c r="BH43">
        <v>376</v>
      </c>
      <c r="BJ43" t="s">
        <v>644</v>
      </c>
      <c r="BK43" t="s">
        <v>370</v>
      </c>
      <c r="BL43">
        <v>724</v>
      </c>
      <c r="BM43">
        <v>202</v>
      </c>
      <c r="BN43">
        <v>101.5276243094</v>
      </c>
      <c r="BO43">
        <v>1005</v>
      </c>
      <c r="BP43">
        <v>195</v>
      </c>
      <c r="BQ43">
        <v>144.28955223880001</v>
      </c>
      <c r="BR43">
        <v>146.47692307689999</v>
      </c>
      <c r="BS43">
        <v>604</v>
      </c>
      <c r="BT43">
        <v>107</v>
      </c>
      <c r="BU43">
        <v>79.221854304600001</v>
      </c>
      <c r="BV43">
        <v>535</v>
      </c>
      <c r="BW43">
        <v>151</v>
      </c>
      <c r="BX43">
        <v>121.96261682239999</v>
      </c>
      <c r="BY43">
        <v>125.70198675499999</v>
      </c>
      <c r="CA43" t="s">
        <v>379</v>
      </c>
      <c r="CB43" t="s">
        <v>857</v>
      </c>
      <c r="CC43" t="s">
        <v>992</v>
      </c>
      <c r="CD43">
        <v>10020</v>
      </c>
      <c r="CE43">
        <v>2736</v>
      </c>
      <c r="CF43">
        <v>94.013273453099998</v>
      </c>
      <c r="CG43">
        <v>14064</v>
      </c>
      <c r="CH43">
        <v>2917</v>
      </c>
      <c r="CI43">
        <v>134.11120591580001</v>
      </c>
      <c r="CJ43">
        <v>123.7254028111</v>
      </c>
      <c r="CL43" t="s">
        <v>379</v>
      </c>
      <c r="CM43" t="s">
        <v>826</v>
      </c>
      <c r="CN43" t="s">
        <v>839</v>
      </c>
      <c r="CO43">
        <v>776</v>
      </c>
      <c r="CP43">
        <v>121</v>
      </c>
      <c r="CQ43">
        <v>73.905927835100002</v>
      </c>
      <c r="CR43">
        <v>1304</v>
      </c>
      <c r="CS43">
        <v>259</v>
      </c>
      <c r="CT43">
        <v>97.148006135000003</v>
      </c>
      <c r="CU43">
        <v>112.4555984556</v>
      </c>
      <c r="CW43" t="s">
        <v>379</v>
      </c>
      <c r="CX43" t="s">
        <v>842</v>
      </c>
      <c r="CY43" t="s">
        <v>855</v>
      </c>
      <c r="CZ43">
        <v>627</v>
      </c>
      <c r="DA43">
        <v>197</v>
      </c>
      <c r="DB43">
        <v>99.311004784700003</v>
      </c>
      <c r="DC43">
        <v>542</v>
      </c>
      <c r="DD43">
        <v>138</v>
      </c>
      <c r="DE43">
        <v>166.11070110700001</v>
      </c>
      <c r="DF43">
        <v>165.13043478259999</v>
      </c>
      <c r="DH43" t="s">
        <v>379</v>
      </c>
      <c r="DI43" t="s">
        <v>810</v>
      </c>
      <c r="DJ43" t="s">
        <v>823</v>
      </c>
      <c r="DK43">
        <v>1047</v>
      </c>
      <c r="DL43">
        <v>320</v>
      </c>
      <c r="DM43">
        <v>100.3457497612</v>
      </c>
      <c r="DN43">
        <v>908</v>
      </c>
      <c r="DO43">
        <v>216</v>
      </c>
      <c r="DP43">
        <v>155.93392070479999</v>
      </c>
      <c r="DQ43">
        <v>164.4074074074</v>
      </c>
    </row>
    <row r="44" spans="2:121" x14ac:dyDescent="0.2">
      <c r="B44" t="s">
        <v>127</v>
      </c>
      <c r="C44">
        <v>61827</v>
      </c>
      <c r="D44">
        <v>53626</v>
      </c>
      <c r="F44" t="s">
        <v>75</v>
      </c>
      <c r="G44">
        <v>4314</v>
      </c>
      <c r="H44">
        <v>239.06907742230001</v>
      </c>
      <c r="I44">
        <v>5768</v>
      </c>
      <c r="J44">
        <v>1276</v>
      </c>
      <c r="K44">
        <v>5916</v>
      </c>
      <c r="L44">
        <v>3469</v>
      </c>
      <c r="M44">
        <v>2286</v>
      </c>
      <c r="N44">
        <v>1754</v>
      </c>
      <c r="O44">
        <v>4239</v>
      </c>
      <c r="P44">
        <v>3780</v>
      </c>
      <c r="Q44">
        <v>0</v>
      </c>
      <c r="R44">
        <v>50</v>
      </c>
      <c r="AH44" t="s">
        <v>373</v>
      </c>
      <c r="AI44">
        <v>270</v>
      </c>
      <c r="AJ44">
        <v>270.51481481479999</v>
      </c>
      <c r="AK44">
        <v>832</v>
      </c>
      <c r="AL44">
        <v>199</v>
      </c>
      <c r="AM44">
        <v>591</v>
      </c>
      <c r="AN44">
        <v>310</v>
      </c>
      <c r="AO44">
        <v>276</v>
      </c>
      <c r="AP44">
        <v>172</v>
      </c>
      <c r="AQ44">
        <v>210</v>
      </c>
      <c r="AR44">
        <v>115</v>
      </c>
      <c r="AS44">
        <v>197</v>
      </c>
      <c r="AT44">
        <v>2</v>
      </c>
      <c r="AV44" t="s">
        <v>395</v>
      </c>
      <c r="AW44">
        <v>505</v>
      </c>
      <c r="AX44">
        <v>53.249504950499997</v>
      </c>
      <c r="AY44">
        <v>815</v>
      </c>
      <c r="AZ44">
        <v>119</v>
      </c>
      <c r="BA44">
        <v>701</v>
      </c>
      <c r="BB44">
        <v>44</v>
      </c>
      <c r="BC44">
        <v>1</v>
      </c>
      <c r="BD44">
        <v>1</v>
      </c>
      <c r="BE44">
        <v>33</v>
      </c>
      <c r="BF44">
        <v>9</v>
      </c>
      <c r="BG44">
        <v>96</v>
      </c>
      <c r="BH44">
        <v>119</v>
      </c>
      <c r="BJ44" t="s">
        <v>544</v>
      </c>
      <c r="BK44" t="s">
        <v>370</v>
      </c>
      <c r="BL44">
        <v>16915</v>
      </c>
      <c r="BM44">
        <v>4186</v>
      </c>
      <c r="BN44">
        <v>94.344900975499996</v>
      </c>
      <c r="BO44">
        <v>20883</v>
      </c>
      <c r="BP44">
        <v>3716</v>
      </c>
      <c r="BQ44">
        <v>149.01345592109999</v>
      </c>
      <c r="BR44">
        <v>148.8388051668</v>
      </c>
      <c r="BS44">
        <v>13625</v>
      </c>
      <c r="BT44">
        <v>2123</v>
      </c>
      <c r="BU44">
        <v>77.067816513799997</v>
      </c>
      <c r="BV44">
        <v>13367</v>
      </c>
      <c r="BW44">
        <v>2417</v>
      </c>
      <c r="BX44">
        <v>139.51155831529999</v>
      </c>
      <c r="BY44">
        <v>135.6570128258</v>
      </c>
      <c r="CA44" t="s">
        <v>380</v>
      </c>
      <c r="CB44" t="s">
        <v>857</v>
      </c>
      <c r="CC44" t="s">
        <v>993</v>
      </c>
      <c r="CD44">
        <v>2607</v>
      </c>
      <c r="CE44">
        <v>551</v>
      </c>
      <c r="CF44">
        <v>89.645953202900003</v>
      </c>
      <c r="CG44">
        <v>3359</v>
      </c>
      <c r="CH44">
        <v>597</v>
      </c>
      <c r="CI44">
        <v>123.285799345</v>
      </c>
      <c r="CJ44">
        <v>132.56281407040001</v>
      </c>
      <c r="CL44" t="s">
        <v>380</v>
      </c>
      <c r="CM44" t="s">
        <v>826</v>
      </c>
      <c r="CN44" t="s">
        <v>840</v>
      </c>
      <c r="CO44">
        <v>248</v>
      </c>
      <c r="CP44">
        <v>33</v>
      </c>
      <c r="CQ44">
        <v>77.3588709677</v>
      </c>
      <c r="CR44">
        <v>437</v>
      </c>
      <c r="CS44">
        <v>72</v>
      </c>
      <c r="CT44">
        <v>91.240274599499998</v>
      </c>
      <c r="CU44">
        <v>97.597222222200003</v>
      </c>
      <c r="CW44" t="s">
        <v>380</v>
      </c>
      <c r="CX44" t="s">
        <v>842</v>
      </c>
      <c r="CY44" t="s">
        <v>856</v>
      </c>
      <c r="CZ44">
        <v>21</v>
      </c>
      <c r="DA44">
        <v>6</v>
      </c>
      <c r="DB44">
        <v>96.904761904799997</v>
      </c>
      <c r="DC44">
        <v>20</v>
      </c>
      <c r="DD44">
        <v>3</v>
      </c>
      <c r="DE44">
        <v>147.5</v>
      </c>
      <c r="DF44">
        <v>142</v>
      </c>
      <c r="DH44" t="s">
        <v>380</v>
      </c>
      <c r="DI44" t="s">
        <v>810</v>
      </c>
      <c r="DJ44" t="s">
        <v>824</v>
      </c>
      <c r="DK44">
        <v>25</v>
      </c>
      <c r="DL44">
        <v>6</v>
      </c>
      <c r="DM44">
        <v>98.24</v>
      </c>
      <c r="DN44">
        <v>30</v>
      </c>
      <c r="DO44">
        <v>8</v>
      </c>
      <c r="DP44">
        <v>148.23333333330001</v>
      </c>
      <c r="DQ44">
        <v>171.625</v>
      </c>
    </row>
    <row r="45" spans="2:121" x14ac:dyDescent="0.2">
      <c r="B45" t="s">
        <v>126</v>
      </c>
      <c r="C45">
        <v>10166</v>
      </c>
      <c r="D45">
        <v>7325</v>
      </c>
      <c r="F45" t="s">
        <v>63</v>
      </c>
      <c r="G45">
        <v>5516</v>
      </c>
      <c r="H45">
        <v>417.06254532269998</v>
      </c>
      <c r="I45">
        <v>11213</v>
      </c>
      <c r="J45">
        <v>3112</v>
      </c>
      <c r="K45">
        <v>8746</v>
      </c>
      <c r="L45">
        <v>6602</v>
      </c>
      <c r="M45">
        <v>2487</v>
      </c>
      <c r="N45">
        <v>844</v>
      </c>
      <c r="O45">
        <v>7276</v>
      </c>
      <c r="P45">
        <v>6355</v>
      </c>
      <c r="Q45">
        <v>12527</v>
      </c>
      <c r="R45">
        <v>0</v>
      </c>
      <c r="AH45" t="s">
        <v>384</v>
      </c>
      <c r="AI45">
        <v>9705</v>
      </c>
      <c r="AJ45">
        <v>341.80927357029998</v>
      </c>
      <c r="AK45">
        <v>9387</v>
      </c>
      <c r="AL45">
        <v>2623</v>
      </c>
      <c r="AM45">
        <v>13181</v>
      </c>
      <c r="AN45">
        <v>9502</v>
      </c>
      <c r="AO45">
        <v>2808</v>
      </c>
      <c r="AP45">
        <v>1627</v>
      </c>
      <c r="AQ45">
        <v>3262</v>
      </c>
      <c r="AR45">
        <v>1846</v>
      </c>
      <c r="AS45">
        <v>646</v>
      </c>
      <c r="AT45">
        <v>63</v>
      </c>
      <c r="AV45" t="s">
        <v>422</v>
      </c>
      <c r="AW45">
        <v>21</v>
      </c>
      <c r="AX45">
        <v>64.666666666699996</v>
      </c>
      <c r="AY45">
        <v>15</v>
      </c>
      <c r="AZ45">
        <v>2</v>
      </c>
      <c r="BA45">
        <v>33</v>
      </c>
      <c r="BB45">
        <v>5</v>
      </c>
      <c r="BC45">
        <v>0</v>
      </c>
      <c r="BE45">
        <v>2</v>
      </c>
      <c r="BG45">
        <v>55</v>
      </c>
      <c r="BH45">
        <v>3</v>
      </c>
      <c r="BJ45" t="s">
        <v>8</v>
      </c>
      <c r="BK45" t="s">
        <v>8</v>
      </c>
      <c r="BL45">
        <v>120</v>
      </c>
      <c r="BM45">
        <v>87</v>
      </c>
      <c r="BN45">
        <v>228.46666666670001</v>
      </c>
      <c r="BO45">
        <v>440</v>
      </c>
      <c r="BP45">
        <v>44</v>
      </c>
      <c r="BQ45">
        <v>215.1454545455</v>
      </c>
      <c r="BR45">
        <v>266.59090909090003</v>
      </c>
      <c r="BS45">
        <v>30496</v>
      </c>
      <c r="BT45">
        <v>7751</v>
      </c>
      <c r="BU45">
        <v>100.84424186779999</v>
      </c>
      <c r="BV45">
        <v>8</v>
      </c>
      <c r="BX45">
        <v>128.25</v>
      </c>
      <c r="CA45" t="s">
        <v>370</v>
      </c>
      <c r="CB45" t="s">
        <v>857</v>
      </c>
      <c r="CD45">
        <v>65539</v>
      </c>
      <c r="CE45">
        <v>16583</v>
      </c>
      <c r="CF45">
        <v>96.4817131784</v>
      </c>
      <c r="CG45">
        <v>89300</v>
      </c>
      <c r="CH45">
        <v>16785</v>
      </c>
      <c r="CI45">
        <v>136.8661926092</v>
      </c>
      <c r="CJ45">
        <v>133.38093535900001</v>
      </c>
      <c r="CL45" t="s">
        <v>370</v>
      </c>
      <c r="CM45" t="s">
        <v>826</v>
      </c>
      <c r="CO45">
        <v>7270</v>
      </c>
      <c r="CP45">
        <v>1011</v>
      </c>
      <c r="CQ45">
        <v>73.667812929799993</v>
      </c>
      <c r="CR45">
        <v>11722</v>
      </c>
      <c r="CS45">
        <v>2316</v>
      </c>
      <c r="CT45">
        <v>90.507421941600001</v>
      </c>
      <c r="CU45">
        <v>103.1178756477</v>
      </c>
      <c r="CW45" t="s">
        <v>370</v>
      </c>
      <c r="CX45" t="s">
        <v>842</v>
      </c>
      <c r="CZ45">
        <v>2261</v>
      </c>
      <c r="DA45">
        <v>714</v>
      </c>
      <c r="DB45">
        <v>98.532950022099996</v>
      </c>
      <c r="DC45">
        <v>1926</v>
      </c>
      <c r="DD45">
        <v>439</v>
      </c>
      <c r="DE45">
        <v>153.3909657321</v>
      </c>
      <c r="DF45">
        <v>161.16856492030001</v>
      </c>
      <c r="DH45" t="s">
        <v>370</v>
      </c>
      <c r="DI45" t="s">
        <v>810</v>
      </c>
      <c r="DK45">
        <v>2955</v>
      </c>
      <c r="DL45">
        <v>785</v>
      </c>
      <c r="DM45">
        <v>93.620642978000006</v>
      </c>
      <c r="DN45">
        <v>2779</v>
      </c>
      <c r="DO45">
        <v>652</v>
      </c>
      <c r="DP45">
        <v>148.76646275639999</v>
      </c>
      <c r="DQ45">
        <v>154.89570552149999</v>
      </c>
    </row>
    <row r="46" spans="2:121" x14ac:dyDescent="0.2">
      <c r="B46" t="s">
        <v>108</v>
      </c>
      <c r="C46">
        <v>531</v>
      </c>
      <c r="D46">
        <v>434</v>
      </c>
      <c r="F46" t="s">
        <v>81</v>
      </c>
      <c r="G46">
        <v>1633</v>
      </c>
      <c r="H46">
        <v>191.61910594</v>
      </c>
      <c r="I46">
        <v>2367</v>
      </c>
      <c r="J46">
        <v>440</v>
      </c>
      <c r="K46">
        <v>2330</v>
      </c>
      <c r="L46">
        <v>1208</v>
      </c>
      <c r="M46">
        <v>1032</v>
      </c>
      <c r="N46">
        <v>470</v>
      </c>
      <c r="O46">
        <v>223</v>
      </c>
      <c r="P46">
        <v>108</v>
      </c>
      <c r="Q46">
        <v>0</v>
      </c>
      <c r="R46">
        <v>6</v>
      </c>
      <c r="AH46" t="s">
        <v>421</v>
      </c>
      <c r="AI46">
        <v>404</v>
      </c>
      <c r="AJ46">
        <v>265.27722772279998</v>
      </c>
      <c r="AK46">
        <v>910</v>
      </c>
      <c r="AL46">
        <v>177</v>
      </c>
      <c r="AM46">
        <v>684</v>
      </c>
      <c r="AN46">
        <v>304</v>
      </c>
      <c r="AO46">
        <v>333</v>
      </c>
      <c r="AP46">
        <v>132</v>
      </c>
      <c r="AQ46">
        <v>126</v>
      </c>
      <c r="AR46">
        <v>75</v>
      </c>
      <c r="AS46">
        <v>1</v>
      </c>
      <c r="AT46">
        <v>1</v>
      </c>
      <c r="AV46" t="s">
        <v>390</v>
      </c>
      <c r="AW46">
        <v>338</v>
      </c>
      <c r="AX46">
        <v>45.384615384600004</v>
      </c>
      <c r="AY46">
        <v>289</v>
      </c>
      <c r="AZ46">
        <v>36</v>
      </c>
      <c r="BA46">
        <v>404</v>
      </c>
      <c r="BB46">
        <v>20</v>
      </c>
      <c r="BC46">
        <v>3</v>
      </c>
      <c r="BD46">
        <v>3</v>
      </c>
      <c r="BE46">
        <v>26</v>
      </c>
      <c r="BF46">
        <v>7</v>
      </c>
      <c r="BG46">
        <v>72</v>
      </c>
      <c r="BH46">
        <v>29</v>
      </c>
      <c r="BJ46" t="s">
        <v>687</v>
      </c>
      <c r="BK46" t="s">
        <v>8</v>
      </c>
      <c r="BL46">
        <v>120</v>
      </c>
      <c r="BM46">
        <v>87</v>
      </c>
      <c r="BN46">
        <v>228.46666666670001</v>
      </c>
      <c r="BO46">
        <v>440</v>
      </c>
      <c r="BP46">
        <v>44</v>
      </c>
      <c r="BQ46">
        <v>215.1454545455</v>
      </c>
      <c r="BR46">
        <v>266.59090909090003</v>
      </c>
      <c r="BS46">
        <v>30496</v>
      </c>
      <c r="BT46">
        <v>7751</v>
      </c>
      <c r="BU46">
        <v>100.84424186779999</v>
      </c>
      <c r="BV46">
        <v>8</v>
      </c>
      <c r="BX46">
        <v>128.25</v>
      </c>
      <c r="CA46" t="s">
        <v>8</v>
      </c>
      <c r="CB46" t="s">
        <v>687</v>
      </c>
      <c r="CC46" t="s">
        <v>687</v>
      </c>
      <c r="CD46">
        <v>3474</v>
      </c>
      <c r="CE46">
        <v>1359</v>
      </c>
      <c r="CF46">
        <v>127.22538860100001</v>
      </c>
      <c r="CG46">
        <v>3746</v>
      </c>
      <c r="CH46">
        <v>603</v>
      </c>
      <c r="CI46">
        <v>177.4770421783</v>
      </c>
      <c r="CJ46">
        <v>166.4991708126</v>
      </c>
      <c r="CL46" t="s">
        <v>8</v>
      </c>
      <c r="CM46" t="s">
        <v>859</v>
      </c>
      <c r="CN46" t="s">
        <v>859</v>
      </c>
      <c r="CO46">
        <v>175</v>
      </c>
      <c r="CP46">
        <v>40</v>
      </c>
      <c r="CQ46">
        <v>92.302857142899995</v>
      </c>
      <c r="CR46">
        <v>357</v>
      </c>
      <c r="CS46">
        <v>58</v>
      </c>
      <c r="CT46">
        <v>93.694677871099998</v>
      </c>
      <c r="CU46">
        <v>116.53448275860001</v>
      </c>
      <c r="CW46" t="s">
        <v>8</v>
      </c>
      <c r="CX46" t="s">
        <v>860</v>
      </c>
      <c r="CY46" t="s">
        <v>860</v>
      </c>
      <c r="CZ46">
        <v>24</v>
      </c>
      <c r="DA46">
        <v>6</v>
      </c>
      <c r="DB46">
        <v>103.1666666667</v>
      </c>
      <c r="DC46">
        <v>24</v>
      </c>
      <c r="DD46">
        <v>4</v>
      </c>
      <c r="DE46">
        <v>146.375</v>
      </c>
      <c r="DF46">
        <v>141.75</v>
      </c>
      <c r="DH46" t="s">
        <v>8</v>
      </c>
      <c r="DI46" t="s">
        <v>858</v>
      </c>
      <c r="DJ46" t="s">
        <v>858</v>
      </c>
      <c r="DK46">
        <v>81</v>
      </c>
      <c r="DL46">
        <v>20</v>
      </c>
      <c r="DM46">
        <v>91.777777777799997</v>
      </c>
      <c r="DN46">
        <v>60</v>
      </c>
      <c r="DO46">
        <v>14</v>
      </c>
      <c r="DP46">
        <v>119.5</v>
      </c>
      <c r="DQ46">
        <v>123.42857142859999</v>
      </c>
    </row>
    <row r="47" spans="2:121" x14ac:dyDescent="0.2">
      <c r="B47" t="s">
        <v>21</v>
      </c>
      <c r="C47">
        <v>38380</v>
      </c>
      <c r="D47">
        <v>13219</v>
      </c>
      <c r="F47" t="s">
        <v>78</v>
      </c>
      <c r="G47">
        <v>1269</v>
      </c>
      <c r="H47">
        <v>274.60362490149998</v>
      </c>
      <c r="I47">
        <v>1299</v>
      </c>
      <c r="J47">
        <v>169</v>
      </c>
      <c r="K47">
        <v>2003</v>
      </c>
      <c r="L47">
        <v>1175</v>
      </c>
      <c r="M47">
        <v>1023</v>
      </c>
      <c r="N47">
        <v>768</v>
      </c>
      <c r="O47">
        <v>363</v>
      </c>
      <c r="P47">
        <v>178</v>
      </c>
      <c r="Q47">
        <v>1</v>
      </c>
      <c r="R47">
        <v>0</v>
      </c>
      <c r="AH47" t="s">
        <v>385</v>
      </c>
      <c r="AI47">
        <v>5683</v>
      </c>
      <c r="AJ47">
        <v>276.9433397853</v>
      </c>
      <c r="AK47">
        <v>9174</v>
      </c>
      <c r="AL47">
        <v>2085</v>
      </c>
      <c r="AM47">
        <v>9614</v>
      </c>
      <c r="AN47">
        <v>5190</v>
      </c>
      <c r="AO47">
        <v>3322</v>
      </c>
      <c r="AP47">
        <v>2212</v>
      </c>
      <c r="AQ47">
        <v>2587</v>
      </c>
      <c r="AR47">
        <v>1649</v>
      </c>
      <c r="AS47">
        <v>622</v>
      </c>
      <c r="AT47">
        <v>263</v>
      </c>
      <c r="AV47" t="s">
        <v>424</v>
      </c>
      <c r="AW47">
        <v>57</v>
      </c>
      <c r="AX47">
        <v>99.421052631600006</v>
      </c>
      <c r="AY47">
        <v>104</v>
      </c>
      <c r="AZ47">
        <v>27</v>
      </c>
      <c r="BA47">
        <v>77</v>
      </c>
      <c r="BB47">
        <v>24</v>
      </c>
      <c r="BC47">
        <v>2</v>
      </c>
      <c r="BD47">
        <v>2</v>
      </c>
      <c r="BE47">
        <v>9</v>
      </c>
      <c r="BF47">
        <v>1</v>
      </c>
      <c r="BG47">
        <v>10</v>
      </c>
      <c r="BH47">
        <v>26</v>
      </c>
      <c r="BJ47" t="s">
        <v>587</v>
      </c>
      <c r="BK47" t="s">
        <v>405</v>
      </c>
      <c r="BL47">
        <v>2736</v>
      </c>
      <c r="BM47">
        <v>728</v>
      </c>
      <c r="BN47">
        <v>94.836622806999998</v>
      </c>
      <c r="BO47">
        <v>3768</v>
      </c>
      <c r="BP47">
        <v>716</v>
      </c>
      <c r="BQ47">
        <v>142.8232484076</v>
      </c>
      <c r="BR47">
        <v>135.40502793300001</v>
      </c>
      <c r="BS47">
        <v>897</v>
      </c>
      <c r="BT47">
        <v>296</v>
      </c>
      <c r="BU47">
        <v>99.880713489399994</v>
      </c>
      <c r="BV47">
        <v>3149</v>
      </c>
      <c r="BW47">
        <v>674</v>
      </c>
      <c r="BX47">
        <v>145.48174023499999</v>
      </c>
      <c r="BY47">
        <v>143.92878338279999</v>
      </c>
      <c r="CA47" t="s">
        <v>8</v>
      </c>
      <c r="CB47" t="s">
        <v>687</v>
      </c>
      <c r="CC47" t="s">
        <v>687</v>
      </c>
      <c r="CD47">
        <v>3474</v>
      </c>
      <c r="CE47">
        <v>1359</v>
      </c>
      <c r="CF47">
        <v>127.22538860100001</v>
      </c>
      <c r="CG47">
        <v>3746</v>
      </c>
      <c r="CH47">
        <v>603</v>
      </c>
      <c r="CI47">
        <v>177.4770421783</v>
      </c>
      <c r="CJ47">
        <v>166.4991708126</v>
      </c>
      <c r="CL47" t="s">
        <v>8</v>
      </c>
      <c r="CM47" t="s">
        <v>859</v>
      </c>
      <c r="CN47" t="s">
        <v>859</v>
      </c>
      <c r="CO47">
        <v>175</v>
      </c>
      <c r="CP47">
        <v>40</v>
      </c>
      <c r="CQ47">
        <v>92.302857142899995</v>
      </c>
      <c r="CR47">
        <v>357</v>
      </c>
      <c r="CS47">
        <v>58</v>
      </c>
      <c r="CT47">
        <v>93.694677871099998</v>
      </c>
      <c r="CU47">
        <v>116.53448275860001</v>
      </c>
      <c r="CW47" t="s">
        <v>8</v>
      </c>
      <c r="CX47" t="s">
        <v>860</v>
      </c>
      <c r="CY47" t="s">
        <v>860</v>
      </c>
      <c r="CZ47">
        <v>24</v>
      </c>
      <c r="DA47">
        <v>6</v>
      </c>
      <c r="DB47">
        <v>103.1666666667</v>
      </c>
      <c r="DC47">
        <v>24</v>
      </c>
      <c r="DD47">
        <v>4</v>
      </c>
      <c r="DE47">
        <v>146.375</v>
      </c>
      <c r="DF47">
        <v>141.75</v>
      </c>
      <c r="DH47" t="s">
        <v>8</v>
      </c>
      <c r="DI47" t="s">
        <v>858</v>
      </c>
      <c r="DJ47" t="s">
        <v>858</v>
      </c>
      <c r="DK47">
        <v>81</v>
      </c>
      <c r="DL47">
        <v>20</v>
      </c>
      <c r="DM47">
        <v>91.777777777799997</v>
      </c>
      <c r="DN47">
        <v>60</v>
      </c>
      <c r="DO47">
        <v>14</v>
      </c>
      <c r="DP47">
        <v>119.5</v>
      </c>
      <c r="DQ47">
        <v>123.42857142859999</v>
      </c>
    </row>
    <row r="48" spans="2:121" x14ac:dyDescent="0.2">
      <c r="B48" t="s">
        <v>102</v>
      </c>
      <c r="C48">
        <v>19803</v>
      </c>
      <c r="D48">
        <v>14536</v>
      </c>
      <c r="F48" t="s">
        <v>76</v>
      </c>
      <c r="G48">
        <v>2820</v>
      </c>
      <c r="H48">
        <v>151.67234042550001</v>
      </c>
      <c r="I48">
        <v>8935</v>
      </c>
      <c r="J48">
        <v>1596</v>
      </c>
      <c r="K48">
        <v>10155</v>
      </c>
      <c r="L48">
        <v>3359</v>
      </c>
      <c r="M48">
        <v>1407</v>
      </c>
      <c r="N48">
        <v>319</v>
      </c>
      <c r="O48">
        <v>1205</v>
      </c>
      <c r="P48">
        <v>623</v>
      </c>
      <c r="Q48">
        <v>25</v>
      </c>
      <c r="R48">
        <v>0</v>
      </c>
      <c r="AH48" t="s">
        <v>411</v>
      </c>
      <c r="AI48">
        <v>29005</v>
      </c>
      <c r="AJ48">
        <v>361.94232028959999</v>
      </c>
      <c r="AK48">
        <v>35403</v>
      </c>
      <c r="AL48">
        <v>8027</v>
      </c>
      <c r="AM48">
        <v>39403</v>
      </c>
      <c r="AN48">
        <v>26297</v>
      </c>
      <c r="AO48">
        <v>8214</v>
      </c>
      <c r="AP48">
        <v>5046</v>
      </c>
      <c r="AQ48">
        <v>15020</v>
      </c>
      <c r="AR48">
        <v>7960</v>
      </c>
      <c r="AS48">
        <v>25</v>
      </c>
      <c r="AT48">
        <v>420</v>
      </c>
      <c r="AV48" t="s">
        <v>420</v>
      </c>
      <c r="AW48">
        <v>35</v>
      </c>
      <c r="AX48">
        <v>40.771428571400001</v>
      </c>
      <c r="AY48">
        <v>34</v>
      </c>
      <c r="AZ48">
        <v>3</v>
      </c>
      <c r="BA48">
        <v>45</v>
      </c>
      <c r="BC48">
        <v>0</v>
      </c>
      <c r="BE48">
        <v>4</v>
      </c>
      <c r="BG48">
        <v>54</v>
      </c>
      <c r="BH48">
        <v>6</v>
      </c>
      <c r="BJ48" t="s">
        <v>646</v>
      </c>
      <c r="BK48" t="s">
        <v>405</v>
      </c>
      <c r="BL48">
        <v>1346</v>
      </c>
      <c r="BM48">
        <v>360</v>
      </c>
      <c r="BN48">
        <v>94.661218425000001</v>
      </c>
      <c r="BO48">
        <v>1031</v>
      </c>
      <c r="BP48">
        <v>254</v>
      </c>
      <c r="BQ48">
        <v>150.2706110572</v>
      </c>
      <c r="BR48">
        <v>144.31102362199999</v>
      </c>
      <c r="BS48">
        <v>994</v>
      </c>
      <c r="BT48">
        <v>359</v>
      </c>
      <c r="BU48">
        <v>105.8742454728</v>
      </c>
      <c r="BV48">
        <v>997</v>
      </c>
      <c r="BW48">
        <v>223</v>
      </c>
      <c r="BX48">
        <v>155.4483450351</v>
      </c>
      <c r="BY48">
        <v>153.9551569507</v>
      </c>
      <c r="CA48" t="s">
        <v>8</v>
      </c>
      <c r="CB48" t="s">
        <v>687</v>
      </c>
      <c r="CC48" t="s">
        <v>687</v>
      </c>
      <c r="CD48">
        <v>3474</v>
      </c>
      <c r="CE48">
        <v>1359</v>
      </c>
      <c r="CF48">
        <v>127.22538860100001</v>
      </c>
      <c r="CG48">
        <v>3746</v>
      </c>
      <c r="CH48">
        <v>603</v>
      </c>
      <c r="CI48">
        <v>177.4770421783</v>
      </c>
      <c r="CJ48">
        <v>166.4991708126</v>
      </c>
      <c r="CL48" t="s">
        <v>8</v>
      </c>
      <c r="CM48" t="s">
        <v>859</v>
      </c>
      <c r="CN48" t="s">
        <v>859</v>
      </c>
      <c r="CO48">
        <v>175</v>
      </c>
      <c r="CP48">
        <v>40</v>
      </c>
      <c r="CQ48">
        <v>92.302857142899995</v>
      </c>
      <c r="CR48">
        <v>357</v>
      </c>
      <c r="CS48">
        <v>58</v>
      </c>
      <c r="CT48">
        <v>93.694677871099998</v>
      </c>
      <c r="CU48">
        <v>116.53448275860001</v>
      </c>
      <c r="CW48" t="s">
        <v>8</v>
      </c>
      <c r="CX48" t="s">
        <v>860</v>
      </c>
      <c r="CY48" t="s">
        <v>860</v>
      </c>
      <c r="CZ48">
        <v>24</v>
      </c>
      <c r="DA48">
        <v>6</v>
      </c>
      <c r="DB48">
        <v>103.1666666667</v>
      </c>
      <c r="DC48">
        <v>24</v>
      </c>
      <c r="DD48">
        <v>4</v>
      </c>
      <c r="DE48">
        <v>146.375</v>
      </c>
      <c r="DF48">
        <v>141.75</v>
      </c>
      <c r="DH48" t="s">
        <v>8</v>
      </c>
      <c r="DI48" t="s">
        <v>858</v>
      </c>
      <c r="DJ48" t="s">
        <v>858</v>
      </c>
      <c r="DK48">
        <v>81</v>
      </c>
      <c r="DL48">
        <v>20</v>
      </c>
      <c r="DM48">
        <v>91.777777777799997</v>
      </c>
      <c r="DN48">
        <v>60</v>
      </c>
      <c r="DO48">
        <v>14</v>
      </c>
      <c r="DP48">
        <v>119.5</v>
      </c>
      <c r="DQ48">
        <v>123.42857142859999</v>
      </c>
    </row>
    <row r="49" spans="2:121" x14ac:dyDescent="0.2">
      <c r="B49" t="s">
        <v>117</v>
      </c>
      <c r="C49">
        <v>4654</v>
      </c>
      <c r="D49">
        <v>830</v>
      </c>
      <c r="F49" t="s">
        <v>53</v>
      </c>
      <c r="G49">
        <v>7653</v>
      </c>
      <c r="H49">
        <v>500.96184502810002</v>
      </c>
      <c r="I49">
        <v>3894</v>
      </c>
      <c r="J49">
        <v>948</v>
      </c>
      <c r="K49">
        <v>11261</v>
      </c>
      <c r="L49">
        <v>8003</v>
      </c>
      <c r="M49">
        <v>3296</v>
      </c>
      <c r="N49">
        <v>2793</v>
      </c>
      <c r="O49">
        <v>1258</v>
      </c>
      <c r="P49">
        <v>596</v>
      </c>
      <c r="Q49">
        <v>79</v>
      </c>
      <c r="R49">
        <v>278</v>
      </c>
      <c r="AH49" t="s">
        <v>407</v>
      </c>
      <c r="AI49">
        <v>1764</v>
      </c>
      <c r="AJ49">
        <v>282.95351473919999</v>
      </c>
      <c r="AK49">
        <v>2236</v>
      </c>
      <c r="AL49">
        <v>594</v>
      </c>
      <c r="AM49">
        <v>2262</v>
      </c>
      <c r="AN49">
        <v>1375</v>
      </c>
      <c r="AO49">
        <v>555</v>
      </c>
      <c r="AP49">
        <v>317</v>
      </c>
      <c r="AQ49">
        <v>423</v>
      </c>
      <c r="AR49">
        <v>220</v>
      </c>
      <c r="AS49">
        <v>1</v>
      </c>
      <c r="AT49">
        <v>1</v>
      </c>
      <c r="AV49" t="s">
        <v>379</v>
      </c>
      <c r="AW49">
        <v>890</v>
      </c>
      <c r="AX49">
        <v>88.735955056199998</v>
      </c>
      <c r="AY49">
        <v>848</v>
      </c>
      <c r="AZ49">
        <v>200</v>
      </c>
      <c r="BA49">
        <v>1123</v>
      </c>
      <c r="BB49">
        <v>320</v>
      </c>
      <c r="BC49">
        <v>143</v>
      </c>
      <c r="BD49">
        <v>141</v>
      </c>
      <c r="BE49">
        <v>59</v>
      </c>
      <c r="BF49">
        <v>27</v>
      </c>
      <c r="BG49">
        <v>128</v>
      </c>
      <c r="BH49">
        <v>327</v>
      </c>
      <c r="BJ49" t="s">
        <v>602</v>
      </c>
      <c r="BK49" t="s">
        <v>405</v>
      </c>
      <c r="BL49">
        <v>1327</v>
      </c>
      <c r="BM49">
        <v>277</v>
      </c>
      <c r="BN49">
        <v>85.958553127399995</v>
      </c>
      <c r="BO49">
        <v>2106</v>
      </c>
      <c r="BP49">
        <v>397</v>
      </c>
      <c r="BQ49">
        <v>116.3746438746</v>
      </c>
      <c r="BR49">
        <v>106.1637279597</v>
      </c>
      <c r="BS49">
        <v>1676</v>
      </c>
      <c r="BT49">
        <v>320</v>
      </c>
      <c r="BU49">
        <v>88.214200477299997</v>
      </c>
      <c r="BV49">
        <v>2425</v>
      </c>
      <c r="BW49">
        <v>471</v>
      </c>
      <c r="BX49">
        <v>126.4045360825</v>
      </c>
      <c r="BY49">
        <v>111.18683651800001</v>
      </c>
      <c r="CA49" t="s">
        <v>8</v>
      </c>
      <c r="CB49" t="s">
        <v>687</v>
      </c>
      <c r="CD49">
        <v>3474</v>
      </c>
      <c r="CE49">
        <v>1359</v>
      </c>
      <c r="CF49">
        <v>127.22538860100001</v>
      </c>
      <c r="CG49">
        <v>3746</v>
      </c>
      <c r="CH49">
        <v>603</v>
      </c>
      <c r="CI49">
        <v>177.4770421783</v>
      </c>
      <c r="CJ49">
        <v>166.4991708126</v>
      </c>
      <c r="CL49" t="s">
        <v>8</v>
      </c>
      <c r="CM49" t="s">
        <v>859</v>
      </c>
      <c r="CO49">
        <v>175</v>
      </c>
      <c r="CP49">
        <v>40</v>
      </c>
      <c r="CQ49">
        <v>92.302857142899995</v>
      </c>
      <c r="CR49">
        <v>357</v>
      </c>
      <c r="CS49">
        <v>58</v>
      </c>
      <c r="CT49">
        <v>93.694677871099998</v>
      </c>
      <c r="CU49">
        <v>116.53448275860001</v>
      </c>
      <c r="CW49" t="s">
        <v>8</v>
      </c>
      <c r="CX49" t="s">
        <v>860</v>
      </c>
      <c r="CZ49">
        <v>24</v>
      </c>
      <c r="DA49">
        <v>6</v>
      </c>
      <c r="DB49">
        <v>103.1666666667</v>
      </c>
      <c r="DC49">
        <v>24</v>
      </c>
      <c r="DD49">
        <v>4</v>
      </c>
      <c r="DE49">
        <v>146.375</v>
      </c>
      <c r="DF49">
        <v>141.75</v>
      </c>
      <c r="DH49" t="s">
        <v>8</v>
      </c>
      <c r="DI49" t="s">
        <v>858</v>
      </c>
      <c r="DK49">
        <v>81</v>
      </c>
      <c r="DL49">
        <v>20</v>
      </c>
      <c r="DM49">
        <v>91.777777777799997</v>
      </c>
      <c r="DN49">
        <v>60</v>
      </c>
      <c r="DO49">
        <v>14</v>
      </c>
      <c r="DP49">
        <v>119.5</v>
      </c>
      <c r="DQ49">
        <v>123.42857142859999</v>
      </c>
    </row>
    <row r="50" spans="2:121" x14ac:dyDescent="0.2">
      <c r="B50" t="s">
        <v>101</v>
      </c>
      <c r="C50">
        <v>198136</v>
      </c>
      <c r="D50">
        <v>141153</v>
      </c>
      <c r="F50" t="s">
        <v>40</v>
      </c>
      <c r="G50">
        <v>7538</v>
      </c>
      <c r="H50">
        <v>489.95250729639997</v>
      </c>
      <c r="I50">
        <v>8127</v>
      </c>
      <c r="J50">
        <v>2728</v>
      </c>
      <c r="K50">
        <v>9787</v>
      </c>
      <c r="L50">
        <v>7357</v>
      </c>
      <c r="M50">
        <v>3143</v>
      </c>
      <c r="N50">
        <v>2170</v>
      </c>
      <c r="O50">
        <v>819</v>
      </c>
      <c r="P50">
        <v>416</v>
      </c>
      <c r="Q50">
        <v>0</v>
      </c>
      <c r="R50">
        <v>52</v>
      </c>
      <c r="AH50" t="s">
        <v>418</v>
      </c>
      <c r="AI50">
        <v>527</v>
      </c>
      <c r="AJ50">
        <v>372.44592030360002</v>
      </c>
      <c r="AK50">
        <v>459</v>
      </c>
      <c r="AL50">
        <v>113</v>
      </c>
      <c r="AM50">
        <v>990</v>
      </c>
      <c r="AN50">
        <v>560</v>
      </c>
      <c r="AO50">
        <v>248</v>
      </c>
      <c r="AP50">
        <v>146</v>
      </c>
      <c r="AQ50">
        <v>126</v>
      </c>
      <c r="AR50">
        <v>87</v>
      </c>
      <c r="AS50">
        <v>73</v>
      </c>
      <c r="AT50">
        <v>1</v>
      </c>
      <c r="AV50" t="s">
        <v>407</v>
      </c>
      <c r="AW50">
        <v>80</v>
      </c>
      <c r="AX50">
        <v>52.987499999999997</v>
      </c>
      <c r="AY50">
        <v>138</v>
      </c>
      <c r="AZ50">
        <v>5</v>
      </c>
      <c r="BA50">
        <v>101</v>
      </c>
      <c r="BB50">
        <v>5</v>
      </c>
      <c r="BC50">
        <v>0</v>
      </c>
      <c r="BE50">
        <v>5</v>
      </c>
      <c r="BF50">
        <v>2</v>
      </c>
      <c r="BG50">
        <v>136</v>
      </c>
      <c r="BH50">
        <v>13</v>
      </c>
      <c r="BJ50" t="s">
        <v>642</v>
      </c>
      <c r="BK50" t="s">
        <v>405</v>
      </c>
      <c r="BL50">
        <v>1822</v>
      </c>
      <c r="BM50">
        <v>402</v>
      </c>
      <c r="BN50">
        <v>85.822722283199994</v>
      </c>
      <c r="BO50">
        <v>3061</v>
      </c>
      <c r="BP50">
        <v>467</v>
      </c>
      <c r="BQ50">
        <v>136.53185233580001</v>
      </c>
      <c r="BR50">
        <v>122.8115631692</v>
      </c>
      <c r="BS50">
        <v>1958</v>
      </c>
      <c r="BT50">
        <v>409</v>
      </c>
      <c r="BU50">
        <v>83.9662921348</v>
      </c>
      <c r="BV50">
        <v>2664</v>
      </c>
      <c r="BW50">
        <v>490</v>
      </c>
      <c r="BX50">
        <v>125.7924174174</v>
      </c>
      <c r="BY50">
        <v>115.84693877550001</v>
      </c>
      <c r="CA50" t="s">
        <v>425</v>
      </c>
      <c r="CB50" t="s">
        <v>891</v>
      </c>
      <c r="CC50" t="s">
        <v>1015</v>
      </c>
      <c r="CD50">
        <v>1323</v>
      </c>
      <c r="CE50">
        <v>331</v>
      </c>
      <c r="CF50">
        <v>90.778533635700001</v>
      </c>
      <c r="CG50">
        <v>1416</v>
      </c>
      <c r="CH50">
        <v>339</v>
      </c>
      <c r="CI50">
        <v>115.1673728814</v>
      </c>
      <c r="CJ50">
        <v>116.7610619469</v>
      </c>
      <c r="CL50" t="s">
        <v>425</v>
      </c>
      <c r="CM50" t="s">
        <v>872</v>
      </c>
      <c r="CN50" t="s">
        <v>871</v>
      </c>
      <c r="CO50">
        <v>39</v>
      </c>
      <c r="CP50">
        <v>4</v>
      </c>
      <c r="CQ50">
        <v>62.615384615399996</v>
      </c>
      <c r="CR50">
        <v>78</v>
      </c>
      <c r="CS50">
        <v>19</v>
      </c>
      <c r="CT50">
        <v>74.243589743599998</v>
      </c>
      <c r="CU50">
        <v>69.789473684200004</v>
      </c>
      <c r="CW50" t="s">
        <v>425</v>
      </c>
      <c r="CX50" t="s">
        <v>882</v>
      </c>
      <c r="CY50" t="s">
        <v>881</v>
      </c>
      <c r="CZ50">
        <v>24</v>
      </c>
      <c r="DA50">
        <v>3</v>
      </c>
      <c r="DB50">
        <v>86.375</v>
      </c>
      <c r="DC50">
        <v>17</v>
      </c>
      <c r="DD50">
        <v>4</v>
      </c>
      <c r="DE50">
        <v>134.5882352941</v>
      </c>
      <c r="DF50">
        <v>148.5</v>
      </c>
      <c r="DH50" t="s">
        <v>425</v>
      </c>
      <c r="DI50" t="s">
        <v>862</v>
      </c>
      <c r="DJ50" t="s">
        <v>861</v>
      </c>
      <c r="DK50">
        <v>34</v>
      </c>
      <c r="DL50">
        <v>9</v>
      </c>
      <c r="DM50">
        <v>82.264705882399994</v>
      </c>
      <c r="DN50">
        <v>41</v>
      </c>
      <c r="DO50">
        <v>6</v>
      </c>
      <c r="DP50">
        <v>130.85365853659999</v>
      </c>
      <c r="DQ50">
        <v>144.3333333333</v>
      </c>
    </row>
    <row r="51" spans="2:121" x14ac:dyDescent="0.2">
      <c r="B51" t="s">
        <v>125</v>
      </c>
      <c r="C51">
        <v>29254</v>
      </c>
      <c r="D51">
        <v>5820</v>
      </c>
      <c r="F51" t="s">
        <v>431</v>
      </c>
      <c r="G51">
        <v>22864</v>
      </c>
      <c r="H51">
        <v>552.24046536039998</v>
      </c>
      <c r="I51">
        <v>1132</v>
      </c>
      <c r="J51">
        <v>444</v>
      </c>
      <c r="K51">
        <v>23305</v>
      </c>
      <c r="L51">
        <v>22304</v>
      </c>
      <c r="M51">
        <v>1082</v>
      </c>
      <c r="N51">
        <v>664</v>
      </c>
      <c r="O51">
        <v>1322</v>
      </c>
      <c r="P51">
        <v>1219</v>
      </c>
      <c r="Q51">
        <v>0</v>
      </c>
      <c r="R51">
        <v>0</v>
      </c>
      <c r="AH51" t="s">
        <v>379</v>
      </c>
      <c r="AI51">
        <v>16759</v>
      </c>
      <c r="AJ51">
        <v>427.32734650039998</v>
      </c>
      <c r="AK51">
        <v>11648</v>
      </c>
      <c r="AL51">
        <v>3202</v>
      </c>
      <c r="AM51">
        <v>21669</v>
      </c>
      <c r="AN51">
        <v>14863</v>
      </c>
      <c r="AO51">
        <v>8600</v>
      </c>
      <c r="AP51">
        <v>6352</v>
      </c>
      <c r="AQ51">
        <v>7037</v>
      </c>
      <c r="AR51">
        <v>5248</v>
      </c>
      <c r="AS51">
        <v>888</v>
      </c>
      <c r="AT51">
        <v>15</v>
      </c>
      <c r="AV51" t="s">
        <v>374</v>
      </c>
      <c r="AW51">
        <v>211</v>
      </c>
      <c r="AX51">
        <v>96.862559241699998</v>
      </c>
      <c r="AY51">
        <v>360</v>
      </c>
      <c r="AZ51">
        <v>100</v>
      </c>
      <c r="BA51">
        <v>289</v>
      </c>
      <c r="BB51">
        <v>80</v>
      </c>
      <c r="BC51">
        <v>2</v>
      </c>
      <c r="BD51">
        <v>2</v>
      </c>
      <c r="BE51">
        <v>20</v>
      </c>
      <c r="BF51">
        <v>4</v>
      </c>
      <c r="BG51">
        <v>15</v>
      </c>
      <c r="BH51">
        <v>59</v>
      </c>
      <c r="BJ51" t="s">
        <v>594</v>
      </c>
      <c r="BK51" t="s">
        <v>405</v>
      </c>
      <c r="BL51">
        <v>8851</v>
      </c>
      <c r="BM51">
        <v>2014</v>
      </c>
      <c r="BN51">
        <v>88.902609874600003</v>
      </c>
      <c r="BO51">
        <v>11579</v>
      </c>
      <c r="BP51">
        <v>1995</v>
      </c>
      <c r="BQ51">
        <v>139.867518784</v>
      </c>
      <c r="BR51">
        <v>135.7879699248</v>
      </c>
      <c r="BS51">
        <v>7658</v>
      </c>
      <c r="BT51">
        <v>1459</v>
      </c>
      <c r="BU51">
        <v>81.279838077799994</v>
      </c>
      <c r="BV51">
        <v>9538</v>
      </c>
      <c r="BW51">
        <v>1795</v>
      </c>
      <c r="BX51">
        <v>119.6226672258</v>
      </c>
      <c r="BY51">
        <v>123.62729805009999</v>
      </c>
      <c r="CA51" t="s">
        <v>427</v>
      </c>
      <c r="CB51" t="s">
        <v>891</v>
      </c>
      <c r="CC51" t="s">
        <v>1016</v>
      </c>
      <c r="CD51">
        <v>5536</v>
      </c>
      <c r="CE51">
        <v>1315</v>
      </c>
      <c r="CF51">
        <v>92.865426300600006</v>
      </c>
      <c r="CG51">
        <v>8822</v>
      </c>
      <c r="CH51">
        <v>2002</v>
      </c>
      <c r="CI51">
        <v>129.27986851049999</v>
      </c>
      <c r="CJ51">
        <v>117.3756243756</v>
      </c>
      <c r="CL51" t="s">
        <v>427</v>
      </c>
      <c r="CM51" t="s">
        <v>872</v>
      </c>
      <c r="CN51" t="s">
        <v>873</v>
      </c>
      <c r="CO51">
        <v>449</v>
      </c>
      <c r="CP51">
        <v>44</v>
      </c>
      <c r="CQ51">
        <v>66.180400890900003</v>
      </c>
      <c r="CR51">
        <v>1395</v>
      </c>
      <c r="CS51">
        <v>259</v>
      </c>
      <c r="CT51">
        <v>67.141218637999998</v>
      </c>
      <c r="CU51">
        <v>75.864864864899999</v>
      </c>
      <c r="CW51" t="s">
        <v>427</v>
      </c>
      <c r="CX51" t="s">
        <v>882</v>
      </c>
      <c r="CY51" t="s">
        <v>883</v>
      </c>
      <c r="CZ51">
        <v>171</v>
      </c>
      <c r="DA51">
        <v>34</v>
      </c>
      <c r="DB51">
        <v>87.853801169600004</v>
      </c>
      <c r="DC51">
        <v>211</v>
      </c>
      <c r="DD51">
        <v>52</v>
      </c>
      <c r="DE51">
        <v>143.2748815166</v>
      </c>
      <c r="DF51">
        <v>152.6538461538</v>
      </c>
      <c r="DH51" t="s">
        <v>427</v>
      </c>
      <c r="DI51" t="s">
        <v>862</v>
      </c>
      <c r="DJ51" t="s">
        <v>863</v>
      </c>
      <c r="DK51">
        <v>113</v>
      </c>
      <c r="DL51">
        <v>25</v>
      </c>
      <c r="DM51">
        <v>94.0884955752</v>
      </c>
      <c r="DN51">
        <v>162</v>
      </c>
      <c r="DO51">
        <v>33</v>
      </c>
      <c r="DP51">
        <v>135.17901234569999</v>
      </c>
      <c r="DQ51">
        <v>142.3333333333</v>
      </c>
    </row>
    <row r="52" spans="2:121" x14ac:dyDescent="0.2">
      <c r="B52" t="s">
        <v>120</v>
      </c>
      <c r="C52">
        <v>267</v>
      </c>
      <c r="D52">
        <v>265</v>
      </c>
      <c r="F52" t="s">
        <v>42</v>
      </c>
      <c r="G52">
        <v>2938</v>
      </c>
      <c r="H52">
        <v>308.05990469710002</v>
      </c>
      <c r="I52">
        <v>6965</v>
      </c>
      <c r="J52">
        <v>1675</v>
      </c>
      <c r="K52">
        <v>7967</v>
      </c>
      <c r="L52">
        <v>3738</v>
      </c>
      <c r="M52">
        <v>1411</v>
      </c>
      <c r="N52">
        <v>1058</v>
      </c>
      <c r="O52">
        <v>1082</v>
      </c>
      <c r="P52">
        <v>467</v>
      </c>
      <c r="Q52">
        <v>2</v>
      </c>
      <c r="R52">
        <v>195</v>
      </c>
      <c r="AH52" t="s">
        <v>80</v>
      </c>
      <c r="AI52">
        <v>11241</v>
      </c>
      <c r="AJ52">
        <v>392.03015745930003</v>
      </c>
      <c r="AK52">
        <v>6064</v>
      </c>
      <c r="AL52">
        <v>1193</v>
      </c>
      <c r="AM52">
        <v>16621</v>
      </c>
      <c r="AN52">
        <v>12209</v>
      </c>
      <c r="AO52">
        <v>4354</v>
      </c>
      <c r="AP52">
        <v>3006</v>
      </c>
      <c r="AQ52">
        <v>5938</v>
      </c>
      <c r="AR52">
        <v>4124</v>
      </c>
      <c r="AS52">
        <v>11</v>
      </c>
      <c r="AT52">
        <v>143</v>
      </c>
      <c r="AV52" t="s">
        <v>402</v>
      </c>
      <c r="AW52">
        <v>209</v>
      </c>
      <c r="AX52">
        <v>43.263157894700001</v>
      </c>
      <c r="AY52">
        <v>253</v>
      </c>
      <c r="AZ52">
        <v>10</v>
      </c>
      <c r="BA52">
        <v>265</v>
      </c>
      <c r="BB52">
        <v>9</v>
      </c>
      <c r="BC52">
        <v>1</v>
      </c>
      <c r="BD52">
        <v>1</v>
      </c>
      <c r="BE52">
        <v>10</v>
      </c>
      <c r="BF52">
        <v>2</v>
      </c>
      <c r="BG52">
        <v>675</v>
      </c>
      <c r="BH52">
        <v>36</v>
      </c>
      <c r="BJ52" t="s">
        <v>616</v>
      </c>
      <c r="BK52" t="s">
        <v>405</v>
      </c>
      <c r="BL52">
        <v>800</v>
      </c>
      <c r="BM52">
        <v>230</v>
      </c>
      <c r="BN52">
        <v>99.276250000000005</v>
      </c>
      <c r="BO52">
        <v>1136</v>
      </c>
      <c r="BP52">
        <v>169</v>
      </c>
      <c r="BQ52">
        <v>132.50528169009999</v>
      </c>
      <c r="BR52">
        <v>127.8461538462</v>
      </c>
      <c r="BS52">
        <v>1385</v>
      </c>
      <c r="BT52">
        <v>787</v>
      </c>
      <c r="BU52">
        <v>137.96317689529999</v>
      </c>
      <c r="BV52">
        <v>2300</v>
      </c>
      <c r="BW52">
        <v>339</v>
      </c>
      <c r="BX52">
        <v>176.92434782609999</v>
      </c>
      <c r="BY52">
        <v>158.39823008849999</v>
      </c>
      <c r="CA52" t="s">
        <v>408</v>
      </c>
      <c r="CB52" t="s">
        <v>891</v>
      </c>
      <c r="CC52" t="s">
        <v>1017</v>
      </c>
      <c r="CD52">
        <v>28763</v>
      </c>
      <c r="CE52">
        <v>6789</v>
      </c>
      <c r="CF52">
        <v>91.743420366400002</v>
      </c>
      <c r="CG52">
        <v>36734</v>
      </c>
      <c r="CH52">
        <v>6712</v>
      </c>
      <c r="CI52">
        <v>137.78210921760001</v>
      </c>
      <c r="CJ52">
        <v>131.79856972589999</v>
      </c>
      <c r="CL52" t="s">
        <v>408</v>
      </c>
      <c r="CM52" t="s">
        <v>872</v>
      </c>
      <c r="CN52" t="s">
        <v>874</v>
      </c>
      <c r="CO52">
        <v>1763</v>
      </c>
      <c r="CP52">
        <v>148</v>
      </c>
      <c r="CQ52">
        <v>61.742484401600002</v>
      </c>
      <c r="CR52">
        <v>5837</v>
      </c>
      <c r="CS52">
        <v>1009</v>
      </c>
      <c r="CT52">
        <v>65.486208668800003</v>
      </c>
      <c r="CU52">
        <v>70.8969276511</v>
      </c>
      <c r="CW52" t="s">
        <v>408</v>
      </c>
      <c r="CX52" t="s">
        <v>882</v>
      </c>
      <c r="CY52" t="s">
        <v>884</v>
      </c>
      <c r="CZ52">
        <v>1353</v>
      </c>
      <c r="DA52">
        <v>326</v>
      </c>
      <c r="DB52">
        <v>86.704360679999994</v>
      </c>
      <c r="DC52">
        <v>1320</v>
      </c>
      <c r="DD52">
        <v>329</v>
      </c>
      <c r="DE52">
        <v>138.0242424242</v>
      </c>
      <c r="DF52">
        <v>143.25835866259999</v>
      </c>
      <c r="DH52" t="s">
        <v>408</v>
      </c>
      <c r="DI52" t="s">
        <v>862</v>
      </c>
      <c r="DJ52" t="s">
        <v>864</v>
      </c>
      <c r="DK52">
        <v>685</v>
      </c>
      <c r="DL52">
        <v>117</v>
      </c>
      <c r="DM52">
        <v>79.785401459900001</v>
      </c>
      <c r="DN52">
        <v>858</v>
      </c>
      <c r="DO52">
        <v>183</v>
      </c>
      <c r="DP52">
        <v>128.4207459207</v>
      </c>
      <c r="DQ52">
        <v>129.71038251370001</v>
      </c>
    </row>
    <row r="53" spans="2:121" x14ac:dyDescent="0.2">
      <c r="F53" t="s">
        <v>48</v>
      </c>
      <c r="G53">
        <v>6867</v>
      </c>
      <c r="H53">
        <v>578.65385175480003</v>
      </c>
      <c r="I53">
        <v>4767</v>
      </c>
      <c r="J53">
        <v>1020</v>
      </c>
      <c r="K53">
        <v>10428</v>
      </c>
      <c r="L53">
        <v>8234</v>
      </c>
      <c r="M53">
        <v>1926</v>
      </c>
      <c r="N53">
        <v>1354</v>
      </c>
      <c r="O53">
        <v>1919</v>
      </c>
      <c r="P53">
        <v>1426</v>
      </c>
      <c r="Q53">
        <v>1</v>
      </c>
      <c r="R53">
        <v>206</v>
      </c>
      <c r="AH53" t="s">
        <v>380</v>
      </c>
      <c r="AI53">
        <v>2116</v>
      </c>
      <c r="AJ53">
        <v>269.30387523629997</v>
      </c>
      <c r="AK53">
        <v>2538</v>
      </c>
      <c r="AL53">
        <v>587</v>
      </c>
      <c r="AM53">
        <v>3499</v>
      </c>
      <c r="AN53">
        <v>2223</v>
      </c>
      <c r="AO53">
        <v>469</v>
      </c>
      <c r="AP53">
        <v>213</v>
      </c>
      <c r="AQ53">
        <v>1328</v>
      </c>
      <c r="AR53">
        <v>1024</v>
      </c>
      <c r="AS53">
        <v>345</v>
      </c>
      <c r="AT53">
        <v>12</v>
      </c>
      <c r="AV53" t="s">
        <v>393</v>
      </c>
      <c r="AW53">
        <v>364</v>
      </c>
      <c r="AX53">
        <v>60.302197802199998</v>
      </c>
      <c r="AY53">
        <v>594</v>
      </c>
      <c r="AZ53">
        <v>75</v>
      </c>
      <c r="BA53">
        <v>515</v>
      </c>
      <c r="BB53">
        <v>40</v>
      </c>
      <c r="BC53">
        <v>2</v>
      </c>
      <c r="BD53">
        <v>2</v>
      </c>
      <c r="BE53">
        <v>34</v>
      </c>
      <c r="BF53">
        <v>7</v>
      </c>
      <c r="BG53">
        <v>60</v>
      </c>
      <c r="BH53">
        <v>74</v>
      </c>
      <c r="BJ53" t="s">
        <v>592</v>
      </c>
      <c r="BK53" t="s">
        <v>405</v>
      </c>
      <c r="BL53">
        <v>11189</v>
      </c>
      <c r="BM53">
        <v>3151</v>
      </c>
      <c r="BN53">
        <v>101.69890070610001</v>
      </c>
      <c r="BO53">
        <v>11582</v>
      </c>
      <c r="BP53">
        <v>2107</v>
      </c>
      <c r="BQ53">
        <v>152.137454671</v>
      </c>
      <c r="BR53">
        <v>148.86710963460001</v>
      </c>
      <c r="BS53">
        <v>3078</v>
      </c>
      <c r="BT53">
        <v>945</v>
      </c>
      <c r="BU53">
        <v>105.31513970109999</v>
      </c>
      <c r="BV53">
        <v>7140</v>
      </c>
      <c r="BW53">
        <v>1163</v>
      </c>
      <c r="BX53">
        <v>140.90266106440001</v>
      </c>
      <c r="BY53">
        <v>154.00171969050001</v>
      </c>
      <c r="CA53" t="s">
        <v>429</v>
      </c>
      <c r="CB53" t="s">
        <v>891</v>
      </c>
      <c r="CC53" t="s">
        <v>1018</v>
      </c>
      <c r="CD53">
        <v>1636</v>
      </c>
      <c r="CE53">
        <v>347</v>
      </c>
      <c r="CF53">
        <v>85.341687041599997</v>
      </c>
      <c r="CG53">
        <v>3070</v>
      </c>
      <c r="CH53">
        <v>515</v>
      </c>
      <c r="CI53">
        <v>114.8928338762</v>
      </c>
      <c r="CJ53">
        <v>101.82524271840001</v>
      </c>
      <c r="CL53" t="s">
        <v>429</v>
      </c>
      <c r="CM53" t="s">
        <v>872</v>
      </c>
      <c r="CN53" t="s">
        <v>875</v>
      </c>
      <c r="CO53">
        <v>68</v>
      </c>
      <c r="CP53">
        <v>7</v>
      </c>
      <c r="CQ53">
        <v>76.191176470599999</v>
      </c>
      <c r="CR53">
        <v>178</v>
      </c>
      <c r="CS53">
        <v>33</v>
      </c>
      <c r="CT53">
        <v>65.084269662899999</v>
      </c>
      <c r="CU53">
        <v>69.090909090899999</v>
      </c>
      <c r="CW53" t="s">
        <v>429</v>
      </c>
      <c r="CX53" t="s">
        <v>882</v>
      </c>
      <c r="CY53" t="s">
        <v>885</v>
      </c>
      <c r="CZ53">
        <v>42</v>
      </c>
      <c r="DA53">
        <v>10</v>
      </c>
      <c r="DB53">
        <v>86.619047619</v>
      </c>
      <c r="DC53">
        <v>37</v>
      </c>
      <c r="DD53">
        <v>11</v>
      </c>
      <c r="DE53">
        <v>137.35135135140001</v>
      </c>
      <c r="DF53">
        <v>136.7272727273</v>
      </c>
      <c r="DH53" t="s">
        <v>429</v>
      </c>
      <c r="DI53" t="s">
        <v>862</v>
      </c>
      <c r="DJ53" t="s">
        <v>865</v>
      </c>
      <c r="DK53">
        <v>98</v>
      </c>
      <c r="DL53">
        <v>14</v>
      </c>
      <c r="DM53">
        <v>78.091836734699996</v>
      </c>
      <c r="DN53">
        <v>74</v>
      </c>
      <c r="DO53">
        <v>16</v>
      </c>
      <c r="DP53">
        <v>125.7297297297</v>
      </c>
      <c r="DQ53">
        <v>140.875</v>
      </c>
    </row>
    <row r="54" spans="2:121" x14ac:dyDescent="0.2">
      <c r="F54" t="s">
        <v>72</v>
      </c>
      <c r="G54">
        <v>1493</v>
      </c>
      <c r="H54">
        <v>312.6651038178</v>
      </c>
      <c r="I54">
        <v>3088</v>
      </c>
      <c r="J54">
        <v>920</v>
      </c>
      <c r="K54">
        <v>2476</v>
      </c>
      <c r="L54">
        <v>1844</v>
      </c>
      <c r="M54">
        <v>841</v>
      </c>
      <c r="N54">
        <v>613</v>
      </c>
      <c r="O54">
        <v>1112</v>
      </c>
      <c r="P54">
        <v>814</v>
      </c>
      <c r="Q54">
        <v>0</v>
      </c>
      <c r="R54">
        <v>3</v>
      </c>
      <c r="AH54" t="s">
        <v>397</v>
      </c>
      <c r="AI54">
        <v>3829</v>
      </c>
      <c r="AJ54">
        <v>267.98171846439999</v>
      </c>
      <c r="AK54">
        <v>3759</v>
      </c>
      <c r="AL54">
        <v>792</v>
      </c>
      <c r="AM54">
        <v>5703</v>
      </c>
      <c r="AN54">
        <v>3307</v>
      </c>
      <c r="AO54">
        <v>696</v>
      </c>
      <c r="AP54">
        <v>492</v>
      </c>
      <c r="AQ54">
        <v>965</v>
      </c>
      <c r="AR54">
        <v>532</v>
      </c>
      <c r="AS54">
        <v>444</v>
      </c>
      <c r="AT54">
        <v>6</v>
      </c>
      <c r="AV54" t="s">
        <v>425</v>
      </c>
      <c r="AW54">
        <v>18</v>
      </c>
      <c r="AX54">
        <v>44.555555555600002</v>
      </c>
      <c r="AY54">
        <v>18</v>
      </c>
      <c r="BA54">
        <v>29</v>
      </c>
      <c r="BB54">
        <v>2</v>
      </c>
      <c r="BC54">
        <v>0</v>
      </c>
      <c r="BE54">
        <v>3</v>
      </c>
      <c r="BF54">
        <v>2</v>
      </c>
      <c r="BG54">
        <v>24</v>
      </c>
      <c r="BH54">
        <v>7</v>
      </c>
      <c r="BJ54" t="s">
        <v>405</v>
      </c>
      <c r="BK54" t="s">
        <v>405</v>
      </c>
      <c r="BL54">
        <v>56902</v>
      </c>
      <c r="BM54">
        <v>13044</v>
      </c>
      <c r="BN54">
        <v>90.275965695400004</v>
      </c>
      <c r="BO54">
        <v>88664</v>
      </c>
      <c r="BP54">
        <v>16681</v>
      </c>
      <c r="BQ54">
        <v>120.646305152</v>
      </c>
      <c r="BR54">
        <v>113.56237635630001</v>
      </c>
      <c r="BS54">
        <v>48269</v>
      </c>
      <c r="BT54">
        <v>10773</v>
      </c>
      <c r="BU54">
        <v>88.794070728600005</v>
      </c>
      <c r="BV54">
        <v>85985</v>
      </c>
      <c r="BW54">
        <v>16325</v>
      </c>
      <c r="BX54">
        <v>117.3969180671</v>
      </c>
      <c r="BY54">
        <v>112.2387748851</v>
      </c>
      <c r="CA54" t="s">
        <v>409</v>
      </c>
      <c r="CB54" t="s">
        <v>891</v>
      </c>
      <c r="CC54" t="s">
        <v>1019</v>
      </c>
      <c r="CD54">
        <v>1399</v>
      </c>
      <c r="CE54">
        <v>290</v>
      </c>
      <c r="CF54">
        <v>85.844174410299999</v>
      </c>
      <c r="CG54">
        <v>2275</v>
      </c>
      <c r="CH54">
        <v>434</v>
      </c>
      <c r="CI54">
        <v>114.4162637363</v>
      </c>
      <c r="CJ54">
        <v>104.35023041469999</v>
      </c>
      <c r="CL54" t="s">
        <v>409</v>
      </c>
      <c r="CM54" t="s">
        <v>872</v>
      </c>
      <c r="CN54" t="s">
        <v>876</v>
      </c>
      <c r="CO54">
        <v>120</v>
      </c>
      <c r="CP54">
        <v>11</v>
      </c>
      <c r="CQ54">
        <v>66.016666666700004</v>
      </c>
      <c r="CR54">
        <v>315</v>
      </c>
      <c r="CS54">
        <v>59</v>
      </c>
      <c r="CT54">
        <v>61.873015873</v>
      </c>
      <c r="CU54">
        <v>88.0508474576</v>
      </c>
      <c r="CW54" t="s">
        <v>409</v>
      </c>
      <c r="CX54" t="s">
        <v>882</v>
      </c>
      <c r="CY54" t="s">
        <v>886</v>
      </c>
      <c r="CZ54">
        <v>35</v>
      </c>
      <c r="DA54">
        <v>10</v>
      </c>
      <c r="DB54">
        <v>97.1714285714</v>
      </c>
      <c r="DC54">
        <v>37</v>
      </c>
      <c r="DD54">
        <v>9</v>
      </c>
      <c r="DE54">
        <v>138.35135135140001</v>
      </c>
      <c r="DF54">
        <v>150.3333333333</v>
      </c>
      <c r="DH54" t="s">
        <v>409</v>
      </c>
      <c r="DI54" t="s">
        <v>862</v>
      </c>
      <c r="DJ54" t="s">
        <v>866</v>
      </c>
      <c r="DK54">
        <v>50</v>
      </c>
      <c r="DL54">
        <v>11</v>
      </c>
      <c r="DM54">
        <v>85.56</v>
      </c>
      <c r="DN54">
        <v>55</v>
      </c>
      <c r="DO54">
        <v>10</v>
      </c>
      <c r="DP54">
        <v>122</v>
      </c>
      <c r="DQ54">
        <v>118.2</v>
      </c>
    </row>
    <row r="55" spans="2:121" x14ac:dyDescent="0.2">
      <c r="F55" t="s">
        <v>50</v>
      </c>
      <c r="G55">
        <v>1743</v>
      </c>
      <c r="H55">
        <v>136.05966724039999</v>
      </c>
      <c r="I55">
        <v>2171</v>
      </c>
      <c r="J55">
        <v>321</v>
      </c>
      <c r="K55">
        <v>2864</v>
      </c>
      <c r="L55">
        <v>1171</v>
      </c>
      <c r="M55">
        <v>817</v>
      </c>
      <c r="N55">
        <v>579</v>
      </c>
      <c r="O55">
        <v>825</v>
      </c>
      <c r="P55">
        <v>328</v>
      </c>
      <c r="Q55">
        <v>2</v>
      </c>
      <c r="R55">
        <v>16</v>
      </c>
      <c r="AH55" t="s">
        <v>422</v>
      </c>
      <c r="AI55">
        <v>442</v>
      </c>
      <c r="AJ55">
        <v>310.8235294118</v>
      </c>
      <c r="AK55">
        <v>867</v>
      </c>
      <c r="AL55">
        <v>107</v>
      </c>
      <c r="AM55">
        <v>786</v>
      </c>
      <c r="AN55">
        <v>492</v>
      </c>
      <c r="AO55">
        <v>160</v>
      </c>
      <c r="AP55">
        <v>87</v>
      </c>
      <c r="AQ55">
        <v>174</v>
      </c>
      <c r="AR55">
        <v>94</v>
      </c>
      <c r="AS55">
        <v>2</v>
      </c>
      <c r="AT55">
        <v>2</v>
      </c>
      <c r="AV55" t="s">
        <v>380</v>
      </c>
      <c r="AW55">
        <v>291</v>
      </c>
      <c r="AX55">
        <v>89.474226804099999</v>
      </c>
      <c r="AY55">
        <v>300</v>
      </c>
      <c r="AZ55">
        <v>62</v>
      </c>
      <c r="BA55">
        <v>368</v>
      </c>
      <c r="BB55">
        <v>103</v>
      </c>
      <c r="BC55">
        <v>0</v>
      </c>
      <c r="BE55">
        <v>19</v>
      </c>
      <c r="BF55">
        <v>9</v>
      </c>
      <c r="BG55">
        <v>47</v>
      </c>
      <c r="BH55">
        <v>83</v>
      </c>
      <c r="BJ55" t="s">
        <v>596</v>
      </c>
      <c r="BK55" t="s">
        <v>405</v>
      </c>
      <c r="BL55">
        <v>4078</v>
      </c>
      <c r="BM55">
        <v>975</v>
      </c>
      <c r="BN55">
        <v>93.949730259899994</v>
      </c>
      <c r="BO55">
        <v>6808</v>
      </c>
      <c r="BP55">
        <v>1537</v>
      </c>
      <c r="BQ55">
        <v>133.28290246770001</v>
      </c>
      <c r="BR55">
        <v>118.92778139230001</v>
      </c>
      <c r="BS55">
        <v>5893</v>
      </c>
      <c r="BT55">
        <v>1470</v>
      </c>
      <c r="BU55">
        <v>96.9180383506</v>
      </c>
      <c r="BV55">
        <v>9672</v>
      </c>
      <c r="BW55">
        <v>2052</v>
      </c>
      <c r="BX55">
        <v>140.85349462369999</v>
      </c>
      <c r="BY55">
        <v>126.48343079919999</v>
      </c>
      <c r="CA55" t="s">
        <v>414</v>
      </c>
      <c r="CB55" t="s">
        <v>891</v>
      </c>
      <c r="CC55" t="s">
        <v>1020</v>
      </c>
      <c r="CD55">
        <v>3452</v>
      </c>
      <c r="CE55">
        <v>868</v>
      </c>
      <c r="CF55">
        <v>92.439165700999993</v>
      </c>
      <c r="CG55">
        <v>4874</v>
      </c>
      <c r="CH55">
        <v>883</v>
      </c>
      <c r="CI55">
        <v>143.00738613050001</v>
      </c>
      <c r="CJ55">
        <v>129.4122310306</v>
      </c>
      <c r="CL55" t="s">
        <v>414</v>
      </c>
      <c r="CM55" t="s">
        <v>872</v>
      </c>
      <c r="CN55" t="s">
        <v>877</v>
      </c>
      <c r="CO55">
        <v>218</v>
      </c>
      <c r="CP55">
        <v>21</v>
      </c>
      <c r="CQ55">
        <v>68.325688073400002</v>
      </c>
      <c r="CR55">
        <v>624</v>
      </c>
      <c r="CS55">
        <v>112</v>
      </c>
      <c r="CT55">
        <v>62.666666666700003</v>
      </c>
      <c r="CU55">
        <v>65.25</v>
      </c>
      <c r="CW55" t="s">
        <v>414</v>
      </c>
      <c r="CX55" t="s">
        <v>882</v>
      </c>
      <c r="CY55" t="s">
        <v>887</v>
      </c>
      <c r="CZ55">
        <v>102</v>
      </c>
      <c r="DA55">
        <v>20</v>
      </c>
      <c r="DB55">
        <v>84.450980392199995</v>
      </c>
      <c r="DC55">
        <v>99</v>
      </c>
      <c r="DD55">
        <v>22</v>
      </c>
      <c r="DE55">
        <v>148.53535353539999</v>
      </c>
      <c r="DF55">
        <v>151.95454545449999</v>
      </c>
      <c r="DH55" t="s">
        <v>414</v>
      </c>
      <c r="DI55" t="s">
        <v>862</v>
      </c>
      <c r="DJ55" t="s">
        <v>867</v>
      </c>
      <c r="DK55">
        <v>89</v>
      </c>
      <c r="DL55">
        <v>8</v>
      </c>
      <c r="DM55">
        <v>75.685393258399998</v>
      </c>
      <c r="DN55">
        <v>117</v>
      </c>
      <c r="DO55">
        <v>32</v>
      </c>
      <c r="DP55">
        <v>134.30769230769999</v>
      </c>
      <c r="DQ55">
        <v>138.1875</v>
      </c>
    </row>
    <row r="56" spans="2:121" x14ac:dyDescent="0.2">
      <c r="F56" t="s">
        <v>62</v>
      </c>
      <c r="G56">
        <v>11129</v>
      </c>
      <c r="H56">
        <v>418.8762692066</v>
      </c>
      <c r="I56">
        <v>11194</v>
      </c>
      <c r="J56">
        <v>3071</v>
      </c>
      <c r="K56">
        <v>14496</v>
      </c>
      <c r="L56">
        <v>11109</v>
      </c>
      <c r="M56">
        <v>4435</v>
      </c>
      <c r="N56">
        <v>3699</v>
      </c>
      <c r="O56">
        <v>2327</v>
      </c>
      <c r="P56">
        <v>1832</v>
      </c>
      <c r="Q56">
        <v>0</v>
      </c>
      <c r="R56">
        <v>30</v>
      </c>
      <c r="BJ56" t="s">
        <v>604</v>
      </c>
      <c r="BK56" t="s">
        <v>405</v>
      </c>
      <c r="BL56">
        <v>4722</v>
      </c>
      <c r="BM56">
        <v>1097</v>
      </c>
      <c r="BN56">
        <v>95.295637441799997</v>
      </c>
      <c r="BO56">
        <v>6059</v>
      </c>
      <c r="BP56">
        <v>1054</v>
      </c>
      <c r="BQ56">
        <v>143.0673378445</v>
      </c>
      <c r="BR56">
        <v>144.169829222</v>
      </c>
      <c r="BS56">
        <v>4744</v>
      </c>
      <c r="BT56">
        <v>1110</v>
      </c>
      <c r="BU56">
        <v>95.749367622299999</v>
      </c>
      <c r="BV56">
        <v>6240</v>
      </c>
      <c r="BW56">
        <v>1091</v>
      </c>
      <c r="BX56">
        <v>138.42259615379999</v>
      </c>
      <c r="BY56">
        <v>141.7919340055</v>
      </c>
      <c r="CA56" t="s">
        <v>406</v>
      </c>
      <c r="CB56" t="s">
        <v>891</v>
      </c>
      <c r="CC56" t="s">
        <v>1021</v>
      </c>
      <c r="CD56">
        <v>2549</v>
      </c>
      <c r="CE56">
        <v>606</v>
      </c>
      <c r="CF56">
        <v>93.264417418600004</v>
      </c>
      <c r="CG56">
        <v>3499</v>
      </c>
      <c r="CH56">
        <v>603</v>
      </c>
      <c r="CI56">
        <v>144.8388110889</v>
      </c>
      <c r="CJ56">
        <v>130.02155887230001</v>
      </c>
      <c r="CL56" t="s">
        <v>406</v>
      </c>
      <c r="CM56" t="s">
        <v>872</v>
      </c>
      <c r="CN56" t="s">
        <v>878</v>
      </c>
      <c r="CO56">
        <v>160</v>
      </c>
      <c r="CP56">
        <v>16</v>
      </c>
      <c r="CQ56">
        <v>67.625</v>
      </c>
      <c r="CR56">
        <v>480</v>
      </c>
      <c r="CS56">
        <v>98</v>
      </c>
      <c r="CT56">
        <v>58.018749999999997</v>
      </c>
      <c r="CU56">
        <v>59.663265306100001</v>
      </c>
      <c r="CW56" t="s">
        <v>406</v>
      </c>
      <c r="CX56" t="s">
        <v>882</v>
      </c>
      <c r="CY56" t="s">
        <v>888</v>
      </c>
      <c r="CZ56">
        <v>67</v>
      </c>
      <c r="DA56">
        <v>13</v>
      </c>
      <c r="DB56">
        <v>85.179104477600006</v>
      </c>
      <c r="DC56">
        <v>53</v>
      </c>
      <c r="DD56">
        <v>9</v>
      </c>
      <c r="DE56">
        <v>169.50943396229999</v>
      </c>
      <c r="DF56">
        <v>152</v>
      </c>
      <c r="DH56" t="s">
        <v>406</v>
      </c>
      <c r="DI56" t="s">
        <v>862</v>
      </c>
      <c r="DJ56" t="s">
        <v>868</v>
      </c>
      <c r="DK56">
        <v>84</v>
      </c>
      <c r="DL56">
        <v>12</v>
      </c>
      <c r="DM56">
        <v>77.511904761899999</v>
      </c>
      <c r="DN56">
        <v>65</v>
      </c>
      <c r="DO56">
        <v>21</v>
      </c>
      <c r="DP56">
        <v>148.2461538462</v>
      </c>
      <c r="DQ56">
        <v>134.04761904759999</v>
      </c>
    </row>
    <row r="57" spans="2:121" x14ac:dyDescent="0.2">
      <c r="F57" t="s">
        <v>64</v>
      </c>
      <c r="G57">
        <v>3814</v>
      </c>
      <c r="H57">
        <v>254.76271630830001</v>
      </c>
      <c r="I57">
        <v>3932</v>
      </c>
      <c r="J57">
        <v>966</v>
      </c>
      <c r="K57">
        <v>4640</v>
      </c>
      <c r="L57">
        <v>2827</v>
      </c>
      <c r="M57">
        <v>980</v>
      </c>
      <c r="N57">
        <v>309</v>
      </c>
      <c r="O57">
        <v>1122</v>
      </c>
      <c r="P57">
        <v>634</v>
      </c>
      <c r="Q57">
        <v>0</v>
      </c>
      <c r="R57">
        <v>67</v>
      </c>
      <c r="BJ57" t="s">
        <v>612</v>
      </c>
      <c r="BK57" t="s">
        <v>405</v>
      </c>
      <c r="BL57">
        <v>3344</v>
      </c>
      <c r="BM57">
        <v>845</v>
      </c>
      <c r="BN57">
        <v>92.790669856500003</v>
      </c>
      <c r="BO57">
        <v>4464</v>
      </c>
      <c r="BP57">
        <v>801</v>
      </c>
      <c r="BQ57">
        <v>147.15994623660001</v>
      </c>
      <c r="BR57">
        <v>137.49563046189999</v>
      </c>
      <c r="BS57">
        <v>2897</v>
      </c>
      <c r="BT57">
        <v>649</v>
      </c>
      <c r="BU57">
        <v>84.191232309300005</v>
      </c>
      <c r="BV57">
        <v>3522</v>
      </c>
      <c r="BW57">
        <v>680</v>
      </c>
      <c r="BX57">
        <v>127.3182850653</v>
      </c>
      <c r="BY57">
        <v>126.075</v>
      </c>
      <c r="CA57" t="s">
        <v>410</v>
      </c>
      <c r="CB57" t="s">
        <v>891</v>
      </c>
      <c r="CC57" t="s">
        <v>1022</v>
      </c>
      <c r="CD57">
        <v>4630</v>
      </c>
      <c r="CE57">
        <v>1106</v>
      </c>
      <c r="CF57">
        <v>97.138876889800002</v>
      </c>
      <c r="CG57">
        <v>6194</v>
      </c>
      <c r="CH57">
        <v>1072</v>
      </c>
      <c r="CI57">
        <v>142.17129480139999</v>
      </c>
      <c r="CJ57">
        <v>143.50652985069999</v>
      </c>
      <c r="CL57" t="s">
        <v>410</v>
      </c>
      <c r="CM57" t="s">
        <v>872</v>
      </c>
      <c r="CN57" t="s">
        <v>879</v>
      </c>
      <c r="CO57">
        <v>295</v>
      </c>
      <c r="CP57">
        <v>33</v>
      </c>
      <c r="CQ57">
        <v>67.494915254199995</v>
      </c>
      <c r="CR57">
        <v>915</v>
      </c>
      <c r="CS57">
        <v>155</v>
      </c>
      <c r="CT57">
        <v>68.038251366099999</v>
      </c>
      <c r="CU57">
        <v>69.129032258099997</v>
      </c>
      <c r="CW57" t="s">
        <v>410</v>
      </c>
      <c r="CX57" t="s">
        <v>882</v>
      </c>
      <c r="CY57" t="s">
        <v>889</v>
      </c>
      <c r="CZ57">
        <v>97</v>
      </c>
      <c r="DA57">
        <v>33</v>
      </c>
      <c r="DB57">
        <v>101.5979381443</v>
      </c>
      <c r="DC57">
        <v>96</v>
      </c>
      <c r="DD57">
        <v>23</v>
      </c>
      <c r="DE57">
        <v>142.5729166667</v>
      </c>
      <c r="DF57">
        <v>165.30434782610001</v>
      </c>
      <c r="DH57" t="s">
        <v>410</v>
      </c>
      <c r="DI57" t="s">
        <v>862</v>
      </c>
      <c r="DJ57" t="s">
        <v>869</v>
      </c>
      <c r="DK57">
        <v>44</v>
      </c>
      <c r="DL57">
        <v>13</v>
      </c>
      <c r="DM57">
        <v>100.38636363640001</v>
      </c>
      <c r="DN57">
        <v>49</v>
      </c>
      <c r="DO57">
        <v>11</v>
      </c>
      <c r="DP57">
        <v>127.2857142857</v>
      </c>
      <c r="DQ57">
        <v>130.9090909091</v>
      </c>
    </row>
    <row r="58" spans="2:121" x14ac:dyDescent="0.2">
      <c r="F58" t="s">
        <v>54</v>
      </c>
      <c r="G58">
        <v>1324</v>
      </c>
      <c r="H58">
        <v>356.33232628399998</v>
      </c>
      <c r="I58">
        <v>952</v>
      </c>
      <c r="J58">
        <v>212</v>
      </c>
      <c r="K58">
        <v>1832</v>
      </c>
      <c r="L58">
        <v>1182</v>
      </c>
      <c r="M58">
        <v>346</v>
      </c>
      <c r="N58">
        <v>332</v>
      </c>
      <c r="O58">
        <v>80</v>
      </c>
      <c r="P58">
        <v>49</v>
      </c>
      <c r="Q58">
        <v>0</v>
      </c>
      <c r="R58">
        <v>1</v>
      </c>
      <c r="BJ58" t="s">
        <v>625</v>
      </c>
      <c r="BK58" t="s">
        <v>405</v>
      </c>
      <c r="BL58">
        <v>9552</v>
      </c>
      <c r="BM58">
        <v>1833</v>
      </c>
      <c r="BN58">
        <v>84.864635678400006</v>
      </c>
      <c r="BO58">
        <v>13435</v>
      </c>
      <c r="BP58">
        <v>2603</v>
      </c>
      <c r="BQ58">
        <v>131.2305173055</v>
      </c>
      <c r="BR58">
        <v>123.8582404917</v>
      </c>
      <c r="BS58">
        <v>9082</v>
      </c>
      <c r="BT58">
        <v>1720</v>
      </c>
      <c r="BU58">
        <v>86.584783087399998</v>
      </c>
      <c r="BV58">
        <v>13843</v>
      </c>
      <c r="BW58">
        <v>2579</v>
      </c>
      <c r="BX58">
        <v>139.14021527130001</v>
      </c>
      <c r="BY58">
        <v>128.3474214812</v>
      </c>
      <c r="CA58" t="s">
        <v>80</v>
      </c>
      <c r="CB58" t="s">
        <v>891</v>
      </c>
      <c r="CC58" t="s">
        <v>1023</v>
      </c>
      <c r="CD58">
        <v>5414</v>
      </c>
      <c r="CE58">
        <v>1035</v>
      </c>
      <c r="CF58">
        <v>84.120059105999999</v>
      </c>
      <c r="CG58">
        <v>10525</v>
      </c>
      <c r="CH58">
        <v>1868</v>
      </c>
      <c r="CI58">
        <v>113.4900712589</v>
      </c>
      <c r="CJ58">
        <v>108.6338329764</v>
      </c>
      <c r="CL58" t="s">
        <v>80</v>
      </c>
      <c r="CM58" t="s">
        <v>872</v>
      </c>
      <c r="CN58" t="s">
        <v>880</v>
      </c>
      <c r="CO58">
        <v>474</v>
      </c>
      <c r="CP58">
        <v>45</v>
      </c>
      <c r="CQ58">
        <v>66.481012658200001</v>
      </c>
      <c r="CR58">
        <v>1411</v>
      </c>
      <c r="CS58">
        <v>291</v>
      </c>
      <c r="CT58">
        <v>68.351523741999998</v>
      </c>
      <c r="CU58">
        <v>71.903780068700001</v>
      </c>
      <c r="CW58" t="s">
        <v>80</v>
      </c>
      <c r="CX58" t="s">
        <v>882</v>
      </c>
      <c r="CY58" t="s">
        <v>890</v>
      </c>
      <c r="CZ58">
        <v>325</v>
      </c>
      <c r="DA58">
        <v>70</v>
      </c>
      <c r="DB58">
        <v>84.870769230799993</v>
      </c>
      <c r="DC58">
        <v>272</v>
      </c>
      <c r="DD58">
        <v>66</v>
      </c>
      <c r="DE58">
        <v>137.0294117647</v>
      </c>
      <c r="DF58">
        <v>145.21212121209999</v>
      </c>
      <c r="DH58" t="s">
        <v>80</v>
      </c>
      <c r="DI58" t="s">
        <v>862</v>
      </c>
      <c r="DJ58" t="s">
        <v>870</v>
      </c>
      <c r="DK58">
        <v>412</v>
      </c>
      <c r="DL58">
        <v>54</v>
      </c>
      <c r="DM58">
        <v>80.546116504899999</v>
      </c>
      <c r="DN58">
        <v>551</v>
      </c>
      <c r="DO58">
        <v>146</v>
      </c>
      <c r="DP58">
        <v>128.59346642470001</v>
      </c>
      <c r="DQ58">
        <v>132.6506849315</v>
      </c>
    </row>
    <row r="59" spans="2:121" x14ac:dyDescent="0.2">
      <c r="F59" t="s">
        <v>46</v>
      </c>
      <c r="G59">
        <v>13150</v>
      </c>
      <c r="H59">
        <v>351.05475285170002</v>
      </c>
      <c r="I59">
        <v>15765</v>
      </c>
      <c r="J59">
        <v>3920</v>
      </c>
      <c r="K59">
        <v>17352</v>
      </c>
      <c r="L59">
        <v>12086</v>
      </c>
      <c r="M59">
        <v>3138</v>
      </c>
      <c r="N59">
        <v>1819</v>
      </c>
      <c r="O59">
        <v>3439</v>
      </c>
      <c r="P59">
        <v>2569</v>
      </c>
      <c r="Q59">
        <v>1</v>
      </c>
      <c r="R59">
        <v>230</v>
      </c>
      <c r="BJ59" t="s">
        <v>598</v>
      </c>
      <c r="BK59" t="s">
        <v>405</v>
      </c>
      <c r="BL59">
        <v>7135</v>
      </c>
      <c r="BM59">
        <v>1132</v>
      </c>
      <c r="BN59">
        <v>73.065311843000003</v>
      </c>
      <c r="BO59">
        <v>23635</v>
      </c>
      <c r="BP59">
        <v>4581</v>
      </c>
      <c r="BQ59">
        <v>68.311444891099995</v>
      </c>
      <c r="BR59">
        <v>62.820126609900001</v>
      </c>
      <c r="BS59">
        <v>8007</v>
      </c>
      <c r="BT59">
        <v>1249</v>
      </c>
      <c r="BU59">
        <v>73.135756213299999</v>
      </c>
      <c r="BV59">
        <v>24495</v>
      </c>
      <c r="BW59">
        <v>4768</v>
      </c>
      <c r="BX59">
        <v>68.792447438300002</v>
      </c>
      <c r="BY59">
        <v>64.2059563758</v>
      </c>
      <c r="CA59" t="s">
        <v>405</v>
      </c>
      <c r="CB59" t="s">
        <v>891</v>
      </c>
      <c r="CD59">
        <v>54702</v>
      </c>
      <c r="CE59">
        <v>12687</v>
      </c>
      <c r="CF59">
        <v>91.3082519835</v>
      </c>
      <c r="CG59">
        <v>77409</v>
      </c>
      <c r="CH59">
        <v>14428</v>
      </c>
      <c r="CI59">
        <v>132.50127246189999</v>
      </c>
      <c r="CJ59">
        <v>125.19884945939999</v>
      </c>
      <c r="CL59" t="s">
        <v>405</v>
      </c>
      <c r="CM59" t="s">
        <v>872</v>
      </c>
      <c r="CO59">
        <v>3586</v>
      </c>
      <c r="CP59">
        <v>329</v>
      </c>
      <c r="CQ59">
        <v>64.486893474599995</v>
      </c>
      <c r="CR59">
        <v>11233</v>
      </c>
      <c r="CS59">
        <v>2035</v>
      </c>
      <c r="CT59">
        <v>65.736935814099994</v>
      </c>
      <c r="CU59">
        <v>71.144471744499995</v>
      </c>
      <c r="CW59" t="s">
        <v>405</v>
      </c>
      <c r="CX59" t="s">
        <v>882</v>
      </c>
      <c r="CZ59">
        <v>2216</v>
      </c>
      <c r="DA59">
        <v>519</v>
      </c>
      <c r="DB59">
        <v>87.1863718412</v>
      </c>
      <c r="DC59">
        <v>2142</v>
      </c>
      <c r="DD59">
        <v>525</v>
      </c>
      <c r="DE59">
        <v>139.8506069094</v>
      </c>
      <c r="DF59">
        <v>145.93904761900001</v>
      </c>
      <c r="DH59" t="s">
        <v>405</v>
      </c>
      <c r="DI59" t="s">
        <v>862</v>
      </c>
      <c r="DK59">
        <v>1609</v>
      </c>
      <c r="DL59">
        <v>263</v>
      </c>
      <c r="DM59">
        <v>81.331261653200002</v>
      </c>
      <c r="DN59">
        <v>1972</v>
      </c>
      <c r="DO59">
        <v>458</v>
      </c>
      <c r="DP59">
        <v>129.76926977689999</v>
      </c>
      <c r="DQ59">
        <v>132.7074235808</v>
      </c>
    </row>
    <row r="60" spans="2:121" x14ac:dyDescent="0.2">
      <c r="F60" t="s">
        <v>135</v>
      </c>
      <c r="G60">
        <v>604</v>
      </c>
      <c r="H60">
        <v>376.0695364238</v>
      </c>
      <c r="I60">
        <v>471</v>
      </c>
      <c r="J60">
        <v>131</v>
      </c>
      <c r="K60">
        <v>824</v>
      </c>
      <c r="L60">
        <v>529</v>
      </c>
      <c r="M60">
        <v>168</v>
      </c>
      <c r="N60">
        <v>71</v>
      </c>
      <c r="O60">
        <v>122</v>
      </c>
      <c r="P60">
        <v>70</v>
      </c>
      <c r="Q60">
        <v>0</v>
      </c>
      <c r="R60">
        <v>1</v>
      </c>
      <c r="BJ60" t="s">
        <v>540</v>
      </c>
      <c r="BK60" t="s">
        <v>381</v>
      </c>
      <c r="BL60">
        <v>15480</v>
      </c>
      <c r="BM60">
        <v>4299</v>
      </c>
      <c r="BN60">
        <v>97.701614987100001</v>
      </c>
      <c r="BO60">
        <v>19490</v>
      </c>
      <c r="BP60">
        <v>3849</v>
      </c>
      <c r="BQ60">
        <v>150.96192919449999</v>
      </c>
      <c r="BR60">
        <v>142.16289945439999</v>
      </c>
      <c r="BS60">
        <v>14296</v>
      </c>
      <c r="BT60">
        <v>3334</v>
      </c>
      <c r="BU60">
        <v>88.154378847199993</v>
      </c>
      <c r="BV60">
        <v>15242</v>
      </c>
      <c r="BW60">
        <v>3164</v>
      </c>
      <c r="BX60">
        <v>142.69426584440001</v>
      </c>
      <c r="BY60">
        <v>126.1950063211</v>
      </c>
      <c r="CA60" t="s">
        <v>389</v>
      </c>
      <c r="CB60" t="s">
        <v>916</v>
      </c>
      <c r="CC60" t="s">
        <v>1024</v>
      </c>
      <c r="CD60">
        <v>6780</v>
      </c>
      <c r="CE60">
        <v>1664</v>
      </c>
      <c r="CF60">
        <v>90.457227138600004</v>
      </c>
      <c r="CG60">
        <v>9968</v>
      </c>
      <c r="CH60">
        <v>1600</v>
      </c>
      <c r="CI60">
        <v>138.20234751199999</v>
      </c>
      <c r="CJ60">
        <v>145.15562499999999</v>
      </c>
      <c r="CL60" t="s">
        <v>389</v>
      </c>
      <c r="CM60" t="s">
        <v>901</v>
      </c>
      <c r="CN60" t="s">
        <v>900</v>
      </c>
      <c r="CO60">
        <v>664</v>
      </c>
      <c r="CP60">
        <v>104</v>
      </c>
      <c r="CQ60">
        <v>73.393072289200006</v>
      </c>
      <c r="CR60">
        <v>1931</v>
      </c>
      <c r="CS60">
        <v>369</v>
      </c>
      <c r="CT60">
        <v>65.764888658700002</v>
      </c>
      <c r="CU60">
        <v>66.921409214099995</v>
      </c>
      <c r="CW60" t="s">
        <v>389</v>
      </c>
      <c r="CX60" t="s">
        <v>909</v>
      </c>
      <c r="CY60" t="s">
        <v>908</v>
      </c>
      <c r="CZ60">
        <v>202</v>
      </c>
      <c r="DA60">
        <v>70</v>
      </c>
      <c r="DB60">
        <v>103.495049505</v>
      </c>
      <c r="DC60">
        <v>138</v>
      </c>
      <c r="DD60">
        <v>42</v>
      </c>
      <c r="DE60">
        <v>153.07246376809999</v>
      </c>
      <c r="DF60">
        <v>158.9761904762</v>
      </c>
      <c r="DH60" t="s">
        <v>389</v>
      </c>
      <c r="DI60" t="s">
        <v>893</v>
      </c>
      <c r="DJ60" t="s">
        <v>892</v>
      </c>
      <c r="DK60">
        <v>174</v>
      </c>
      <c r="DL60">
        <v>41</v>
      </c>
      <c r="DM60">
        <v>96.281609195399994</v>
      </c>
      <c r="DN60">
        <v>188</v>
      </c>
      <c r="DO60">
        <v>44</v>
      </c>
      <c r="DP60">
        <v>154.27659574469999</v>
      </c>
      <c r="DQ60">
        <v>164.9318181818</v>
      </c>
    </row>
    <row r="61" spans="2:121" x14ac:dyDescent="0.2">
      <c r="F61" t="s">
        <v>56</v>
      </c>
      <c r="G61">
        <v>4558</v>
      </c>
      <c r="H61">
        <v>201.0412461606</v>
      </c>
      <c r="I61">
        <v>6211</v>
      </c>
      <c r="J61">
        <v>1231</v>
      </c>
      <c r="K61">
        <v>6008</v>
      </c>
      <c r="L61">
        <v>2868</v>
      </c>
      <c r="M61">
        <v>609</v>
      </c>
      <c r="N61">
        <v>420</v>
      </c>
      <c r="O61">
        <v>622</v>
      </c>
      <c r="P61">
        <v>315</v>
      </c>
      <c r="Q61">
        <v>6561</v>
      </c>
      <c r="R61">
        <v>0</v>
      </c>
      <c r="BJ61" t="s">
        <v>548</v>
      </c>
      <c r="BK61" t="s">
        <v>381</v>
      </c>
      <c r="BL61">
        <v>8599</v>
      </c>
      <c r="BM61">
        <v>2287</v>
      </c>
      <c r="BN61">
        <v>99.697057797400007</v>
      </c>
      <c r="BO61">
        <v>10537</v>
      </c>
      <c r="BP61">
        <v>1963</v>
      </c>
      <c r="BQ61">
        <v>138.2407706178</v>
      </c>
      <c r="BR61">
        <v>140.17422312790001</v>
      </c>
      <c r="BS61">
        <v>8608</v>
      </c>
      <c r="BT61">
        <v>2333</v>
      </c>
      <c r="BU61">
        <v>99.328647769499995</v>
      </c>
      <c r="BV61">
        <v>10739</v>
      </c>
      <c r="BW61">
        <v>2037</v>
      </c>
      <c r="BX61">
        <v>138.37182232980001</v>
      </c>
      <c r="BY61">
        <v>139.6107020128</v>
      </c>
      <c r="CA61" t="s">
        <v>426</v>
      </c>
      <c r="CB61" t="s">
        <v>916</v>
      </c>
      <c r="CC61" t="s">
        <v>1025</v>
      </c>
      <c r="CD61">
        <v>19861</v>
      </c>
      <c r="CE61">
        <v>5352</v>
      </c>
      <c r="CF61">
        <v>101.56885353200001</v>
      </c>
      <c r="CG61">
        <v>31058</v>
      </c>
      <c r="CH61">
        <v>5607</v>
      </c>
      <c r="CI61">
        <v>143.76395775649999</v>
      </c>
      <c r="CJ61">
        <v>139.6502586053</v>
      </c>
      <c r="CL61" t="s">
        <v>426</v>
      </c>
      <c r="CM61" t="s">
        <v>901</v>
      </c>
      <c r="CN61" t="s">
        <v>902</v>
      </c>
      <c r="CO61">
        <v>2617</v>
      </c>
      <c r="CP61">
        <v>313</v>
      </c>
      <c r="CQ61">
        <v>70.180741306800002</v>
      </c>
      <c r="CR61">
        <v>4150</v>
      </c>
      <c r="CS61">
        <v>848</v>
      </c>
      <c r="CT61">
        <v>88.844096385499995</v>
      </c>
      <c r="CU61">
        <v>105.0247641509</v>
      </c>
      <c r="CW61" t="s">
        <v>426</v>
      </c>
      <c r="CX61" t="s">
        <v>909</v>
      </c>
      <c r="CY61" t="s">
        <v>910</v>
      </c>
      <c r="CZ61">
        <v>811</v>
      </c>
      <c r="DA61">
        <v>274</v>
      </c>
      <c r="DB61">
        <v>100.8434032059</v>
      </c>
      <c r="DC61">
        <v>642</v>
      </c>
      <c r="DD61">
        <v>149</v>
      </c>
      <c r="DE61">
        <v>156.2741433022</v>
      </c>
      <c r="DF61">
        <v>159.3758389262</v>
      </c>
      <c r="DH61" t="s">
        <v>426</v>
      </c>
      <c r="DI61" t="s">
        <v>893</v>
      </c>
      <c r="DJ61" t="s">
        <v>894</v>
      </c>
      <c r="DK61">
        <v>951</v>
      </c>
      <c r="DL61">
        <v>278</v>
      </c>
      <c r="DM61">
        <v>97.570977917999997</v>
      </c>
      <c r="DN61">
        <v>930</v>
      </c>
      <c r="DO61">
        <v>222</v>
      </c>
      <c r="DP61">
        <v>148.1</v>
      </c>
      <c r="DQ61">
        <v>160.07657657659999</v>
      </c>
    </row>
    <row r="62" spans="2:121" x14ac:dyDescent="0.2">
      <c r="BJ62" t="s">
        <v>564</v>
      </c>
      <c r="BK62" t="s">
        <v>381</v>
      </c>
      <c r="BL62">
        <v>3750</v>
      </c>
      <c r="BM62">
        <v>793</v>
      </c>
      <c r="BN62">
        <v>101.76453333329999</v>
      </c>
      <c r="BO62">
        <v>6843</v>
      </c>
      <c r="BP62">
        <v>1265</v>
      </c>
      <c r="BQ62">
        <v>143.81323980709999</v>
      </c>
      <c r="BR62">
        <v>124.91778656130001</v>
      </c>
      <c r="BS62">
        <v>2001</v>
      </c>
      <c r="BT62">
        <v>696</v>
      </c>
      <c r="BU62">
        <v>127.8460769615</v>
      </c>
      <c r="BV62">
        <v>8704</v>
      </c>
      <c r="BW62">
        <v>1677</v>
      </c>
      <c r="BX62">
        <v>169.2004825368</v>
      </c>
      <c r="BY62">
        <v>155.27012522359999</v>
      </c>
      <c r="CA62" t="s">
        <v>382</v>
      </c>
      <c r="CB62" t="s">
        <v>916</v>
      </c>
      <c r="CC62" t="s">
        <v>1026</v>
      </c>
      <c r="CD62">
        <v>16573</v>
      </c>
      <c r="CE62">
        <v>4409</v>
      </c>
      <c r="CF62">
        <v>96.459783986000005</v>
      </c>
      <c r="CG62">
        <v>21603</v>
      </c>
      <c r="CH62">
        <v>4331</v>
      </c>
      <c r="CI62">
        <v>141.9276489376</v>
      </c>
      <c r="CJ62">
        <v>134.27199261140001</v>
      </c>
      <c r="CL62" t="s">
        <v>382</v>
      </c>
      <c r="CM62" t="s">
        <v>901</v>
      </c>
      <c r="CN62" t="s">
        <v>903</v>
      </c>
      <c r="CO62">
        <v>1329</v>
      </c>
      <c r="CP62">
        <v>177</v>
      </c>
      <c r="CQ62">
        <v>71.296463506400002</v>
      </c>
      <c r="CR62">
        <v>2106</v>
      </c>
      <c r="CS62">
        <v>426</v>
      </c>
      <c r="CT62">
        <v>91.854226020900001</v>
      </c>
      <c r="CU62">
        <v>105.8920187793</v>
      </c>
      <c r="CW62" t="s">
        <v>382</v>
      </c>
      <c r="CX62" t="s">
        <v>909</v>
      </c>
      <c r="CY62" t="s">
        <v>911</v>
      </c>
      <c r="CZ62">
        <v>468</v>
      </c>
      <c r="DA62">
        <v>134</v>
      </c>
      <c r="DB62">
        <v>95.974358974400005</v>
      </c>
      <c r="DC62">
        <v>382</v>
      </c>
      <c r="DD62">
        <v>89</v>
      </c>
      <c r="DE62">
        <v>160.6047120419</v>
      </c>
      <c r="DF62">
        <v>169.70786516850001</v>
      </c>
      <c r="DH62" t="s">
        <v>382</v>
      </c>
      <c r="DI62" t="s">
        <v>893</v>
      </c>
      <c r="DJ62" t="s">
        <v>895</v>
      </c>
      <c r="DK62">
        <v>473</v>
      </c>
      <c r="DL62">
        <v>135</v>
      </c>
      <c r="DM62">
        <v>95.845665961899996</v>
      </c>
      <c r="DN62">
        <v>492</v>
      </c>
      <c r="DO62">
        <v>118</v>
      </c>
      <c r="DP62">
        <v>149.29065040649999</v>
      </c>
      <c r="DQ62">
        <v>153.52542372880001</v>
      </c>
    </row>
    <row r="63" spans="2:121" x14ac:dyDescent="0.2">
      <c r="BJ63" t="s">
        <v>554</v>
      </c>
      <c r="BK63" t="s">
        <v>381</v>
      </c>
      <c r="BL63">
        <v>6893</v>
      </c>
      <c r="BM63">
        <v>1611</v>
      </c>
      <c r="BN63">
        <v>89.029885390999993</v>
      </c>
      <c r="BO63">
        <v>9462</v>
      </c>
      <c r="BP63">
        <v>1508</v>
      </c>
      <c r="BQ63">
        <v>141.58676812510001</v>
      </c>
      <c r="BR63">
        <v>150.31233421749999</v>
      </c>
      <c r="BS63">
        <v>6565</v>
      </c>
      <c r="BT63">
        <v>1473</v>
      </c>
      <c r="BU63">
        <v>85.658948971800001</v>
      </c>
      <c r="BV63">
        <v>8757</v>
      </c>
      <c r="BW63">
        <v>1483</v>
      </c>
      <c r="BX63">
        <v>139.65833047850001</v>
      </c>
      <c r="BY63">
        <v>144.67835468640001</v>
      </c>
      <c r="CA63" t="s">
        <v>394</v>
      </c>
      <c r="CB63" t="s">
        <v>916</v>
      </c>
      <c r="CC63" t="s">
        <v>1027</v>
      </c>
      <c r="CD63">
        <v>3517</v>
      </c>
      <c r="CE63">
        <v>603</v>
      </c>
      <c r="CF63">
        <v>91.077622974099995</v>
      </c>
      <c r="CG63">
        <v>6799</v>
      </c>
      <c r="CH63">
        <v>1256</v>
      </c>
      <c r="CI63">
        <v>126.5506692161</v>
      </c>
      <c r="CJ63">
        <v>113.1775477707</v>
      </c>
      <c r="CL63" t="s">
        <v>394</v>
      </c>
      <c r="CM63" t="s">
        <v>901</v>
      </c>
      <c r="CN63" t="s">
        <v>904</v>
      </c>
      <c r="CO63">
        <v>373</v>
      </c>
      <c r="CP63">
        <v>56</v>
      </c>
      <c r="CQ63">
        <v>67.257372654199997</v>
      </c>
      <c r="CR63">
        <v>994</v>
      </c>
      <c r="CS63">
        <v>202</v>
      </c>
      <c r="CT63">
        <v>72.886317907399999</v>
      </c>
      <c r="CU63">
        <v>67.430693069300006</v>
      </c>
      <c r="CW63" t="s">
        <v>394</v>
      </c>
      <c r="CX63" t="s">
        <v>909</v>
      </c>
      <c r="CY63" t="s">
        <v>912</v>
      </c>
      <c r="CZ63">
        <v>116</v>
      </c>
      <c r="DA63">
        <v>38</v>
      </c>
      <c r="DB63">
        <v>97.241379310300005</v>
      </c>
      <c r="DC63">
        <v>86</v>
      </c>
      <c r="DD63">
        <v>24</v>
      </c>
      <c r="DE63">
        <v>150.3488372093</v>
      </c>
      <c r="DF63">
        <v>156.4583333333</v>
      </c>
      <c r="DH63" t="s">
        <v>394</v>
      </c>
      <c r="DI63" t="s">
        <v>893</v>
      </c>
      <c r="DJ63" t="s">
        <v>896</v>
      </c>
      <c r="DK63">
        <v>168</v>
      </c>
      <c r="DL63">
        <v>49</v>
      </c>
      <c r="DM63">
        <v>98.529761904799997</v>
      </c>
      <c r="DN63">
        <v>133</v>
      </c>
      <c r="DO63">
        <v>40</v>
      </c>
      <c r="DP63">
        <v>148.40601503760001</v>
      </c>
      <c r="DQ63">
        <v>169.9</v>
      </c>
    </row>
    <row r="64" spans="2:121" x14ac:dyDescent="0.2">
      <c r="BJ64" t="s">
        <v>550</v>
      </c>
      <c r="BK64" t="s">
        <v>381</v>
      </c>
      <c r="BL64">
        <v>9166</v>
      </c>
      <c r="BM64">
        <v>1896</v>
      </c>
      <c r="BN64">
        <v>88.282893301300007</v>
      </c>
      <c r="BO64">
        <v>12546</v>
      </c>
      <c r="BP64">
        <v>2831</v>
      </c>
      <c r="BQ64">
        <v>131.77921249799999</v>
      </c>
      <c r="BR64">
        <v>125.89438361000001</v>
      </c>
      <c r="BS64">
        <v>9103</v>
      </c>
      <c r="BT64">
        <v>1891</v>
      </c>
      <c r="BU64">
        <v>88.575524552299996</v>
      </c>
      <c r="BV64">
        <v>13298</v>
      </c>
      <c r="BW64">
        <v>2871</v>
      </c>
      <c r="BX64">
        <v>138.0524138968</v>
      </c>
      <c r="BY64">
        <v>129.359804946</v>
      </c>
      <c r="CA64" t="s">
        <v>428</v>
      </c>
      <c r="CB64" t="s">
        <v>916</v>
      </c>
      <c r="CC64" t="s">
        <v>1028</v>
      </c>
      <c r="CD64">
        <v>3061</v>
      </c>
      <c r="CE64">
        <v>900</v>
      </c>
      <c r="CF64">
        <v>107.6880104541</v>
      </c>
      <c r="CG64">
        <v>3402</v>
      </c>
      <c r="CH64">
        <v>692</v>
      </c>
      <c r="CI64">
        <v>161.47707231039999</v>
      </c>
      <c r="CJ64">
        <v>153.86127167629999</v>
      </c>
      <c r="CL64" t="s">
        <v>428</v>
      </c>
      <c r="CM64" t="s">
        <v>901</v>
      </c>
      <c r="CN64" t="s">
        <v>905</v>
      </c>
      <c r="CO64">
        <v>499</v>
      </c>
      <c r="CP64">
        <v>66</v>
      </c>
      <c r="CQ64">
        <v>71.771543086199998</v>
      </c>
      <c r="CR64">
        <v>752</v>
      </c>
      <c r="CS64">
        <v>169</v>
      </c>
      <c r="CT64">
        <v>99.635638297900002</v>
      </c>
      <c r="CU64">
        <v>113.56213017749999</v>
      </c>
      <c r="CW64" t="s">
        <v>428</v>
      </c>
      <c r="CX64" t="s">
        <v>909</v>
      </c>
      <c r="CY64" t="s">
        <v>913</v>
      </c>
      <c r="CZ64">
        <v>14</v>
      </c>
      <c r="DA64">
        <v>2</v>
      </c>
      <c r="DB64">
        <v>73.285714285699996</v>
      </c>
      <c r="DC64">
        <v>6</v>
      </c>
      <c r="DD64">
        <v>2</v>
      </c>
      <c r="DE64">
        <v>140.3333333333</v>
      </c>
      <c r="DF64">
        <v>132</v>
      </c>
      <c r="DH64" t="s">
        <v>428</v>
      </c>
      <c r="DI64" t="s">
        <v>893</v>
      </c>
      <c r="DJ64" t="s">
        <v>897</v>
      </c>
      <c r="DK64">
        <v>14</v>
      </c>
      <c r="DL64">
        <v>4</v>
      </c>
      <c r="DM64">
        <v>95.928571428599994</v>
      </c>
      <c r="DN64">
        <v>17</v>
      </c>
      <c r="DO64">
        <v>1</v>
      </c>
      <c r="DP64">
        <v>115.23529411760001</v>
      </c>
      <c r="DQ64">
        <v>62</v>
      </c>
    </row>
    <row r="65" spans="62:121" x14ac:dyDescent="0.2">
      <c r="BJ65" t="s">
        <v>614</v>
      </c>
      <c r="BK65" t="s">
        <v>381</v>
      </c>
      <c r="BL65">
        <v>3106</v>
      </c>
      <c r="BM65">
        <v>928</v>
      </c>
      <c r="BN65">
        <v>108.0595621378</v>
      </c>
      <c r="BO65">
        <v>3340</v>
      </c>
      <c r="BP65">
        <v>681</v>
      </c>
      <c r="BQ65">
        <v>164.86916167659999</v>
      </c>
      <c r="BR65">
        <v>156.45961820849999</v>
      </c>
      <c r="BS65">
        <v>3099</v>
      </c>
      <c r="BT65">
        <v>910</v>
      </c>
      <c r="BU65">
        <v>109.03614069050001</v>
      </c>
      <c r="BV65">
        <v>3323</v>
      </c>
      <c r="BW65">
        <v>655</v>
      </c>
      <c r="BX65">
        <v>178.54318387000001</v>
      </c>
      <c r="BY65">
        <v>160.47175572520001</v>
      </c>
      <c r="CA65" t="s">
        <v>384</v>
      </c>
      <c r="CB65" t="s">
        <v>916</v>
      </c>
      <c r="CC65" t="s">
        <v>1029</v>
      </c>
      <c r="CD65">
        <v>8853</v>
      </c>
      <c r="CE65">
        <v>2407</v>
      </c>
      <c r="CF65">
        <v>100.4271998193</v>
      </c>
      <c r="CG65">
        <v>11365</v>
      </c>
      <c r="CH65">
        <v>2101</v>
      </c>
      <c r="CI65">
        <v>135.42287725470001</v>
      </c>
      <c r="CJ65">
        <v>137.3812470252</v>
      </c>
      <c r="CL65" t="s">
        <v>384</v>
      </c>
      <c r="CM65" t="s">
        <v>901</v>
      </c>
      <c r="CN65" t="s">
        <v>906</v>
      </c>
      <c r="CO65">
        <v>790</v>
      </c>
      <c r="CP65">
        <v>98</v>
      </c>
      <c r="CQ65">
        <v>68.822784810100003</v>
      </c>
      <c r="CR65">
        <v>1242</v>
      </c>
      <c r="CS65">
        <v>222</v>
      </c>
      <c r="CT65">
        <v>89.179549114300002</v>
      </c>
      <c r="CU65">
        <v>101.4504504505</v>
      </c>
      <c r="CW65" t="s">
        <v>384</v>
      </c>
      <c r="CX65" t="s">
        <v>909</v>
      </c>
      <c r="CY65" t="s">
        <v>914</v>
      </c>
      <c r="CZ65">
        <v>260</v>
      </c>
      <c r="DA65">
        <v>92</v>
      </c>
      <c r="DB65">
        <v>102.6730769231</v>
      </c>
      <c r="DC65">
        <v>209</v>
      </c>
      <c r="DD65">
        <v>43</v>
      </c>
      <c r="DE65">
        <v>159.22966507180001</v>
      </c>
      <c r="DF65">
        <v>167.18604651160001</v>
      </c>
      <c r="DH65" t="s">
        <v>384</v>
      </c>
      <c r="DI65" t="s">
        <v>893</v>
      </c>
      <c r="DJ65" t="s">
        <v>898</v>
      </c>
      <c r="DK65">
        <v>263</v>
      </c>
      <c r="DL65">
        <v>76</v>
      </c>
      <c r="DM65">
        <v>97</v>
      </c>
      <c r="DN65">
        <v>235</v>
      </c>
      <c r="DO65">
        <v>57</v>
      </c>
      <c r="DP65">
        <v>144.04680851059999</v>
      </c>
      <c r="DQ65">
        <v>155.4385964912</v>
      </c>
    </row>
    <row r="66" spans="62:121" x14ac:dyDescent="0.2">
      <c r="BJ66" t="s">
        <v>381</v>
      </c>
      <c r="BK66" t="s">
        <v>381</v>
      </c>
      <c r="BL66">
        <v>65728</v>
      </c>
      <c r="BM66">
        <v>16944</v>
      </c>
      <c r="BN66">
        <v>97.943524829599994</v>
      </c>
      <c r="BO66">
        <v>90634</v>
      </c>
      <c r="BP66">
        <v>17163</v>
      </c>
      <c r="BQ66">
        <v>144.70315775540001</v>
      </c>
      <c r="BR66">
        <v>139.94837732330001</v>
      </c>
      <c r="BS66">
        <v>61684</v>
      </c>
      <c r="BT66">
        <v>15055</v>
      </c>
      <c r="BU66">
        <v>93.895451008400002</v>
      </c>
      <c r="BV66">
        <v>85713</v>
      </c>
      <c r="BW66">
        <v>16701</v>
      </c>
      <c r="BX66">
        <v>143.30766628169999</v>
      </c>
      <c r="BY66">
        <v>137.6344530268</v>
      </c>
      <c r="CA66" t="s">
        <v>385</v>
      </c>
      <c r="CB66" t="s">
        <v>916</v>
      </c>
      <c r="CC66" t="s">
        <v>1030</v>
      </c>
      <c r="CD66">
        <v>8935</v>
      </c>
      <c r="CE66">
        <v>1832</v>
      </c>
      <c r="CF66">
        <v>87.551091214300001</v>
      </c>
      <c r="CG66">
        <v>12851</v>
      </c>
      <c r="CH66">
        <v>2824</v>
      </c>
      <c r="CI66">
        <v>128.4657225119</v>
      </c>
      <c r="CJ66">
        <v>123.1625354108</v>
      </c>
      <c r="CL66" t="s">
        <v>385</v>
      </c>
      <c r="CM66" t="s">
        <v>901</v>
      </c>
      <c r="CN66" t="s">
        <v>907</v>
      </c>
      <c r="CO66">
        <v>664</v>
      </c>
      <c r="CP66">
        <v>90</v>
      </c>
      <c r="CQ66">
        <v>70.617469879500007</v>
      </c>
      <c r="CR66">
        <v>1715</v>
      </c>
      <c r="CS66">
        <v>341</v>
      </c>
      <c r="CT66">
        <v>67.747521865899998</v>
      </c>
      <c r="CU66">
        <v>72.824046920800001</v>
      </c>
      <c r="CW66" t="s">
        <v>385</v>
      </c>
      <c r="CX66" t="s">
        <v>909</v>
      </c>
      <c r="CY66" t="s">
        <v>915</v>
      </c>
      <c r="CZ66">
        <v>270</v>
      </c>
      <c r="DA66">
        <v>100</v>
      </c>
      <c r="DB66">
        <v>104.26296296300001</v>
      </c>
      <c r="DC66">
        <v>170</v>
      </c>
      <c r="DD66">
        <v>42</v>
      </c>
      <c r="DE66">
        <v>154.41764705879999</v>
      </c>
      <c r="DF66">
        <v>161.57142857139999</v>
      </c>
      <c r="DH66" t="s">
        <v>385</v>
      </c>
      <c r="DI66" t="s">
        <v>893</v>
      </c>
      <c r="DJ66" t="s">
        <v>899</v>
      </c>
      <c r="DK66">
        <v>396</v>
      </c>
      <c r="DL66">
        <v>105</v>
      </c>
      <c r="DM66">
        <v>93.558080808100001</v>
      </c>
      <c r="DN66">
        <v>395</v>
      </c>
      <c r="DO66">
        <v>96</v>
      </c>
      <c r="DP66">
        <v>146.7088607595</v>
      </c>
      <c r="DQ66">
        <v>153.8125</v>
      </c>
    </row>
    <row r="67" spans="62:121" x14ac:dyDescent="0.2">
      <c r="BJ67" t="s">
        <v>542</v>
      </c>
      <c r="BK67" t="s">
        <v>381</v>
      </c>
      <c r="BL67">
        <v>18734</v>
      </c>
      <c r="BM67">
        <v>5130</v>
      </c>
      <c r="BN67">
        <v>102.9028504324</v>
      </c>
      <c r="BO67">
        <v>28416</v>
      </c>
      <c r="BP67">
        <v>5066</v>
      </c>
      <c r="BQ67">
        <v>147.3944960586</v>
      </c>
      <c r="BR67">
        <v>144.4806553494</v>
      </c>
      <c r="BS67">
        <v>18012</v>
      </c>
      <c r="BT67">
        <v>4418</v>
      </c>
      <c r="BU67">
        <v>95.169553630899998</v>
      </c>
      <c r="BV67">
        <v>25650</v>
      </c>
      <c r="BW67">
        <v>4814</v>
      </c>
      <c r="BX67">
        <v>136.35789473680001</v>
      </c>
      <c r="BY67">
        <v>137.83090984629999</v>
      </c>
      <c r="CA67" t="s">
        <v>381</v>
      </c>
      <c r="CB67" t="s">
        <v>916</v>
      </c>
      <c r="CD67">
        <v>67580</v>
      </c>
      <c r="CE67">
        <v>17167</v>
      </c>
      <c r="CF67">
        <v>96.929431784599998</v>
      </c>
      <c r="CG67">
        <v>97046</v>
      </c>
      <c r="CH67">
        <v>18411</v>
      </c>
      <c r="CI67">
        <v>139.19627805370001</v>
      </c>
      <c r="CJ67">
        <v>134.80375862259999</v>
      </c>
      <c r="CL67" t="s">
        <v>381</v>
      </c>
      <c r="CM67" t="s">
        <v>901</v>
      </c>
      <c r="CO67">
        <v>6936</v>
      </c>
      <c r="CP67">
        <v>904</v>
      </c>
      <c r="CQ67">
        <v>70.546424452099998</v>
      </c>
      <c r="CR67">
        <v>12890</v>
      </c>
      <c r="CS67">
        <v>2577</v>
      </c>
      <c r="CT67">
        <v>82.502948021700007</v>
      </c>
      <c r="CU67">
        <v>92.756305781899997</v>
      </c>
      <c r="CW67" t="s">
        <v>381</v>
      </c>
      <c r="CX67" t="s">
        <v>909</v>
      </c>
      <c r="CZ67">
        <v>2141</v>
      </c>
      <c r="DA67">
        <v>710</v>
      </c>
      <c r="DB67">
        <v>100.30733302199999</v>
      </c>
      <c r="DC67">
        <v>1633</v>
      </c>
      <c r="DD67">
        <v>391</v>
      </c>
      <c r="DE67">
        <v>156.83098591550001</v>
      </c>
      <c r="DF67">
        <v>162.46035805630001</v>
      </c>
      <c r="DH67" t="s">
        <v>381</v>
      </c>
      <c r="DI67" t="s">
        <v>893</v>
      </c>
      <c r="DK67">
        <v>2439</v>
      </c>
      <c r="DL67">
        <v>688</v>
      </c>
      <c r="DM67">
        <v>96.487904878999998</v>
      </c>
      <c r="DN67">
        <v>2390</v>
      </c>
      <c r="DO67">
        <v>578</v>
      </c>
      <c r="DP67">
        <v>147.98577405859999</v>
      </c>
      <c r="DQ67">
        <v>158.1211072664</v>
      </c>
    </row>
    <row r="68" spans="62:121" x14ac:dyDescent="0.2">
      <c r="BJ68" t="s">
        <v>308</v>
      </c>
      <c r="BK68" t="s">
        <v>696</v>
      </c>
      <c r="BL68">
        <v>8494</v>
      </c>
      <c r="BM68">
        <v>1917</v>
      </c>
      <c r="BN68">
        <v>88.891217329900002</v>
      </c>
      <c r="BO68">
        <v>8582</v>
      </c>
      <c r="BP68">
        <v>2101</v>
      </c>
      <c r="BQ68">
        <v>137.74679561869999</v>
      </c>
      <c r="BR68">
        <v>145.16611137550001</v>
      </c>
      <c r="BS68">
        <v>2016</v>
      </c>
      <c r="BT68">
        <v>954</v>
      </c>
      <c r="BU68">
        <v>128.3258928571</v>
      </c>
      <c r="BV68">
        <v>1662</v>
      </c>
      <c r="BW68">
        <v>609</v>
      </c>
      <c r="BX68">
        <v>134.00180505419999</v>
      </c>
      <c r="BY68">
        <v>140.00164203610001</v>
      </c>
      <c r="CA68" t="s">
        <v>699</v>
      </c>
      <c r="CD68">
        <v>348466</v>
      </c>
      <c r="CE68">
        <v>81451</v>
      </c>
      <c r="CF68">
        <v>92.364339705999996</v>
      </c>
      <c r="CG68">
        <v>506253</v>
      </c>
      <c r="CH68">
        <v>96750</v>
      </c>
      <c r="CI68">
        <v>127.677991044</v>
      </c>
      <c r="CJ68">
        <v>125.5763100775</v>
      </c>
      <c r="CL68" t="s">
        <v>699</v>
      </c>
      <c r="CO68">
        <v>348466</v>
      </c>
      <c r="CP68">
        <v>81451</v>
      </c>
      <c r="CQ68">
        <v>92.364339705999996</v>
      </c>
      <c r="CR68">
        <v>506253</v>
      </c>
      <c r="CS68">
        <v>96750</v>
      </c>
      <c r="CT68">
        <v>127.677991044</v>
      </c>
      <c r="CU68">
        <v>125.5763100775</v>
      </c>
      <c r="CW68" t="s">
        <v>699</v>
      </c>
      <c r="CZ68">
        <v>348466</v>
      </c>
      <c r="DA68">
        <v>81451</v>
      </c>
      <c r="DB68">
        <v>92.364339705999996</v>
      </c>
      <c r="DC68">
        <v>506253</v>
      </c>
      <c r="DD68">
        <v>96750</v>
      </c>
      <c r="DE68">
        <v>127.677991044</v>
      </c>
      <c r="DF68">
        <v>125.5763100775</v>
      </c>
      <c r="DH68" t="s">
        <v>699</v>
      </c>
      <c r="DK68">
        <v>348466</v>
      </c>
      <c r="DL68">
        <v>81451</v>
      </c>
      <c r="DM68">
        <v>92.364339705999996</v>
      </c>
      <c r="DN68">
        <v>506253</v>
      </c>
      <c r="DO68">
        <v>96750</v>
      </c>
      <c r="DP68">
        <v>127.677991044</v>
      </c>
      <c r="DQ68">
        <v>125.5763100775</v>
      </c>
    </row>
    <row r="69" spans="62:121" x14ac:dyDescent="0.2">
      <c r="BJ69" t="s">
        <v>211</v>
      </c>
      <c r="BK69" t="s">
        <v>696</v>
      </c>
      <c r="BL69">
        <v>63</v>
      </c>
      <c r="BM69">
        <v>15</v>
      </c>
      <c r="BN69">
        <v>92.793650793699996</v>
      </c>
      <c r="BO69">
        <v>75</v>
      </c>
      <c r="BP69">
        <v>13</v>
      </c>
      <c r="BQ69">
        <v>141.28</v>
      </c>
      <c r="BR69">
        <v>129.38461538460001</v>
      </c>
      <c r="BS69">
        <v>3278</v>
      </c>
      <c r="BT69">
        <v>463</v>
      </c>
      <c r="BU69">
        <v>71.356924954199997</v>
      </c>
      <c r="BV69">
        <v>4326</v>
      </c>
      <c r="BW69">
        <v>807</v>
      </c>
      <c r="BX69">
        <v>128.21613499770001</v>
      </c>
      <c r="BY69">
        <v>138.62701363069999</v>
      </c>
    </row>
    <row r="70" spans="62:121" x14ac:dyDescent="0.2">
      <c r="BJ70" t="s">
        <v>696</v>
      </c>
      <c r="BK70" t="s">
        <v>696</v>
      </c>
      <c r="BL70">
        <v>10105</v>
      </c>
      <c r="BM70">
        <v>2335</v>
      </c>
      <c r="BN70">
        <v>89.376744185999996</v>
      </c>
      <c r="BO70">
        <v>10537</v>
      </c>
      <c r="BP70">
        <v>2444</v>
      </c>
      <c r="BQ70">
        <v>139.6254152036</v>
      </c>
      <c r="BR70">
        <v>146.5388707038</v>
      </c>
      <c r="BS70">
        <v>10105</v>
      </c>
      <c r="BT70">
        <v>2335</v>
      </c>
      <c r="BU70">
        <v>89.376744185999996</v>
      </c>
      <c r="BV70">
        <v>10537</v>
      </c>
      <c r="BW70">
        <v>2444</v>
      </c>
      <c r="BX70">
        <v>139.6254152036</v>
      </c>
      <c r="BY70">
        <v>146.5388707038</v>
      </c>
    </row>
    <row r="71" spans="62:121" x14ac:dyDescent="0.2">
      <c r="BJ71" t="s">
        <v>213</v>
      </c>
      <c r="BK71" t="s">
        <v>696</v>
      </c>
      <c r="BL71">
        <v>1548</v>
      </c>
      <c r="BM71">
        <v>403</v>
      </c>
      <c r="BN71">
        <v>91.901808785499995</v>
      </c>
      <c r="BO71">
        <v>1880</v>
      </c>
      <c r="BP71">
        <v>330</v>
      </c>
      <c r="BQ71">
        <v>148.13510638299999</v>
      </c>
      <c r="BR71">
        <v>155.95454545449999</v>
      </c>
      <c r="BS71">
        <v>4811</v>
      </c>
      <c r="BT71">
        <v>918</v>
      </c>
      <c r="BU71">
        <v>85.333402618999997</v>
      </c>
      <c r="BV71">
        <v>4549</v>
      </c>
      <c r="BW71">
        <v>1028</v>
      </c>
      <c r="BX71">
        <v>152.53000659489999</v>
      </c>
      <c r="BY71">
        <v>156.62256809339999</v>
      </c>
    </row>
    <row r="72" spans="62:121" x14ac:dyDescent="0.2">
      <c r="BJ72" t="s">
        <v>209</v>
      </c>
      <c r="BK72" t="s">
        <v>697</v>
      </c>
      <c r="BL72">
        <v>6094</v>
      </c>
      <c r="BM72">
        <v>818</v>
      </c>
      <c r="BN72">
        <v>68.050213324599994</v>
      </c>
      <c r="BO72">
        <v>16865</v>
      </c>
      <c r="BP72">
        <v>3241</v>
      </c>
      <c r="BQ72">
        <v>70.981381559400006</v>
      </c>
      <c r="BR72">
        <v>73.597655044700005</v>
      </c>
      <c r="BS72">
        <v>6114</v>
      </c>
      <c r="BT72">
        <v>815</v>
      </c>
      <c r="BU72">
        <v>67.767746156399994</v>
      </c>
      <c r="BV72">
        <v>16935</v>
      </c>
      <c r="BW72">
        <v>3253</v>
      </c>
      <c r="BX72">
        <v>71.149867139099996</v>
      </c>
      <c r="BY72">
        <v>73.725176759899995</v>
      </c>
    </row>
    <row r="73" spans="62:121" x14ac:dyDescent="0.2">
      <c r="BJ73" t="s">
        <v>224</v>
      </c>
      <c r="BK73" t="s">
        <v>697</v>
      </c>
      <c r="BL73">
        <v>720</v>
      </c>
      <c r="BM73">
        <v>371</v>
      </c>
      <c r="BN73">
        <v>179.35</v>
      </c>
      <c r="BO73">
        <v>2121</v>
      </c>
      <c r="BP73">
        <v>394</v>
      </c>
      <c r="BQ73">
        <v>54.597359736000001</v>
      </c>
      <c r="BR73">
        <v>57.005076142100002</v>
      </c>
      <c r="BS73">
        <v>633</v>
      </c>
      <c r="BT73">
        <v>359</v>
      </c>
      <c r="BU73">
        <v>196.1042654028</v>
      </c>
      <c r="BV73">
        <v>1790</v>
      </c>
      <c r="BW73">
        <v>328</v>
      </c>
      <c r="BX73">
        <v>42.169832402200001</v>
      </c>
      <c r="BY73">
        <v>40.746951219499998</v>
      </c>
    </row>
    <row r="74" spans="62:121" x14ac:dyDescent="0.2">
      <c r="BJ74" t="s">
        <v>210</v>
      </c>
      <c r="BK74" t="s">
        <v>697</v>
      </c>
      <c r="BL74">
        <v>12280</v>
      </c>
      <c r="BM74">
        <v>1503</v>
      </c>
      <c r="BN74">
        <v>69.451710097700001</v>
      </c>
      <c r="BO74">
        <v>18857</v>
      </c>
      <c r="BP74">
        <v>3846</v>
      </c>
      <c r="BQ74">
        <v>91.411094023399997</v>
      </c>
      <c r="BR74">
        <v>106.0033801352</v>
      </c>
      <c r="BS74">
        <v>12319</v>
      </c>
      <c r="BT74">
        <v>1521</v>
      </c>
      <c r="BU74">
        <v>69.624644857500002</v>
      </c>
      <c r="BV74">
        <v>18983</v>
      </c>
      <c r="BW74">
        <v>3872</v>
      </c>
      <c r="BX74">
        <v>91.843491545099994</v>
      </c>
      <c r="BY74">
        <v>106.3571797521</v>
      </c>
    </row>
    <row r="75" spans="62:121" x14ac:dyDescent="0.2">
      <c r="BJ75" t="s">
        <v>212</v>
      </c>
      <c r="BK75" t="s">
        <v>697</v>
      </c>
      <c r="BL75">
        <v>6945</v>
      </c>
      <c r="BM75">
        <v>549</v>
      </c>
      <c r="BN75">
        <v>60.989200863900003</v>
      </c>
      <c r="BO75">
        <v>21278</v>
      </c>
      <c r="BP75">
        <v>3852</v>
      </c>
      <c r="BQ75">
        <v>67.098693486200006</v>
      </c>
      <c r="BR75">
        <v>72.497663551399995</v>
      </c>
      <c r="BS75">
        <v>6972</v>
      </c>
      <c r="BT75">
        <v>545</v>
      </c>
      <c r="BU75">
        <v>60.774526678100003</v>
      </c>
      <c r="BV75">
        <v>21413</v>
      </c>
      <c r="BW75">
        <v>3880</v>
      </c>
      <c r="BX75">
        <v>67.271984308599997</v>
      </c>
      <c r="BY75">
        <v>72.920618556700006</v>
      </c>
    </row>
    <row r="76" spans="62:121" x14ac:dyDescent="0.2">
      <c r="BJ76" t="s">
        <v>697</v>
      </c>
      <c r="BK76" t="s">
        <v>697</v>
      </c>
      <c r="BL76">
        <v>26039</v>
      </c>
      <c r="BM76">
        <v>3241</v>
      </c>
      <c r="BN76">
        <v>69.905411114100005</v>
      </c>
      <c r="BO76">
        <v>59121</v>
      </c>
      <c r="BP76">
        <v>11333</v>
      </c>
      <c r="BQ76">
        <v>75.5123729301</v>
      </c>
      <c r="BR76">
        <v>83.644224830100001</v>
      </c>
      <c r="BS76">
        <v>26038</v>
      </c>
      <c r="BT76">
        <v>3240</v>
      </c>
      <c r="BU76">
        <v>69.893693832099999</v>
      </c>
      <c r="BV76">
        <v>59121</v>
      </c>
      <c r="BW76">
        <v>11333</v>
      </c>
      <c r="BX76">
        <v>75.5123729301</v>
      </c>
      <c r="BY76">
        <v>83.644224830100001</v>
      </c>
    </row>
    <row r="77" spans="62:121" x14ac:dyDescent="0.2">
      <c r="BJ77" t="s">
        <v>307</v>
      </c>
      <c r="BK77" t="s">
        <v>698</v>
      </c>
      <c r="BL77">
        <v>6920</v>
      </c>
      <c r="BM77">
        <v>1894</v>
      </c>
      <c r="BN77">
        <v>93.346676300599995</v>
      </c>
      <c r="BO77">
        <v>5188</v>
      </c>
      <c r="BP77">
        <v>1321</v>
      </c>
      <c r="BQ77">
        <v>150.0321896685</v>
      </c>
      <c r="BR77">
        <v>154.5548826646</v>
      </c>
      <c r="BS77">
        <v>1481</v>
      </c>
      <c r="BT77">
        <v>651</v>
      </c>
      <c r="BU77">
        <v>111.8217420662</v>
      </c>
      <c r="BV77">
        <v>555</v>
      </c>
      <c r="BW77">
        <v>406</v>
      </c>
      <c r="BX77">
        <v>132.98018018019999</v>
      </c>
      <c r="BY77">
        <v>131.61083743840001</v>
      </c>
    </row>
    <row r="78" spans="62:121" x14ac:dyDescent="0.2">
      <c r="BJ78" t="s">
        <v>957</v>
      </c>
      <c r="BK78" t="s">
        <v>698</v>
      </c>
      <c r="BL78">
        <v>1518</v>
      </c>
      <c r="BM78">
        <v>358</v>
      </c>
      <c r="BN78">
        <v>85.098155467699996</v>
      </c>
      <c r="BO78">
        <v>1876</v>
      </c>
      <c r="BP78">
        <v>430</v>
      </c>
      <c r="BQ78">
        <v>132.0181236674</v>
      </c>
      <c r="BR78">
        <v>142.74186046509999</v>
      </c>
      <c r="BS78">
        <v>3831</v>
      </c>
      <c r="BT78">
        <v>698</v>
      </c>
      <c r="BU78">
        <v>78.991908117999998</v>
      </c>
      <c r="BV78">
        <v>4003</v>
      </c>
      <c r="BW78">
        <v>808</v>
      </c>
      <c r="BX78">
        <v>134.751936048</v>
      </c>
      <c r="BY78">
        <v>148.61509900990001</v>
      </c>
    </row>
    <row r="79" spans="62:121" x14ac:dyDescent="0.2">
      <c r="BJ79" t="s">
        <v>698</v>
      </c>
      <c r="BK79" t="s">
        <v>698</v>
      </c>
      <c r="BL79">
        <v>10002</v>
      </c>
      <c r="BM79">
        <v>2809</v>
      </c>
      <c r="BN79">
        <v>93.487202559500005</v>
      </c>
      <c r="BO79">
        <v>8519</v>
      </c>
      <c r="BP79">
        <v>2065</v>
      </c>
      <c r="BQ79">
        <v>147.20671440309999</v>
      </c>
      <c r="BR79">
        <v>153.45569007259999</v>
      </c>
      <c r="BS79">
        <v>10002</v>
      </c>
      <c r="BT79">
        <v>2809</v>
      </c>
      <c r="BU79">
        <v>93.487202559500005</v>
      </c>
      <c r="BV79">
        <v>8519</v>
      </c>
      <c r="BW79">
        <v>2065</v>
      </c>
      <c r="BX79">
        <v>147.20671440309999</v>
      </c>
      <c r="BY79">
        <v>153.45569007259999</v>
      </c>
    </row>
    <row r="80" spans="62:121" x14ac:dyDescent="0.2">
      <c r="BJ80" t="s">
        <v>958</v>
      </c>
      <c r="BK80" t="s">
        <v>698</v>
      </c>
      <c r="BL80">
        <v>1564</v>
      </c>
      <c r="BM80">
        <v>557</v>
      </c>
      <c r="BN80">
        <v>102.2512787724</v>
      </c>
      <c r="BO80">
        <v>1455</v>
      </c>
      <c r="BP80">
        <v>314</v>
      </c>
      <c r="BQ80">
        <v>156.71546391749999</v>
      </c>
      <c r="BR80">
        <v>163.5031847134</v>
      </c>
      <c r="BS80">
        <v>4690</v>
      </c>
      <c r="BT80">
        <v>1460</v>
      </c>
      <c r="BU80">
        <v>99.537953091700004</v>
      </c>
      <c r="BV80">
        <v>3961</v>
      </c>
      <c r="BW80">
        <v>851</v>
      </c>
      <c r="BX80">
        <v>161.7869224943</v>
      </c>
      <c r="BY80">
        <v>168.47356051700001</v>
      </c>
    </row>
    <row r="81" spans="62:77" x14ac:dyDescent="0.2">
      <c r="BJ81" t="s">
        <v>699</v>
      </c>
      <c r="BL81">
        <v>348466</v>
      </c>
      <c r="BM81">
        <v>81451</v>
      </c>
      <c r="BN81" s="153">
        <v>92.364339705999996</v>
      </c>
      <c r="BO81">
        <v>506253</v>
      </c>
      <c r="BP81">
        <v>96750</v>
      </c>
      <c r="BQ81">
        <v>127.677991044</v>
      </c>
      <c r="BR81">
        <v>125.5763100775</v>
      </c>
      <c r="BS81">
        <v>348466</v>
      </c>
      <c r="BT81">
        <v>81451</v>
      </c>
      <c r="BU81">
        <v>92.364339705999996</v>
      </c>
      <c r="BV81">
        <v>506253</v>
      </c>
      <c r="BW81">
        <v>96750</v>
      </c>
      <c r="BX81">
        <v>127.677991044</v>
      </c>
      <c r="BY81">
        <v>125.5763100775</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348466</CP_Inventory>
    <Fiscal_Year xmlns="c9744be7-b815-40bc-84fa-afc9c406d9bc">2016</Fiscal_Year>
    <CP_Backlog xmlns="c9744be7-b815-40bc-84fa-afc9c406d9bc">81451</CP_Backlog>
    <Creation_date xmlns="c9744be7-b815-40bc-84fa-afc9c406d9bc">2016-02-29T00:00:00</Creation_date>
    <Data_date xmlns="c9744be7-b815-40bc-84fa-afc9c406d9bc">2016-02-27T00:00:00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infopath/2007/PartnerControls"/>
    <ds:schemaRef ds:uri="http://purl.org/dc/dcmitype/"/>
    <ds:schemaRef ds:uri="http://purl.org/dc/elements/1.1/"/>
    <ds:schemaRef ds:uri="fef9c9dc-374b-4157-9e06-089f148416e5"/>
    <ds:schemaRef ds:uri="c9744be7-b815-40bc-84fa-afc9c406d9bc"/>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2016-03-01T14:11:06Z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