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<sst xmlns="http://schemas.openxmlformats.org/spreadsheetml/2006/main" count="4090" uniqueCount="1065">
  <si>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</si>
  <si>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</si>
  <si>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</si>
  <si>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</si>
  <si>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</si>
  <si>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</si>
  <si>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</si>
  <si>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</si>
  <si>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</si>
  <si>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</si>
  <si>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</si>
  <si>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</si>
  <si>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</si>
  <si>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</si>
  <si>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</si>
  <si>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</si>
  <si>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</si>
  <si>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</si>
  <si>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</si>
  <si>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</si>
  <si>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</si>
  <si>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</si>
  <si>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</si>
  <si>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</si>
  <si>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</si>
  <si>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</si>
  <si>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</si>
  <si>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</si>
  <si>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</si>
  <si>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</si>
  <si>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</si>
  <si>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</si>
  <si>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</si>
  <si>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</si>
  <si>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</si>
  <si>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</si>
  <si>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</si>
  <si>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</si>
  <si>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</si>
  <si>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</si>
  <si>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</si>
  <si>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</si>
  <si>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</si>
  <si>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</si>
  <si>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</si>
  <si>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</si>
  <si>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</si>
  <si>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</si>
  <si>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</si>
  <si>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</si>
  <si>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</si>
  <si>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</si>
  <si>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</si>
  <si>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</si>
  <si>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</si>
  <si>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</si>
  <si>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</si>
  <si>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</si>
  <si>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</si>
  <si>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</si>
  <si>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</si>
  <si>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</si>
  <si>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</si>
  <si>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</si>
  <si>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</si>
  <si>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</si>
  <si>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</si>
  <si>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</si>
  <si>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</si>
  <si>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</si>
  <si>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</si>
  <si>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</si>
  <si>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</si>
  <si>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</si>
  <si>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</si>
  <si>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</si>
  <si>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</si>
  <si>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</si>
  <si>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</si>
  <si>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</si>
  <si>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</si>
  <si>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</si>
  <si>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</si>
  <si>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</si>
  <si>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</si>
  <si>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</si>
  <si>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</si>
  <si>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</si>
  <si>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</si>
  <si>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</si>
  <si>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</si>
  <si>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</si>
  <si>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</si>
  <si>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</si>
  <si>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</si>
  <si>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</si>
  <si>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</si>
  <si>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</si>
  <si>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</si>
  <si>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</si>
  <si>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</si>
  <si>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</si>
  <si>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</si>
  <si>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</si>
  <si>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</si>
  <si>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</si>
  <si>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</si>
  <si>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</si>
  <si>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</si>
  <si>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</si>
  <si>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</si>
  <si>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</si>
  <si>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</si>
  <si>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</si>
  <si>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</si>
  <si>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</si>
  <si>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</si>
  <si>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</si>
  <si>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</si>
  <si>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</si>
  <si>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</si>
  <si>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</si>
  <si>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</si>
  <si>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</si>
  <si>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</si>
  <si>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</si>
  <si>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</si>
  <si>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</si>
  <si>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</si>
  <si>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</si>
  <si>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</si>
  <si>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</si>
  <si>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</si>
  <si>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</si>
  <si>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</si>
  <si>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</si>
  <si>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</si>
  <si>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</si>
  <si>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</si>
  <si>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</si>
  <si>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</si>
  <si>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</si>
  <si>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</si>
  <si>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</si>
  <si>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</si>
  <si>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</si>
  <si>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</si>
  <si>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</si>
  <si>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</si>
  <si>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</si>
  <si>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</si>
  <si>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</si>
  <si>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</si>
  <si>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</si>
  <si>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</si>
  <si>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</si>
  <si>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</si>
  <si>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</si>
  <si>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</si>
  <si>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</si>
  <si>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</si>
  <si>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</si>
  <si>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</si>
  <si>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</si>
  <si>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</si>
  <si>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</si>
  <si>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</si>
  <si>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</si>
  <si>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</si>
  <si>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</si>
  <si>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</si>
  <si>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</si>
  <si>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</si>
  <si>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</si>
  <si>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</si>
  <si>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</si>
  <si>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</si>
  <si>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</si>
  <si>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</si>
  <si>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</si>
  <si>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</si>
  <si>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</si>
  <si>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</si>
  <si>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</si>
  <si>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</si>
  <si>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</si>
  <si>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</si>
  <si>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</si>
  <si>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</si>
  <si>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</si>
  <si>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</si>
  <si>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</si>
  <si>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</si>
  <si>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</si>
  <si>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</si>
  <si>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</si>
  <si>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</si>
  <si>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</si>
  <si>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</si>
  <si>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</si>
  <si>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</si>
  <si>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</si>
  <si>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</si>
  <si>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</si>
  <si>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</si>
  <si>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</si>
  <si>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</si>
  <si>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</si>
  <si>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</si>
  <si>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</si>
  <si>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</si>
  <si>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</si>
  <si>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</si>
  <si>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</si>
  <si>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</si>
  <si>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</si>
  <si>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</si>
  <si>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</si>
  <si>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</si>
  <si>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</si>
  <si>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</si>
  <si>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</si>
  <si>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</si>
  <si>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</si>
  <si>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</si>
  <si>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</si>
  <si>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</si>
  <si>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</si>
  <si>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</si>
  <si>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</si>
  <si>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</si>
  <si>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</si>
  <si>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</si>
  <si>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</si>
  <si>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</si>
  <si>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</si>
  <si>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</si>
  <si>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</si>
  <si>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</si>
  <si>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</si>
  <si>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</si>
  <si>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</si>
  <si>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</si>
  <si>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</si>
  <si>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</si>
  <si>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</si>
  <si>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</si>
  <si>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</si>
  <si>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</si>
  <si>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</si>
  <si>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</si>
  <si>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</si>
  <si>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</si>
  <si>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</si>
  <si>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</si>
  <si>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</si>
  <si>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</si>
  <si>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</si>
  <si>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</si>
  <si>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</si>
  <si>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</si>
  <si>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</si>
  <si>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</si>
  <si>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</si>
  <si>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</si>
  <si>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</si>
  <si>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</si>
  <si>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</si>
  <si>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</si>
  <si>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</si>
  <si>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</si>
  <si>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</si>
  <si>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</si>
  <si>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</si>
  <si>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</si>
  <si>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</si>
  <si>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</si>
  <si>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</si>
  <si>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</si>
  <si>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</si>
  <si>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</si>
  <si>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</si>
  <si>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</si>
  <si>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</si>
  <si>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</si>
  <si>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</si>
  <si>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</si>
  <si>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</si>
  <si>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</si>
  <si>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</si>
  <si>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</si>
  <si>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</si>
  <si>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</si>
  <si>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</si>
  <si>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</si>
  <si>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</si>
  <si>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</si>
  <si>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</si>
  <si>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</si>
  <si>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</si>
  <si>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</si>
  <si>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</si>
  <si>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</si>
  <si>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</si>
  <si>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</si>
  <si>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</si>
  <si>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</si>
  <si>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</si>
  <si>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</si>
  <si>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</si>
  <si>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</si>
  <si>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</si>
  <si>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</si>
  <si>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</si>
  <si>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</si>
  <si>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</si>
  <si>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</si>
  <si>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</si>
  <si>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</si>
  <si>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</si>
  <si>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</si>
  <si>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</si>
  <si>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</si>
  <si>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</si>
  <si>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</si>
  <si>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</si>
  <si>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</si>
  <si>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</si>
  <si>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</si>
  <si>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</si>
  <si>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</si>
  <si>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</si>
  <si>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</si>
  <si>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</si>
  <si>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</si>
  <si>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</si>
  <si>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</si>
  <si>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</si>
  <si>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</si>
  <si>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</si>
  <si>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</si>
  <si>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</si>
  <si>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</si>
  <si>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</si>
  <si>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</si>
  <si>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</si>
  <si>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</si>
  <si>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</si>
  <si>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</si>
  <si>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</si>
  <si>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</si>
  <si>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</si>
  <si>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</si>
  <si>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</si>
  <si>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</si>
  <si>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</si>
  <si>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</si>
  <si>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</si>
  <si>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</si>
  <si>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</si>
  <si>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</si>
  <si>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</si>
  <si>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</si>
  <si>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</si>
  <si>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</si>
  <si>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</si>
  <si>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</si>
  <si>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</si>
  <si>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</si>
  <si>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</si>
  <si>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</si>
  <si>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</si>
  <si>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</si>
  <si>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</si>
  <si>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</si>
  <si>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</si>
  <si>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</si>
  <si>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</si>
  <si>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</si>
  <si>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</si>
  <si>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</si>
  <si>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</si>
  <si>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</si>
  <si>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</si>
  <si>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</si>
  <si>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</si>
  <si>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</si>
  <si>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</si>
  <si>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</si>
  <si>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</si>
  <si>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</si>
  <si>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</si>
  <si>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</si>
  <si>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</si>
  <si>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</si>
  <si>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</si>
  <si>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</si>
  <si>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</si>
  <si>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</si>
  <si>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</si>
  <si>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</si>
  <si>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</si>
  <si>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</si>
  <si>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</si>
  <si>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</si>
  <si>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</si>
  <si>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</si>
  <si>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</si>
  <si>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</si>
  <si>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</si>
  <si>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</si>
  <si>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</si>
  <si>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</si>
  <si>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</si>
  <si>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</si>
  <si>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</si>
  <si>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</si>
  <si>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</si>
  <si>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</si>
  <si>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</si>
  <si>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</si>
  <si>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</si>
  <si>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</si>
  <si>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</si>
  <si>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</si>
  <si>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</si>
  <si>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</si>
  <si>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</si>
  <si>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</si>
  <si>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</si>
  <si>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</si>
  <si>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</si>
  <si>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</si>
  <si>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</si>
  <si>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</si>
  <si>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</si>
  <si>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</si>
  <si>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</si>
  <si>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</si>
  <si>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</si>
  <si>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</si>
  <si>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</si>
  <si>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</si>
  <si>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</si>
  <si>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</si>
  <si>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</si>
  <si>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</si>
  <si>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</si>
  <si>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</si>
  <si>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</si>
  <si>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</si>
  <si>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</si>
  <si>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</si>
  <si>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</si>
  <si>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</si>
  <si>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</si>
  <si>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</si>
  <si>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</si>
  <si>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</si>
  <si>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</si>
  <si>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</si>
  <si>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</si>
  <si>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</si>
  <si>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</si>
  <si>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</si>
  <si>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</si>
  <si>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</si>
  <si>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</si>
  <si>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</si>
  <si>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</si>
  <si>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</si>
  <si>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</si>
  <si>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</si>
  <si>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</si>
  <si>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</si>
  <si>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</si>
  <si>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</si>
  <si>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</si>
  <si>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</si>
  <si>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</si>
  <si>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</si>
  <si>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</si>
  <si>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</si>
  <si>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</si>
  <si>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</si>
  <si>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</si>
  <si>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</si>
  <si>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</si>
  <si>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</si>
  <si>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</si>
  <si>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</si>
  <si>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</si>
  <si>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</si>
  <si>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</si>
  <si>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</si>
  <si>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</si>
  <si>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</si>
  <si>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</si>
  <si>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</si>
  <si>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</si>
  <si>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</si>
  <si>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</si>
  <si>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</si>
  <si>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</si>
  <si>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</si>
  <si>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</si>
  <si>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</si>
  <si>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</si>
  <si>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</si>
  <si>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</si>
  <si>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</si>
  <si>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</si>
  <si>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</si>
  <si>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</si>
  <si>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</si>
  <si>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</si>
  <si>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</si>
  <si>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</si>
  <si>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</si>
  <si>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</si>
  <si>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</si>
  <si>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</si>
  <si>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</si>
  <si>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</si>
  <si>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</si>
  <si>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</si>
  <si>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</si>
  <si>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</si>
  <si>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</si>
  <si>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</si>
  <si>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</si>
  <si>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</si>
  <si>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</si>
  <si>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</si>
  <si>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</si>
  <si>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</si>
  <si>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</si>
  <si>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</si>
  <si>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</si>
  <si>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</si>
  <si>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</si>
  <si>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</si>
  <si>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</si>
  <si>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</si>
  <si>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</si>
  <si>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</si>
  <si>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</si>
  <si>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</si>
  <si>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</si>
  <si>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</si>
  <si>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</si>
  <si>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</si>
  <si>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</si>
  <si>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</si>
  <si>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</si>
  <si>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</si>
  <si>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</si>
  <si>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</si>
  <si>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</si>
  <si>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</si>
  <si>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</si>
  <si>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</si>
  <si>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</si>
  <si>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</si>
  <si>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</si>
  <si>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</si>
  <si>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</si>
  <si>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</si>
  <si>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</si>
  <si>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</si>
  <si>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</si>
  <si>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</si>
  <si>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</si>
  <si>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</si>
  <si>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</si>
  <si>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</si>
  <si>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</si>
  <si>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</si>
  <si>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</si>
  <si>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</si>
  <si>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</si>
  <si>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</si>
  <si>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</si>
  <si>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</si>
  <si>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</si>
  <si>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</si>
  <si>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</si>
  <si>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</si>
  <si>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</si>
  <si>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</si>
  <si>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</si>
  <si>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</si>
  <si>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</si>
  <si>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</si>
  <si>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</si>
  <si>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</si>
  <si>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</si>
  <si>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</si>
  <si>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</si>
  <si>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</si>
  <si>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</si>
  <si>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</si>
  <si>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</si>
  <si>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</si>
  <si>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</si>
  <si>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</si>
  <si>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</si>
  <si>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</si>
  <si>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</si>
  <si>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</si>
  <si>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</si>
  <si>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</si>
  <si>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</si>
  <si>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</si>
  <si>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</si>
  <si>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</si>
  <si>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</si>
  <si>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</si>
  <si>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</si>
  <si>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</si>
  <si>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</si>
  <si>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</si>
  <si>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</si>
  <si>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</si>
  <si>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</si>
  <si>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</si>
  <si>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</si>
  <si>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</si>
  <si>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</si>
  <si>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</si>
  <si>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</si>
  <si>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</si>
  <si>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</si>
  <si>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</si>
  <si>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</si>
  <si>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</si>
  <si>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</si>
  <si>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</si>
  <si>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</si>
  <si>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</si>
  <si>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</si>
  <si>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</si>
  <si>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</si>
  <si>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</si>
  <si>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</si>
  <si>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</si>
  <si>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</si>
  <si>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</si>
  <si>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</si>
  <si>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</si>
  <si>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</si>
  <si>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</si>
  <si>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</si>
  <si>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</si>
  <si>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</si>
  <si>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</si>
  <si>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</si>
  <si>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</si>
  <si>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</si>
  <si>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</si>
  <si>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</si>
  <si>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</si>
  <si>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</si>
  <si>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</si>
  <si>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</si>
  <si>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</si>
  <si>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</si>
  <si>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</si>
  <si>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</si>
  <si>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</si>
  <si>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</si>
  <si>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</si>
  <si>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</si>
  <si>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</si>
  <si>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</si>
  <si>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</si>
  <si>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</si>
  <si>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</si>
  <si>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</si>
  <si>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</si>
  <si>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</si>
  <si>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</si>
  <si>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</si>
  <si>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</si>
  <si>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</si>
  <si>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</si>
  <si>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</si>
  <si>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</si>
  <si>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</si>
  <si>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</si>
  <si>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</si>
  <si>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</si>
  <si>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</si>
  <si>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</si>
  <si>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</si>
  <si>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</si>
  <si>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</si>
  <si>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</si>
  <si>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</si>
  <si>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</si>
  <si>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</si>
  <si>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</si>
  <si>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</si>
  <si>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</si>
  <si>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</si>
  <si>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</si>
  <si>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</si>
  <si>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</si>
  <si>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</si>
  <si>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</si>
  <si>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</si>
  <si>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</si>
  <si>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</si>
  <si>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</si>
  <si>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</si>
  <si>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</si>
  <si>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</si>
  <si>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</si>
  <si>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</si>
  <si>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</si>
  <si>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</si>
  <si>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</si>
  <si>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</si>
  <si>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</si>
  <si>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</si>
  <si>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</si>
  <si>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</si>
  <si>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</si>
  <si>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</si>
  <si>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</si>
  <si>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</si>
  <si>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</si>
  <si>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</si>
  <si>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</si>
  <si>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</si>
  <si>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</si>
  <si>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</si>
  <si>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</si>
  <si>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</si>
  <si>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</si>
  <si>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</si>
  <si>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</si>
  <si>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</si>
  <si>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</si>
  <si>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</si>
  <si>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</si>
  <si>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</si>
  <si>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</si>
  <si>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</si>
  <si>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</si>
  <si>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</si>
  <si>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</si>
  <si>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</si>
  <si>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</si>
  <si>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</si>
  <si>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</si>
  <si>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</si>
  <si>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</si>
  <si>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</si>
  <si>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</si>
  <si>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</si>
  <si>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</si>
  <si>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</si>
  <si>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</si>
  <si>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</si>
  <si>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</si>
  <si>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</si>
  <si>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</si>
  <si>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</si>
  <si>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</si>
  <si>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</si>
  <si>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</si>
  <si>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</si>
  <si>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</si>
  <si>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</si>
  <si>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</si>
  <si>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</si>
  <si>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</si>
  <si>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</si>
  <si>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</si>
  <si>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</si>
  <si>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</si>
  <si>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</si>
  <si>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</si>
  <si>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</si>
  <si>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</si>
  <si>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</si>
  <si>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</si>
  <si>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</si>
  <si>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</si>
  <si>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</si>
  <si>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</si>
  <si>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</si>
  <si>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</si>
  <si>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</si>
  <si>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</si>
  <si>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</si>
  <si>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</si>
  <si>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</si>
  <si>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</si>
  <si>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</si>
  <si>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</si>
  <si>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</si>
  <si>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</si>
  <si>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</si>
  <si>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</si>
  <si>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</si>
  <si>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</si>
  <si>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</si>
  <si>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</si>
  <si>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</si>
  <si>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</si>
  <si>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</si>
  <si>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</si>
  <si>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</si>
  <si>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</si>
  <si>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</si>
  <si>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</si>
  <si>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</si>
  <si>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</si>
  <si>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</si>
  <si>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</si>
  <si>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</si>
  <si>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</si>
  <si>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</si>
  <si>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</si>
  <si>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</si>
  <si>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</si>
  <si>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</si>
  <si>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</si>
  <si>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</si>
  <si>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</si>
  <si>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</si>
  <si>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</si>
  <si>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</si>
  <si>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</si>
  <si>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</si>
  <si>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</si>
  <si>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</si>
  <si>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</si>
  <si>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</si>
  <si>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</si>
  <si>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</si>
  <si>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</si>
  <si>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</si>
  <si>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</si>
  <si>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</si>
  <si>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</si>
  <si>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</si>
  <si>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</si>
  <si>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</si>
  <si>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</si>
  <si>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</si>
  <si>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</si>
  <si>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</si>
  <si>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</si>
  <si>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</si>
  <si>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</si>
  <si>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</si>
  <si>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</si>
  <si>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</si>
  <si>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</si>
  <si>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</si>
  <si>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</si>
  <si>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</si>
  <si>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</si>
  <si>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</si>
  <si>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</si>
  <si>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</si>
  <si>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</si>
  <si>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</si>
  <si>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</si>
  <si>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</si>
  <si>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</si>
  <si>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</si>
  <si>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</si>
  <si>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</si>
  <si>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</si>
  <si>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</si>
  <si>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</si>
  <si>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</si>
  <si>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</si>
  <si>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</si>
  <si>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</si>
  <si>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</si>
  <si>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</si>
  <si>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</si>
  <si>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</si>
  <si>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</si>
  <si>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</si>
  <si>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</si>
  <si>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</si>
  <si>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</si>
  <si>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</si>
  <si>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</si>
  <si>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</si>
  <si>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</si>
  <si>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</si>
  <si>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</si>
  <si>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</si>
  <si>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</si>
  <si>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</si>
  <si>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</si>
  <si>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</si>
  <si>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</si>
  <si>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</si>
  <si>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</si>
  <si>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</si>
  <si>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</si>
  <si>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</si>
  <si>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</si>
  <si>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</si>
  <si>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</si>
  <si>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</si>
  <si>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</si>
  <si>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</si>
  <si>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</si>
  <si>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</si>
  <si>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</si>
  <si>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</si>
  <si>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</si>
  <si>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</si>
  <si>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</si>
  <si>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</si>
  <si>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</si>
  <si>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</si>
  <si>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</si>
  <si>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</si>
  <si>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</si>
  <si>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</si>
  <si>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</si>
  <si>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</si>
  <si>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</si>
  <si>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</si>
  <si>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</si>
  <si>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</si>
  <si>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</si>
  <si>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</si>
  <si>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</si>
  <si>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</si>
  <si>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</si>
  <si>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</si>
  <si>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</si>
  <si>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</si>
  <si>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</si>
  <si>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</si>
  <si>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</si>
  <si>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</si>
  <si>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</si>
  <si>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</si>
  <si>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</si>
  <si>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</si>
  <si>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</si>
  <si>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</si>
  <si>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</si>
  <si>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</si>
  <si>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</si>
  <si>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</si>
  <si>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</si>
  <si>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</si>
  <si>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</si>
  <si>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</si>
  <si>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</si>
  <si>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</si>
  <si>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</si>
  <si>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</si>
  <si>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</si>
  <si>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</si>
  <si>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</si>
  <si>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</si>
  <si>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</si>
  <si>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</si>
  <si>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</si>
  <si>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</si>
  <si>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</si>
  <si>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</si>
  <si>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</si>
  <si>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</si>
  <si>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</si>
  <si>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</si>
  <si>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</si>
  <si>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</si>
  <si>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</si>
  <si>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</si>
  <si>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</si>
  <si>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</si>
  <si>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</si>
  <si>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</si>
  <si>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</si>
  <si>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</si>
  <si>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</si>
  <si>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</si>
  <si>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</si>
  <si>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</si>
  <si>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</si>
  <si>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</si>
  <si>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</si>
  <si>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</si>
  <si>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</si>
  <si>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</si>
  <si>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</si>
  <si>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</si>
  <si>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</si>
  <si>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</si>
  <si>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</si>
  <si>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</si>
  <si>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</si>
  <si>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</si>
  <si>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</si>
  <si>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</si>
  <si>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</si>
  <si>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</si>
  <si>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</si>
  <si>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</si>
  <si>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</si>
  <si>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</si>
  <si>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</si>
  <si>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</si>
  <si>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</si>
  <si>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</si>
  <si>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</si>
  <si>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</si>
  <si>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</si>
  <si>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</si>
  <si>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</si>
  <si>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</si>
  <si>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</si>
  <si>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</si>
  <si>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</si>
  <si>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</si>
  <si>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</si>
  <si>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</si>
  <si>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</si>
  <si>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</si>
  <si>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</si>
  <si>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</si>
  <si>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</si>
  <si>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</si>
  <si>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</si>
  <si>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</si>
  <si>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</si>
  <si>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</si>
  <si>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</si>
  <si>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</si>
  <si>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</si>
  <si>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</si>
  <si>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</si>
  <si>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</si>
  <si>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</si>
  <si>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</si>
  <si>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</si>
  <si>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</si>
  <si>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</si>
  <si>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</si>
  <si>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</si>
  <si>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</si>
  <si>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</si>
  <si>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</si>
  <si>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</si>
  <si>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</si>
  <si>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</si>
  <si>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</si>
  <si>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687</t>
  </si>
  <si>
    <t>Current Pending on 05/28/2016</t>
  </si>
  <si>
    <t>Prior Pending on 05/21/2016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</si>
</sst>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1048</v>
      </c>
      <c r="C2" t="s">
        <v>502</v>
      </c>
      <c r="D2" t="s">
        <v>918</v>
      </c>
      <c r="E2" t="s">
        <v>919</v>
      </c>
      <c r="F2" t="s">
        <v>920</v>
      </c>
      <c r="G2" t="s">
        <v>921</v>
      </c>
      <c r="H2" t="s">
        <v>923</v>
      </c>
      <c r="I2" t="s">
        <v>1042</v>
      </c>
      <c r="J2" t="s">
        <v>924</v>
      </c>
      <c r="K2" t="s">
        <v>925</v>
      </c>
      <c r="L2" t="s">
        <v>922</v>
      </c>
      <c r="M2" t="s">
        <v>927</v>
      </c>
      <c r="N2" t="s">
        <v>928</v>
      </c>
      <c r="O2" t="s">
        <v>929</v>
      </c>
      <c r="P2" t="s">
        <v>930</v>
      </c>
    </row>
    <row r="3" spans="2:16" x14ac:dyDescent="0.2">
      <c r="B3" t="s">
        <v>586</v>
      </c>
      <c r="C3" t="s">
        <v>404</v>
      </c>
      <c r="D3" s="18">
        <v>42493.418969907405</v>
      </c>
      <c r="E3" t="s">
        <v>163</v>
      </c>
      <c r="F3" s="19">
        <v>0.9813161075224005</v>
      </c>
      <c r="G3" s="19">
        <v>0.93643366437484099</v>
      </c>
      <c r="H3" s="19">
        <v>0.92747306486167602</v>
      </c>
      <c r="I3" s="19">
        <v>4.2993913925636063E-2</v>
      </c>
      <c r="J3" s="19">
        <v>0.91753599786144169</v>
      </c>
      <c r="K3" s="19">
        <v>4.8409874713211565E-2</v>
      </c>
      <c r="L3" s="19"/>
      <c r="M3" s="19"/>
      <c r="N3" s="19"/>
      <c r="O3" s="19"/>
      <c r="P3" s="19"/>
    </row>
    <row r="4" spans="2:16" x14ac:dyDescent="0.2">
      <c r="B4" t="s">
        <v>645</v>
      </c>
      <c r="C4" t="s">
        <v>404</v>
      </c>
      <c r="D4" s="18">
        <v>42493.418969907405</v>
      </c>
      <c r="E4" t="s">
        <v>188</v>
      </c>
      <c r="F4" s="19">
        <v>0.945091514143095</v>
      </c>
      <c r="G4" s="19">
        <v>0.85058060109289613</v>
      </c>
      <c r="H4" s="19">
        <v>0.88897678248206968</v>
      </c>
      <c r="I4" s="19">
        <v>4.5681677700528098E-2</v>
      </c>
      <c r="J4" s="19">
        <v>0.94165327171656299</v>
      </c>
      <c r="K4" s="19">
        <v>4.5098221873477368E-2</v>
      </c>
      <c r="L4" s="19"/>
      <c r="M4" s="19"/>
      <c r="N4" s="19"/>
      <c r="O4" s="19"/>
      <c r="P4" s="19"/>
    </row>
    <row r="5" spans="2:16" x14ac:dyDescent="0.2">
      <c r="B5" t="s">
        <v>539</v>
      </c>
      <c r="C5" t="s">
        <v>380</v>
      </c>
      <c r="D5" s="18">
        <v>42493.418969907405</v>
      </c>
      <c r="E5" t="s">
        <v>145</v>
      </c>
      <c r="F5" s="19">
        <v>0.86587063424179067</v>
      </c>
      <c r="G5" s="19">
        <v>0.79515384416991208</v>
      </c>
      <c r="H5" s="19">
        <v>0.87252426215250556</v>
      </c>
      <c r="I5" s="19">
        <v>4.9173393983439694E-2</v>
      </c>
      <c r="J5" s="19">
        <v>0.8725550727316489</v>
      </c>
      <c r="K5" s="19">
        <v>4.8030807476453462E-2</v>
      </c>
      <c r="L5" s="19"/>
      <c r="M5" s="19"/>
      <c r="N5" s="19"/>
      <c r="O5" s="19"/>
      <c r="P5" s="19"/>
    </row>
    <row r="6" spans="2:16" x14ac:dyDescent="0.2">
      <c r="B6" t="s">
        <v>533</v>
      </c>
      <c r="C6" t="s">
        <v>369</v>
      </c>
      <c r="D6" s="18">
        <v>42493.418969907405</v>
      </c>
      <c r="E6" t="s">
        <v>143</v>
      </c>
      <c r="F6" s="19">
        <v>0.92837314473327059</v>
      </c>
      <c r="G6" s="19">
        <v>0.7709332165468068</v>
      </c>
      <c r="H6" s="19">
        <v>0.82257499032598114</v>
      </c>
      <c r="I6" s="19">
        <v>4.5359962260500312E-2</v>
      </c>
      <c r="J6" s="19">
        <v>0.89082682834602978</v>
      </c>
      <c r="K6" s="19">
        <v>4.7337825081612411E-2</v>
      </c>
      <c r="L6" s="19"/>
      <c r="M6" s="19"/>
      <c r="N6" s="19"/>
      <c r="O6" s="19"/>
      <c r="P6" s="19"/>
    </row>
    <row r="7" spans="2:16" x14ac:dyDescent="0.2">
      <c r="B7" t="s">
        <v>601</v>
      </c>
      <c r="C7" t="s">
        <v>404</v>
      </c>
      <c r="D7" s="18">
        <v>42493.418969907405</v>
      </c>
      <c r="E7" t="s">
        <v>169</v>
      </c>
      <c r="F7" s="19">
        <v>0.90688598651404473</v>
      </c>
      <c r="G7" s="19">
        <v>0.8518154945733698</v>
      </c>
      <c r="H7" s="19">
        <v>0.91959108230128839</v>
      </c>
      <c r="I7" s="19">
        <v>4.6879419868408191E-2</v>
      </c>
      <c r="J7" s="19">
        <v>0.97090070050795119</v>
      </c>
      <c r="K7" s="19">
        <v>2.6778355600858533E-2</v>
      </c>
      <c r="L7" s="19"/>
      <c r="M7" s="19"/>
      <c r="N7" s="19"/>
      <c r="O7" s="19"/>
      <c r="P7" s="19"/>
    </row>
    <row r="8" spans="2:16" x14ac:dyDescent="0.2">
      <c r="B8" t="s">
        <v>512</v>
      </c>
      <c r="C8" t="s">
        <v>369</v>
      </c>
      <c r="D8" s="18">
        <v>42493.418969907405</v>
      </c>
      <c r="E8" t="s">
        <v>136</v>
      </c>
      <c r="F8" s="19">
        <v>0.93850543962903532</v>
      </c>
      <c r="G8" s="19">
        <v>0.79292619825708055</v>
      </c>
      <c r="H8" s="19">
        <v>0.81398201846196083</v>
      </c>
      <c r="I8" s="19">
        <v>5.9296661569065566E-2</v>
      </c>
      <c r="J8" s="19">
        <v>0.94159251547120482</v>
      </c>
      <c r="K8" s="19">
        <v>2.9109857599928332E-2</v>
      </c>
      <c r="L8" s="19"/>
      <c r="M8" s="19"/>
      <c r="N8" s="19"/>
      <c r="O8" s="19"/>
      <c r="P8" s="19"/>
    </row>
    <row r="9" spans="2:16" x14ac:dyDescent="0.2">
      <c r="B9" t="s">
        <v>520</v>
      </c>
      <c r="C9" t="s">
        <v>369</v>
      </c>
      <c r="D9" s="18">
        <v>42493.418969907405</v>
      </c>
      <c r="E9" t="s">
        <v>139</v>
      </c>
      <c r="F9" s="19">
        <v>0.96440362258333856</v>
      </c>
      <c r="G9" s="19">
        <v>0.95858585858585854</v>
      </c>
      <c r="H9" s="19">
        <v>0.87553224788394279</v>
      </c>
      <c r="I9" s="19">
        <v>5.3595781326795662E-2</v>
      </c>
      <c r="J9" s="19">
        <v>0.85767050780979903</v>
      </c>
      <c r="K9" s="19">
        <v>5.129562959160637E-2</v>
      </c>
      <c r="L9" s="19"/>
      <c r="M9" s="19"/>
      <c r="N9" s="19"/>
      <c r="O9" s="19"/>
      <c r="P9" s="19"/>
    </row>
    <row r="10" spans="2:16" x14ac:dyDescent="0.2">
      <c r="B10" t="s">
        <v>637</v>
      </c>
      <c r="C10" t="s">
        <v>385</v>
      </c>
      <c r="D10" s="18">
        <v>42493.418969907405</v>
      </c>
      <c r="E10" t="s">
        <v>673</v>
      </c>
      <c r="F10" s="19">
        <v>0.92682290320694716</v>
      </c>
      <c r="G10" s="19">
        <v>0.82431417624521075</v>
      </c>
      <c r="H10" s="19">
        <v>0.85685569901966185</v>
      </c>
      <c r="I10" s="19">
        <v>5.5686937620394089E-2</v>
      </c>
      <c r="J10" s="19">
        <v>0.86787158850539126</v>
      </c>
      <c r="K10" s="19">
        <v>6.0706212212646521E-2</v>
      </c>
      <c r="L10" s="19"/>
      <c r="M10" s="19"/>
      <c r="N10" s="19"/>
      <c r="O10" s="19"/>
      <c r="P10" s="19"/>
    </row>
    <row r="11" spans="2:16" x14ac:dyDescent="0.2">
      <c r="B11" t="s">
        <v>567</v>
      </c>
      <c r="C11" t="s">
        <v>390</v>
      </c>
      <c r="D11" s="18">
        <v>42493.418969907405</v>
      </c>
      <c r="E11" t="s">
        <v>155</v>
      </c>
      <c r="F11" s="19">
        <v>0.94572223844094405</v>
      </c>
      <c r="G11" s="19">
        <v>0.83808890203035669</v>
      </c>
      <c r="H11" s="19">
        <v>0.85537308600093354</v>
      </c>
      <c r="I11" s="19">
        <v>5.3451278999983316E-2</v>
      </c>
      <c r="J11" s="19">
        <v>0.87175066223089204</v>
      </c>
      <c r="K11" s="19">
        <v>4.8656649421203894E-2</v>
      </c>
      <c r="L11" s="252"/>
      <c r="M11" s="252"/>
      <c r="N11" s="252"/>
      <c r="O11" s="252"/>
      <c r="P11" s="252"/>
    </row>
    <row r="12" spans="2:16" x14ac:dyDescent="0.2">
      <c r="B12" t="s">
        <v>559</v>
      </c>
      <c r="C12" t="s">
        <v>390</v>
      </c>
      <c r="D12" s="18">
        <v>42493.418969907405</v>
      </c>
      <c r="E12" t="s">
        <v>152</v>
      </c>
      <c r="F12" s="19">
        <v>0.99041362360368546</v>
      </c>
      <c r="G12" s="19">
        <v>0.9573449890295942</v>
      </c>
      <c r="H12" s="19">
        <v>0.91438587968736262</v>
      </c>
      <c r="I12" s="19">
        <v>4.4006194908751579E-2</v>
      </c>
      <c r="J12" s="19">
        <v>0.85752117948294204</v>
      </c>
      <c r="K12" s="19">
        <v>5.6750108512460644E-2</v>
      </c>
      <c r="L12" s="19"/>
      <c r="M12" s="19"/>
      <c r="N12" s="19"/>
      <c r="O12" s="19"/>
      <c r="P12" s="19"/>
    </row>
    <row r="13" spans="2:16" x14ac:dyDescent="0.2">
      <c r="B13" t="s">
        <v>547</v>
      </c>
      <c r="C13" t="s">
        <v>380</v>
      </c>
      <c r="D13" s="18">
        <v>42493.418969907405</v>
      </c>
      <c r="E13" t="s">
        <v>148</v>
      </c>
      <c r="F13" s="19">
        <v>0.95665624193282217</v>
      </c>
      <c r="G13" s="19">
        <v>0.88039915966386539</v>
      </c>
      <c r="H13" s="19">
        <v>0.92110038307309761</v>
      </c>
      <c r="I13" s="19">
        <v>5.0366925315120742E-2</v>
      </c>
      <c r="J13" s="19">
        <v>0.90061676400119806</v>
      </c>
      <c r="K13" s="19">
        <v>5.5461032531264325E-2</v>
      </c>
      <c r="L13" s="19"/>
      <c r="M13" s="19"/>
      <c r="N13" s="19"/>
      <c r="O13" s="19"/>
      <c r="P13" s="19"/>
    </row>
    <row r="14" spans="2:16" x14ac:dyDescent="0.2">
      <c r="B14" t="s">
        <v>385</v>
      </c>
      <c r="C14" t="s">
        <v>385</v>
      </c>
      <c r="D14" s="18">
        <v>42493.418969907405</v>
      </c>
      <c r="E14" t="s">
        <v>664</v>
      </c>
      <c r="F14" s="19">
        <v>0.94988591752461926</v>
      </c>
      <c r="G14" s="19">
        <v>0.87723662771249455</v>
      </c>
      <c r="H14" s="19">
        <v>0.89809512299366323</v>
      </c>
      <c r="I14" s="19">
        <v>1.7314930410787285E-2</v>
      </c>
      <c r="J14" s="19">
        <v>0.92255933325000006</v>
      </c>
      <c r="K14" s="19">
        <v>1.6987372371450534E-2</v>
      </c>
      <c r="L14" s="19"/>
      <c r="M14" s="19"/>
      <c r="N14" s="19"/>
      <c r="O14" s="19"/>
      <c r="P14" s="19"/>
    </row>
    <row r="15" spans="2:16" x14ac:dyDescent="0.2">
      <c r="B15" t="s">
        <v>584</v>
      </c>
      <c r="C15" t="s">
        <v>385</v>
      </c>
      <c r="D15" s="18">
        <v>42493.418969907405</v>
      </c>
      <c r="E15" t="s">
        <v>162</v>
      </c>
      <c r="F15" s="19">
        <v>0.98556888076794402</v>
      </c>
      <c r="G15" s="19">
        <v>0.98287464845319406</v>
      </c>
      <c r="H15" s="19">
        <v>0.93813166340755971</v>
      </c>
      <c r="I15" s="19">
        <v>3.8076924534916116E-2</v>
      </c>
      <c r="J15" s="19">
        <v>0.89167780461155877</v>
      </c>
      <c r="K15" s="19">
        <v>4.6740513282530503E-2</v>
      </c>
      <c r="L15" s="19"/>
      <c r="M15" s="19"/>
      <c r="N15" s="19"/>
      <c r="O15" s="19"/>
      <c r="P15" s="19"/>
    </row>
    <row r="16" spans="2:16" x14ac:dyDescent="0.2">
      <c r="B16" t="s">
        <v>576</v>
      </c>
      <c r="C16" t="s">
        <v>390</v>
      </c>
      <c r="D16" s="18">
        <v>42493.418969907405</v>
      </c>
      <c r="E16" t="s">
        <v>159</v>
      </c>
      <c r="F16" s="19">
        <v>0.98331003575417431</v>
      </c>
      <c r="G16" s="19">
        <v>0.9625991688704193</v>
      </c>
      <c r="H16" s="19">
        <v>0.96582969979451705</v>
      </c>
      <c r="I16" s="19">
        <v>3.4738852142788164E-2</v>
      </c>
      <c r="J16" s="19">
        <v>0.98176464909740335</v>
      </c>
      <c r="K16" s="19">
        <v>1.9466966165520107E-2</v>
      </c>
      <c r="L16" s="252"/>
      <c r="M16" s="252"/>
      <c r="N16" s="252"/>
      <c r="O16" s="252"/>
      <c r="P16" s="252"/>
    </row>
    <row r="17" spans="2:16" x14ac:dyDescent="0.2">
      <c r="B17" t="s">
        <v>569</v>
      </c>
      <c r="C17" t="s">
        <v>390</v>
      </c>
      <c r="D17" s="18">
        <v>42493.418969907405</v>
      </c>
      <c r="E17" t="s">
        <v>156</v>
      </c>
      <c r="F17" s="19">
        <v>0.96524719832588968</v>
      </c>
      <c r="G17" s="19">
        <v>0.92734967892586095</v>
      </c>
      <c r="H17" s="19">
        <v>0.90929552438831118</v>
      </c>
      <c r="I17" s="19">
        <v>4.3893650439178485E-2</v>
      </c>
      <c r="J17" s="19">
        <v>0.89387183437604223</v>
      </c>
      <c r="K17" s="19">
        <v>4.8859267712405056E-2</v>
      </c>
      <c r="L17" s="19"/>
      <c r="M17" s="19"/>
      <c r="N17" s="19"/>
      <c r="O17" s="19"/>
      <c r="P17" s="19"/>
    </row>
    <row r="18" spans="2:16" x14ac:dyDescent="0.2">
      <c r="B18" t="s">
        <v>633</v>
      </c>
      <c r="C18" t="s">
        <v>390</v>
      </c>
      <c r="D18" s="18">
        <v>42493.418969907405</v>
      </c>
      <c r="E18" t="s">
        <v>183</v>
      </c>
      <c r="F18" s="19">
        <v>0.9339686463279776</v>
      </c>
      <c r="G18" s="19">
        <v>0.8389467886798847</v>
      </c>
      <c r="H18" s="19">
        <v>0.89748628402616593</v>
      </c>
      <c r="I18" s="19">
        <v>4.9446797069828886E-2</v>
      </c>
      <c r="J18" s="19">
        <v>0.97069962760478556</v>
      </c>
      <c r="K18" s="19">
        <v>2.9630032547653257E-2</v>
      </c>
      <c r="L18" s="19"/>
      <c r="M18" s="19"/>
      <c r="N18" s="19"/>
      <c r="O18" s="19"/>
      <c r="P18" s="19"/>
    </row>
    <row r="19" spans="2:16" x14ac:dyDescent="0.2">
      <c r="B19" t="s">
        <v>631</v>
      </c>
      <c r="C19" t="s">
        <v>385</v>
      </c>
      <c r="D19" s="18">
        <v>42493.418969907405</v>
      </c>
      <c r="E19" t="s">
        <v>182</v>
      </c>
      <c r="F19" s="19">
        <v>0.9414673188083591</v>
      </c>
      <c r="G19" s="19">
        <v>0.87187371873718744</v>
      </c>
      <c r="H19" s="19">
        <v>0.94436076243607625</v>
      </c>
      <c r="I19" s="19">
        <v>4.1299837860422815E-2</v>
      </c>
      <c r="J19" s="19">
        <v>0.96593746878433717</v>
      </c>
      <c r="K19" s="19">
        <v>2.8852599154260545E-2</v>
      </c>
      <c r="L19" s="19"/>
      <c r="M19" s="19"/>
      <c r="N19" s="19"/>
      <c r="O19" s="19"/>
      <c r="P19" s="19"/>
    </row>
    <row r="20" spans="2:16" x14ac:dyDescent="0.2">
      <c r="B20" t="s">
        <v>522</v>
      </c>
      <c r="C20" t="s">
        <v>369</v>
      </c>
      <c r="D20" s="18">
        <v>42493.418969907405</v>
      </c>
      <c r="E20" t="s">
        <v>140</v>
      </c>
      <c r="F20" s="19">
        <v>0.98453752397001548</v>
      </c>
      <c r="G20" s="19">
        <v>0.98332842415316635</v>
      </c>
      <c r="H20" s="19">
        <v>0.9238691183059502</v>
      </c>
      <c r="I20" s="19">
        <v>4.35780716222866E-2</v>
      </c>
      <c r="J20" s="19">
        <v>0.97192699689348505</v>
      </c>
      <c r="K20" s="19">
        <v>2.5027410073905614E-2</v>
      </c>
      <c r="L20" s="19"/>
      <c r="M20" s="19"/>
      <c r="N20" s="19"/>
      <c r="O20" s="19"/>
      <c r="P20" s="19"/>
    </row>
    <row r="21" spans="2:16" x14ac:dyDescent="0.2">
      <c r="B21" t="s">
        <v>641</v>
      </c>
      <c r="C21" t="s">
        <v>404</v>
      </c>
      <c r="D21" s="18">
        <v>42493.418969907405</v>
      </c>
      <c r="E21" t="s">
        <v>186</v>
      </c>
      <c r="F21" s="19">
        <v>0.93299342850668476</v>
      </c>
      <c r="G21" s="19">
        <v>0.90159151193633957</v>
      </c>
      <c r="H21" s="19">
        <v>0.87292691496837671</v>
      </c>
      <c r="I21" s="19">
        <v>4.9716487068558662E-2</v>
      </c>
      <c r="J21" s="19">
        <v>0.97077163899509855</v>
      </c>
      <c r="K21" s="19">
        <v>2.6113381341646119E-2</v>
      </c>
      <c r="L21" s="19"/>
      <c r="M21" s="19"/>
      <c r="N21" s="19"/>
      <c r="O21" s="19"/>
      <c r="P21" s="19"/>
    </row>
    <row r="22" spans="2:16" x14ac:dyDescent="0.2">
      <c r="B22" t="s">
        <v>619</v>
      </c>
      <c r="C22" t="s">
        <v>385</v>
      </c>
      <c r="D22" s="18">
        <v>42493.418969907405</v>
      </c>
      <c r="E22" t="s">
        <v>177</v>
      </c>
      <c r="F22" s="19">
        <v>0.92774262465414403</v>
      </c>
      <c r="G22" s="19">
        <v>0.82087640595539957</v>
      </c>
      <c r="H22" s="19">
        <v>0.84119637065682507</v>
      </c>
      <c r="I22" s="19">
        <v>4.9849056853326842E-2</v>
      </c>
      <c r="J22" s="19">
        <v>0.90487147769756471</v>
      </c>
      <c r="K22" s="19">
        <v>4.4068239280067659E-2</v>
      </c>
      <c r="L22" s="19"/>
      <c r="M22" s="19"/>
      <c r="N22" s="19"/>
      <c r="O22" s="19"/>
      <c r="P22" s="19"/>
    </row>
    <row r="23" spans="2:16" x14ac:dyDescent="0.2">
      <c r="B23" t="s">
        <v>537</v>
      </c>
      <c r="C23" t="s">
        <v>369</v>
      </c>
      <c r="D23" s="18">
        <v>42493.418969907405</v>
      </c>
      <c r="E23" t="s">
        <v>144</v>
      </c>
      <c r="F23" s="19">
        <v>0.97263958701263431</v>
      </c>
      <c r="G23" s="19">
        <v>0.87294124193189404</v>
      </c>
      <c r="H23" s="19">
        <v>0.87847431396580744</v>
      </c>
      <c r="I23" s="19">
        <v>4.8195768731984501E-2</v>
      </c>
      <c r="J23" s="19">
        <v>0.89142160445107033</v>
      </c>
      <c r="K23" s="19">
        <v>5.0020323554045162E-2</v>
      </c>
      <c r="L23" s="19"/>
      <c r="M23" s="19"/>
      <c r="N23" s="19"/>
      <c r="O23" s="19"/>
      <c r="P23" s="19"/>
    </row>
    <row r="24" spans="2:16" x14ac:dyDescent="0.2">
      <c r="B24" t="s">
        <v>561</v>
      </c>
      <c r="C24" t="s">
        <v>390</v>
      </c>
      <c r="D24" s="18">
        <v>42493.418969907405</v>
      </c>
      <c r="E24" t="s">
        <v>153</v>
      </c>
      <c r="F24" s="19">
        <v>0.90652617948095393</v>
      </c>
      <c r="G24" s="19">
        <v>0.85196304131408662</v>
      </c>
      <c r="H24" s="19">
        <v>0.91436295783370714</v>
      </c>
      <c r="I24" s="19">
        <v>4.5976774245385953E-2</v>
      </c>
      <c r="J24" s="19">
        <v>0.9558696037559975</v>
      </c>
      <c r="K24" s="19">
        <v>2.9480845221948257E-2</v>
      </c>
      <c r="L24" s="19"/>
      <c r="M24" s="19"/>
      <c r="N24" s="19"/>
      <c r="O24" s="19"/>
      <c r="P24" s="19"/>
    </row>
    <row r="25" spans="2:16" x14ac:dyDescent="0.2">
      <c r="B25" t="s">
        <v>555</v>
      </c>
      <c r="C25" t="s">
        <v>385</v>
      </c>
      <c r="D25" s="18">
        <v>42493.418969907405</v>
      </c>
      <c r="E25" t="s">
        <v>151</v>
      </c>
      <c r="F25" s="19">
        <v>0.95771651834165383</v>
      </c>
      <c r="G25" s="19">
        <v>0.90931109972518509</v>
      </c>
      <c r="H25" s="19">
        <v>0.87631435091150733</v>
      </c>
      <c r="I25" s="19">
        <v>4.8057038807023673E-2</v>
      </c>
      <c r="J25" s="19">
        <v>0.88262018416674026</v>
      </c>
      <c r="K25" s="19">
        <v>5.2554135040126654E-2</v>
      </c>
      <c r="L25" s="19"/>
      <c r="M25" s="19"/>
      <c r="N25" s="19"/>
      <c r="O25" s="19"/>
      <c r="P25" s="19"/>
    </row>
    <row r="26" spans="2:16" x14ac:dyDescent="0.2">
      <c r="B26" t="s">
        <v>578</v>
      </c>
      <c r="C26" t="s">
        <v>390</v>
      </c>
      <c r="D26" s="18">
        <v>42493.418969907405</v>
      </c>
      <c r="E26" t="s">
        <v>160</v>
      </c>
      <c r="F26" s="19">
        <v>0.9789476933669099</v>
      </c>
      <c r="G26" s="19">
        <v>0.89246732730145051</v>
      </c>
      <c r="H26" s="19">
        <v>0.92301522628155808</v>
      </c>
      <c r="I26" s="19">
        <v>4.6574695375739592E-2</v>
      </c>
      <c r="J26" s="19">
        <v>0.98832973556395032</v>
      </c>
      <c r="K26" s="19">
        <v>1.7354848898459636E-2</v>
      </c>
      <c r="L26" s="19"/>
      <c r="M26" s="19"/>
      <c r="N26" s="19"/>
      <c r="O26" s="19"/>
      <c r="P26" s="19"/>
    </row>
    <row r="27" spans="2:16" x14ac:dyDescent="0.2">
      <c r="B27" t="s">
        <v>607</v>
      </c>
      <c r="C27" t="s">
        <v>385</v>
      </c>
      <c r="D27" s="18">
        <v>42493.418969907405</v>
      </c>
      <c r="E27" t="s">
        <v>172</v>
      </c>
      <c r="F27" s="19">
        <v>0.96866702907970736</v>
      </c>
      <c r="G27" s="19">
        <v>0.9004696479099209</v>
      </c>
      <c r="H27" s="19">
        <v>0.89004609650216404</v>
      </c>
      <c r="I27" s="19">
        <v>4.9950845432123497E-2</v>
      </c>
      <c r="J27" s="19">
        <v>0.92868433278421103</v>
      </c>
      <c r="K27" s="19">
        <v>4.4898016510221982E-2</v>
      </c>
      <c r="L27" s="19"/>
      <c r="M27" s="19"/>
      <c r="N27" s="19"/>
      <c r="O27" s="19"/>
      <c r="P27" s="19"/>
    </row>
    <row r="28" spans="2:16" x14ac:dyDescent="0.2">
      <c r="B28" t="s">
        <v>593</v>
      </c>
      <c r="C28" t="s">
        <v>404</v>
      </c>
      <c r="D28" s="18">
        <v>42493.418969907405</v>
      </c>
      <c r="E28" t="s">
        <v>166</v>
      </c>
      <c r="F28" s="19">
        <v>0.92471803581478873</v>
      </c>
      <c r="G28" s="19">
        <v>0.77968624756670091</v>
      </c>
      <c r="H28" s="19">
        <v>0.85457884903655823</v>
      </c>
      <c r="I28" s="19">
        <v>4.8209848443403445E-2</v>
      </c>
      <c r="J28" s="19">
        <v>0.84678946434083424</v>
      </c>
      <c r="K28" s="19">
        <v>5.5202912112231391E-2</v>
      </c>
      <c r="L28" s="19"/>
      <c r="M28" s="19"/>
      <c r="N28" s="19"/>
      <c r="O28" s="19"/>
      <c r="P28" s="19"/>
    </row>
    <row r="29" spans="2:16" x14ac:dyDescent="0.2">
      <c r="B29" t="s">
        <v>563</v>
      </c>
      <c r="C29" t="s">
        <v>380</v>
      </c>
      <c r="D29" s="18">
        <v>42493.418969907405</v>
      </c>
      <c r="E29" t="s">
        <v>154</v>
      </c>
      <c r="F29" s="19">
        <v>0.95692024009696319</v>
      </c>
      <c r="G29" s="19">
        <v>0.87743352326685653</v>
      </c>
      <c r="H29" s="19">
        <v>0.91955435693584098</v>
      </c>
      <c r="I29" s="19">
        <v>4.0738586999085911E-2</v>
      </c>
      <c r="J29" s="19">
        <v>0.92803200833518829</v>
      </c>
      <c r="K29" s="19">
        <v>4.1924726927243583E-2</v>
      </c>
      <c r="L29" s="19"/>
      <c r="M29" s="19"/>
      <c r="N29" s="19"/>
      <c r="O29" s="19"/>
      <c r="P29" s="19"/>
    </row>
    <row r="30" spans="2:16" x14ac:dyDescent="0.2">
      <c r="B30" t="s">
        <v>622</v>
      </c>
      <c r="C30" t="s">
        <v>369</v>
      </c>
      <c r="D30" s="18">
        <v>42493.418969907405</v>
      </c>
      <c r="E30" t="s">
        <v>178</v>
      </c>
      <c r="F30" s="19">
        <v>0.90929182360549976</v>
      </c>
      <c r="G30" s="19">
        <v>0.82725307803729864</v>
      </c>
      <c r="H30" s="19">
        <v>0.91170139082575619</v>
      </c>
      <c r="I30" s="19">
        <v>4.1534871648814191E-2</v>
      </c>
      <c r="J30" s="19">
        <v>0.90686478287736638</v>
      </c>
      <c r="K30" s="19">
        <v>4.8756897482193792E-2</v>
      </c>
      <c r="L30" s="19"/>
      <c r="M30" s="19"/>
      <c r="N30" s="19"/>
      <c r="O30" s="19"/>
      <c r="P30" s="19"/>
    </row>
    <row r="31" spans="2:16" x14ac:dyDescent="0.2">
      <c r="B31" t="s">
        <v>615</v>
      </c>
      <c r="C31" t="s">
        <v>404</v>
      </c>
      <c r="D31" s="18">
        <v>42493.418969907405</v>
      </c>
      <c r="E31" t="s">
        <v>176</v>
      </c>
      <c r="F31" s="19">
        <v>0.95394754759116518</v>
      </c>
      <c r="G31" s="19">
        <v>0.86091008228412813</v>
      </c>
      <c r="H31" s="19">
        <v>0.89885379641533703</v>
      </c>
      <c r="I31" s="19">
        <v>5.3172494167076041E-2</v>
      </c>
      <c r="J31" s="19">
        <v>0.98574074074074081</v>
      </c>
      <c r="K31" s="19">
        <v>1.6946896041621501E-2</v>
      </c>
      <c r="L31" s="19"/>
      <c r="M31" s="19"/>
      <c r="N31" s="19"/>
      <c r="O31" s="19"/>
      <c r="P31" s="19"/>
    </row>
    <row r="32" spans="2:16" x14ac:dyDescent="0.2">
      <c r="B32" t="s">
        <v>390</v>
      </c>
      <c r="C32" t="s">
        <v>390</v>
      </c>
      <c r="D32" s="18">
        <v>42493.418969907405</v>
      </c>
      <c r="E32" t="s">
        <v>663</v>
      </c>
      <c r="F32" s="19">
        <v>0.97046116774856439</v>
      </c>
      <c r="G32" s="19">
        <v>0.92613424495945451</v>
      </c>
      <c r="H32" s="19">
        <v>0.92623426539554232</v>
      </c>
      <c r="I32" s="19">
        <v>1.3290674773549681E-2</v>
      </c>
      <c r="J32" s="19">
        <v>0.9019092618205371</v>
      </c>
      <c r="K32" s="19">
        <v>1.9446322641950432E-2</v>
      </c>
      <c r="L32" s="19"/>
      <c r="M32" s="19"/>
      <c r="N32" s="19"/>
      <c r="O32" s="19"/>
      <c r="P32" s="19"/>
    </row>
    <row r="33" spans="2:16" x14ac:dyDescent="0.2">
      <c r="B33" t="s">
        <v>209</v>
      </c>
      <c r="C33" t="s">
        <v>390</v>
      </c>
      <c r="D33" s="18">
        <v>42493.418969907405</v>
      </c>
      <c r="E33" t="s">
        <v>157</v>
      </c>
      <c r="F33" s="19">
        <v>0.99388303201245376</v>
      </c>
      <c r="G33" s="19">
        <v>0.97444256620784031</v>
      </c>
      <c r="H33" s="19">
        <v>0.96960500253728166</v>
      </c>
      <c r="I33" s="19">
        <v>3.3692141556686865E-2</v>
      </c>
      <c r="J33" s="19">
        <v>0.88939265666457024</v>
      </c>
      <c r="K33" s="19">
        <v>5.028617798823852E-2</v>
      </c>
      <c r="L33" s="19">
        <v>0.92716420630581386</v>
      </c>
      <c r="M33" s="19">
        <v>0.94479202420663622</v>
      </c>
      <c r="N33" s="19">
        <v>4.0818778048310876E-2</v>
      </c>
      <c r="O33" s="19">
        <v>0.98578189527838345</v>
      </c>
      <c r="P33" s="19">
        <v>1.6028747144983056E-2</v>
      </c>
    </row>
    <row r="34" spans="2:16" x14ac:dyDescent="0.2">
      <c r="B34" t="s">
        <v>571</v>
      </c>
      <c r="C34" t="s">
        <v>390</v>
      </c>
      <c r="D34" s="18">
        <v>42493.418969907405</v>
      </c>
      <c r="E34" t="s">
        <v>157</v>
      </c>
      <c r="F34" s="19">
        <v>0.99388303201245376</v>
      </c>
      <c r="G34" s="19">
        <v>0.97444256620784031</v>
      </c>
      <c r="H34" s="19">
        <v>0.96960500253728166</v>
      </c>
      <c r="I34" s="19">
        <v>3.3692141556686865E-2</v>
      </c>
      <c r="J34" s="19">
        <v>0.88939265666457024</v>
      </c>
      <c r="K34" s="19">
        <v>5.028617798823852E-2</v>
      </c>
      <c r="L34" s="19">
        <v>0.92716420630581386</v>
      </c>
      <c r="M34" s="19">
        <v>0.94479202420663622</v>
      </c>
      <c r="N34" s="19">
        <v>4.0818778048310876E-2</v>
      </c>
      <c r="O34" s="19">
        <v>0.98578189527838345</v>
      </c>
      <c r="P34" s="19">
        <v>1.6028747144983056E-2</v>
      </c>
    </row>
    <row r="35" spans="2:16" x14ac:dyDescent="0.2">
      <c r="B35" t="s">
        <v>553</v>
      </c>
      <c r="C35" t="s">
        <v>380</v>
      </c>
      <c r="D35" s="18">
        <v>42493.418969907405</v>
      </c>
      <c r="E35" t="s">
        <v>150</v>
      </c>
      <c r="F35" s="19">
        <v>0.87672458506224071</v>
      </c>
      <c r="G35" s="19">
        <v>0.6687180165872596</v>
      </c>
      <c r="H35" s="19">
        <v>0.83438210830342829</v>
      </c>
      <c r="I35" s="19">
        <v>5.3516372250919132E-2</v>
      </c>
      <c r="J35" s="19">
        <v>0.91418071352425845</v>
      </c>
      <c r="K35" s="19">
        <v>5.1326919840362348E-2</v>
      </c>
      <c r="L35" s="19"/>
      <c r="M35" s="19"/>
      <c r="N35" s="19"/>
      <c r="O35" s="19"/>
      <c r="P35" s="19"/>
    </row>
    <row r="36" spans="2:16" x14ac:dyDescent="0.2">
      <c r="B36" t="s">
        <v>609</v>
      </c>
      <c r="C36" t="s">
        <v>385</v>
      </c>
      <c r="D36" s="18">
        <v>42493.418969907405</v>
      </c>
      <c r="E36" t="s">
        <v>173</v>
      </c>
      <c r="F36" s="19">
        <v>0.90347316843413039</v>
      </c>
      <c r="G36" s="19">
        <v>0.82223439211391014</v>
      </c>
      <c r="H36" s="19">
        <v>0.89996584199482721</v>
      </c>
      <c r="I36" s="19">
        <v>4.7777598774429393E-2</v>
      </c>
      <c r="J36" s="19">
        <v>0.9347334201381402</v>
      </c>
      <c r="K36" s="19">
        <v>4.8989948615432863E-2</v>
      </c>
      <c r="L36" s="19"/>
      <c r="M36" s="19"/>
      <c r="N36" s="19"/>
      <c r="O36" s="19"/>
      <c r="P36" s="19"/>
    </row>
    <row r="37" spans="2:16" x14ac:dyDescent="0.2">
      <c r="B37" t="s">
        <v>549</v>
      </c>
      <c r="C37" t="s">
        <v>380</v>
      </c>
      <c r="D37" s="18">
        <v>42493.418969907405</v>
      </c>
      <c r="E37" t="s">
        <v>91</v>
      </c>
      <c r="F37" s="19">
        <v>0.95049818662880237</v>
      </c>
      <c r="G37" s="19">
        <v>0.84173739202595144</v>
      </c>
      <c r="H37" s="19">
        <v>0.92276123248145092</v>
      </c>
      <c r="I37" s="19">
        <v>4.4578786092784525E-2</v>
      </c>
      <c r="J37" s="19">
        <v>0.91992994590759958</v>
      </c>
      <c r="K37" s="19">
        <v>4.5575450434085597E-2</v>
      </c>
      <c r="L37" s="19"/>
      <c r="M37" s="19"/>
      <c r="N37" s="19"/>
      <c r="O37" s="19"/>
      <c r="P37" s="19"/>
    </row>
    <row r="38" spans="2:16" x14ac:dyDescent="0.2">
      <c r="B38" t="s">
        <v>551</v>
      </c>
      <c r="C38" t="s">
        <v>385</v>
      </c>
      <c r="D38" s="18">
        <v>42493.418969907405</v>
      </c>
      <c r="E38" t="s">
        <v>149</v>
      </c>
      <c r="F38" s="19">
        <v>0.97259232357448455</v>
      </c>
      <c r="G38" s="19">
        <v>0.89694002985336718</v>
      </c>
      <c r="H38" s="19">
        <v>0.92588584785594574</v>
      </c>
      <c r="I38" s="19">
        <v>4.0945140700252264E-2</v>
      </c>
      <c r="J38" s="19">
        <v>0.93483191332278337</v>
      </c>
      <c r="K38" s="19">
        <v>4.0367319299697398E-2</v>
      </c>
      <c r="L38" s="19"/>
      <c r="M38" s="19"/>
      <c r="N38" s="19"/>
      <c r="O38" s="19"/>
      <c r="P38" s="19"/>
    </row>
    <row r="39" spans="2:16" x14ac:dyDescent="0.2">
      <c r="B39" t="s">
        <v>518</v>
      </c>
      <c r="C39" t="s">
        <v>369</v>
      </c>
      <c r="D39" s="18">
        <v>42493.418969907405</v>
      </c>
      <c r="E39" t="s">
        <v>138</v>
      </c>
      <c r="F39" s="19">
        <v>0.96657599287798612</v>
      </c>
      <c r="G39" s="19">
        <v>0.93956679894179895</v>
      </c>
      <c r="H39" s="19">
        <v>0.88259272979856451</v>
      </c>
      <c r="I39" s="19">
        <v>5.1645014059914375E-2</v>
      </c>
      <c r="J39" s="19">
        <v>0.91508673949309938</v>
      </c>
      <c r="K39" s="19">
        <v>4.2504843316969812E-2</v>
      </c>
      <c r="L39" s="19"/>
      <c r="M39" s="19"/>
      <c r="N39" s="19"/>
      <c r="O39" s="19"/>
      <c r="P39" s="19"/>
    </row>
    <row r="40" spans="2:16" x14ac:dyDescent="0.2">
      <c r="B40" t="s">
        <v>524</v>
      </c>
      <c r="C40" t="s">
        <v>369</v>
      </c>
      <c r="D40" s="18">
        <v>42493.418969907405</v>
      </c>
      <c r="E40" t="s">
        <v>141</v>
      </c>
      <c r="F40" s="19">
        <v>0.95889169542834019</v>
      </c>
      <c r="G40" s="19">
        <v>0.91289377289377294</v>
      </c>
      <c r="H40" s="19">
        <v>0.90285723058971645</v>
      </c>
      <c r="I40" s="19">
        <v>4.048194812254266E-2</v>
      </c>
      <c r="J40" s="19">
        <v>0.8530292768055453</v>
      </c>
      <c r="K40" s="19">
        <v>5.0260403379797224E-2</v>
      </c>
      <c r="L40" s="19"/>
      <c r="M40" s="19"/>
      <c r="N40" s="19"/>
      <c r="O40" s="19"/>
      <c r="P40" s="19"/>
    </row>
    <row r="41" spans="2:16" x14ac:dyDescent="0.2">
      <c r="B41" t="s">
        <v>369</v>
      </c>
      <c r="C41" t="s">
        <v>369</v>
      </c>
      <c r="D41" s="18">
        <v>42493.418969907405</v>
      </c>
      <c r="E41" t="s">
        <v>662</v>
      </c>
      <c r="F41" s="19">
        <v>0.9564827339894213</v>
      </c>
      <c r="G41" s="19">
        <v>0.87121286191971492</v>
      </c>
      <c r="H41" s="19">
        <v>0.8720675319309974</v>
      </c>
      <c r="I41" s="19">
        <v>1.6284261136678139E-2</v>
      </c>
      <c r="J41" s="19">
        <v>0.87078817832235245</v>
      </c>
      <c r="K41" s="19">
        <v>2.9592002991377982E-2</v>
      </c>
      <c r="L41" s="19"/>
      <c r="M41" s="19"/>
      <c r="N41" s="19"/>
      <c r="O41" s="19"/>
      <c r="P41" s="19"/>
    </row>
    <row r="42" spans="2:16" x14ac:dyDescent="0.2">
      <c r="B42" t="s">
        <v>591</v>
      </c>
      <c r="C42" t="s">
        <v>404</v>
      </c>
      <c r="D42" s="18">
        <v>42493.418969907405</v>
      </c>
      <c r="E42" t="s">
        <v>165</v>
      </c>
      <c r="F42" s="19">
        <v>0.98090557235009868</v>
      </c>
      <c r="G42" s="19">
        <v>0.92577991763696366</v>
      </c>
      <c r="H42" s="19">
        <v>0.91114210947237173</v>
      </c>
      <c r="I42" s="19">
        <v>4.3743883505780658E-2</v>
      </c>
      <c r="J42" s="19">
        <v>0.90987040155340571</v>
      </c>
      <c r="K42" s="19">
        <v>4.2613224668241613E-2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42493.418969907405</v>
      </c>
      <c r="E44" t="s">
        <v>665</v>
      </c>
      <c r="F44" s="19">
        <v>0.96044796674036426</v>
      </c>
      <c r="G44" s="19">
        <v>0.86179799277163083</v>
      </c>
      <c r="H44" s="19">
        <v>0.88923734099394425</v>
      </c>
      <c r="I44" s="19">
        <v>1.7304901959279848E-2</v>
      </c>
      <c r="J44" s="19">
        <v>0.92074316884944873</v>
      </c>
      <c r="K44" s="19">
        <v>1.6709621055090551E-2</v>
      </c>
      <c r="L44" s="19"/>
      <c r="M44" s="19"/>
      <c r="N44" s="19"/>
      <c r="O44" s="19"/>
      <c r="P44" s="19"/>
    </row>
    <row r="45" spans="2:16" x14ac:dyDescent="0.2">
      <c r="B45" t="s">
        <v>210</v>
      </c>
      <c r="C45" t="s">
        <v>369</v>
      </c>
      <c r="D45" s="18">
        <v>42493.418969907405</v>
      </c>
      <c r="E45" t="s">
        <v>99</v>
      </c>
      <c r="F45" s="19">
        <v>0.96524829097355025</v>
      </c>
      <c r="G45" s="19">
        <v>0.89062186132815824</v>
      </c>
      <c r="H45" s="19">
        <v>0.88562180252575506</v>
      </c>
      <c r="I45" s="19">
        <v>4.6701474131648053E-2</v>
      </c>
      <c r="J45" s="19">
        <v>0.87305664426188057</v>
      </c>
      <c r="K45" s="19">
        <v>5.6317754816057289E-2</v>
      </c>
      <c r="L45" s="19">
        <v>0.93776494845360825</v>
      </c>
      <c r="M45" s="19">
        <v>0.9260273128657972</v>
      </c>
      <c r="N45" s="19">
        <v>4.5416877527014565E-2</v>
      </c>
      <c r="O45" s="19">
        <v>0.92250082247036713</v>
      </c>
      <c r="P45" s="19">
        <v>5.0641099529277513E-2</v>
      </c>
    </row>
    <row r="46" spans="2:16" x14ac:dyDescent="0.2">
      <c r="B46" t="s">
        <v>526</v>
      </c>
      <c r="C46" t="s">
        <v>369</v>
      </c>
      <c r="D46" s="18">
        <v>42493.418969907405</v>
      </c>
      <c r="E46" t="s">
        <v>99</v>
      </c>
      <c r="F46" s="19">
        <v>0.96524829097355025</v>
      </c>
      <c r="G46" s="19">
        <v>0.89062186132815824</v>
      </c>
      <c r="H46" s="19">
        <v>0.88562180252575506</v>
      </c>
      <c r="I46" s="19">
        <v>4.6701474131648053E-2</v>
      </c>
      <c r="J46" s="19">
        <v>0.87305664426188057</v>
      </c>
      <c r="K46" s="19">
        <v>5.6317754816057289E-2</v>
      </c>
      <c r="L46" s="19">
        <v>0.93776494845360825</v>
      </c>
      <c r="M46" s="19">
        <v>0.9260273128657972</v>
      </c>
      <c r="N46" s="19">
        <v>4.5416877527014565E-2</v>
      </c>
      <c r="O46" s="19">
        <v>0.92250082247036713</v>
      </c>
      <c r="P46" s="19">
        <v>5.0641099529277513E-2</v>
      </c>
    </row>
    <row r="47" spans="2:16" x14ac:dyDescent="0.2">
      <c r="B47" t="s">
        <v>595</v>
      </c>
      <c r="C47" t="s">
        <v>404</v>
      </c>
      <c r="D47" s="18">
        <v>42493.418969907405</v>
      </c>
      <c r="E47" t="s">
        <v>167</v>
      </c>
      <c r="F47" s="19">
        <v>0.97725428789329338</v>
      </c>
      <c r="G47" s="19">
        <v>0.9279960202837152</v>
      </c>
      <c r="H47" s="19">
        <v>0.89358442928015802</v>
      </c>
      <c r="I47" s="19">
        <v>5.0601602256237894E-2</v>
      </c>
      <c r="J47" s="19">
        <v>0.91788761863346446</v>
      </c>
      <c r="K47" s="19">
        <v>4.9648440256436215E-2</v>
      </c>
      <c r="L47" s="19"/>
      <c r="M47" s="19"/>
      <c r="N47" s="19"/>
      <c r="O47" s="19"/>
      <c r="P47" s="19"/>
    </row>
    <row r="48" spans="2:16" x14ac:dyDescent="0.2">
      <c r="B48" t="s">
        <v>529</v>
      </c>
      <c r="C48" t="s">
        <v>369</v>
      </c>
      <c r="D48" s="18">
        <v>42493.418969907405</v>
      </c>
      <c r="E48" t="s">
        <v>142</v>
      </c>
      <c r="F48" s="19">
        <v>0.916412959582943</v>
      </c>
      <c r="G48" s="19">
        <v>0.82760223323445981</v>
      </c>
      <c r="H48" s="19">
        <v>0.88644527986633237</v>
      </c>
      <c r="I48" s="19">
        <v>4.7298037825363085E-2</v>
      </c>
      <c r="J48" s="19">
        <v>0.88805872578599843</v>
      </c>
      <c r="K48" s="19">
        <v>5.70423698208333E-2</v>
      </c>
      <c r="L48" s="19"/>
      <c r="M48" s="19"/>
      <c r="N48" s="19"/>
      <c r="O48" s="19"/>
      <c r="P48" s="19"/>
    </row>
    <row r="49" spans="2:16" x14ac:dyDescent="0.2">
      <c r="B49" t="s">
        <v>603</v>
      </c>
      <c r="C49" t="s">
        <v>404</v>
      </c>
      <c r="D49" s="18">
        <v>42493.418969907405</v>
      </c>
      <c r="E49" t="s">
        <v>170</v>
      </c>
      <c r="F49" s="19">
        <v>0.98588116576588902</v>
      </c>
      <c r="G49" s="19">
        <v>0.95713552361396315</v>
      </c>
      <c r="H49" s="19">
        <v>0.9017719308992892</v>
      </c>
      <c r="I49" s="19">
        <v>5.0550557282978588E-2</v>
      </c>
      <c r="J49" s="19">
        <v>0.93622212326987997</v>
      </c>
      <c r="K49" s="19">
        <v>3.9286919123918337E-2</v>
      </c>
      <c r="L49" s="19"/>
      <c r="M49" s="19"/>
      <c r="N49" s="19"/>
      <c r="O49" s="19"/>
      <c r="P49" s="19"/>
    </row>
    <row r="50" spans="2:16" x14ac:dyDescent="0.2">
      <c r="B50" t="s">
        <v>514</v>
      </c>
      <c r="C50" t="s">
        <v>369</v>
      </c>
      <c r="D50" s="18">
        <v>42493.418969907405</v>
      </c>
      <c r="E50" t="s">
        <v>137</v>
      </c>
      <c r="F50" s="19">
        <v>0.94409854269682336</v>
      </c>
      <c r="G50" s="19">
        <v>0.83368196172102116</v>
      </c>
      <c r="H50" s="19">
        <v>0.84433323077746281</v>
      </c>
      <c r="I50" s="19">
        <v>6.2487798834523857E-2</v>
      </c>
      <c r="J50" s="19">
        <v>0.92093018169490792</v>
      </c>
      <c r="K50" s="19">
        <v>4.5996232418849772E-2</v>
      </c>
      <c r="L50" s="19"/>
      <c r="M50" s="19"/>
      <c r="N50" s="19"/>
      <c r="O50" s="19"/>
      <c r="P50" s="19"/>
    </row>
    <row r="51" spans="2:16" x14ac:dyDescent="0.2">
      <c r="B51" t="s">
        <v>611</v>
      </c>
      <c r="C51" t="s">
        <v>404</v>
      </c>
      <c r="D51" s="18">
        <v>42493.418969907405</v>
      </c>
      <c r="E51" t="s">
        <v>174</v>
      </c>
      <c r="F51" s="19">
        <v>0.94065362685602893</v>
      </c>
      <c r="G51" s="19">
        <v>0.88296252927400465</v>
      </c>
      <c r="H51" s="19">
        <v>0.8904865592735759</v>
      </c>
      <c r="I51" s="19">
        <v>4.9870259217192153E-2</v>
      </c>
      <c r="J51" s="19">
        <v>0.91416748517588853</v>
      </c>
      <c r="K51" s="19">
        <v>5.1432100279848854E-2</v>
      </c>
      <c r="L51" s="19"/>
      <c r="M51" s="19"/>
      <c r="N51" s="19"/>
      <c r="O51" s="19"/>
      <c r="P51" s="19"/>
    </row>
    <row r="52" spans="2:16" x14ac:dyDescent="0.2">
      <c r="B52" t="s">
        <v>535</v>
      </c>
      <c r="C52" t="s">
        <v>369</v>
      </c>
      <c r="D52" s="18">
        <v>42493.418969907405</v>
      </c>
      <c r="E52" t="s">
        <v>103</v>
      </c>
      <c r="F52" s="19">
        <v>0.92823624278330585</v>
      </c>
      <c r="G52" s="19">
        <v>0.85222899684993347</v>
      </c>
      <c r="H52" s="19">
        <v>0.89036786946123114</v>
      </c>
      <c r="I52" s="19">
        <v>5.0454225816718573E-2</v>
      </c>
      <c r="J52" s="19">
        <v>0.89271539089904384</v>
      </c>
      <c r="K52" s="19">
        <v>4.7497386328916986E-2</v>
      </c>
      <c r="L52" s="19"/>
      <c r="M52" s="19"/>
      <c r="N52" s="19"/>
      <c r="O52" s="19"/>
      <c r="P52" s="19"/>
    </row>
    <row r="53" spans="2:16" x14ac:dyDescent="0.2">
      <c r="B53" t="s">
        <v>588</v>
      </c>
      <c r="C53" t="s">
        <v>385</v>
      </c>
      <c r="D53" s="18">
        <v>42493.418969907405</v>
      </c>
      <c r="E53" t="s">
        <v>164</v>
      </c>
      <c r="F53" s="19">
        <v>0.99209765026994912</v>
      </c>
      <c r="G53" s="19">
        <v>0.95373145062690279</v>
      </c>
      <c r="H53" s="19">
        <v>0.93491341203390699</v>
      </c>
      <c r="I53" s="19">
        <v>3.8854412965821511E-2</v>
      </c>
      <c r="J53" s="19">
        <v>0.9567192451814519</v>
      </c>
      <c r="K53" s="19">
        <v>3.6235092378838658E-2</v>
      </c>
      <c r="L53" s="252"/>
      <c r="M53" s="252"/>
      <c r="N53" s="252"/>
      <c r="O53" s="252"/>
      <c r="P53" s="252"/>
    </row>
    <row r="54" spans="2:16" x14ac:dyDescent="0.2">
      <c r="B54" t="s">
        <v>624</v>
      </c>
      <c r="C54" t="s">
        <v>404</v>
      </c>
      <c r="D54" s="18">
        <v>42493.418969907405</v>
      </c>
      <c r="E54" t="s">
        <v>179</v>
      </c>
      <c r="F54" s="19">
        <v>0.94227304008616541</v>
      </c>
      <c r="G54" s="19">
        <v>0.81701584456960807</v>
      </c>
      <c r="H54" s="19">
        <v>0.86722031402278621</v>
      </c>
      <c r="I54" s="19">
        <v>4.6730243038750174E-2</v>
      </c>
      <c r="J54" s="19">
        <v>0.92167290551912018</v>
      </c>
      <c r="K54" s="19">
        <v>4.3549722700059447E-2</v>
      </c>
      <c r="L54" s="19"/>
      <c r="M54" s="19"/>
      <c r="N54" s="19"/>
      <c r="O54" s="19"/>
      <c r="P54" s="19"/>
    </row>
    <row r="55" spans="2:16" x14ac:dyDescent="0.2">
      <c r="B55" t="s">
        <v>613</v>
      </c>
      <c r="C55" t="s">
        <v>380</v>
      </c>
      <c r="D55" s="18">
        <v>42493.418969907405</v>
      </c>
      <c r="E55" t="s">
        <v>175</v>
      </c>
      <c r="F55" s="19">
        <v>0.91905484992248543</v>
      </c>
      <c r="G55" s="19">
        <v>0.73264276952432861</v>
      </c>
      <c r="H55" s="19">
        <v>0.8177367162988024</v>
      </c>
      <c r="I55" s="19">
        <v>5.6735817170155231E-2</v>
      </c>
      <c r="J55" s="19">
        <v>0.83414056849218943</v>
      </c>
      <c r="K55" s="19">
        <v>5.8390911830097349E-2</v>
      </c>
      <c r="L55" s="19"/>
      <c r="M55" s="19"/>
      <c r="N55" s="19"/>
      <c r="O55" s="19"/>
      <c r="P55" s="19"/>
    </row>
    <row r="56" spans="2:16" x14ac:dyDescent="0.2">
      <c r="B56" t="s">
        <v>597</v>
      </c>
      <c r="C56" t="s">
        <v>404</v>
      </c>
      <c r="D56" s="18">
        <v>42493.418969907405</v>
      </c>
      <c r="E56" t="s">
        <v>168</v>
      </c>
      <c r="F56" s="19">
        <v>0.9721878672122497</v>
      </c>
      <c r="G56" s="19">
        <v>0.83294180427919851</v>
      </c>
      <c r="H56" s="19">
        <v>0.90006694565303336</v>
      </c>
      <c r="I56" s="19">
        <v>4.3474336096115278E-2</v>
      </c>
      <c r="J56" s="19">
        <v>0.92812645221821144</v>
      </c>
      <c r="K56" s="19">
        <v>4.1536335556998552E-2</v>
      </c>
      <c r="L56" s="19"/>
      <c r="M56" s="19"/>
      <c r="N56" s="19"/>
      <c r="O56" s="19"/>
      <c r="P56" s="19"/>
    </row>
    <row r="57" spans="2:16" x14ac:dyDescent="0.2">
      <c r="B57" t="s">
        <v>635</v>
      </c>
      <c r="C57" t="s">
        <v>390</v>
      </c>
      <c r="D57" s="18">
        <v>42493.418969907405</v>
      </c>
      <c r="E57" t="s">
        <v>184</v>
      </c>
      <c r="F57" s="19">
        <v>0.94896837992919059</v>
      </c>
      <c r="G57" s="19">
        <v>0.83981623277182227</v>
      </c>
      <c r="H57" s="19">
        <v>0.90846857480082621</v>
      </c>
      <c r="I57" s="19">
        <v>4.7492149294843106E-2</v>
      </c>
      <c r="J57" s="19">
        <v>0.94341836734693874</v>
      </c>
      <c r="K57" s="19">
        <v>3.6848993118254757E-2</v>
      </c>
      <c r="L57" s="19"/>
      <c r="M57" s="19"/>
      <c r="N57" s="19"/>
      <c r="O57" s="19"/>
      <c r="P57" s="19"/>
    </row>
    <row r="58" spans="2:16" x14ac:dyDescent="0.2">
      <c r="B58" t="s">
        <v>380</v>
      </c>
      <c r="C58" t="s">
        <v>380</v>
      </c>
      <c r="D58" s="18">
        <v>42493.418969907405</v>
      </c>
      <c r="E58" t="s">
        <v>661</v>
      </c>
      <c r="F58" s="19">
        <v>0.91907089685819521</v>
      </c>
      <c r="G58" s="19">
        <v>0.82765362703466616</v>
      </c>
      <c r="H58" s="19">
        <v>0.88255048671354075</v>
      </c>
      <c r="I58" s="19">
        <v>2.1497307808546681E-2</v>
      </c>
      <c r="J58" s="19">
        <v>0.88457866454031442</v>
      </c>
      <c r="K58" s="19">
        <v>2.7531687305765117E-2</v>
      </c>
      <c r="L58" s="19"/>
      <c r="M58" s="19"/>
      <c r="N58" s="19"/>
      <c r="O58" s="19"/>
      <c r="P58" s="19"/>
    </row>
    <row r="59" spans="2:16" x14ac:dyDescent="0.2">
      <c r="B59" t="s">
        <v>574</v>
      </c>
      <c r="C59" t="s">
        <v>390</v>
      </c>
      <c r="D59" s="18">
        <v>42493.418969907405</v>
      </c>
      <c r="E59" t="s">
        <v>158</v>
      </c>
      <c r="F59" s="19">
        <v>0.9826058842547688</v>
      </c>
      <c r="G59" s="19">
        <v>0.94092586085734364</v>
      </c>
      <c r="H59" s="19">
        <v>0.92343169377193035</v>
      </c>
      <c r="I59" s="19">
        <v>3.9951442383799926E-2</v>
      </c>
      <c r="J59" s="19">
        <v>0.85420133914553376</v>
      </c>
      <c r="K59" s="19">
        <v>5.4180735473563502E-2</v>
      </c>
      <c r="L59" s="19"/>
      <c r="M59" s="19"/>
      <c r="N59" s="19"/>
      <c r="O59" s="19"/>
      <c r="P59" s="19"/>
    </row>
    <row r="60" spans="2:16" x14ac:dyDescent="0.2">
      <c r="B60" t="s">
        <v>212</v>
      </c>
      <c r="C60" t="s">
        <v>390</v>
      </c>
      <c r="D60" s="18">
        <v>42493.418969907405</v>
      </c>
      <c r="E60" t="s">
        <v>161</v>
      </c>
      <c r="F60" s="19">
        <v>0.99334575973267125</v>
      </c>
      <c r="G60" s="19">
        <v>1</v>
      </c>
      <c r="H60" s="19">
        <v>0.96888081134446258</v>
      </c>
      <c r="I60" s="19">
        <v>3.0958775716500568E-2</v>
      </c>
      <c r="J60" s="19">
        <v>0.88372958321073181</v>
      </c>
      <c r="K60" s="19">
        <v>4.9785286281895012E-2</v>
      </c>
      <c r="L60" s="19">
        <v>0.96355114310576695</v>
      </c>
      <c r="M60" s="19">
        <v>0.99161693533714201</v>
      </c>
      <c r="N60" s="19">
        <v>1.2506047321108795E-2</v>
      </c>
      <c r="O60" s="19">
        <v>0.98211606185882705</v>
      </c>
      <c r="P60" s="19">
        <v>2.1682734415525998E-2</v>
      </c>
    </row>
    <row r="61" spans="2:16" x14ac:dyDescent="0.2">
      <c r="B61" t="s">
        <v>580</v>
      </c>
      <c r="C61" t="s">
        <v>390</v>
      </c>
      <c r="D61" s="18">
        <v>42493.418969907405</v>
      </c>
      <c r="E61" t="s">
        <v>161</v>
      </c>
      <c r="F61" s="19">
        <v>0.99334575973267125</v>
      </c>
      <c r="G61" s="19">
        <v>1</v>
      </c>
      <c r="H61" s="19">
        <v>0.96888081134446258</v>
      </c>
      <c r="I61" s="19">
        <v>3.0958775716500568E-2</v>
      </c>
      <c r="J61" s="19">
        <v>0.88372958321073181</v>
      </c>
      <c r="K61" s="19">
        <v>4.9785286281895012E-2</v>
      </c>
      <c r="L61" s="19">
        <v>0.96355114310576695</v>
      </c>
      <c r="M61" s="19">
        <v>0.99161693533714201</v>
      </c>
      <c r="N61" s="19">
        <v>1.2506047321108795E-2</v>
      </c>
      <c r="O61" s="19">
        <v>0.98211606185882705</v>
      </c>
      <c r="P61" s="19">
        <v>2.1682734415525998E-2</v>
      </c>
    </row>
    <row r="62" spans="2:16" x14ac:dyDescent="0.2">
      <c r="B62" t="s">
        <v>541</v>
      </c>
      <c r="C62" t="s">
        <v>380</v>
      </c>
      <c r="D62" s="18">
        <v>42493.418969907405</v>
      </c>
      <c r="E62" t="s">
        <v>146</v>
      </c>
      <c r="F62" s="19">
        <v>0.93294154864039769</v>
      </c>
      <c r="G62" s="19">
        <v>0.87301596882691834</v>
      </c>
      <c r="H62" s="19">
        <v>0.86624855102860054</v>
      </c>
      <c r="I62" s="19">
        <v>5.388076267230929E-2</v>
      </c>
      <c r="J62" s="19">
        <v>0.85467168505708202</v>
      </c>
      <c r="K62" s="19">
        <v>6.6668883666145151E-2</v>
      </c>
      <c r="L62" s="19"/>
      <c r="M62" s="19"/>
      <c r="N62" s="19"/>
      <c r="O62" s="19"/>
      <c r="P62" s="19"/>
    </row>
    <row r="63" spans="2:16" x14ac:dyDescent="0.2">
      <c r="B63" t="s">
        <v>627</v>
      </c>
      <c r="C63" t="s">
        <v>369</v>
      </c>
      <c r="D63" s="18">
        <v>42493.418969907405</v>
      </c>
      <c r="E63" t="s">
        <v>180</v>
      </c>
      <c r="F63" s="19">
        <v>0.9834251730928032</v>
      </c>
      <c r="G63" s="19">
        <v>0.91972011537228937</v>
      </c>
      <c r="H63" s="19">
        <v>0.89195057996193516</v>
      </c>
      <c r="I63" s="19">
        <v>5.1719027618099392E-2</v>
      </c>
      <c r="J63" s="19">
        <v>0.94280648429584601</v>
      </c>
      <c r="K63" s="19">
        <v>3.6210672572002951E-2</v>
      </c>
      <c r="L63" s="19"/>
      <c r="M63" s="19"/>
      <c r="N63" s="19"/>
      <c r="O63" s="19"/>
      <c r="P63" s="19"/>
    </row>
    <row r="64" spans="2:16" x14ac:dyDescent="0.2">
      <c r="B64" t="s">
        <v>696</v>
      </c>
      <c r="C64" t="s">
        <v>6</v>
      </c>
      <c r="D64" s="18">
        <v>42493.418969907405</v>
      </c>
      <c r="E64" t="s">
        <v>437</v>
      </c>
      <c r="F64" s="19"/>
      <c r="G64" s="19"/>
      <c r="H64" s="19"/>
      <c r="I64" s="19"/>
      <c r="J64" s="19"/>
      <c r="K64" s="19"/>
      <c r="L64" s="19">
        <v>0.94363038612199224</v>
      </c>
      <c r="M64" s="19">
        <v>0.95612000113095486</v>
      </c>
      <c r="N64" s="19">
        <v>2.0074672505244421E-2</v>
      </c>
      <c r="O64" s="19">
        <v>0.9611815990348711</v>
      </c>
      <c r="P64" s="19">
        <v>2.1011337989334321E-2</v>
      </c>
    </row>
    <row r="65" spans="2:16" x14ac:dyDescent="0.2">
      <c r="B65" t="s">
        <v>698</v>
      </c>
      <c r="C65" t="s">
        <v>6</v>
      </c>
      <c r="D65" s="18">
        <v>42493.418969907405</v>
      </c>
      <c r="E65" t="s">
        <v>437</v>
      </c>
      <c r="F65" s="19">
        <v>0.95176772964690182</v>
      </c>
      <c r="G65" s="19">
        <v>0.87163094919678907</v>
      </c>
      <c r="H65" s="19">
        <v>0.89273068920662102</v>
      </c>
      <c r="I65" s="19">
        <v>7.765925205636748E-3</v>
      </c>
      <c r="J65" s="19">
        <v>0.89687768186165484</v>
      </c>
      <c r="K65" s="19">
        <v>1.1083282094694766E-2</v>
      </c>
      <c r="L65" s="19">
        <v>0.94363038612199224</v>
      </c>
      <c r="M65" s="19">
        <v>0.95612000113095486</v>
      </c>
      <c r="N65" s="19">
        <v>2.0074672505244421E-2</v>
      </c>
      <c r="O65" s="19">
        <v>0.9611815990348711</v>
      </c>
      <c r="P65" s="19">
        <v>2.1011337989334321E-2</v>
      </c>
    </row>
    <row r="66" spans="2:16" x14ac:dyDescent="0.2">
      <c r="B66" t="s">
        <v>605</v>
      </c>
      <c r="C66" t="s">
        <v>385</v>
      </c>
      <c r="D66" s="18">
        <v>42493.418969907405</v>
      </c>
      <c r="E66" t="s">
        <v>171</v>
      </c>
      <c r="F66" s="19">
        <v>0.94607832745522247</v>
      </c>
      <c r="G66" s="19">
        <v>0.86210064496775163</v>
      </c>
      <c r="H66" s="19">
        <v>0.89951450252672194</v>
      </c>
      <c r="I66" s="19">
        <v>4.45687171994485E-2</v>
      </c>
      <c r="J66" s="19">
        <v>0.89065788456427752</v>
      </c>
      <c r="K66" s="19">
        <v>4.9007817020466075E-2</v>
      </c>
      <c r="L66" s="19"/>
      <c r="M66" s="19"/>
      <c r="N66" s="19"/>
      <c r="O66" s="19"/>
      <c r="P66" s="19"/>
    </row>
    <row r="67" spans="2:16" x14ac:dyDescent="0.2">
      <c r="B67" t="s">
        <v>670</v>
      </c>
      <c r="C67" t="s">
        <v>369</v>
      </c>
      <c r="D67" s="18">
        <v>42493.418969907405</v>
      </c>
      <c r="E67" t="s">
        <v>669</v>
      </c>
      <c r="F67" s="152"/>
      <c r="G67" s="152"/>
      <c r="H67" s="152">
        <v>0.90146484051538556</v>
      </c>
      <c r="I67" s="152">
        <v>0.10254957345666249</v>
      </c>
      <c r="J67" s="152">
        <v>0.79837882355175227</v>
      </c>
      <c r="K67" s="152">
        <v>7.7908118728519465E-2</v>
      </c>
      <c r="L67" s="152"/>
      <c r="M67" s="152"/>
      <c r="N67" s="152"/>
      <c r="O67" s="152"/>
      <c r="P67" s="152"/>
    </row>
    <row r="68" spans="2:16" x14ac:dyDescent="0.2">
      <c r="B68" t="s">
        <v>629</v>
      </c>
      <c r="C68" t="s">
        <v>369</v>
      </c>
      <c r="D68" s="18">
        <v>42493.418969907405</v>
      </c>
      <c r="E68" t="s">
        <v>89</v>
      </c>
      <c r="F68" s="152">
        <v>0.92773128803492932</v>
      </c>
      <c r="G68" s="152">
        <v>0.89017995656220905</v>
      </c>
      <c r="H68" s="152">
        <v>0.844495277449823</v>
      </c>
      <c r="I68" s="152">
        <v>5.0048646647757308E-2</v>
      </c>
      <c r="J68" s="152">
        <v>0.8782871288947679</v>
      </c>
      <c r="K68" s="152">
        <v>4.7552013771213882E-2</v>
      </c>
      <c r="L68" s="152"/>
      <c r="M68" s="152"/>
      <c r="N68" s="152"/>
      <c r="O68" s="152"/>
      <c r="P68" s="152"/>
    </row>
    <row r="69" spans="2:16" x14ac:dyDescent="0.2">
      <c r="B69" t="s">
        <v>639</v>
      </c>
      <c r="C69" t="s">
        <v>390</v>
      </c>
      <c r="D69" s="18">
        <v>42493.418969907405</v>
      </c>
      <c r="E69" t="s">
        <v>185</v>
      </c>
      <c r="F69" s="152">
        <v>0.927121143085327</v>
      </c>
      <c r="G69" s="152">
        <v>0.8242881072026802</v>
      </c>
      <c r="H69" s="152">
        <v>0.88313510266491912</v>
      </c>
      <c r="I69" s="152">
        <v>5.2047984134473424E-2</v>
      </c>
      <c r="J69" s="152">
        <v>0.90662665985699686</v>
      </c>
      <c r="K69" s="152">
        <v>6.0444181774545885E-2</v>
      </c>
      <c r="L69" s="152"/>
      <c r="M69" s="152"/>
      <c r="N69" s="152"/>
      <c r="O69" s="152"/>
      <c r="P69" s="152"/>
    </row>
    <row r="70" spans="2:16" x14ac:dyDescent="0.2">
      <c r="B70" t="s">
        <v>643</v>
      </c>
      <c r="C70" t="s">
        <v>369</v>
      </c>
      <c r="D70" s="18">
        <v>42493.418969907405</v>
      </c>
      <c r="E70" t="s">
        <v>187</v>
      </c>
      <c r="F70" s="152">
        <v>0.95052602792613083</v>
      </c>
      <c r="G70" s="152">
        <v>0.94769874476987459</v>
      </c>
      <c r="H70" s="152">
        <v>0.87049645585174185</v>
      </c>
      <c r="I70" s="152">
        <v>4.6260906559825586E-2</v>
      </c>
      <c r="J70" s="152">
        <v>0.8957557084169292</v>
      </c>
      <c r="K70" s="152">
        <v>5.3502496213121163E-2</v>
      </c>
      <c r="L70" s="152"/>
      <c r="M70" s="152"/>
      <c r="N70" s="152"/>
      <c r="O70" s="152"/>
      <c r="P70" s="152"/>
    </row>
    <row r="71" spans="2:16" x14ac:dyDescent="0.2">
      <c r="B71" t="s">
        <v>543</v>
      </c>
      <c r="C71" t="s">
        <v>369</v>
      </c>
      <c r="D71" s="18">
        <v>42493.418969907405</v>
      </c>
      <c r="E71" t="s">
        <v>147</v>
      </c>
      <c r="F71" s="152">
        <v>0.9647268237319685</v>
      </c>
      <c r="G71" s="152">
        <v>0.8540946168535859</v>
      </c>
      <c r="H71" s="152">
        <v>0.85332556396750037</v>
      </c>
      <c r="I71" s="152">
        <v>5.0195783285741979E-2</v>
      </c>
      <c r="J71" s="152">
        <v>0.93580523331404075</v>
      </c>
      <c r="K71" s="152">
        <v>4.1136772296727103E-2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133</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410724</v>
      </c>
      <c r="D3">
        <v>407.67394880379999</v>
      </c>
      <c r="F3" t="s">
        <v>8</v>
      </c>
      <c r="G3">
        <v>10505</v>
      </c>
      <c r="P3">
        <v>10505</v>
      </c>
      <c r="Q3">
        <v>175.5334666286</v>
      </c>
      <c r="V3" t="s">
        <v>309</v>
      </c>
      <c r="W3">
        <v>355</v>
      </c>
      <c r="X3">
        <v>238</v>
      </c>
      <c r="Y3">
        <v>342.62184873950002</v>
      </c>
      <c r="Z3">
        <v>101</v>
      </c>
      <c r="AA3">
        <v>501.47524752480001</v>
      </c>
      <c r="AB3">
        <v>75</v>
      </c>
      <c r="AC3">
        <v>480.84</v>
      </c>
      <c r="AD3">
        <v>29</v>
      </c>
      <c r="AE3">
        <v>602.34482758620004</v>
      </c>
      <c r="AF3">
        <v>12</v>
      </c>
      <c r="AG3">
        <v>211</v>
      </c>
      <c r="AH3">
        <v>1</v>
      </c>
      <c r="AI3">
        <v>320</v>
      </c>
      <c r="AL3" t="s">
        <v>309</v>
      </c>
      <c r="AM3">
        <v>1</v>
      </c>
      <c r="AP3">
        <v>2</v>
      </c>
      <c r="AQ3">
        <v>302.5</v>
      </c>
      <c r="AR3">
        <v>1</v>
      </c>
      <c r="AS3">
        <v>8</v>
      </c>
    </row>
    <row r="4" spans="2:51" x14ac:dyDescent="0.2">
      <c r="B4" t="s">
        <v>952</v>
      </c>
      <c r="C4">
        <v>34658</v>
      </c>
      <c r="D4">
        <v>407.67394880379999</v>
      </c>
      <c r="F4" t="s">
        <v>8</v>
      </c>
      <c r="G4">
        <v>10505</v>
      </c>
      <c r="P4">
        <v>10505</v>
      </c>
      <c r="Q4">
        <v>175.5334666286</v>
      </c>
      <c r="V4" t="s">
        <v>8</v>
      </c>
      <c r="W4">
        <v>4461</v>
      </c>
      <c r="X4">
        <v>3310</v>
      </c>
      <c r="Y4">
        <v>471.35448776070001</v>
      </c>
      <c r="Z4">
        <v>586</v>
      </c>
      <c r="AA4">
        <v>499.28839590439998</v>
      </c>
      <c r="AB4">
        <v>440</v>
      </c>
      <c r="AC4">
        <v>463.23181818180001</v>
      </c>
      <c r="AD4">
        <v>678</v>
      </c>
      <c r="AE4">
        <v>854.34955752209999</v>
      </c>
      <c r="AF4">
        <v>31</v>
      </c>
      <c r="AG4">
        <v>424.77419354839998</v>
      </c>
      <c r="AH4">
        <v>2</v>
      </c>
      <c r="AI4">
        <v>676</v>
      </c>
      <c r="AL4" t="s">
        <v>8</v>
      </c>
      <c r="AM4">
        <v>40</v>
      </c>
      <c r="AN4">
        <v>36</v>
      </c>
      <c r="AO4">
        <v>192.4722222222</v>
      </c>
      <c r="AP4">
        <v>11</v>
      </c>
      <c r="AQ4">
        <v>380.27272727270002</v>
      </c>
      <c r="AR4">
        <v>4</v>
      </c>
      <c r="AS4">
        <v>185</v>
      </c>
    </row>
    <row r="5" spans="2:51" x14ac:dyDescent="0.2">
      <c r="B5" t="s">
        <v>964</v>
      </c>
      <c r="C5">
        <v>31718</v>
      </c>
      <c r="D5">
        <v>577.47433633900005</v>
      </c>
      <c r="F5" t="s">
        <v>43</v>
      </c>
      <c r="G5">
        <v>593</v>
      </c>
      <c r="H5">
        <v>498</v>
      </c>
      <c r="I5">
        <v>252.40160642570001</v>
      </c>
      <c r="J5">
        <v>68</v>
      </c>
      <c r="K5">
        <v>540.4411764706</v>
      </c>
      <c r="L5">
        <v>74</v>
      </c>
      <c r="M5">
        <v>203.79729729729999</v>
      </c>
      <c r="N5">
        <v>17</v>
      </c>
      <c r="O5">
        <v>278.76470588239999</v>
      </c>
      <c r="R5">
        <v>4</v>
      </c>
      <c r="S5">
        <v>233.5</v>
      </c>
      <c r="V5" t="s">
        <v>8</v>
      </c>
      <c r="W5">
        <v>4816</v>
      </c>
      <c r="X5">
        <v>3548</v>
      </c>
      <c r="Y5">
        <v>462.7166619679</v>
      </c>
      <c r="Z5">
        <v>687</v>
      </c>
      <c r="AA5">
        <v>499.60989810770002</v>
      </c>
      <c r="AB5">
        <v>515</v>
      </c>
      <c r="AC5">
        <v>465.7961165049</v>
      </c>
      <c r="AD5">
        <v>707</v>
      </c>
      <c r="AE5">
        <v>844.01272984440004</v>
      </c>
      <c r="AF5">
        <v>43</v>
      </c>
      <c r="AG5">
        <v>365.11627906979999</v>
      </c>
      <c r="AH5">
        <v>3</v>
      </c>
      <c r="AI5">
        <v>557.33333333329995</v>
      </c>
      <c r="AL5" t="s">
        <v>8</v>
      </c>
      <c r="AM5">
        <v>41</v>
      </c>
      <c r="AN5">
        <v>36</v>
      </c>
      <c r="AO5">
        <v>192.4722222222</v>
      </c>
      <c r="AP5">
        <v>13</v>
      </c>
      <c r="AQ5">
        <v>368.30769230769999</v>
      </c>
      <c r="AR5">
        <v>5</v>
      </c>
      <c r="AS5">
        <v>149.6</v>
      </c>
    </row>
    <row r="6" spans="2:51" x14ac:dyDescent="0.2">
      <c r="B6" t="s">
        <v>241</v>
      </c>
      <c r="C6">
        <v>52800</v>
      </c>
      <c r="D6">
        <v>555.74043560610005</v>
      </c>
      <c r="F6" t="s">
        <v>37</v>
      </c>
      <c r="G6">
        <v>8295</v>
      </c>
      <c r="H6">
        <v>6666</v>
      </c>
      <c r="I6">
        <v>443.15316531650001</v>
      </c>
      <c r="J6">
        <v>465</v>
      </c>
      <c r="K6">
        <v>911.75483870970004</v>
      </c>
      <c r="L6">
        <v>1116</v>
      </c>
      <c r="M6">
        <v>625.86648745519994</v>
      </c>
      <c r="N6">
        <v>490</v>
      </c>
      <c r="O6">
        <v>596.22244897960002</v>
      </c>
      <c r="R6">
        <v>23</v>
      </c>
      <c r="S6">
        <v>430.69565217389999</v>
      </c>
      <c r="V6" t="s">
        <v>399</v>
      </c>
      <c r="W6">
        <v>1493</v>
      </c>
      <c r="X6">
        <v>838</v>
      </c>
      <c r="Y6">
        <v>182.9892601432</v>
      </c>
      <c r="Z6">
        <v>204</v>
      </c>
      <c r="AA6">
        <v>315.1764705882</v>
      </c>
      <c r="AB6">
        <v>463</v>
      </c>
      <c r="AC6">
        <v>300.13822894169999</v>
      </c>
      <c r="AD6">
        <v>126</v>
      </c>
      <c r="AE6">
        <v>319.38095238099999</v>
      </c>
      <c r="AF6">
        <v>64</v>
      </c>
      <c r="AG6">
        <v>170.53125</v>
      </c>
      <c r="AH6">
        <v>2</v>
      </c>
      <c r="AI6">
        <v>110</v>
      </c>
      <c r="AL6" t="s">
        <v>399</v>
      </c>
      <c r="AM6">
        <v>35</v>
      </c>
      <c r="AN6">
        <v>26</v>
      </c>
      <c r="AO6">
        <v>86.576923076900002</v>
      </c>
      <c r="AP6">
        <v>18</v>
      </c>
      <c r="AQ6">
        <v>214.8333333333</v>
      </c>
      <c r="AR6">
        <v>8</v>
      </c>
      <c r="AS6">
        <v>191.625</v>
      </c>
      <c r="AT6">
        <v>1</v>
      </c>
      <c r="AU6">
        <v>32</v>
      </c>
    </row>
    <row r="7" spans="2:51" x14ac:dyDescent="0.2">
      <c r="B7" t="s">
        <v>240</v>
      </c>
      <c r="C7">
        <v>236806</v>
      </c>
      <c r="D7">
        <v>403.48837199479999</v>
      </c>
      <c r="F7" t="s">
        <v>42</v>
      </c>
      <c r="G7">
        <v>5546</v>
      </c>
      <c r="H7">
        <v>3882</v>
      </c>
      <c r="I7">
        <v>377.16409067490002</v>
      </c>
      <c r="J7">
        <v>922</v>
      </c>
      <c r="K7">
        <v>542.52928416489999</v>
      </c>
      <c r="L7">
        <v>1075</v>
      </c>
      <c r="M7">
        <v>479.45674418599998</v>
      </c>
      <c r="N7">
        <v>548</v>
      </c>
      <c r="O7">
        <v>413.35401459849999</v>
      </c>
      <c r="R7">
        <v>41</v>
      </c>
      <c r="S7">
        <v>378.31707317069998</v>
      </c>
      <c r="V7" t="s">
        <v>391</v>
      </c>
      <c r="W7">
        <v>12991</v>
      </c>
      <c r="X7">
        <v>9634</v>
      </c>
      <c r="Y7">
        <v>636.65933153410003</v>
      </c>
      <c r="Z7">
        <v>805</v>
      </c>
      <c r="AA7">
        <v>1015.6968944099</v>
      </c>
      <c r="AB7">
        <v>2342</v>
      </c>
      <c r="AC7">
        <v>1208.8731853116999</v>
      </c>
      <c r="AD7">
        <v>799</v>
      </c>
      <c r="AE7">
        <v>908.83854818520001</v>
      </c>
      <c r="AF7">
        <v>195</v>
      </c>
      <c r="AG7">
        <v>196.14358974359999</v>
      </c>
      <c r="AH7">
        <v>21</v>
      </c>
      <c r="AI7">
        <v>752.71428571429999</v>
      </c>
      <c r="AL7" t="s">
        <v>391</v>
      </c>
      <c r="AM7">
        <v>299</v>
      </c>
      <c r="AN7">
        <v>208</v>
      </c>
      <c r="AO7">
        <v>421.26923076920002</v>
      </c>
      <c r="AP7">
        <v>41</v>
      </c>
      <c r="AQ7">
        <v>899.26829268289998</v>
      </c>
      <c r="AR7">
        <v>87</v>
      </c>
      <c r="AS7">
        <v>392.4827586207</v>
      </c>
      <c r="AT7">
        <v>4</v>
      </c>
      <c r="AU7">
        <v>896.75</v>
      </c>
    </row>
    <row r="8" spans="2:51" x14ac:dyDescent="0.2">
      <c r="B8" t="s">
        <v>242</v>
      </c>
      <c r="C8">
        <v>23526</v>
      </c>
      <c r="D8">
        <v>510.44228561710003</v>
      </c>
      <c r="F8" t="s">
        <v>50</v>
      </c>
      <c r="G8">
        <v>1133</v>
      </c>
      <c r="H8">
        <v>476</v>
      </c>
      <c r="I8">
        <v>300.89075630249999</v>
      </c>
      <c r="J8">
        <v>443</v>
      </c>
      <c r="K8">
        <v>295.50790067719998</v>
      </c>
      <c r="L8">
        <v>486</v>
      </c>
      <c r="M8">
        <v>197.8559670782</v>
      </c>
      <c r="N8">
        <v>169</v>
      </c>
      <c r="O8">
        <v>214.23076923080001</v>
      </c>
      <c r="R8">
        <v>2</v>
      </c>
      <c r="S8">
        <v>291.5</v>
      </c>
      <c r="V8" t="s">
        <v>422</v>
      </c>
      <c r="W8">
        <v>1344</v>
      </c>
      <c r="X8">
        <v>911</v>
      </c>
      <c r="Y8">
        <v>201.5521405049</v>
      </c>
      <c r="Z8">
        <v>191</v>
      </c>
      <c r="AA8">
        <v>375.4136125654</v>
      </c>
      <c r="AB8">
        <v>163</v>
      </c>
      <c r="AC8">
        <v>157.4846625767</v>
      </c>
      <c r="AD8">
        <v>185</v>
      </c>
      <c r="AE8">
        <v>375.14054054050001</v>
      </c>
      <c r="AF8">
        <v>81</v>
      </c>
      <c r="AG8">
        <v>155.0617283951</v>
      </c>
      <c r="AH8">
        <v>4</v>
      </c>
      <c r="AI8">
        <v>391.25</v>
      </c>
      <c r="AL8" t="s">
        <v>422</v>
      </c>
      <c r="AM8">
        <v>28</v>
      </c>
      <c r="AN8">
        <v>25</v>
      </c>
      <c r="AO8">
        <v>149.88</v>
      </c>
      <c r="AP8">
        <v>8</v>
      </c>
      <c r="AQ8">
        <v>342.375</v>
      </c>
      <c r="AR8">
        <v>3</v>
      </c>
      <c r="AS8">
        <v>402.6666666667</v>
      </c>
    </row>
    <row r="9" spans="2:51" x14ac:dyDescent="0.2">
      <c r="B9" t="s">
        <v>243</v>
      </c>
      <c r="C9">
        <v>10505</v>
      </c>
      <c r="D9">
        <v>175.5334666286</v>
      </c>
      <c r="F9" t="s">
        <v>81</v>
      </c>
      <c r="G9">
        <v>1392</v>
      </c>
      <c r="H9">
        <v>1046</v>
      </c>
      <c r="I9">
        <v>239.35850860420001</v>
      </c>
      <c r="J9">
        <v>218</v>
      </c>
      <c r="K9">
        <v>386.1697247706</v>
      </c>
      <c r="L9">
        <v>145</v>
      </c>
      <c r="M9">
        <v>112.7103448276</v>
      </c>
      <c r="N9">
        <v>197</v>
      </c>
      <c r="O9">
        <v>376.54314720809998</v>
      </c>
      <c r="R9">
        <v>4</v>
      </c>
      <c r="S9">
        <v>391.25</v>
      </c>
      <c r="V9" t="s">
        <v>392</v>
      </c>
      <c r="W9">
        <v>8213</v>
      </c>
      <c r="X9">
        <v>6364</v>
      </c>
      <c r="Y9">
        <v>500.01367064739998</v>
      </c>
      <c r="Z9">
        <v>443</v>
      </c>
      <c r="AA9">
        <v>896.93905191869999</v>
      </c>
      <c r="AB9">
        <v>1325</v>
      </c>
      <c r="AC9">
        <v>916.45207547170003</v>
      </c>
      <c r="AD9">
        <v>411</v>
      </c>
      <c r="AE9">
        <v>710.69343065689998</v>
      </c>
      <c r="AF9">
        <v>109</v>
      </c>
      <c r="AG9">
        <v>157.7155963303</v>
      </c>
      <c r="AH9">
        <v>4</v>
      </c>
      <c r="AI9">
        <v>480.5</v>
      </c>
      <c r="AL9" t="s">
        <v>392</v>
      </c>
      <c r="AM9">
        <v>137</v>
      </c>
      <c r="AN9">
        <v>111</v>
      </c>
      <c r="AO9">
        <v>394.75675675679997</v>
      </c>
      <c r="AP9">
        <v>20</v>
      </c>
      <c r="AQ9">
        <v>830.25</v>
      </c>
      <c r="AR9">
        <v>25</v>
      </c>
      <c r="AS9">
        <v>212.76</v>
      </c>
      <c r="AT9">
        <v>1</v>
      </c>
      <c r="AU9">
        <v>260</v>
      </c>
    </row>
    <row r="10" spans="2:51" x14ac:dyDescent="0.2">
      <c r="B10" t="s">
        <v>948</v>
      </c>
      <c r="C10">
        <v>627</v>
      </c>
      <c r="D10">
        <v>441.09888357260002</v>
      </c>
      <c r="F10" t="s">
        <v>76</v>
      </c>
      <c r="G10">
        <v>4021</v>
      </c>
      <c r="H10">
        <v>1971</v>
      </c>
      <c r="I10">
        <v>218.52714358189999</v>
      </c>
      <c r="J10">
        <v>911</v>
      </c>
      <c r="K10">
        <v>313.07244785950002</v>
      </c>
      <c r="L10">
        <v>1966</v>
      </c>
      <c r="M10">
        <v>360.74974567650003</v>
      </c>
      <c r="N10">
        <v>83</v>
      </c>
      <c r="O10">
        <v>231.56626506020001</v>
      </c>
      <c r="R10">
        <v>1</v>
      </c>
      <c r="S10">
        <v>136</v>
      </c>
      <c r="V10" t="s">
        <v>394</v>
      </c>
      <c r="W10">
        <v>8464</v>
      </c>
      <c r="X10">
        <v>6590</v>
      </c>
      <c r="Y10">
        <v>439.71471927160002</v>
      </c>
      <c r="Z10">
        <v>479</v>
      </c>
      <c r="AA10">
        <v>893.95407098119995</v>
      </c>
      <c r="AB10">
        <v>1123</v>
      </c>
      <c r="AC10">
        <v>626.10062333040003</v>
      </c>
      <c r="AD10">
        <v>489</v>
      </c>
      <c r="AE10">
        <v>586.10838445809998</v>
      </c>
      <c r="AF10">
        <v>239</v>
      </c>
      <c r="AG10">
        <v>170.84518828450001</v>
      </c>
      <c r="AH10">
        <v>23</v>
      </c>
      <c r="AI10">
        <v>430.69565217389999</v>
      </c>
      <c r="AL10" t="s">
        <v>394</v>
      </c>
      <c r="AM10">
        <v>322</v>
      </c>
      <c r="AN10">
        <v>219</v>
      </c>
      <c r="AO10">
        <v>395.81735159819999</v>
      </c>
      <c r="AP10">
        <v>31</v>
      </c>
      <c r="AQ10">
        <v>567.09677419349998</v>
      </c>
      <c r="AR10">
        <v>94</v>
      </c>
      <c r="AS10">
        <v>408.77659574469999</v>
      </c>
      <c r="AT10">
        <v>9</v>
      </c>
      <c r="AU10">
        <v>297.8888888889</v>
      </c>
    </row>
    <row r="11" spans="2:51" x14ac:dyDescent="0.2">
      <c r="F11" t="s">
        <v>38</v>
      </c>
      <c r="G11">
        <v>12777</v>
      </c>
      <c r="H11">
        <v>9577</v>
      </c>
      <c r="I11">
        <v>645.21102641749997</v>
      </c>
      <c r="J11">
        <v>701</v>
      </c>
      <c r="K11">
        <v>1081.6476462196999</v>
      </c>
      <c r="L11">
        <v>2392</v>
      </c>
      <c r="M11">
        <v>1233.5660535116999</v>
      </c>
      <c r="N11">
        <v>788</v>
      </c>
      <c r="O11">
        <v>926.7791878173</v>
      </c>
      <c r="R11">
        <v>20</v>
      </c>
      <c r="S11">
        <v>767.35</v>
      </c>
      <c r="V11" t="s">
        <v>395</v>
      </c>
      <c r="W11">
        <v>5515</v>
      </c>
      <c r="X11">
        <v>3563</v>
      </c>
      <c r="Y11">
        <v>362.02161100199999</v>
      </c>
      <c r="Z11">
        <v>784</v>
      </c>
      <c r="AA11">
        <v>530.75255102040001</v>
      </c>
      <c r="AB11">
        <v>1091</v>
      </c>
      <c r="AC11">
        <v>483.62603116410003</v>
      </c>
      <c r="AD11">
        <v>557</v>
      </c>
      <c r="AE11">
        <v>420.3016157989</v>
      </c>
      <c r="AF11">
        <v>262</v>
      </c>
      <c r="AG11">
        <v>167.20610687019999</v>
      </c>
      <c r="AH11">
        <v>42</v>
      </c>
      <c r="AI11">
        <v>372.19047619050002</v>
      </c>
      <c r="AL11" t="s">
        <v>395</v>
      </c>
      <c r="AM11">
        <v>242</v>
      </c>
      <c r="AN11">
        <v>191</v>
      </c>
      <c r="AO11">
        <v>358.89005235600001</v>
      </c>
      <c r="AP11">
        <v>19</v>
      </c>
      <c r="AQ11">
        <v>481.15789473680002</v>
      </c>
      <c r="AR11">
        <v>43</v>
      </c>
      <c r="AS11">
        <v>374.27906976740002</v>
      </c>
      <c r="AT11">
        <v>7</v>
      </c>
      <c r="AU11">
        <v>368.14285714290003</v>
      </c>
      <c r="AV11">
        <v>1</v>
      </c>
      <c r="AW11">
        <v>73</v>
      </c>
    </row>
    <row r="12" spans="2:51" x14ac:dyDescent="0.2">
      <c r="F12" t="s">
        <v>56</v>
      </c>
      <c r="G12">
        <v>3179</v>
      </c>
      <c r="H12">
        <v>2695</v>
      </c>
      <c r="I12">
        <v>317.19554730980002</v>
      </c>
      <c r="J12">
        <v>419</v>
      </c>
      <c r="K12">
        <v>351.51551312650003</v>
      </c>
      <c r="L12">
        <v>439</v>
      </c>
      <c r="M12">
        <v>320.07061503419999</v>
      </c>
      <c r="N12">
        <v>45</v>
      </c>
      <c r="O12">
        <v>101.2444444444</v>
      </c>
      <c r="V12" t="s">
        <v>397</v>
      </c>
      <c r="W12">
        <v>6475</v>
      </c>
      <c r="X12">
        <v>5462</v>
      </c>
      <c r="Y12">
        <v>289.71274258509999</v>
      </c>
      <c r="Z12">
        <v>689</v>
      </c>
      <c r="AA12">
        <v>563.70827285919995</v>
      </c>
      <c r="AB12">
        <v>351</v>
      </c>
      <c r="AC12">
        <v>215.5726495726</v>
      </c>
      <c r="AD12">
        <v>412</v>
      </c>
      <c r="AE12">
        <v>393.14805825240001</v>
      </c>
      <c r="AF12">
        <v>234</v>
      </c>
      <c r="AG12">
        <v>179.8205128205</v>
      </c>
      <c r="AH12">
        <v>16</v>
      </c>
      <c r="AI12">
        <v>353.875</v>
      </c>
      <c r="AL12" t="s">
        <v>397</v>
      </c>
      <c r="AM12">
        <v>212</v>
      </c>
      <c r="AN12">
        <v>169</v>
      </c>
      <c r="AO12">
        <v>355.8934911243</v>
      </c>
      <c r="AP12">
        <v>14</v>
      </c>
      <c r="AQ12">
        <v>623.5</v>
      </c>
      <c r="AR12">
        <v>41</v>
      </c>
      <c r="AS12">
        <v>242.9512195122</v>
      </c>
      <c r="AT12">
        <v>2</v>
      </c>
      <c r="AU12">
        <v>691</v>
      </c>
    </row>
    <row r="13" spans="2:51" x14ac:dyDescent="0.2">
      <c r="F13" t="s">
        <v>75</v>
      </c>
      <c r="G13">
        <v>6120</v>
      </c>
      <c r="H13">
        <v>5412</v>
      </c>
      <c r="I13">
        <v>283.89726533629999</v>
      </c>
      <c r="J13">
        <v>689</v>
      </c>
      <c r="K13">
        <v>562.68940493469995</v>
      </c>
      <c r="L13">
        <v>283</v>
      </c>
      <c r="M13">
        <v>125.3144876325</v>
      </c>
      <c r="N13">
        <v>409</v>
      </c>
      <c r="O13">
        <v>386.22004889980002</v>
      </c>
      <c r="R13">
        <v>16</v>
      </c>
      <c r="S13">
        <v>353.875</v>
      </c>
      <c r="V13" t="s">
        <v>400</v>
      </c>
      <c r="W13">
        <v>1049</v>
      </c>
      <c r="X13">
        <v>253</v>
      </c>
      <c r="Y13">
        <v>137.17786561259999</v>
      </c>
      <c r="Z13">
        <v>349</v>
      </c>
      <c r="AA13">
        <v>243.9111747851</v>
      </c>
      <c r="AB13">
        <v>520</v>
      </c>
      <c r="AC13">
        <v>228.1653846154</v>
      </c>
      <c r="AD13">
        <v>172</v>
      </c>
      <c r="AE13">
        <v>223.4941860465</v>
      </c>
      <c r="AF13">
        <v>102</v>
      </c>
      <c r="AG13">
        <v>195.2254901961</v>
      </c>
      <c r="AH13">
        <v>2</v>
      </c>
      <c r="AI13">
        <v>291.5</v>
      </c>
      <c r="AL13" t="s">
        <v>400</v>
      </c>
      <c r="AM13">
        <v>17</v>
      </c>
      <c r="AN13">
        <v>8</v>
      </c>
      <c r="AO13">
        <v>149</v>
      </c>
      <c r="AP13">
        <v>5</v>
      </c>
      <c r="AQ13">
        <v>334.6</v>
      </c>
      <c r="AR13">
        <v>5</v>
      </c>
      <c r="AS13">
        <v>113.4</v>
      </c>
      <c r="AT13">
        <v>4</v>
      </c>
      <c r="AU13">
        <v>176.75</v>
      </c>
    </row>
    <row r="14" spans="2:51" x14ac:dyDescent="0.2">
      <c r="F14" t="s">
        <v>41</v>
      </c>
      <c r="G14">
        <v>1490</v>
      </c>
      <c r="H14">
        <v>902</v>
      </c>
      <c r="I14">
        <v>194.75166297120001</v>
      </c>
      <c r="J14">
        <v>229</v>
      </c>
      <c r="K14">
        <v>332.9912663755</v>
      </c>
      <c r="L14">
        <v>462</v>
      </c>
      <c r="M14">
        <v>293.17965367969998</v>
      </c>
      <c r="N14">
        <v>124</v>
      </c>
      <c r="O14">
        <v>316.31451612900003</v>
      </c>
      <c r="R14">
        <v>2</v>
      </c>
      <c r="S14">
        <v>110</v>
      </c>
      <c r="V14" t="s">
        <v>401</v>
      </c>
      <c r="W14">
        <v>2278</v>
      </c>
      <c r="X14">
        <v>1049</v>
      </c>
      <c r="Y14">
        <v>165.3174451859</v>
      </c>
      <c r="Z14">
        <v>542</v>
      </c>
      <c r="AA14">
        <v>222.57749077490001</v>
      </c>
      <c r="AB14">
        <v>1009</v>
      </c>
      <c r="AC14">
        <v>283.09018830529999</v>
      </c>
      <c r="AD14">
        <v>76</v>
      </c>
      <c r="AE14">
        <v>270.5</v>
      </c>
      <c r="AF14">
        <v>141</v>
      </c>
      <c r="AG14">
        <v>157.9645390071</v>
      </c>
      <c r="AH14">
        <v>3</v>
      </c>
      <c r="AI14">
        <v>229.3333333333</v>
      </c>
      <c r="AL14" t="s">
        <v>401</v>
      </c>
      <c r="AM14">
        <v>30</v>
      </c>
      <c r="AN14">
        <v>19</v>
      </c>
      <c r="AO14">
        <v>116.3684210526</v>
      </c>
      <c r="AP14">
        <v>16</v>
      </c>
      <c r="AQ14">
        <v>185.3125</v>
      </c>
      <c r="AR14">
        <v>6</v>
      </c>
      <c r="AS14">
        <v>74</v>
      </c>
      <c r="AT14">
        <v>5</v>
      </c>
      <c r="AU14">
        <v>148.80000000000001</v>
      </c>
    </row>
    <row r="15" spans="2:51" x14ac:dyDescent="0.2">
      <c r="F15" t="s">
        <v>74</v>
      </c>
      <c r="G15">
        <v>264</v>
      </c>
      <c r="H15">
        <v>140</v>
      </c>
      <c r="I15">
        <v>303.38571428569998</v>
      </c>
      <c r="J15">
        <v>124</v>
      </c>
      <c r="K15">
        <v>232.95161290319999</v>
      </c>
      <c r="L15">
        <v>82</v>
      </c>
      <c r="M15">
        <v>221.17073170730001</v>
      </c>
      <c r="N15">
        <v>33</v>
      </c>
      <c r="O15">
        <v>262.90909090909997</v>
      </c>
      <c r="R15">
        <v>9</v>
      </c>
      <c r="S15">
        <v>342.7777777778</v>
      </c>
      <c r="V15" t="s">
        <v>396</v>
      </c>
      <c r="W15">
        <v>3278</v>
      </c>
      <c r="X15">
        <v>2662</v>
      </c>
      <c r="Y15">
        <v>323.09203606310001</v>
      </c>
      <c r="Z15">
        <v>425</v>
      </c>
      <c r="AA15">
        <v>368.13176470590003</v>
      </c>
      <c r="AB15">
        <v>445</v>
      </c>
      <c r="AC15">
        <v>315.48539325839999</v>
      </c>
      <c r="AD15">
        <v>65</v>
      </c>
      <c r="AE15">
        <v>250.8</v>
      </c>
      <c r="AF15">
        <v>105</v>
      </c>
      <c r="AG15">
        <v>147.1428571429</v>
      </c>
      <c r="AH15">
        <v>1</v>
      </c>
      <c r="AI15">
        <v>200</v>
      </c>
      <c r="AL15" t="s">
        <v>396</v>
      </c>
      <c r="AM15">
        <v>99</v>
      </c>
      <c r="AN15">
        <v>78</v>
      </c>
      <c r="AO15">
        <v>335.76923076920002</v>
      </c>
      <c r="AP15">
        <v>3</v>
      </c>
      <c r="AQ15">
        <v>415.6666666667</v>
      </c>
      <c r="AR15">
        <v>18</v>
      </c>
      <c r="AS15">
        <v>441.44444444440001</v>
      </c>
      <c r="AT15">
        <v>3</v>
      </c>
      <c r="AU15">
        <v>305</v>
      </c>
    </row>
    <row r="16" spans="2:51" x14ac:dyDescent="0.2">
      <c r="F16" t="s">
        <v>48</v>
      </c>
      <c r="G16">
        <v>8074</v>
      </c>
      <c r="H16">
        <v>6323</v>
      </c>
      <c r="I16">
        <v>507.88897675150002</v>
      </c>
      <c r="J16">
        <v>379</v>
      </c>
      <c r="K16">
        <v>971.55145118730002</v>
      </c>
      <c r="L16">
        <v>1334</v>
      </c>
      <c r="M16">
        <v>927.61919040479995</v>
      </c>
      <c r="N16">
        <v>412</v>
      </c>
      <c r="O16">
        <v>703.55582524270005</v>
      </c>
      <c r="R16">
        <v>5</v>
      </c>
      <c r="S16">
        <v>521.20000000000005</v>
      </c>
      <c r="V16" t="s">
        <v>419</v>
      </c>
      <c r="W16">
        <v>482</v>
      </c>
      <c r="X16">
        <v>383</v>
      </c>
      <c r="Y16">
        <v>259.79895561360001</v>
      </c>
      <c r="Z16">
        <v>47</v>
      </c>
      <c r="AA16">
        <v>554.91489361699996</v>
      </c>
      <c r="AB16">
        <v>63</v>
      </c>
      <c r="AC16">
        <v>326.96825396830002</v>
      </c>
      <c r="AD16">
        <v>12</v>
      </c>
      <c r="AE16">
        <v>302.5833333333</v>
      </c>
      <c r="AF16">
        <v>22</v>
      </c>
      <c r="AG16">
        <v>175.45454545449999</v>
      </c>
      <c r="AH16">
        <v>2</v>
      </c>
      <c r="AI16">
        <v>191</v>
      </c>
      <c r="AL16" t="s">
        <v>419</v>
      </c>
      <c r="AM16">
        <v>3</v>
      </c>
      <c r="AN16">
        <v>2</v>
      </c>
      <c r="AO16">
        <v>128</v>
      </c>
      <c r="AP16">
        <v>3</v>
      </c>
      <c r="AQ16">
        <v>263.6666666667</v>
      </c>
      <c r="AR16">
        <v>1</v>
      </c>
      <c r="AS16">
        <v>75</v>
      </c>
    </row>
    <row r="17" spans="6:49" x14ac:dyDescent="0.2">
      <c r="F17" t="s">
        <v>390</v>
      </c>
      <c r="G17">
        <v>52884</v>
      </c>
      <c r="H17">
        <v>39588</v>
      </c>
      <c r="I17">
        <v>438.7243103971</v>
      </c>
      <c r="J17">
        <v>5568</v>
      </c>
      <c r="K17">
        <v>579.70617816089998</v>
      </c>
      <c r="L17">
        <v>9854</v>
      </c>
      <c r="M17">
        <v>666.57124010550001</v>
      </c>
      <c r="N17">
        <v>3315</v>
      </c>
      <c r="O17">
        <v>568.20392156859998</v>
      </c>
      <c r="R17">
        <v>127</v>
      </c>
      <c r="S17">
        <v>437.44094488190001</v>
      </c>
      <c r="V17" t="s">
        <v>420</v>
      </c>
      <c r="W17">
        <v>181</v>
      </c>
      <c r="X17">
        <v>56</v>
      </c>
      <c r="Y17">
        <v>267.66071428570001</v>
      </c>
      <c r="Z17">
        <v>40</v>
      </c>
      <c r="AA17">
        <v>213.3</v>
      </c>
      <c r="AB17">
        <v>44</v>
      </c>
      <c r="AC17">
        <v>354.20454545450002</v>
      </c>
      <c r="AD17">
        <v>35</v>
      </c>
      <c r="AE17">
        <v>339.37142857139997</v>
      </c>
      <c r="AF17">
        <v>37</v>
      </c>
      <c r="AG17">
        <v>267.91891891889998</v>
      </c>
      <c r="AH17">
        <v>9</v>
      </c>
      <c r="AI17">
        <v>342.7777777778</v>
      </c>
      <c r="AL17" t="s">
        <v>420</v>
      </c>
      <c r="AM17">
        <v>9</v>
      </c>
      <c r="AN17">
        <v>6</v>
      </c>
      <c r="AO17">
        <v>222</v>
      </c>
      <c r="AP17">
        <v>4</v>
      </c>
      <c r="AQ17">
        <v>209.5</v>
      </c>
      <c r="AR17">
        <v>3</v>
      </c>
      <c r="AS17">
        <v>196.3333333333</v>
      </c>
    </row>
    <row r="18" spans="6:49" x14ac:dyDescent="0.2">
      <c r="F18" t="s">
        <v>68</v>
      </c>
      <c r="G18">
        <v>3109</v>
      </c>
      <c r="H18">
        <v>2563</v>
      </c>
      <c r="I18">
        <v>302.24463519310001</v>
      </c>
      <c r="J18">
        <v>275</v>
      </c>
      <c r="K18">
        <v>462.94181818179999</v>
      </c>
      <c r="L18">
        <v>361</v>
      </c>
      <c r="M18">
        <v>300.13296398889997</v>
      </c>
      <c r="N18">
        <v>181</v>
      </c>
      <c r="O18">
        <v>499.90055248620001</v>
      </c>
      <c r="R18">
        <v>4</v>
      </c>
      <c r="S18">
        <v>731.5</v>
      </c>
      <c r="V18" t="s">
        <v>390</v>
      </c>
      <c r="W18">
        <v>51763</v>
      </c>
      <c r="X18">
        <v>37765</v>
      </c>
      <c r="Y18">
        <v>439.70139017610001</v>
      </c>
      <c r="Z18">
        <v>4998</v>
      </c>
      <c r="AA18">
        <v>596.34253701479997</v>
      </c>
      <c r="AB18">
        <v>8939</v>
      </c>
      <c r="AC18">
        <v>682.11052690459996</v>
      </c>
      <c r="AD18">
        <v>3339</v>
      </c>
      <c r="AE18">
        <v>569.45253069779994</v>
      </c>
      <c r="AF18">
        <v>1591</v>
      </c>
      <c r="AG18">
        <v>174.12947831549999</v>
      </c>
      <c r="AH18">
        <v>129</v>
      </c>
      <c r="AI18">
        <v>431.41085271319997</v>
      </c>
      <c r="AL18" t="s">
        <v>390</v>
      </c>
      <c r="AM18">
        <v>1433</v>
      </c>
      <c r="AN18">
        <v>1062</v>
      </c>
      <c r="AO18">
        <v>361.58097928439997</v>
      </c>
      <c r="AP18">
        <v>182</v>
      </c>
      <c r="AQ18">
        <v>566.18681318680001</v>
      </c>
      <c r="AR18">
        <v>334</v>
      </c>
      <c r="AS18">
        <v>348.22455089819999</v>
      </c>
      <c r="AT18">
        <v>36</v>
      </c>
      <c r="AU18">
        <v>357.9166666667</v>
      </c>
      <c r="AV18">
        <v>1</v>
      </c>
      <c r="AW18">
        <v>73</v>
      </c>
    </row>
    <row r="19" spans="6:49" x14ac:dyDescent="0.2">
      <c r="F19" t="s">
        <v>34</v>
      </c>
      <c r="G19">
        <v>868</v>
      </c>
      <c r="H19">
        <v>573</v>
      </c>
      <c r="I19">
        <v>234.95287958119999</v>
      </c>
      <c r="J19">
        <v>118</v>
      </c>
      <c r="K19">
        <v>484.32203389829999</v>
      </c>
      <c r="L19">
        <v>144</v>
      </c>
      <c r="M19">
        <v>210.93055555559999</v>
      </c>
      <c r="N19">
        <v>148</v>
      </c>
      <c r="O19">
        <v>541.5</v>
      </c>
      <c r="R19">
        <v>3</v>
      </c>
      <c r="S19">
        <v>206.6666666667</v>
      </c>
      <c r="V19" t="s">
        <v>408</v>
      </c>
      <c r="W19">
        <v>938</v>
      </c>
      <c r="X19">
        <v>577</v>
      </c>
      <c r="Y19">
        <v>245.70537261699999</v>
      </c>
      <c r="Z19">
        <v>126</v>
      </c>
      <c r="AA19">
        <v>495.2301587302</v>
      </c>
      <c r="AB19">
        <v>150</v>
      </c>
      <c r="AC19">
        <v>240.38</v>
      </c>
      <c r="AD19">
        <v>143</v>
      </c>
      <c r="AE19">
        <v>522.86713286710005</v>
      </c>
      <c r="AF19">
        <v>65</v>
      </c>
      <c r="AG19">
        <v>179.8461538462</v>
      </c>
      <c r="AH19">
        <v>3</v>
      </c>
      <c r="AI19">
        <v>206.6666666667</v>
      </c>
      <c r="AL19" t="s">
        <v>408</v>
      </c>
      <c r="AM19">
        <v>8</v>
      </c>
      <c r="AN19">
        <v>5</v>
      </c>
      <c r="AO19">
        <v>151.19999999999999</v>
      </c>
      <c r="AP19">
        <v>4</v>
      </c>
      <c r="AQ19">
        <v>207.25</v>
      </c>
      <c r="AR19">
        <v>3</v>
      </c>
      <c r="AS19">
        <v>49</v>
      </c>
    </row>
    <row r="20" spans="6:49" x14ac:dyDescent="0.2">
      <c r="F20" t="s">
        <v>55</v>
      </c>
      <c r="G20">
        <v>934</v>
      </c>
      <c r="H20">
        <v>456</v>
      </c>
      <c r="I20">
        <v>252.12719298249999</v>
      </c>
      <c r="J20">
        <v>358</v>
      </c>
      <c r="K20">
        <v>374.0083798883</v>
      </c>
      <c r="L20">
        <v>155</v>
      </c>
      <c r="M20">
        <v>271.9806451613</v>
      </c>
      <c r="N20">
        <v>321</v>
      </c>
      <c r="O20">
        <v>605.40809968849999</v>
      </c>
      <c r="R20">
        <v>2</v>
      </c>
      <c r="S20">
        <v>676</v>
      </c>
      <c r="V20" t="s">
        <v>424</v>
      </c>
      <c r="W20">
        <v>284</v>
      </c>
      <c r="X20">
        <v>135</v>
      </c>
      <c r="Y20">
        <v>183.19259259259999</v>
      </c>
      <c r="Z20">
        <v>102</v>
      </c>
      <c r="AA20">
        <v>280.4607843137</v>
      </c>
      <c r="AB20">
        <v>59</v>
      </c>
      <c r="AC20">
        <v>271.77966101689998</v>
      </c>
      <c r="AD20">
        <v>55</v>
      </c>
      <c r="AE20">
        <v>484.09090909090003</v>
      </c>
      <c r="AF20">
        <v>33</v>
      </c>
      <c r="AG20">
        <v>143.93939393939999</v>
      </c>
      <c r="AH20">
        <v>2</v>
      </c>
      <c r="AI20">
        <v>479</v>
      </c>
      <c r="AL20" t="s">
        <v>424</v>
      </c>
      <c r="AM20">
        <v>4</v>
      </c>
      <c r="AN20">
        <v>3</v>
      </c>
      <c r="AO20">
        <v>142.3333333333</v>
      </c>
      <c r="AP20">
        <v>1</v>
      </c>
      <c r="AQ20">
        <v>205</v>
      </c>
      <c r="AR20">
        <v>1</v>
      </c>
      <c r="AS20">
        <v>74</v>
      </c>
    </row>
    <row r="21" spans="6:49" x14ac:dyDescent="0.2">
      <c r="F21" t="s">
        <v>62</v>
      </c>
      <c r="G21">
        <v>8511</v>
      </c>
      <c r="H21">
        <v>7049</v>
      </c>
      <c r="I21">
        <v>382.36969782950001</v>
      </c>
      <c r="J21">
        <v>826</v>
      </c>
      <c r="K21">
        <v>709.16585956419999</v>
      </c>
      <c r="L21">
        <v>1084</v>
      </c>
      <c r="M21">
        <v>521.84040590409995</v>
      </c>
      <c r="N21">
        <v>367</v>
      </c>
      <c r="O21">
        <v>490.63215258859998</v>
      </c>
      <c r="R21">
        <v>11</v>
      </c>
      <c r="S21">
        <v>410.36363636359999</v>
      </c>
      <c r="V21" t="s">
        <v>428</v>
      </c>
      <c r="W21">
        <v>1131</v>
      </c>
      <c r="X21">
        <v>832</v>
      </c>
      <c r="Y21">
        <v>303.21033653849997</v>
      </c>
      <c r="Z21">
        <v>250</v>
      </c>
      <c r="AA21">
        <v>399.73599999999999</v>
      </c>
      <c r="AB21">
        <v>201</v>
      </c>
      <c r="AC21">
        <v>348.2189054726</v>
      </c>
      <c r="AD21">
        <v>56</v>
      </c>
      <c r="AE21">
        <v>464.14285714290003</v>
      </c>
      <c r="AF21">
        <v>39</v>
      </c>
      <c r="AG21">
        <v>201.641025641</v>
      </c>
      <c r="AH21">
        <v>3</v>
      </c>
      <c r="AI21">
        <v>293</v>
      </c>
      <c r="AL21" t="s">
        <v>428</v>
      </c>
      <c r="AM21">
        <v>13</v>
      </c>
      <c r="AN21">
        <v>11</v>
      </c>
      <c r="AO21">
        <v>186</v>
      </c>
      <c r="AP21">
        <v>5</v>
      </c>
      <c r="AQ21">
        <v>218.6</v>
      </c>
      <c r="AR21">
        <v>2</v>
      </c>
      <c r="AS21">
        <v>132</v>
      </c>
    </row>
    <row r="22" spans="6:49" x14ac:dyDescent="0.2">
      <c r="F22" t="s">
        <v>64</v>
      </c>
      <c r="G22">
        <v>6885</v>
      </c>
      <c r="H22">
        <v>5265</v>
      </c>
      <c r="I22">
        <v>416.68850902179997</v>
      </c>
      <c r="J22">
        <v>644</v>
      </c>
      <c r="K22">
        <v>557.70807453420002</v>
      </c>
      <c r="L22">
        <v>1218</v>
      </c>
      <c r="M22">
        <v>722.72167487679997</v>
      </c>
      <c r="N22">
        <v>389</v>
      </c>
      <c r="O22">
        <v>515.8483290488</v>
      </c>
      <c r="R22">
        <v>13</v>
      </c>
      <c r="S22">
        <v>649.38461538460001</v>
      </c>
      <c r="V22" t="s">
        <v>413</v>
      </c>
      <c r="W22">
        <v>3177</v>
      </c>
      <c r="X22">
        <v>2543</v>
      </c>
      <c r="Y22">
        <v>309.61974046400002</v>
      </c>
      <c r="Z22">
        <v>284</v>
      </c>
      <c r="AA22">
        <v>475.88028169009999</v>
      </c>
      <c r="AB22">
        <v>371</v>
      </c>
      <c r="AC22">
        <v>340.84636118600002</v>
      </c>
      <c r="AD22">
        <v>187</v>
      </c>
      <c r="AE22">
        <v>492.0588235294</v>
      </c>
      <c r="AF22">
        <v>73</v>
      </c>
      <c r="AG22">
        <v>263.52054794520001</v>
      </c>
      <c r="AH22">
        <v>3</v>
      </c>
      <c r="AI22">
        <v>935</v>
      </c>
      <c r="AL22" t="s">
        <v>413</v>
      </c>
      <c r="AM22">
        <v>34</v>
      </c>
      <c r="AN22">
        <v>15</v>
      </c>
      <c r="AO22">
        <v>151.13333333329999</v>
      </c>
      <c r="AP22">
        <v>20</v>
      </c>
      <c r="AQ22">
        <v>300.64999999999998</v>
      </c>
      <c r="AR22">
        <v>12</v>
      </c>
      <c r="AS22">
        <v>119.5</v>
      </c>
      <c r="AT22">
        <v>7</v>
      </c>
      <c r="AU22">
        <v>318.71428571429999</v>
      </c>
    </row>
    <row r="23" spans="6:49" x14ac:dyDescent="0.2">
      <c r="F23" t="s">
        <v>73</v>
      </c>
      <c r="G23">
        <v>4797</v>
      </c>
      <c r="H23">
        <v>3638</v>
      </c>
      <c r="I23">
        <v>271.78504672899999</v>
      </c>
      <c r="J23">
        <v>1066</v>
      </c>
      <c r="K23">
        <v>370.68761726079998</v>
      </c>
      <c r="L23">
        <v>888</v>
      </c>
      <c r="M23">
        <v>300.32207207210001</v>
      </c>
      <c r="N23">
        <v>251</v>
      </c>
      <c r="O23">
        <v>467.67330677289999</v>
      </c>
      <c r="R23">
        <v>20</v>
      </c>
      <c r="S23">
        <v>259.35000000000002</v>
      </c>
      <c r="V23" t="s">
        <v>409</v>
      </c>
      <c r="W23">
        <v>5088</v>
      </c>
      <c r="X23">
        <v>3555</v>
      </c>
      <c r="Y23">
        <v>379.94880450070002</v>
      </c>
      <c r="Z23">
        <v>464</v>
      </c>
      <c r="AA23">
        <v>539.2047413793</v>
      </c>
      <c r="AB23">
        <v>1153</v>
      </c>
      <c r="AC23">
        <v>574.18213356460001</v>
      </c>
      <c r="AD23">
        <v>243</v>
      </c>
      <c r="AE23">
        <v>505.02057613170001</v>
      </c>
      <c r="AF23">
        <v>129</v>
      </c>
      <c r="AG23">
        <v>151.61240310080001</v>
      </c>
      <c r="AH23">
        <v>8</v>
      </c>
      <c r="AI23">
        <v>321.125</v>
      </c>
      <c r="AL23" t="s">
        <v>409</v>
      </c>
      <c r="AM23">
        <v>42</v>
      </c>
      <c r="AN23">
        <v>35</v>
      </c>
      <c r="AO23">
        <v>208.8571428571</v>
      </c>
      <c r="AP23">
        <v>20</v>
      </c>
      <c r="AQ23">
        <v>373.85</v>
      </c>
      <c r="AR23">
        <v>7</v>
      </c>
      <c r="AS23">
        <v>66.571428571400006</v>
      </c>
    </row>
    <row r="24" spans="6:49" x14ac:dyDescent="0.2">
      <c r="F24" t="s">
        <v>45</v>
      </c>
      <c r="G24">
        <v>1314</v>
      </c>
      <c r="H24">
        <v>995</v>
      </c>
      <c r="I24">
        <v>298.15075376879997</v>
      </c>
      <c r="J24">
        <v>335</v>
      </c>
      <c r="K24">
        <v>405.62089552240002</v>
      </c>
      <c r="L24">
        <v>256</v>
      </c>
      <c r="M24">
        <v>366.484375</v>
      </c>
      <c r="N24">
        <v>59</v>
      </c>
      <c r="O24">
        <v>496.45762711859999</v>
      </c>
      <c r="R24">
        <v>4</v>
      </c>
      <c r="S24">
        <v>299.75</v>
      </c>
      <c r="V24" t="s">
        <v>426</v>
      </c>
      <c r="W24">
        <v>7113</v>
      </c>
      <c r="X24">
        <v>5278</v>
      </c>
      <c r="Y24">
        <v>415.65384615379998</v>
      </c>
      <c r="Z24">
        <v>654</v>
      </c>
      <c r="AA24">
        <v>552.06727828750002</v>
      </c>
      <c r="AB24">
        <v>1243</v>
      </c>
      <c r="AC24">
        <v>692.52614642000003</v>
      </c>
      <c r="AD24">
        <v>401</v>
      </c>
      <c r="AE24">
        <v>523.8653366584</v>
      </c>
      <c r="AF24">
        <v>177</v>
      </c>
      <c r="AG24">
        <v>180.56497175140001</v>
      </c>
      <c r="AH24">
        <v>14</v>
      </c>
      <c r="AI24">
        <v>666.64285714289997</v>
      </c>
      <c r="AL24" t="s">
        <v>426</v>
      </c>
      <c r="AM24">
        <v>77</v>
      </c>
      <c r="AN24">
        <v>58</v>
      </c>
      <c r="AO24">
        <v>200.96551724139999</v>
      </c>
      <c r="AP24">
        <v>43</v>
      </c>
      <c r="AQ24">
        <v>315.53488372089998</v>
      </c>
      <c r="AR24">
        <v>17</v>
      </c>
      <c r="AS24">
        <v>199.5882352941</v>
      </c>
      <c r="AT24">
        <v>2</v>
      </c>
      <c r="AU24">
        <v>196</v>
      </c>
    </row>
    <row r="25" spans="6:49" x14ac:dyDescent="0.2">
      <c r="F25" t="s">
        <v>66</v>
      </c>
      <c r="G25">
        <v>5026</v>
      </c>
      <c r="H25">
        <v>3598</v>
      </c>
      <c r="I25">
        <v>383.82379099500002</v>
      </c>
      <c r="J25">
        <v>457</v>
      </c>
      <c r="K25">
        <v>549.38293216629995</v>
      </c>
      <c r="L25">
        <v>1180</v>
      </c>
      <c r="M25">
        <v>578.91186440679996</v>
      </c>
      <c r="N25">
        <v>239</v>
      </c>
      <c r="O25">
        <v>509.81589958159998</v>
      </c>
      <c r="R25">
        <v>9</v>
      </c>
      <c r="S25">
        <v>355.2222222222</v>
      </c>
      <c r="V25" t="s">
        <v>407</v>
      </c>
      <c r="W25">
        <v>18364</v>
      </c>
      <c r="X25">
        <v>14639</v>
      </c>
      <c r="Y25">
        <v>327.99118792270002</v>
      </c>
      <c r="Z25">
        <v>2568</v>
      </c>
      <c r="AA25">
        <v>489.26285046729998</v>
      </c>
      <c r="AB25">
        <v>2116</v>
      </c>
      <c r="AC25">
        <v>391.12807183360002</v>
      </c>
      <c r="AD25">
        <v>862</v>
      </c>
      <c r="AE25">
        <v>414.95823665889998</v>
      </c>
      <c r="AF25">
        <v>725</v>
      </c>
      <c r="AG25">
        <v>165.92827586210001</v>
      </c>
      <c r="AH25">
        <v>22</v>
      </c>
      <c r="AI25">
        <v>392.36363636359999</v>
      </c>
      <c r="AL25" t="s">
        <v>407</v>
      </c>
      <c r="AM25">
        <v>301</v>
      </c>
      <c r="AN25">
        <v>220</v>
      </c>
      <c r="AO25">
        <v>187.05454545449999</v>
      </c>
      <c r="AP25">
        <v>163</v>
      </c>
      <c r="AQ25">
        <v>338.70552147239999</v>
      </c>
      <c r="AR25">
        <v>72</v>
      </c>
      <c r="AS25">
        <v>161.375</v>
      </c>
      <c r="AT25">
        <v>9</v>
      </c>
      <c r="AU25">
        <v>162.2222222222</v>
      </c>
    </row>
    <row r="26" spans="6:49" x14ac:dyDescent="0.2">
      <c r="F26" t="s">
        <v>32</v>
      </c>
      <c r="G26">
        <v>234</v>
      </c>
      <c r="H26">
        <v>132</v>
      </c>
      <c r="I26">
        <v>224.9242424242</v>
      </c>
      <c r="J26">
        <v>104</v>
      </c>
      <c r="K26">
        <v>279.02884615379998</v>
      </c>
      <c r="L26">
        <v>45</v>
      </c>
      <c r="M26">
        <v>153.73333333330001</v>
      </c>
      <c r="N26">
        <v>55</v>
      </c>
      <c r="O26">
        <v>467.6727272727</v>
      </c>
      <c r="R26">
        <v>2</v>
      </c>
      <c r="S26">
        <v>479</v>
      </c>
      <c r="V26" t="s">
        <v>405</v>
      </c>
      <c r="W26">
        <v>1797</v>
      </c>
      <c r="X26">
        <v>1358</v>
      </c>
      <c r="Y26">
        <v>284.69440353459999</v>
      </c>
      <c r="Z26">
        <v>291</v>
      </c>
      <c r="AA26">
        <v>420.36426116839999</v>
      </c>
      <c r="AB26">
        <v>311</v>
      </c>
      <c r="AC26">
        <v>290.71704180059999</v>
      </c>
      <c r="AD26">
        <v>69</v>
      </c>
      <c r="AE26">
        <v>338.115942029</v>
      </c>
      <c r="AF26">
        <v>59</v>
      </c>
      <c r="AG26">
        <v>198.7118644068</v>
      </c>
      <c r="AL26" t="s">
        <v>405</v>
      </c>
      <c r="AM26">
        <v>21</v>
      </c>
      <c r="AN26">
        <v>17</v>
      </c>
      <c r="AO26">
        <v>162.4705882353</v>
      </c>
      <c r="AP26">
        <v>10</v>
      </c>
      <c r="AQ26">
        <v>428.1</v>
      </c>
      <c r="AR26">
        <v>4</v>
      </c>
      <c r="AS26">
        <v>64.25</v>
      </c>
    </row>
    <row r="27" spans="6:49" x14ac:dyDescent="0.2">
      <c r="F27" t="s">
        <v>71</v>
      </c>
      <c r="G27">
        <v>3962</v>
      </c>
      <c r="H27">
        <v>3684</v>
      </c>
      <c r="I27">
        <v>240.64820846910001</v>
      </c>
      <c r="J27">
        <v>874</v>
      </c>
      <c r="K27">
        <v>350.08695652170002</v>
      </c>
      <c r="L27">
        <v>111</v>
      </c>
      <c r="M27">
        <v>99.243243243199998</v>
      </c>
      <c r="N27">
        <v>159</v>
      </c>
      <c r="O27">
        <v>248.92452830190001</v>
      </c>
      <c r="R27">
        <v>8</v>
      </c>
      <c r="S27">
        <v>147.75</v>
      </c>
      <c r="V27" t="s">
        <v>80</v>
      </c>
      <c r="W27">
        <v>5060</v>
      </c>
      <c r="X27">
        <v>3703</v>
      </c>
      <c r="Y27">
        <v>279.4472049689</v>
      </c>
      <c r="Z27">
        <v>1070</v>
      </c>
      <c r="AA27">
        <v>379.1186915888</v>
      </c>
      <c r="AB27">
        <v>923</v>
      </c>
      <c r="AC27">
        <v>312.98591549299999</v>
      </c>
      <c r="AD27">
        <v>258</v>
      </c>
      <c r="AE27">
        <v>483.27906976740002</v>
      </c>
      <c r="AF27">
        <v>157</v>
      </c>
      <c r="AG27">
        <v>158.3503184713</v>
      </c>
      <c r="AH27">
        <v>19</v>
      </c>
      <c r="AI27">
        <v>226.1052631579</v>
      </c>
      <c r="AL27" t="s">
        <v>80</v>
      </c>
      <c r="AM27">
        <v>73</v>
      </c>
      <c r="AN27">
        <v>57</v>
      </c>
      <c r="AO27">
        <v>163.14035087720001</v>
      </c>
      <c r="AP27">
        <v>38</v>
      </c>
      <c r="AQ27">
        <v>301.52631578950002</v>
      </c>
      <c r="AR27">
        <v>12</v>
      </c>
      <c r="AS27">
        <v>134.5</v>
      </c>
      <c r="AT27">
        <v>4</v>
      </c>
      <c r="AU27">
        <v>145.25</v>
      </c>
    </row>
    <row r="28" spans="6:49" x14ac:dyDescent="0.2">
      <c r="F28" t="s">
        <v>31</v>
      </c>
      <c r="G28">
        <v>1690</v>
      </c>
      <c r="H28">
        <v>1348</v>
      </c>
      <c r="I28">
        <v>282.8019287834</v>
      </c>
      <c r="J28">
        <v>318</v>
      </c>
      <c r="K28">
        <v>432.27044025160001</v>
      </c>
      <c r="L28">
        <v>288</v>
      </c>
      <c r="M28">
        <v>257.7986111111</v>
      </c>
      <c r="N28">
        <v>54</v>
      </c>
      <c r="O28">
        <v>259.14814814810001</v>
      </c>
      <c r="V28" t="s">
        <v>404</v>
      </c>
      <c r="W28">
        <v>42952</v>
      </c>
      <c r="X28">
        <v>32620</v>
      </c>
      <c r="Y28">
        <v>336.40548743099998</v>
      </c>
      <c r="Z28">
        <v>5809</v>
      </c>
      <c r="AA28">
        <v>468.53899122050001</v>
      </c>
      <c r="AB28">
        <v>6527</v>
      </c>
      <c r="AC28">
        <v>456.30550022979997</v>
      </c>
      <c r="AD28">
        <v>2274</v>
      </c>
      <c r="AE28">
        <v>465.2163588391</v>
      </c>
      <c r="AF28">
        <v>1457</v>
      </c>
      <c r="AG28">
        <v>172.918325326</v>
      </c>
      <c r="AH28">
        <v>74</v>
      </c>
      <c r="AI28">
        <v>406.64864864859999</v>
      </c>
      <c r="AL28" t="s">
        <v>404</v>
      </c>
      <c r="AM28">
        <v>573</v>
      </c>
      <c r="AN28">
        <v>421</v>
      </c>
      <c r="AO28">
        <v>184.50118764850001</v>
      </c>
      <c r="AP28">
        <v>304</v>
      </c>
      <c r="AQ28">
        <v>329.38486842110001</v>
      </c>
      <c r="AR28">
        <v>130</v>
      </c>
      <c r="AS28">
        <v>148.21538461540001</v>
      </c>
      <c r="AT28">
        <v>22</v>
      </c>
      <c r="AU28">
        <v>212</v>
      </c>
    </row>
    <row r="29" spans="6:49" x14ac:dyDescent="0.2">
      <c r="F29" t="s">
        <v>52</v>
      </c>
      <c r="G29">
        <v>4857</v>
      </c>
      <c r="H29">
        <v>3745</v>
      </c>
      <c r="I29">
        <v>308.53084112149998</v>
      </c>
      <c r="J29">
        <v>847</v>
      </c>
      <c r="K29">
        <v>420.02597402599997</v>
      </c>
      <c r="L29">
        <v>824</v>
      </c>
      <c r="M29">
        <v>244.86650485440001</v>
      </c>
      <c r="N29">
        <v>287</v>
      </c>
      <c r="O29">
        <v>380.78745644600002</v>
      </c>
      <c r="R29">
        <v>1</v>
      </c>
      <c r="S29">
        <v>2230</v>
      </c>
      <c r="V29" t="s">
        <v>388</v>
      </c>
      <c r="W29">
        <v>10183</v>
      </c>
      <c r="X29">
        <v>4749</v>
      </c>
      <c r="Y29">
        <v>267.32750631840003</v>
      </c>
      <c r="Z29">
        <v>951</v>
      </c>
      <c r="AA29">
        <v>595.93796004210003</v>
      </c>
      <c r="AB29">
        <v>3732</v>
      </c>
      <c r="AC29">
        <v>637.45176848870005</v>
      </c>
      <c r="AD29">
        <v>1190</v>
      </c>
      <c r="AE29">
        <v>475.28427249790002</v>
      </c>
      <c r="AF29">
        <v>498</v>
      </c>
      <c r="AG29">
        <v>174.6586345382</v>
      </c>
      <c r="AH29">
        <v>14</v>
      </c>
      <c r="AI29">
        <v>688</v>
      </c>
      <c r="AL29" t="s">
        <v>388</v>
      </c>
      <c r="AM29">
        <v>258</v>
      </c>
      <c r="AN29">
        <v>185</v>
      </c>
      <c r="AO29">
        <v>389.89729729729999</v>
      </c>
      <c r="AP29">
        <v>25</v>
      </c>
      <c r="AQ29">
        <v>567.88</v>
      </c>
      <c r="AR29">
        <v>65</v>
      </c>
      <c r="AS29">
        <v>355.33846153849998</v>
      </c>
      <c r="AT29">
        <v>8</v>
      </c>
      <c r="AU29">
        <v>274.25</v>
      </c>
    </row>
    <row r="30" spans="6:49" x14ac:dyDescent="0.2">
      <c r="F30" t="s">
        <v>404</v>
      </c>
      <c r="G30">
        <v>42187</v>
      </c>
      <c r="H30">
        <v>33046</v>
      </c>
      <c r="I30">
        <v>333.8605277492</v>
      </c>
      <c r="J30">
        <v>6222</v>
      </c>
      <c r="K30">
        <v>461.84699453550002</v>
      </c>
      <c r="L30">
        <v>6554</v>
      </c>
      <c r="M30">
        <v>452.3040891059</v>
      </c>
      <c r="N30">
        <v>2510</v>
      </c>
      <c r="O30">
        <v>479.19960159359999</v>
      </c>
      <c r="R30">
        <v>77</v>
      </c>
      <c r="S30">
        <v>413.07792207789998</v>
      </c>
      <c r="V30" t="s">
        <v>425</v>
      </c>
      <c r="W30">
        <v>31995</v>
      </c>
      <c r="X30">
        <v>27499</v>
      </c>
      <c r="Y30">
        <v>456.8455467869</v>
      </c>
      <c r="Z30">
        <v>2441</v>
      </c>
      <c r="AA30">
        <v>724.82015567389999</v>
      </c>
      <c r="AB30">
        <v>1142</v>
      </c>
      <c r="AC30">
        <v>296.39579684760002</v>
      </c>
      <c r="AD30">
        <v>2320</v>
      </c>
      <c r="AE30">
        <v>335.8</v>
      </c>
      <c r="AF30">
        <v>986</v>
      </c>
      <c r="AG30">
        <v>168.66125760649999</v>
      </c>
      <c r="AH30">
        <v>48</v>
      </c>
      <c r="AI30">
        <v>269.2291666667</v>
      </c>
      <c r="AL30" t="s">
        <v>425</v>
      </c>
      <c r="AM30">
        <v>438</v>
      </c>
      <c r="AN30">
        <v>337</v>
      </c>
      <c r="AO30">
        <v>256.89317507419997</v>
      </c>
      <c r="AP30">
        <v>147</v>
      </c>
      <c r="AQ30">
        <v>485.29251700679998</v>
      </c>
      <c r="AR30">
        <v>93</v>
      </c>
      <c r="AS30">
        <v>173.1505376344</v>
      </c>
      <c r="AT30">
        <v>8</v>
      </c>
      <c r="AU30">
        <v>349.125</v>
      </c>
    </row>
    <row r="31" spans="6:49" x14ac:dyDescent="0.2">
      <c r="F31" t="s">
        <v>25</v>
      </c>
      <c r="G31">
        <v>18094</v>
      </c>
      <c r="H31">
        <v>15986</v>
      </c>
      <c r="I31">
        <v>529.36200425369998</v>
      </c>
      <c r="J31">
        <v>1309</v>
      </c>
      <c r="K31">
        <v>893.35752482810005</v>
      </c>
      <c r="L31">
        <v>1128</v>
      </c>
      <c r="M31">
        <v>365.11613475180002</v>
      </c>
      <c r="N31">
        <v>948</v>
      </c>
      <c r="O31">
        <v>350.02116402119998</v>
      </c>
      <c r="R31">
        <v>32</v>
      </c>
      <c r="S31">
        <v>340.6875</v>
      </c>
      <c r="V31" t="s">
        <v>381</v>
      </c>
      <c r="W31">
        <v>19325</v>
      </c>
      <c r="X31">
        <v>16543</v>
      </c>
      <c r="Y31">
        <v>527.00308287489997</v>
      </c>
      <c r="Z31">
        <v>1458</v>
      </c>
      <c r="AA31">
        <v>866.64060356649998</v>
      </c>
      <c r="AB31">
        <v>1242</v>
      </c>
      <c r="AC31">
        <v>401.88808373590001</v>
      </c>
      <c r="AD31">
        <v>1014</v>
      </c>
      <c r="AE31">
        <v>355.82195845699999</v>
      </c>
      <c r="AF31">
        <v>494</v>
      </c>
      <c r="AG31">
        <v>165.8640973631</v>
      </c>
      <c r="AH31">
        <v>32</v>
      </c>
      <c r="AI31">
        <v>340.6875</v>
      </c>
      <c r="AL31" t="s">
        <v>381</v>
      </c>
      <c r="AM31">
        <v>278</v>
      </c>
      <c r="AN31">
        <v>194</v>
      </c>
      <c r="AO31">
        <v>275.09278350519998</v>
      </c>
      <c r="AP31">
        <v>77</v>
      </c>
      <c r="AQ31">
        <v>525.28571428570001</v>
      </c>
      <c r="AR31">
        <v>65</v>
      </c>
      <c r="AS31">
        <v>174.49230769229999</v>
      </c>
      <c r="AT31">
        <v>19</v>
      </c>
      <c r="AU31">
        <v>380.73684210530001</v>
      </c>
    </row>
    <row r="32" spans="6:49" x14ac:dyDescent="0.2">
      <c r="F32" t="s">
        <v>39</v>
      </c>
      <c r="G32">
        <v>13072</v>
      </c>
      <c r="H32">
        <v>10523</v>
      </c>
      <c r="I32">
        <v>397.52005322180003</v>
      </c>
      <c r="J32">
        <v>623</v>
      </c>
      <c r="K32">
        <v>751.28089887639999</v>
      </c>
      <c r="L32">
        <v>1639</v>
      </c>
      <c r="M32">
        <v>494.09395973149998</v>
      </c>
      <c r="N32">
        <v>879</v>
      </c>
      <c r="O32">
        <v>556.79294653010004</v>
      </c>
      <c r="R32">
        <v>31</v>
      </c>
      <c r="S32">
        <v>503.80645161289999</v>
      </c>
      <c r="V32" t="s">
        <v>393</v>
      </c>
      <c r="W32">
        <v>3336</v>
      </c>
      <c r="X32">
        <v>2139</v>
      </c>
      <c r="Y32">
        <v>409.19495091160002</v>
      </c>
      <c r="Z32">
        <v>471</v>
      </c>
      <c r="AA32">
        <v>554.84713375800004</v>
      </c>
      <c r="AB32">
        <v>585</v>
      </c>
      <c r="AC32">
        <v>506.69059829060001</v>
      </c>
      <c r="AD32">
        <v>484</v>
      </c>
      <c r="AE32">
        <v>625.46487603310004</v>
      </c>
      <c r="AF32">
        <v>118</v>
      </c>
      <c r="AG32">
        <v>164.29661016950001</v>
      </c>
      <c r="AH32">
        <v>10</v>
      </c>
      <c r="AI32">
        <v>503</v>
      </c>
      <c r="AL32" t="s">
        <v>393</v>
      </c>
      <c r="AM32">
        <v>114</v>
      </c>
      <c r="AN32">
        <v>85</v>
      </c>
      <c r="AO32">
        <v>420.83529411759997</v>
      </c>
      <c r="AP32">
        <v>17</v>
      </c>
      <c r="AQ32">
        <v>723.70588235289995</v>
      </c>
      <c r="AR32">
        <v>28</v>
      </c>
      <c r="AS32">
        <v>259.85714285709997</v>
      </c>
      <c r="AT32">
        <v>1</v>
      </c>
      <c r="AU32">
        <v>822</v>
      </c>
    </row>
    <row r="33" spans="6:47" x14ac:dyDescent="0.2">
      <c r="F33" t="s">
        <v>72</v>
      </c>
      <c r="G33">
        <v>4954</v>
      </c>
      <c r="H33">
        <v>2316</v>
      </c>
      <c r="I33">
        <v>372.07386609069999</v>
      </c>
      <c r="J33">
        <v>765</v>
      </c>
      <c r="K33">
        <v>580.1960784314</v>
      </c>
      <c r="L33">
        <v>1744</v>
      </c>
      <c r="M33">
        <v>694.54415137609999</v>
      </c>
      <c r="N33">
        <v>888</v>
      </c>
      <c r="O33">
        <v>826.44031531530004</v>
      </c>
      <c r="R33">
        <v>6</v>
      </c>
      <c r="S33">
        <v>375.6666666667</v>
      </c>
      <c r="V33" t="s">
        <v>384</v>
      </c>
      <c r="W33">
        <v>7433</v>
      </c>
      <c r="X33">
        <v>4799</v>
      </c>
      <c r="Y33">
        <v>277.02875599079999</v>
      </c>
      <c r="Z33">
        <v>637</v>
      </c>
      <c r="AA33">
        <v>560.84301412870002</v>
      </c>
      <c r="AB33">
        <v>1542</v>
      </c>
      <c r="AC33">
        <v>338.10440985730003</v>
      </c>
      <c r="AD33">
        <v>718</v>
      </c>
      <c r="AE33">
        <v>442.90389972140002</v>
      </c>
      <c r="AF33">
        <v>366</v>
      </c>
      <c r="AG33">
        <v>187.96721311479999</v>
      </c>
      <c r="AH33">
        <v>8</v>
      </c>
      <c r="AI33">
        <v>455.375</v>
      </c>
      <c r="AL33" t="s">
        <v>384</v>
      </c>
      <c r="AM33">
        <v>246</v>
      </c>
      <c r="AN33">
        <v>183</v>
      </c>
      <c r="AO33">
        <v>335.93442622949999</v>
      </c>
      <c r="AP33">
        <v>16</v>
      </c>
      <c r="AQ33">
        <v>421.3125</v>
      </c>
      <c r="AR33">
        <v>55</v>
      </c>
      <c r="AS33">
        <v>286.70909090909998</v>
      </c>
      <c r="AT33">
        <v>8</v>
      </c>
      <c r="AU33">
        <v>429.375</v>
      </c>
    </row>
    <row r="34" spans="6:47" x14ac:dyDescent="0.2">
      <c r="F34" t="s">
        <v>58</v>
      </c>
      <c r="G34">
        <v>6825</v>
      </c>
      <c r="H34">
        <v>4640</v>
      </c>
      <c r="I34">
        <v>262.22672413790002</v>
      </c>
      <c r="J34">
        <v>605</v>
      </c>
      <c r="K34">
        <v>533.23636363640003</v>
      </c>
      <c r="L34">
        <v>1463</v>
      </c>
      <c r="M34">
        <v>303.9316473001</v>
      </c>
      <c r="N34">
        <v>714</v>
      </c>
      <c r="O34">
        <v>436.38655462179997</v>
      </c>
      <c r="R34">
        <v>8</v>
      </c>
      <c r="S34">
        <v>455.375</v>
      </c>
      <c r="V34" t="s">
        <v>427</v>
      </c>
      <c r="W34">
        <v>5120</v>
      </c>
      <c r="X34">
        <v>2281</v>
      </c>
      <c r="Y34">
        <v>370.47894736839999</v>
      </c>
      <c r="Z34">
        <v>740</v>
      </c>
      <c r="AA34">
        <v>571.72027027030003</v>
      </c>
      <c r="AB34">
        <v>1714</v>
      </c>
      <c r="AC34">
        <v>690.77479579930002</v>
      </c>
      <c r="AD34">
        <v>864</v>
      </c>
      <c r="AE34">
        <v>817.20370370369994</v>
      </c>
      <c r="AF34">
        <v>255</v>
      </c>
      <c r="AG34">
        <v>186.1568627451</v>
      </c>
      <c r="AH34">
        <v>6</v>
      </c>
      <c r="AI34">
        <v>375.6666666667</v>
      </c>
      <c r="AL34" t="s">
        <v>427</v>
      </c>
      <c r="AM34">
        <v>87</v>
      </c>
      <c r="AN34">
        <v>52</v>
      </c>
      <c r="AO34">
        <v>209.07692307689999</v>
      </c>
      <c r="AP34">
        <v>28</v>
      </c>
      <c r="AQ34">
        <v>413.39285714290003</v>
      </c>
      <c r="AR34">
        <v>25</v>
      </c>
      <c r="AS34">
        <v>179.8</v>
      </c>
      <c r="AT34">
        <v>10</v>
      </c>
      <c r="AU34">
        <v>198.3</v>
      </c>
    </row>
    <row r="35" spans="6:47" x14ac:dyDescent="0.2">
      <c r="F35" t="s">
        <v>53</v>
      </c>
      <c r="G35">
        <v>4629</v>
      </c>
      <c r="H35">
        <v>3040</v>
      </c>
      <c r="I35">
        <v>452.20690789470001</v>
      </c>
      <c r="J35">
        <v>682</v>
      </c>
      <c r="K35">
        <v>602.82844574779995</v>
      </c>
      <c r="L35">
        <v>868</v>
      </c>
      <c r="M35">
        <v>507.00115207369998</v>
      </c>
      <c r="N35">
        <v>710</v>
      </c>
      <c r="O35">
        <v>600.76619718309996</v>
      </c>
      <c r="R35">
        <v>11</v>
      </c>
      <c r="S35">
        <v>565.18181818180005</v>
      </c>
      <c r="V35" t="s">
        <v>383</v>
      </c>
      <c r="W35">
        <v>13375</v>
      </c>
      <c r="X35">
        <v>10432</v>
      </c>
      <c r="Y35">
        <v>399.9320295274</v>
      </c>
      <c r="Z35">
        <v>644</v>
      </c>
      <c r="AA35">
        <v>744.29192546579998</v>
      </c>
      <c r="AB35">
        <v>1691</v>
      </c>
      <c r="AC35">
        <v>491.69958604380002</v>
      </c>
      <c r="AD35">
        <v>883</v>
      </c>
      <c r="AE35">
        <v>549.71007927519997</v>
      </c>
      <c r="AF35">
        <v>336</v>
      </c>
      <c r="AG35">
        <v>164.7701492537</v>
      </c>
      <c r="AH35">
        <v>33</v>
      </c>
      <c r="AI35">
        <v>482.36363636359999</v>
      </c>
      <c r="AL35" t="s">
        <v>383</v>
      </c>
      <c r="AM35">
        <v>144</v>
      </c>
      <c r="AN35">
        <v>107</v>
      </c>
      <c r="AO35">
        <v>260.23364485979999</v>
      </c>
      <c r="AP35">
        <v>36</v>
      </c>
      <c r="AQ35">
        <v>477.8333333333</v>
      </c>
      <c r="AR35">
        <v>29</v>
      </c>
      <c r="AS35">
        <v>169.03448275860001</v>
      </c>
      <c r="AT35">
        <v>8</v>
      </c>
      <c r="AU35">
        <v>216</v>
      </c>
    </row>
    <row r="36" spans="6:47" x14ac:dyDescent="0.2">
      <c r="F36" t="s">
        <v>57</v>
      </c>
      <c r="G36">
        <v>9629</v>
      </c>
      <c r="H36">
        <v>4632</v>
      </c>
      <c r="I36">
        <v>253.38177499459999</v>
      </c>
      <c r="J36">
        <v>949</v>
      </c>
      <c r="K36">
        <v>590.27713382510001</v>
      </c>
      <c r="L36">
        <v>3780</v>
      </c>
      <c r="M36">
        <v>637.95846560849998</v>
      </c>
      <c r="N36">
        <v>1203</v>
      </c>
      <c r="O36">
        <v>468.50998336110001</v>
      </c>
      <c r="R36">
        <v>14</v>
      </c>
      <c r="S36">
        <v>688</v>
      </c>
      <c r="V36" t="s">
        <v>380</v>
      </c>
      <c r="W36">
        <v>90767</v>
      </c>
      <c r="X36">
        <v>68442</v>
      </c>
      <c r="Y36">
        <v>435.0055817759</v>
      </c>
      <c r="Z36">
        <v>7342</v>
      </c>
      <c r="AA36">
        <v>697.43557613730002</v>
      </c>
      <c r="AB36">
        <v>11648</v>
      </c>
      <c r="AC36">
        <v>519.38719093409998</v>
      </c>
      <c r="AD36">
        <v>7473</v>
      </c>
      <c r="AE36">
        <v>470.75820056229998</v>
      </c>
      <c r="AF36">
        <v>3053</v>
      </c>
      <c r="AG36">
        <v>172.3703703704</v>
      </c>
      <c r="AH36">
        <v>151</v>
      </c>
      <c r="AI36">
        <v>399.3509933775</v>
      </c>
      <c r="AL36" t="s">
        <v>380</v>
      </c>
      <c r="AM36">
        <v>1565</v>
      </c>
      <c r="AN36">
        <v>1143</v>
      </c>
      <c r="AO36">
        <v>304.49343832020003</v>
      </c>
      <c r="AP36">
        <v>346</v>
      </c>
      <c r="AQ36">
        <v>502.32080924860003</v>
      </c>
      <c r="AR36">
        <v>360</v>
      </c>
      <c r="AS36">
        <v>230.51111111110001</v>
      </c>
      <c r="AT36">
        <v>62</v>
      </c>
      <c r="AU36">
        <v>325.62903225809998</v>
      </c>
    </row>
    <row r="37" spans="6:47" x14ac:dyDescent="0.2">
      <c r="F37" t="s">
        <v>77</v>
      </c>
      <c r="G37">
        <v>30064</v>
      </c>
      <c r="H37">
        <v>26910</v>
      </c>
      <c r="I37">
        <v>455.61275457110003</v>
      </c>
      <c r="J37">
        <v>2132</v>
      </c>
      <c r="K37">
        <v>756.99437148219999</v>
      </c>
      <c r="L37">
        <v>856</v>
      </c>
      <c r="M37">
        <v>179.34579439250001</v>
      </c>
      <c r="N37">
        <v>2252</v>
      </c>
      <c r="O37">
        <v>318.58037300180001</v>
      </c>
      <c r="R37">
        <v>46</v>
      </c>
      <c r="S37">
        <v>253.4347826087</v>
      </c>
      <c r="V37" t="s">
        <v>406</v>
      </c>
      <c r="W37">
        <v>579</v>
      </c>
      <c r="X37">
        <v>286</v>
      </c>
      <c r="Y37">
        <v>145.26573426569999</v>
      </c>
      <c r="Z37">
        <v>255</v>
      </c>
      <c r="AA37">
        <v>220.01176470589999</v>
      </c>
      <c r="AB37">
        <v>125</v>
      </c>
      <c r="AC37">
        <v>172.744</v>
      </c>
      <c r="AD37">
        <v>111</v>
      </c>
      <c r="AE37">
        <v>236.56756756760001</v>
      </c>
      <c r="AF37">
        <v>47</v>
      </c>
      <c r="AG37">
        <v>199.8936170213</v>
      </c>
      <c r="AH37">
        <v>10</v>
      </c>
      <c r="AI37">
        <v>278.39999999999998</v>
      </c>
      <c r="AL37" t="s">
        <v>406</v>
      </c>
      <c r="AM37">
        <v>19</v>
      </c>
      <c r="AN37">
        <v>16</v>
      </c>
      <c r="AO37">
        <v>102.875</v>
      </c>
      <c r="AP37">
        <v>10</v>
      </c>
      <c r="AQ37">
        <v>210.6</v>
      </c>
      <c r="AR37">
        <v>2</v>
      </c>
      <c r="AS37">
        <v>65.5</v>
      </c>
      <c r="AT37">
        <v>1</v>
      </c>
      <c r="AU37">
        <v>166</v>
      </c>
    </row>
    <row r="38" spans="6:47" x14ac:dyDescent="0.2">
      <c r="F38" t="s">
        <v>380</v>
      </c>
      <c r="G38">
        <v>87267</v>
      </c>
      <c r="H38">
        <v>68047</v>
      </c>
      <c r="I38">
        <v>434.01014079539999</v>
      </c>
      <c r="J38">
        <v>7065</v>
      </c>
      <c r="K38">
        <v>706.17480537860001</v>
      </c>
      <c r="L38">
        <v>11478</v>
      </c>
      <c r="M38">
        <v>512.51855723990002</v>
      </c>
      <c r="N38">
        <v>7594</v>
      </c>
      <c r="O38">
        <v>470.7227931489</v>
      </c>
      <c r="R38">
        <v>148</v>
      </c>
      <c r="S38">
        <v>404.8918918919</v>
      </c>
      <c r="V38" t="s">
        <v>410</v>
      </c>
      <c r="W38">
        <v>42110</v>
      </c>
      <c r="X38">
        <v>30119</v>
      </c>
      <c r="Y38">
        <v>460.59152030280001</v>
      </c>
      <c r="Z38">
        <v>3008</v>
      </c>
      <c r="AA38">
        <v>678.07114361699996</v>
      </c>
      <c r="AB38">
        <v>8555</v>
      </c>
      <c r="AC38">
        <v>695.35067212160004</v>
      </c>
      <c r="AD38">
        <v>2134</v>
      </c>
      <c r="AE38">
        <v>526.05110173460002</v>
      </c>
      <c r="AF38">
        <v>1217</v>
      </c>
      <c r="AG38">
        <v>178.3525061627</v>
      </c>
      <c r="AH38">
        <v>85</v>
      </c>
      <c r="AI38">
        <v>529.95294117649996</v>
      </c>
      <c r="AL38" t="s">
        <v>410</v>
      </c>
      <c r="AM38">
        <v>360</v>
      </c>
      <c r="AN38">
        <v>240</v>
      </c>
      <c r="AO38">
        <v>250.90833333329999</v>
      </c>
      <c r="AP38">
        <v>205</v>
      </c>
      <c r="AQ38">
        <v>422.5902439024</v>
      </c>
      <c r="AR38">
        <v>108</v>
      </c>
      <c r="AS38">
        <v>253.0925925926</v>
      </c>
      <c r="AT38">
        <v>12</v>
      </c>
      <c r="AU38">
        <v>318.5</v>
      </c>
    </row>
    <row r="39" spans="6:47" x14ac:dyDescent="0.2">
      <c r="F39" t="s">
        <v>79</v>
      </c>
      <c r="G39">
        <v>20204</v>
      </c>
      <c r="H39">
        <v>15599</v>
      </c>
      <c r="I39">
        <v>407.16366433749999</v>
      </c>
      <c r="J39">
        <v>1355</v>
      </c>
      <c r="K39">
        <v>743.17269372689998</v>
      </c>
      <c r="L39">
        <v>3673</v>
      </c>
      <c r="M39">
        <v>687.01034576639995</v>
      </c>
      <c r="N39">
        <v>883</v>
      </c>
      <c r="O39">
        <v>421.27633069080002</v>
      </c>
      <c r="R39">
        <v>49</v>
      </c>
      <c r="S39">
        <v>518.79591836730003</v>
      </c>
      <c r="V39" t="s">
        <v>418</v>
      </c>
      <c r="W39">
        <v>310</v>
      </c>
      <c r="X39">
        <v>134</v>
      </c>
      <c r="Y39">
        <v>210.1865671642</v>
      </c>
      <c r="Z39">
        <v>175</v>
      </c>
      <c r="AA39">
        <v>220.89714285709999</v>
      </c>
      <c r="AB39">
        <v>102</v>
      </c>
      <c r="AC39">
        <v>244.6960784314</v>
      </c>
      <c r="AD39">
        <v>51</v>
      </c>
      <c r="AE39">
        <v>401.4705882353</v>
      </c>
      <c r="AF39">
        <v>21</v>
      </c>
      <c r="AG39">
        <v>329.3333333333</v>
      </c>
      <c r="AH39">
        <v>2</v>
      </c>
      <c r="AI39">
        <v>653.5</v>
      </c>
      <c r="AL39" t="s">
        <v>418</v>
      </c>
      <c r="AM39">
        <v>5</v>
      </c>
      <c r="AN39">
        <v>4</v>
      </c>
      <c r="AO39">
        <v>44</v>
      </c>
      <c r="AP39">
        <v>3</v>
      </c>
      <c r="AQ39">
        <v>285.6666666667</v>
      </c>
      <c r="AR39">
        <v>1</v>
      </c>
      <c r="AS39">
        <v>39</v>
      </c>
    </row>
    <row r="40" spans="6:47" x14ac:dyDescent="0.2">
      <c r="F40" t="s">
        <v>40</v>
      </c>
      <c r="G40">
        <v>6575</v>
      </c>
      <c r="H40">
        <v>3954</v>
      </c>
      <c r="I40">
        <v>277.43626707129999</v>
      </c>
      <c r="J40">
        <v>323</v>
      </c>
      <c r="K40">
        <v>563.62848297209996</v>
      </c>
      <c r="L40">
        <v>2236</v>
      </c>
      <c r="M40">
        <v>782.78130590340004</v>
      </c>
      <c r="N40">
        <v>367</v>
      </c>
      <c r="O40">
        <v>404.21253405990001</v>
      </c>
      <c r="R40">
        <v>18</v>
      </c>
      <c r="S40">
        <v>366.1666666667</v>
      </c>
      <c r="V40" t="s">
        <v>421</v>
      </c>
      <c r="W40">
        <v>240</v>
      </c>
      <c r="X40">
        <v>116</v>
      </c>
      <c r="Y40">
        <v>234.0431034483</v>
      </c>
      <c r="Z40">
        <v>90</v>
      </c>
      <c r="AA40">
        <v>315.58888888889999</v>
      </c>
      <c r="AB40">
        <v>73</v>
      </c>
      <c r="AC40">
        <v>323.80821917809999</v>
      </c>
      <c r="AD40">
        <v>26</v>
      </c>
      <c r="AE40">
        <v>395.57692307690002</v>
      </c>
      <c r="AF40">
        <v>24</v>
      </c>
      <c r="AG40">
        <v>218.125</v>
      </c>
      <c r="AH40">
        <v>1</v>
      </c>
      <c r="AI40">
        <v>453</v>
      </c>
      <c r="AL40" t="s">
        <v>421</v>
      </c>
      <c r="AM40">
        <v>4</v>
      </c>
      <c r="AN40">
        <v>2</v>
      </c>
      <c r="AO40">
        <v>383</v>
      </c>
      <c r="AP40">
        <v>1</v>
      </c>
      <c r="AQ40">
        <v>535</v>
      </c>
      <c r="AR40">
        <v>2</v>
      </c>
      <c r="AS40">
        <v>292</v>
      </c>
    </row>
    <row r="41" spans="6:47" x14ac:dyDescent="0.2">
      <c r="F41" t="s">
        <v>46</v>
      </c>
      <c r="G41">
        <v>19631</v>
      </c>
      <c r="H41">
        <v>13524</v>
      </c>
      <c r="I41">
        <v>523.35302817419995</v>
      </c>
      <c r="J41">
        <v>1320</v>
      </c>
      <c r="K41">
        <v>690.4553030303</v>
      </c>
      <c r="L41">
        <v>4842</v>
      </c>
      <c r="M41">
        <v>712.03510945890002</v>
      </c>
      <c r="N41">
        <v>1231</v>
      </c>
      <c r="O41">
        <v>615.79024390239999</v>
      </c>
      <c r="R41">
        <v>34</v>
      </c>
      <c r="S41">
        <v>549.6176470588</v>
      </c>
      <c r="V41" t="s">
        <v>411</v>
      </c>
      <c r="W41">
        <v>5366</v>
      </c>
      <c r="X41">
        <v>4119</v>
      </c>
      <c r="Y41">
        <v>451.75843651370002</v>
      </c>
      <c r="Z41">
        <v>350</v>
      </c>
      <c r="AA41">
        <v>927.76571428570003</v>
      </c>
      <c r="AB41">
        <v>586</v>
      </c>
      <c r="AC41">
        <v>255.27133105799999</v>
      </c>
      <c r="AD41">
        <v>473</v>
      </c>
      <c r="AE41">
        <v>577.37209302329995</v>
      </c>
      <c r="AF41">
        <v>180</v>
      </c>
      <c r="AG41">
        <v>170.35555555560001</v>
      </c>
      <c r="AH41">
        <v>8</v>
      </c>
      <c r="AI41">
        <v>309.75</v>
      </c>
      <c r="AL41" t="s">
        <v>411</v>
      </c>
      <c r="AM41">
        <v>145</v>
      </c>
      <c r="AN41">
        <v>106</v>
      </c>
      <c r="AO41">
        <v>394.91509433959999</v>
      </c>
      <c r="AP41">
        <v>25</v>
      </c>
      <c r="AQ41">
        <v>652.28</v>
      </c>
      <c r="AR41">
        <v>36</v>
      </c>
      <c r="AS41">
        <v>282.5833333333</v>
      </c>
      <c r="AT41">
        <v>3</v>
      </c>
      <c r="AU41">
        <v>172.6666666667</v>
      </c>
    </row>
    <row r="42" spans="6:47" x14ac:dyDescent="0.2">
      <c r="F42" t="s">
        <v>49</v>
      </c>
      <c r="G42">
        <v>4644</v>
      </c>
      <c r="H42">
        <v>3066</v>
      </c>
      <c r="I42">
        <v>315.12100456619999</v>
      </c>
      <c r="J42">
        <v>393</v>
      </c>
      <c r="K42">
        <v>555.28498727739998</v>
      </c>
      <c r="L42">
        <v>1104</v>
      </c>
      <c r="M42">
        <v>358.98369565220003</v>
      </c>
      <c r="N42">
        <v>469</v>
      </c>
      <c r="O42">
        <v>538.80170575689999</v>
      </c>
      <c r="R42">
        <v>5</v>
      </c>
      <c r="S42">
        <v>788.8</v>
      </c>
      <c r="V42" t="s">
        <v>403</v>
      </c>
      <c r="W42">
        <v>6711</v>
      </c>
      <c r="X42">
        <v>3986</v>
      </c>
      <c r="Y42">
        <v>284.64149523330002</v>
      </c>
      <c r="Z42">
        <v>321</v>
      </c>
      <c r="AA42">
        <v>572.13707165109997</v>
      </c>
      <c r="AB42">
        <v>2132</v>
      </c>
      <c r="AC42">
        <v>770.13883677299998</v>
      </c>
      <c r="AD42">
        <v>356</v>
      </c>
      <c r="AE42">
        <v>424.21067415729999</v>
      </c>
      <c r="AF42">
        <v>221</v>
      </c>
      <c r="AG42">
        <v>184.33484162900001</v>
      </c>
      <c r="AH42">
        <v>16</v>
      </c>
      <c r="AI42">
        <v>376.375</v>
      </c>
      <c r="AL42" t="s">
        <v>403</v>
      </c>
      <c r="AM42">
        <v>59</v>
      </c>
      <c r="AN42">
        <v>39</v>
      </c>
      <c r="AO42">
        <v>226.28205128210001</v>
      </c>
      <c r="AP42">
        <v>37</v>
      </c>
      <c r="AQ42">
        <v>348.97297297300003</v>
      </c>
      <c r="AR42">
        <v>17</v>
      </c>
      <c r="AS42">
        <v>132.9411764706</v>
      </c>
      <c r="AT42">
        <v>3</v>
      </c>
      <c r="AU42">
        <v>320.3333333333</v>
      </c>
    </row>
    <row r="43" spans="6:47" x14ac:dyDescent="0.2">
      <c r="F43" t="s">
        <v>36</v>
      </c>
      <c r="G43">
        <v>229</v>
      </c>
      <c r="H43">
        <v>141</v>
      </c>
      <c r="I43">
        <v>336.8581560284</v>
      </c>
      <c r="J43">
        <v>106</v>
      </c>
      <c r="K43">
        <v>353.1603773585</v>
      </c>
      <c r="L43">
        <v>61</v>
      </c>
      <c r="M43">
        <v>214</v>
      </c>
      <c r="N43">
        <v>27</v>
      </c>
      <c r="O43">
        <v>355.55555555559999</v>
      </c>
      <c r="V43" t="s">
        <v>412</v>
      </c>
      <c r="W43">
        <v>4477</v>
      </c>
      <c r="X43">
        <v>2969</v>
      </c>
      <c r="Y43">
        <v>209.24385314919999</v>
      </c>
      <c r="Z43">
        <v>712</v>
      </c>
      <c r="AA43">
        <v>320.27528089890001</v>
      </c>
      <c r="AB43">
        <v>878</v>
      </c>
      <c r="AC43">
        <v>220.89293849660001</v>
      </c>
      <c r="AD43">
        <v>378</v>
      </c>
      <c r="AE43">
        <v>288.19841269839998</v>
      </c>
      <c r="AF43">
        <v>246</v>
      </c>
      <c r="AG43">
        <v>165.5243902439</v>
      </c>
      <c r="AH43">
        <v>6</v>
      </c>
      <c r="AI43">
        <v>288.3333333333</v>
      </c>
      <c r="AL43" t="s">
        <v>412</v>
      </c>
      <c r="AM43">
        <v>82</v>
      </c>
      <c r="AN43">
        <v>60</v>
      </c>
      <c r="AO43">
        <v>162.11666666670001</v>
      </c>
      <c r="AP43">
        <v>55</v>
      </c>
      <c r="AQ43">
        <v>233.4</v>
      </c>
      <c r="AR43">
        <v>17</v>
      </c>
      <c r="AS43">
        <v>138.29411764709999</v>
      </c>
      <c r="AT43">
        <v>5</v>
      </c>
      <c r="AU43">
        <v>260.39999999999998</v>
      </c>
    </row>
    <row r="44" spans="6:47" x14ac:dyDescent="0.2">
      <c r="F44" t="s">
        <v>27</v>
      </c>
      <c r="G44">
        <v>4103</v>
      </c>
      <c r="H44">
        <v>2879</v>
      </c>
      <c r="I44">
        <v>199.8183397013</v>
      </c>
      <c r="J44">
        <v>704</v>
      </c>
      <c r="K44">
        <v>312.5056818182</v>
      </c>
      <c r="L44">
        <v>837</v>
      </c>
      <c r="M44">
        <v>204.13859020309999</v>
      </c>
      <c r="N44">
        <v>381</v>
      </c>
      <c r="O44">
        <v>278.80577427819998</v>
      </c>
      <c r="R44">
        <v>6</v>
      </c>
      <c r="S44">
        <v>288.3333333333</v>
      </c>
      <c r="V44" t="s">
        <v>387</v>
      </c>
      <c r="W44">
        <v>6053</v>
      </c>
      <c r="X44">
        <v>4984</v>
      </c>
      <c r="Y44">
        <v>446.87439807380002</v>
      </c>
      <c r="Z44">
        <v>476</v>
      </c>
      <c r="AA44">
        <v>730.15126050419997</v>
      </c>
      <c r="AB44">
        <v>543</v>
      </c>
      <c r="AC44">
        <v>420.50276243090002</v>
      </c>
      <c r="AD44">
        <v>334</v>
      </c>
      <c r="AE44">
        <v>433.40718562870001</v>
      </c>
      <c r="AF44">
        <v>169</v>
      </c>
      <c r="AG44">
        <v>176.60355029589999</v>
      </c>
      <c r="AH44">
        <v>23</v>
      </c>
      <c r="AI44">
        <v>391.91304347829998</v>
      </c>
      <c r="AL44" t="s">
        <v>387</v>
      </c>
      <c r="AM44">
        <v>181</v>
      </c>
      <c r="AN44">
        <v>135</v>
      </c>
      <c r="AO44">
        <v>374.95555555559997</v>
      </c>
      <c r="AP44">
        <v>17</v>
      </c>
      <c r="AQ44">
        <v>646.8235294118</v>
      </c>
      <c r="AR44">
        <v>43</v>
      </c>
      <c r="AS44">
        <v>323.53488372089998</v>
      </c>
      <c r="AT44">
        <v>3</v>
      </c>
      <c r="AU44">
        <v>465</v>
      </c>
    </row>
    <row r="45" spans="6:47" x14ac:dyDescent="0.2">
      <c r="F45" t="s">
        <v>51</v>
      </c>
      <c r="G45">
        <v>5306</v>
      </c>
      <c r="H45">
        <v>4241</v>
      </c>
      <c r="I45">
        <v>454.68733789200002</v>
      </c>
      <c r="J45">
        <v>365</v>
      </c>
      <c r="K45">
        <v>952.43561643839996</v>
      </c>
      <c r="L45">
        <v>574</v>
      </c>
      <c r="M45">
        <v>231.2648083624</v>
      </c>
      <c r="N45">
        <v>482</v>
      </c>
      <c r="O45">
        <v>594.90456431539997</v>
      </c>
      <c r="R45">
        <v>9</v>
      </c>
      <c r="S45">
        <v>338.8888888889</v>
      </c>
      <c r="V45" t="s">
        <v>389</v>
      </c>
      <c r="W45">
        <v>4912</v>
      </c>
      <c r="X45">
        <v>3139</v>
      </c>
      <c r="Y45">
        <v>324.86588085379998</v>
      </c>
      <c r="Z45">
        <v>402</v>
      </c>
      <c r="AA45">
        <v>563.16666666670005</v>
      </c>
      <c r="AB45">
        <v>1140</v>
      </c>
      <c r="AC45">
        <v>370.90175438599999</v>
      </c>
      <c r="AD45">
        <v>478</v>
      </c>
      <c r="AE45">
        <v>536.94351464440001</v>
      </c>
      <c r="AF45">
        <v>150</v>
      </c>
      <c r="AG45">
        <v>231.9466666667</v>
      </c>
      <c r="AH45">
        <v>5</v>
      </c>
      <c r="AI45">
        <v>788.8</v>
      </c>
      <c r="AL45" t="s">
        <v>389</v>
      </c>
      <c r="AM45">
        <v>158</v>
      </c>
      <c r="AN45">
        <v>114</v>
      </c>
      <c r="AO45">
        <v>337.97368421049998</v>
      </c>
      <c r="AP45">
        <v>12</v>
      </c>
      <c r="AQ45">
        <v>381.5</v>
      </c>
      <c r="AR45">
        <v>42</v>
      </c>
      <c r="AS45">
        <v>380.1666666667</v>
      </c>
      <c r="AT45">
        <v>2</v>
      </c>
      <c r="AU45">
        <v>533.5</v>
      </c>
    </row>
    <row r="46" spans="6:47" x14ac:dyDescent="0.2">
      <c r="F46" t="s">
        <v>59</v>
      </c>
      <c r="G46">
        <v>5891</v>
      </c>
      <c r="H46">
        <v>4995</v>
      </c>
      <c r="I46">
        <v>451.56376376380001</v>
      </c>
      <c r="J46">
        <v>466</v>
      </c>
      <c r="K46">
        <v>735.4463519313</v>
      </c>
      <c r="L46">
        <v>537</v>
      </c>
      <c r="M46">
        <v>411.947858473</v>
      </c>
      <c r="N46">
        <v>336</v>
      </c>
      <c r="O46">
        <v>440.20238095240001</v>
      </c>
      <c r="R46">
        <v>23</v>
      </c>
      <c r="S46">
        <v>390.26086956519998</v>
      </c>
      <c r="V46" t="s">
        <v>385</v>
      </c>
      <c r="W46">
        <v>70758</v>
      </c>
      <c r="X46">
        <v>49852</v>
      </c>
      <c r="Y46">
        <v>417.89719569930003</v>
      </c>
      <c r="Z46">
        <v>5789</v>
      </c>
      <c r="AA46">
        <v>599.95785109689996</v>
      </c>
      <c r="AB46">
        <v>14134</v>
      </c>
      <c r="AC46">
        <v>612.39175038910003</v>
      </c>
      <c r="AD46">
        <v>4341</v>
      </c>
      <c r="AE46">
        <v>486.99493087560001</v>
      </c>
      <c r="AF46">
        <v>2275</v>
      </c>
      <c r="AG46">
        <v>182.57582417579999</v>
      </c>
      <c r="AH46">
        <v>156</v>
      </c>
      <c r="AI46">
        <v>466.52564102560001</v>
      </c>
      <c r="AL46" t="s">
        <v>385</v>
      </c>
      <c r="AM46">
        <v>1013</v>
      </c>
      <c r="AN46">
        <v>716</v>
      </c>
      <c r="AO46">
        <v>296.60195530729999</v>
      </c>
      <c r="AP46">
        <v>365</v>
      </c>
      <c r="AQ46">
        <v>404.81917808219998</v>
      </c>
      <c r="AR46">
        <v>268</v>
      </c>
      <c r="AS46">
        <v>271.45895522389998</v>
      </c>
      <c r="AT46">
        <v>29</v>
      </c>
      <c r="AU46">
        <v>318.31034482759998</v>
      </c>
    </row>
    <row r="47" spans="6:47" x14ac:dyDescent="0.2">
      <c r="F47" t="s">
        <v>181</v>
      </c>
      <c r="G47">
        <v>379</v>
      </c>
      <c r="H47">
        <v>243</v>
      </c>
      <c r="I47">
        <v>360.94238683129998</v>
      </c>
      <c r="J47">
        <v>189</v>
      </c>
      <c r="K47">
        <v>248.46560846560001</v>
      </c>
      <c r="L47">
        <v>86</v>
      </c>
      <c r="M47">
        <v>200.1046511628</v>
      </c>
      <c r="N47">
        <v>48</v>
      </c>
      <c r="O47">
        <v>402.4375</v>
      </c>
      <c r="R47">
        <v>2</v>
      </c>
      <c r="S47">
        <v>653.5</v>
      </c>
      <c r="V47" t="s">
        <v>416</v>
      </c>
      <c r="W47">
        <v>457</v>
      </c>
      <c r="X47">
        <v>333</v>
      </c>
      <c r="Y47">
        <v>257.24024024020002</v>
      </c>
      <c r="Z47">
        <v>33</v>
      </c>
      <c r="AA47">
        <v>358.03030303029999</v>
      </c>
      <c r="AB47">
        <v>35</v>
      </c>
      <c r="AC47">
        <v>461.68571428569999</v>
      </c>
      <c r="AD47">
        <v>74</v>
      </c>
      <c r="AE47">
        <v>282.47297297300003</v>
      </c>
      <c r="AF47">
        <v>12</v>
      </c>
      <c r="AG47">
        <v>261.3333333333</v>
      </c>
      <c r="AH47">
        <v>3</v>
      </c>
      <c r="AI47">
        <v>293.6666666667</v>
      </c>
      <c r="AL47" t="s">
        <v>416</v>
      </c>
      <c r="AM47">
        <v>22</v>
      </c>
      <c r="AN47">
        <v>18</v>
      </c>
      <c r="AO47">
        <v>172.8333333333</v>
      </c>
      <c r="AP47">
        <v>8</v>
      </c>
      <c r="AQ47">
        <v>265.125</v>
      </c>
      <c r="AR47">
        <v>4</v>
      </c>
      <c r="AS47">
        <v>63.5</v>
      </c>
    </row>
    <row r="48" spans="6:47" x14ac:dyDescent="0.2">
      <c r="F48" t="s">
        <v>70</v>
      </c>
      <c r="G48">
        <v>1082</v>
      </c>
      <c r="H48">
        <v>861</v>
      </c>
      <c r="I48">
        <v>369.43670150989999</v>
      </c>
      <c r="J48">
        <v>429</v>
      </c>
      <c r="K48">
        <v>286.22377622379997</v>
      </c>
      <c r="L48">
        <v>101</v>
      </c>
      <c r="M48">
        <v>116.1386138614</v>
      </c>
      <c r="N48">
        <v>111</v>
      </c>
      <c r="O48">
        <v>204.53153153150001</v>
      </c>
      <c r="R48">
        <v>9</v>
      </c>
      <c r="S48">
        <v>210</v>
      </c>
      <c r="V48" t="s">
        <v>417</v>
      </c>
      <c r="W48">
        <v>110</v>
      </c>
      <c r="X48">
        <v>74</v>
      </c>
      <c r="Y48">
        <v>209.55405405409999</v>
      </c>
      <c r="Z48">
        <v>42</v>
      </c>
      <c r="AA48">
        <v>203.30952380950001</v>
      </c>
      <c r="AB48">
        <v>11</v>
      </c>
      <c r="AC48">
        <v>264.90909090909997</v>
      </c>
      <c r="AD48">
        <v>20</v>
      </c>
      <c r="AE48">
        <v>420.1</v>
      </c>
      <c r="AF48">
        <v>4</v>
      </c>
      <c r="AG48">
        <v>185.25</v>
      </c>
      <c r="AH48">
        <v>1</v>
      </c>
      <c r="AI48">
        <v>283</v>
      </c>
      <c r="AL48" t="s">
        <v>417</v>
      </c>
      <c r="AM48">
        <v>9</v>
      </c>
      <c r="AN48">
        <v>7</v>
      </c>
      <c r="AO48">
        <v>168.8571428571</v>
      </c>
      <c r="AP48">
        <v>2</v>
      </c>
      <c r="AQ48">
        <v>245</v>
      </c>
      <c r="AR48">
        <v>1</v>
      </c>
      <c r="AS48">
        <v>53</v>
      </c>
      <c r="AT48">
        <v>1</v>
      </c>
      <c r="AU48">
        <v>723</v>
      </c>
    </row>
    <row r="49" spans="6:49" x14ac:dyDescent="0.2">
      <c r="F49" t="s">
        <v>385</v>
      </c>
      <c r="G49">
        <v>68044</v>
      </c>
      <c r="H49">
        <v>49503</v>
      </c>
      <c r="I49">
        <v>418.25079794760001</v>
      </c>
      <c r="J49">
        <v>5650</v>
      </c>
      <c r="K49">
        <v>608.18141592920006</v>
      </c>
      <c r="L49">
        <v>14051</v>
      </c>
      <c r="M49">
        <v>618.06981709490003</v>
      </c>
      <c r="N49">
        <v>4335</v>
      </c>
      <c r="O49">
        <v>489.83617904940002</v>
      </c>
      <c r="R49">
        <v>155</v>
      </c>
      <c r="S49">
        <v>461.9096774194</v>
      </c>
      <c r="V49" t="s">
        <v>423</v>
      </c>
      <c r="W49">
        <v>634</v>
      </c>
      <c r="X49">
        <v>383</v>
      </c>
      <c r="Y49">
        <v>363.43080939949999</v>
      </c>
      <c r="Z49">
        <v>62</v>
      </c>
      <c r="AA49">
        <v>557.04838709679996</v>
      </c>
      <c r="AB49">
        <v>141</v>
      </c>
      <c r="AC49">
        <v>443.18439716310002</v>
      </c>
      <c r="AD49">
        <v>75</v>
      </c>
      <c r="AE49">
        <v>618.01333333330001</v>
      </c>
      <c r="AF49">
        <v>30</v>
      </c>
      <c r="AG49">
        <v>179.26666666669999</v>
      </c>
      <c r="AH49">
        <v>5</v>
      </c>
      <c r="AI49">
        <v>439.4</v>
      </c>
      <c r="AL49" t="s">
        <v>423</v>
      </c>
      <c r="AM49">
        <v>16</v>
      </c>
      <c r="AN49">
        <v>15</v>
      </c>
      <c r="AO49">
        <v>230.6666666667</v>
      </c>
      <c r="AP49">
        <v>4</v>
      </c>
      <c r="AQ49">
        <v>446.5</v>
      </c>
      <c r="AR49">
        <v>1</v>
      </c>
      <c r="AS49">
        <v>24</v>
      </c>
    </row>
    <row r="50" spans="6:49" x14ac:dyDescent="0.2">
      <c r="F50" t="s">
        <v>212</v>
      </c>
      <c r="G50">
        <v>1216</v>
      </c>
      <c r="H50">
        <v>865</v>
      </c>
      <c r="I50">
        <v>196.1537572254</v>
      </c>
      <c r="J50">
        <v>674</v>
      </c>
      <c r="K50">
        <v>340.13353115730001</v>
      </c>
      <c r="L50">
        <v>301</v>
      </c>
      <c r="M50">
        <v>184.97009966780001</v>
      </c>
      <c r="N50">
        <v>50</v>
      </c>
      <c r="O50">
        <v>238.98</v>
      </c>
      <c r="V50" t="s">
        <v>376</v>
      </c>
      <c r="W50">
        <v>5797</v>
      </c>
      <c r="X50">
        <v>4710</v>
      </c>
      <c r="Y50">
        <v>551.81995753720003</v>
      </c>
      <c r="Z50">
        <v>478</v>
      </c>
      <c r="AA50">
        <v>947.91841004180003</v>
      </c>
      <c r="AB50">
        <v>662</v>
      </c>
      <c r="AC50">
        <v>767.65256797580003</v>
      </c>
      <c r="AD50">
        <v>308</v>
      </c>
      <c r="AE50">
        <v>618.58116883119999</v>
      </c>
      <c r="AF50">
        <v>108</v>
      </c>
      <c r="AG50">
        <v>118.287037037</v>
      </c>
      <c r="AH50">
        <v>9</v>
      </c>
      <c r="AI50">
        <v>710.11111111109994</v>
      </c>
      <c r="AL50" t="s">
        <v>376</v>
      </c>
      <c r="AM50">
        <v>64</v>
      </c>
      <c r="AN50">
        <v>49</v>
      </c>
      <c r="AO50">
        <v>231.22448979590001</v>
      </c>
      <c r="AP50">
        <v>22</v>
      </c>
      <c r="AQ50">
        <v>410.95454545450002</v>
      </c>
      <c r="AR50">
        <v>10</v>
      </c>
      <c r="AS50">
        <v>151.4</v>
      </c>
      <c r="AT50">
        <v>5</v>
      </c>
      <c r="AU50">
        <v>280.60000000000002</v>
      </c>
    </row>
    <row r="51" spans="6:49" x14ac:dyDescent="0.2">
      <c r="F51" t="s">
        <v>209</v>
      </c>
      <c r="G51">
        <v>2431</v>
      </c>
      <c r="H51">
        <v>1795</v>
      </c>
      <c r="I51">
        <v>377.15097493040003</v>
      </c>
      <c r="J51">
        <v>236</v>
      </c>
      <c r="K51">
        <v>656.75423728809994</v>
      </c>
      <c r="L51">
        <v>585</v>
      </c>
      <c r="M51">
        <v>341.99145299150001</v>
      </c>
      <c r="N51">
        <v>51</v>
      </c>
      <c r="O51">
        <v>408.4901960784</v>
      </c>
      <c r="V51" t="s">
        <v>60</v>
      </c>
      <c r="W51">
        <v>5406</v>
      </c>
      <c r="X51">
        <v>3592</v>
      </c>
      <c r="Y51">
        <v>245.94710467709999</v>
      </c>
      <c r="Z51">
        <v>750</v>
      </c>
      <c r="AA51">
        <v>407.88933333329999</v>
      </c>
      <c r="AB51">
        <v>983</v>
      </c>
      <c r="AC51">
        <v>281.59308240079997</v>
      </c>
      <c r="AD51">
        <v>572</v>
      </c>
      <c r="AE51">
        <v>588.55244755240005</v>
      </c>
      <c r="AF51">
        <v>249</v>
      </c>
      <c r="AG51">
        <v>170.89156626510001</v>
      </c>
      <c r="AH51">
        <v>10</v>
      </c>
      <c r="AI51">
        <v>755.5</v>
      </c>
      <c r="AL51" t="s">
        <v>60</v>
      </c>
      <c r="AM51">
        <v>162</v>
      </c>
      <c r="AN51">
        <v>126</v>
      </c>
      <c r="AO51">
        <v>247.42857142860001</v>
      </c>
      <c r="AP51">
        <v>66</v>
      </c>
      <c r="AQ51">
        <v>462.04545454549998</v>
      </c>
      <c r="AR51">
        <v>27</v>
      </c>
      <c r="AS51">
        <v>223.5925925926</v>
      </c>
      <c r="AT51">
        <v>9</v>
      </c>
      <c r="AU51">
        <v>204</v>
      </c>
    </row>
    <row r="52" spans="6:49" x14ac:dyDescent="0.2">
      <c r="F52" t="s">
        <v>210</v>
      </c>
      <c r="G52">
        <v>2094</v>
      </c>
      <c r="H52">
        <v>1567</v>
      </c>
      <c r="I52">
        <v>238.2616464582</v>
      </c>
      <c r="J52">
        <v>670</v>
      </c>
      <c r="K52">
        <v>432.6268656716</v>
      </c>
      <c r="L52">
        <v>416</v>
      </c>
      <c r="M52">
        <v>176.82932692310001</v>
      </c>
      <c r="N52">
        <v>111</v>
      </c>
      <c r="O52">
        <v>296.65765765769999</v>
      </c>
      <c r="V52" t="s">
        <v>378</v>
      </c>
      <c r="W52">
        <v>15339</v>
      </c>
      <c r="X52">
        <v>10856</v>
      </c>
      <c r="Y52">
        <v>378.58714075170002</v>
      </c>
      <c r="Z52">
        <v>781</v>
      </c>
      <c r="AA52">
        <v>803.49039692700001</v>
      </c>
      <c r="AB52">
        <v>3491</v>
      </c>
      <c r="AC52">
        <v>751.09939845320002</v>
      </c>
      <c r="AD52">
        <v>640</v>
      </c>
      <c r="AE52">
        <v>496.89375000000001</v>
      </c>
      <c r="AF52">
        <v>349</v>
      </c>
      <c r="AG52">
        <v>146.06590257880001</v>
      </c>
      <c r="AH52">
        <v>3</v>
      </c>
      <c r="AI52">
        <v>361.3333333333</v>
      </c>
      <c r="AL52" t="s">
        <v>378</v>
      </c>
      <c r="AM52">
        <v>138</v>
      </c>
      <c r="AN52">
        <v>110</v>
      </c>
      <c r="AO52">
        <v>229.07272727270001</v>
      </c>
      <c r="AP52">
        <v>46</v>
      </c>
      <c r="AQ52">
        <v>334.23913043480002</v>
      </c>
      <c r="AR52">
        <v>16</v>
      </c>
      <c r="AS52">
        <v>235.4375</v>
      </c>
      <c r="AT52">
        <v>12</v>
      </c>
      <c r="AU52">
        <v>282</v>
      </c>
    </row>
    <row r="53" spans="6:49" x14ac:dyDescent="0.2">
      <c r="F53" t="s">
        <v>462</v>
      </c>
      <c r="G53">
        <v>5741</v>
      </c>
      <c r="H53">
        <v>4227</v>
      </c>
      <c r="I53">
        <v>288.62431984860001</v>
      </c>
      <c r="J53">
        <v>1580</v>
      </c>
      <c r="K53">
        <v>426.64810126579999</v>
      </c>
      <c r="L53">
        <v>1302</v>
      </c>
      <c r="M53">
        <v>252.92012288789999</v>
      </c>
      <c r="N53">
        <v>212</v>
      </c>
      <c r="O53">
        <v>309.95754716980002</v>
      </c>
      <c r="V53" t="s">
        <v>374</v>
      </c>
      <c r="W53">
        <v>3985</v>
      </c>
      <c r="X53">
        <v>2663</v>
      </c>
      <c r="Y53">
        <v>318.80623357119998</v>
      </c>
      <c r="Z53">
        <v>513</v>
      </c>
      <c r="AA53">
        <v>468.22612085769998</v>
      </c>
      <c r="AB53">
        <v>613</v>
      </c>
      <c r="AC53">
        <v>257.23164763459999</v>
      </c>
      <c r="AD53">
        <v>571</v>
      </c>
      <c r="AE53">
        <v>560.40455341510005</v>
      </c>
      <c r="AF53">
        <v>126</v>
      </c>
      <c r="AG53">
        <v>205.71428571429999</v>
      </c>
      <c r="AH53">
        <v>12</v>
      </c>
      <c r="AI53">
        <v>620.16666666670005</v>
      </c>
      <c r="AL53" t="s">
        <v>374</v>
      </c>
      <c r="AM53">
        <v>156</v>
      </c>
      <c r="AN53">
        <v>107</v>
      </c>
      <c r="AO53">
        <v>223.1028037383</v>
      </c>
      <c r="AP53">
        <v>39</v>
      </c>
      <c r="AQ53">
        <v>364.28205128209999</v>
      </c>
      <c r="AR53">
        <v>39</v>
      </c>
      <c r="AS53">
        <v>212.74358974360001</v>
      </c>
      <c r="AT53">
        <v>10</v>
      </c>
      <c r="AU53">
        <v>240.8</v>
      </c>
    </row>
    <row r="54" spans="6:49" x14ac:dyDescent="0.2">
      <c r="F54" t="s">
        <v>78</v>
      </c>
      <c r="G54">
        <v>789</v>
      </c>
      <c r="H54">
        <v>595</v>
      </c>
      <c r="I54">
        <v>449.03529411760002</v>
      </c>
      <c r="J54">
        <v>65</v>
      </c>
      <c r="K54">
        <v>569.29230769230003</v>
      </c>
      <c r="L54">
        <v>22</v>
      </c>
      <c r="M54">
        <v>396.09090909090003</v>
      </c>
      <c r="N54">
        <v>169</v>
      </c>
      <c r="O54">
        <v>408.08875739640001</v>
      </c>
      <c r="R54">
        <v>3</v>
      </c>
      <c r="S54">
        <v>293.6666666667</v>
      </c>
      <c r="V54" t="s">
        <v>373</v>
      </c>
      <c r="W54">
        <v>1327</v>
      </c>
      <c r="X54">
        <v>856</v>
      </c>
      <c r="Y54">
        <v>220.42757009350001</v>
      </c>
      <c r="Z54">
        <v>142</v>
      </c>
      <c r="AA54">
        <v>339.77464788729998</v>
      </c>
      <c r="AB54">
        <v>243</v>
      </c>
      <c r="AC54">
        <v>227.82304526749999</v>
      </c>
      <c r="AD54">
        <v>143</v>
      </c>
      <c r="AE54">
        <v>292</v>
      </c>
      <c r="AF54">
        <v>78</v>
      </c>
      <c r="AG54">
        <v>148.0384615385</v>
      </c>
      <c r="AH54">
        <v>7</v>
      </c>
      <c r="AI54">
        <v>189.8571428571</v>
      </c>
      <c r="AL54" t="s">
        <v>373</v>
      </c>
      <c r="AM54">
        <v>37</v>
      </c>
      <c r="AN54">
        <v>30</v>
      </c>
      <c r="AO54">
        <v>181.86666666670001</v>
      </c>
      <c r="AP54">
        <v>19</v>
      </c>
      <c r="AQ54">
        <v>403.36842105260001</v>
      </c>
      <c r="AR54">
        <v>6</v>
      </c>
      <c r="AS54">
        <v>232.1666666667</v>
      </c>
      <c r="AT54">
        <v>1</v>
      </c>
      <c r="AU54">
        <v>186</v>
      </c>
    </row>
    <row r="55" spans="6:49" x14ac:dyDescent="0.2">
      <c r="F55" t="s">
        <v>35</v>
      </c>
      <c r="G55">
        <v>3227</v>
      </c>
      <c r="H55">
        <v>1947</v>
      </c>
      <c r="I55">
        <v>467.63823227130001</v>
      </c>
      <c r="J55">
        <v>300</v>
      </c>
      <c r="K55">
        <v>531.10333333330004</v>
      </c>
      <c r="L55">
        <v>947</v>
      </c>
      <c r="M55">
        <v>504.99155227030002</v>
      </c>
      <c r="N55">
        <v>313</v>
      </c>
      <c r="O55">
        <v>612.95207667730006</v>
      </c>
      <c r="R55">
        <v>20</v>
      </c>
      <c r="S55">
        <v>501.7</v>
      </c>
      <c r="V55" t="s">
        <v>375</v>
      </c>
      <c r="W55">
        <v>7452</v>
      </c>
      <c r="X55">
        <v>5275</v>
      </c>
      <c r="Y55">
        <v>390.81971563979999</v>
      </c>
      <c r="Z55">
        <v>592</v>
      </c>
      <c r="AA55">
        <v>542.90202702700003</v>
      </c>
      <c r="AB55">
        <v>920</v>
      </c>
      <c r="AC55">
        <v>410.08478260869998</v>
      </c>
      <c r="AD55">
        <v>957</v>
      </c>
      <c r="AE55">
        <v>688.40961337509998</v>
      </c>
      <c r="AF55">
        <v>278</v>
      </c>
      <c r="AG55">
        <v>190.81294964029999</v>
      </c>
      <c r="AH55">
        <v>22</v>
      </c>
      <c r="AI55">
        <v>533.72727272730003</v>
      </c>
      <c r="AL55" t="s">
        <v>375</v>
      </c>
      <c r="AM55">
        <v>180</v>
      </c>
      <c r="AN55">
        <v>135</v>
      </c>
      <c r="AO55">
        <v>243.13333333329999</v>
      </c>
      <c r="AP55">
        <v>56</v>
      </c>
      <c r="AQ55">
        <v>407.92857142859998</v>
      </c>
      <c r="AR55">
        <v>33</v>
      </c>
      <c r="AS55">
        <v>167.51515151519999</v>
      </c>
      <c r="AT55">
        <v>12</v>
      </c>
      <c r="AU55">
        <v>408.25</v>
      </c>
    </row>
    <row r="56" spans="6:49" x14ac:dyDescent="0.2">
      <c r="F56" t="s">
        <v>61</v>
      </c>
      <c r="G56">
        <v>2648</v>
      </c>
      <c r="H56">
        <v>1971</v>
      </c>
      <c r="I56">
        <v>351.79249112129997</v>
      </c>
      <c r="J56">
        <v>334</v>
      </c>
      <c r="K56">
        <v>473.66167664670002</v>
      </c>
      <c r="L56">
        <v>273</v>
      </c>
      <c r="M56">
        <v>70.454212454200004</v>
      </c>
      <c r="N56">
        <v>400</v>
      </c>
      <c r="O56">
        <v>495.34500000000003</v>
      </c>
      <c r="R56">
        <v>4</v>
      </c>
      <c r="S56">
        <v>570.5</v>
      </c>
      <c r="V56" t="s">
        <v>372</v>
      </c>
      <c r="W56">
        <v>288</v>
      </c>
      <c r="X56">
        <v>165</v>
      </c>
      <c r="Y56">
        <v>156.12121212119999</v>
      </c>
      <c r="Z56">
        <v>73</v>
      </c>
      <c r="AA56">
        <v>181.9452054795</v>
      </c>
      <c r="AB56">
        <v>71</v>
      </c>
      <c r="AC56">
        <v>137.09859154930001</v>
      </c>
      <c r="AD56">
        <v>25</v>
      </c>
      <c r="AE56">
        <v>195.72</v>
      </c>
      <c r="AF56">
        <v>26</v>
      </c>
      <c r="AG56">
        <v>198.1538461538</v>
      </c>
      <c r="AH56">
        <v>1</v>
      </c>
      <c r="AI56">
        <v>208</v>
      </c>
      <c r="AL56" t="s">
        <v>372</v>
      </c>
      <c r="AM56">
        <v>16</v>
      </c>
      <c r="AN56">
        <v>12</v>
      </c>
      <c r="AO56">
        <v>136.1666666667</v>
      </c>
      <c r="AP56">
        <v>5</v>
      </c>
      <c r="AQ56">
        <v>394.4</v>
      </c>
      <c r="AR56">
        <v>3</v>
      </c>
      <c r="AS56">
        <v>191.3333333333</v>
      </c>
      <c r="AT56">
        <v>1</v>
      </c>
      <c r="AU56">
        <v>172</v>
      </c>
    </row>
    <row r="57" spans="6:49" x14ac:dyDescent="0.2">
      <c r="F57" t="s">
        <v>24</v>
      </c>
      <c r="G57">
        <v>2107</v>
      </c>
      <c r="H57">
        <v>1303</v>
      </c>
      <c r="I57">
        <v>264.59631619340001</v>
      </c>
      <c r="J57">
        <v>448</v>
      </c>
      <c r="K57">
        <v>296.109375</v>
      </c>
      <c r="L57">
        <v>579</v>
      </c>
      <c r="M57">
        <v>317.6718480138</v>
      </c>
      <c r="N57">
        <v>214</v>
      </c>
      <c r="O57">
        <v>550.69158878500002</v>
      </c>
      <c r="R57">
        <v>11</v>
      </c>
      <c r="S57">
        <v>798.18181818180005</v>
      </c>
      <c r="V57" t="s">
        <v>371</v>
      </c>
      <c r="W57">
        <v>3405</v>
      </c>
      <c r="X57">
        <v>1938</v>
      </c>
      <c r="Y57">
        <v>451.11254517290001</v>
      </c>
      <c r="Z57">
        <v>371</v>
      </c>
      <c r="AA57">
        <v>480.78975741239998</v>
      </c>
      <c r="AB57">
        <v>969</v>
      </c>
      <c r="AC57">
        <v>476.41486068109998</v>
      </c>
      <c r="AD57">
        <v>332</v>
      </c>
      <c r="AE57">
        <v>574.08433734940002</v>
      </c>
      <c r="AF57">
        <v>146</v>
      </c>
      <c r="AG57">
        <v>167.595890411</v>
      </c>
      <c r="AH57">
        <v>20</v>
      </c>
      <c r="AI57">
        <v>429.4</v>
      </c>
      <c r="AL57" t="s">
        <v>371</v>
      </c>
      <c r="AM57">
        <v>75</v>
      </c>
      <c r="AN57">
        <v>57</v>
      </c>
      <c r="AO57">
        <v>220.85964912279999</v>
      </c>
      <c r="AP57">
        <v>27</v>
      </c>
      <c r="AQ57">
        <v>326.55555555559999</v>
      </c>
      <c r="AR57">
        <v>15</v>
      </c>
      <c r="AS57">
        <v>165.26666666669999</v>
      </c>
      <c r="AT57">
        <v>3</v>
      </c>
      <c r="AU57">
        <v>378.6666666667</v>
      </c>
    </row>
    <row r="58" spans="6:49" x14ac:dyDescent="0.2">
      <c r="F58" t="s">
        <v>69</v>
      </c>
      <c r="G58">
        <v>15161</v>
      </c>
      <c r="H58">
        <v>10949</v>
      </c>
      <c r="I58">
        <v>364.2998447347</v>
      </c>
      <c r="J58">
        <v>744</v>
      </c>
      <c r="K58">
        <v>810.73118279569997</v>
      </c>
      <c r="L58">
        <v>3685</v>
      </c>
      <c r="M58">
        <v>759.91994572589999</v>
      </c>
      <c r="N58">
        <v>524</v>
      </c>
      <c r="O58">
        <v>445.13167938930002</v>
      </c>
      <c r="R58">
        <v>3</v>
      </c>
      <c r="S58">
        <v>361.3333333333</v>
      </c>
      <c r="V58" t="s">
        <v>415</v>
      </c>
      <c r="W58">
        <v>618</v>
      </c>
      <c r="X58">
        <v>491</v>
      </c>
      <c r="Y58">
        <v>231.25050916500001</v>
      </c>
      <c r="Z58">
        <v>69</v>
      </c>
      <c r="AA58">
        <v>429.30434782610001</v>
      </c>
      <c r="AB58">
        <v>55</v>
      </c>
      <c r="AC58">
        <v>252.69090909089999</v>
      </c>
      <c r="AD58">
        <v>42</v>
      </c>
      <c r="AE58">
        <v>233</v>
      </c>
      <c r="AF58">
        <v>29</v>
      </c>
      <c r="AG58">
        <v>162.724137931</v>
      </c>
      <c r="AH58">
        <v>1</v>
      </c>
      <c r="AI58">
        <v>1436</v>
      </c>
      <c r="AL58" t="s">
        <v>415</v>
      </c>
      <c r="AM58">
        <v>11</v>
      </c>
      <c r="AN58">
        <v>8</v>
      </c>
      <c r="AO58">
        <v>205.375</v>
      </c>
      <c r="AP58">
        <v>4</v>
      </c>
      <c r="AQ58">
        <v>685.25</v>
      </c>
      <c r="AR58">
        <v>3</v>
      </c>
      <c r="AS58">
        <v>101.3333333333</v>
      </c>
    </row>
    <row r="59" spans="6:49" x14ac:dyDescent="0.2">
      <c r="F59" t="s">
        <v>44</v>
      </c>
      <c r="G59">
        <v>1264</v>
      </c>
      <c r="H59">
        <v>882</v>
      </c>
      <c r="I59">
        <v>281.69614512470002</v>
      </c>
      <c r="J59">
        <v>154</v>
      </c>
      <c r="K59">
        <v>413.60389610390001</v>
      </c>
      <c r="L59">
        <v>242</v>
      </c>
      <c r="M59">
        <v>205.97520661159999</v>
      </c>
      <c r="N59">
        <v>133</v>
      </c>
      <c r="O59">
        <v>286.80451127819998</v>
      </c>
      <c r="R59">
        <v>7</v>
      </c>
      <c r="S59">
        <v>189.8571428571</v>
      </c>
      <c r="V59" t="s">
        <v>379</v>
      </c>
      <c r="W59">
        <v>2436</v>
      </c>
      <c r="X59">
        <v>1645</v>
      </c>
      <c r="Y59">
        <v>355.29118541029999</v>
      </c>
      <c r="Z59">
        <v>313</v>
      </c>
      <c r="AA59">
        <v>397.53035143770001</v>
      </c>
      <c r="AB59">
        <v>133</v>
      </c>
      <c r="AC59">
        <v>344.2932330827</v>
      </c>
      <c r="AD59">
        <v>531</v>
      </c>
      <c r="AE59">
        <v>537.39171374759997</v>
      </c>
      <c r="AF59">
        <v>118</v>
      </c>
      <c r="AG59">
        <v>204.72033898309999</v>
      </c>
      <c r="AH59">
        <v>9</v>
      </c>
      <c r="AI59">
        <v>585.2222222222</v>
      </c>
      <c r="AL59" t="s">
        <v>379</v>
      </c>
      <c r="AM59">
        <v>50</v>
      </c>
      <c r="AN59">
        <v>37</v>
      </c>
      <c r="AO59">
        <v>193.56756756760001</v>
      </c>
      <c r="AP59">
        <v>9</v>
      </c>
      <c r="AQ59">
        <v>436.55555555559999</v>
      </c>
      <c r="AR59">
        <v>12</v>
      </c>
      <c r="AS59">
        <v>142.1666666667</v>
      </c>
      <c r="AV59">
        <v>1</v>
      </c>
      <c r="AW59">
        <v>257</v>
      </c>
    </row>
    <row r="60" spans="6:49" x14ac:dyDescent="0.2">
      <c r="F60" t="s">
        <v>60</v>
      </c>
      <c r="G60">
        <v>3374</v>
      </c>
      <c r="H60">
        <v>2641</v>
      </c>
      <c r="I60">
        <v>277.28511927300002</v>
      </c>
      <c r="J60">
        <v>391</v>
      </c>
      <c r="K60">
        <v>563.62148337600001</v>
      </c>
      <c r="L60">
        <v>375</v>
      </c>
      <c r="M60">
        <v>184.50399999999999</v>
      </c>
      <c r="N60">
        <v>357</v>
      </c>
      <c r="O60">
        <v>628.57422969189997</v>
      </c>
      <c r="R60">
        <v>1</v>
      </c>
      <c r="S60">
        <v>40</v>
      </c>
      <c r="V60" t="s">
        <v>382</v>
      </c>
      <c r="W60">
        <v>9618</v>
      </c>
      <c r="X60">
        <v>6977</v>
      </c>
      <c r="Y60">
        <v>258.99111365919998</v>
      </c>
      <c r="Z60">
        <v>1268</v>
      </c>
      <c r="AA60">
        <v>459.79416403789998</v>
      </c>
      <c r="AB60">
        <v>1266</v>
      </c>
      <c r="AC60">
        <v>219.0458135861</v>
      </c>
      <c r="AD60">
        <v>855</v>
      </c>
      <c r="AE60">
        <v>356.48304093569999</v>
      </c>
      <c r="AF60">
        <v>509</v>
      </c>
      <c r="AG60">
        <v>177.69941060900001</v>
      </c>
      <c r="AH60">
        <v>11</v>
      </c>
      <c r="AI60">
        <v>151.8181818182</v>
      </c>
      <c r="AL60" t="s">
        <v>382</v>
      </c>
      <c r="AM60">
        <v>172</v>
      </c>
      <c r="AN60">
        <v>130</v>
      </c>
      <c r="AO60">
        <v>214.76153846150001</v>
      </c>
      <c r="AP60">
        <v>56</v>
      </c>
      <c r="AQ60">
        <v>372.85714285709997</v>
      </c>
      <c r="AR60">
        <v>33</v>
      </c>
      <c r="AS60">
        <v>148.96969696970001</v>
      </c>
      <c r="AT60">
        <v>9</v>
      </c>
      <c r="AU60">
        <v>288.3333333333</v>
      </c>
    </row>
    <row r="61" spans="6:49" x14ac:dyDescent="0.2">
      <c r="F61" t="s">
        <v>33</v>
      </c>
      <c r="G61">
        <v>5445</v>
      </c>
      <c r="H61">
        <v>4474</v>
      </c>
      <c r="I61">
        <v>551.88824318280001</v>
      </c>
      <c r="J61">
        <v>374</v>
      </c>
      <c r="K61">
        <v>994.68716577539999</v>
      </c>
      <c r="L61">
        <v>641</v>
      </c>
      <c r="M61">
        <v>801.27769110760005</v>
      </c>
      <c r="N61">
        <v>319</v>
      </c>
      <c r="O61">
        <v>638.11285266460004</v>
      </c>
      <c r="R61">
        <v>11</v>
      </c>
      <c r="S61">
        <v>658.36363636359999</v>
      </c>
      <c r="V61" t="s">
        <v>414</v>
      </c>
      <c r="W61">
        <v>593</v>
      </c>
      <c r="X61">
        <v>394</v>
      </c>
      <c r="Y61">
        <v>419.82487309639998</v>
      </c>
      <c r="Z61">
        <v>26</v>
      </c>
      <c r="AA61">
        <v>884.46153846150003</v>
      </c>
      <c r="AB61">
        <v>142</v>
      </c>
      <c r="AC61">
        <v>742.98591549299999</v>
      </c>
      <c r="AD61">
        <v>35</v>
      </c>
      <c r="AE61">
        <v>511.68571428569999</v>
      </c>
      <c r="AF61">
        <v>22</v>
      </c>
      <c r="AG61">
        <v>106.1818181818</v>
      </c>
      <c r="AL61" t="s">
        <v>414</v>
      </c>
      <c r="AM61">
        <v>10</v>
      </c>
      <c r="AN61">
        <v>8</v>
      </c>
      <c r="AO61">
        <v>306.75</v>
      </c>
      <c r="AP61">
        <v>7</v>
      </c>
      <c r="AQ61">
        <v>316.14285714290003</v>
      </c>
      <c r="AR61">
        <v>2</v>
      </c>
      <c r="AS61">
        <v>199</v>
      </c>
    </row>
    <row r="62" spans="6:49" x14ac:dyDescent="0.2">
      <c r="F62" t="s">
        <v>47</v>
      </c>
      <c r="G62">
        <v>2299</v>
      </c>
      <c r="H62">
        <v>1676</v>
      </c>
      <c r="I62">
        <v>345.59128878280001</v>
      </c>
      <c r="J62">
        <v>331</v>
      </c>
      <c r="K62">
        <v>390.21752265859999</v>
      </c>
      <c r="L62">
        <v>99</v>
      </c>
      <c r="M62">
        <v>244.64646464649999</v>
      </c>
      <c r="N62">
        <v>515</v>
      </c>
      <c r="O62">
        <v>515.70873786410004</v>
      </c>
      <c r="R62">
        <v>9</v>
      </c>
      <c r="S62">
        <v>460.1111111111</v>
      </c>
      <c r="V62" t="s">
        <v>369</v>
      </c>
      <c r="W62">
        <v>57465</v>
      </c>
      <c r="X62">
        <v>40352</v>
      </c>
      <c r="Y62">
        <v>359.39664444499999</v>
      </c>
      <c r="Z62">
        <v>5513</v>
      </c>
      <c r="AA62">
        <v>544.71322329040004</v>
      </c>
      <c r="AB62">
        <v>9735</v>
      </c>
      <c r="AC62">
        <v>512.87611710320004</v>
      </c>
      <c r="AD62">
        <v>5180</v>
      </c>
      <c r="AE62">
        <v>531.80115830119996</v>
      </c>
      <c r="AF62">
        <v>2084</v>
      </c>
      <c r="AG62">
        <v>171.4750479846</v>
      </c>
      <c r="AH62">
        <v>114</v>
      </c>
      <c r="AI62">
        <v>491.86842105260001</v>
      </c>
      <c r="AL62" t="s">
        <v>369</v>
      </c>
      <c r="AM62">
        <v>1118</v>
      </c>
      <c r="AN62">
        <v>849</v>
      </c>
      <c r="AO62">
        <v>224.9811542992</v>
      </c>
      <c r="AP62">
        <v>370</v>
      </c>
      <c r="AQ62">
        <v>390.74324324320003</v>
      </c>
      <c r="AR62">
        <v>205</v>
      </c>
      <c r="AS62">
        <v>181.67804878050001</v>
      </c>
      <c r="AT62">
        <v>63</v>
      </c>
      <c r="AU62">
        <v>297.49206349209999</v>
      </c>
      <c r="AV62">
        <v>1</v>
      </c>
      <c r="AW62">
        <v>257</v>
      </c>
    </row>
    <row r="63" spans="6:49" x14ac:dyDescent="0.2">
      <c r="F63" t="s">
        <v>54</v>
      </c>
      <c r="G63">
        <v>627</v>
      </c>
      <c r="H63">
        <v>540</v>
      </c>
      <c r="I63">
        <v>253.01666666669999</v>
      </c>
      <c r="J63">
        <v>73</v>
      </c>
      <c r="K63">
        <v>433.30136986299999</v>
      </c>
      <c r="L63">
        <v>43</v>
      </c>
      <c r="M63">
        <v>93.023255813999995</v>
      </c>
      <c r="N63">
        <v>44</v>
      </c>
      <c r="O63">
        <v>189.6818181818</v>
      </c>
      <c r="V63" t="s">
        <v>698</v>
      </c>
      <c r="W63">
        <v>318521</v>
      </c>
      <c r="X63">
        <v>232579</v>
      </c>
      <c r="Y63">
        <v>405.5760280687</v>
      </c>
      <c r="Z63">
        <v>30138</v>
      </c>
      <c r="AA63">
        <v>585.3814785321</v>
      </c>
      <c r="AB63">
        <v>51498</v>
      </c>
      <c r="AC63">
        <v>563.39650083499998</v>
      </c>
      <c r="AD63">
        <v>23314</v>
      </c>
      <c r="AE63">
        <v>512.26573426569996</v>
      </c>
      <c r="AF63">
        <v>10503</v>
      </c>
      <c r="AG63">
        <v>175.53547281210001</v>
      </c>
      <c r="AH63">
        <v>627</v>
      </c>
      <c r="AI63">
        <v>441.09888357260002</v>
      </c>
      <c r="AL63" t="s">
        <v>698</v>
      </c>
      <c r="AM63">
        <v>5743</v>
      </c>
      <c r="AN63">
        <v>4227</v>
      </c>
      <c r="AO63">
        <v>288.62431984860001</v>
      </c>
      <c r="AP63">
        <v>1580</v>
      </c>
      <c r="AQ63">
        <v>426.64810126579999</v>
      </c>
      <c r="AR63">
        <v>1302</v>
      </c>
      <c r="AS63">
        <v>252.92012288789999</v>
      </c>
      <c r="AT63">
        <v>212</v>
      </c>
      <c r="AU63">
        <v>309.95754716980002</v>
      </c>
      <c r="AV63">
        <v>2</v>
      </c>
      <c r="AW63">
        <v>165</v>
      </c>
    </row>
    <row r="64" spans="6:49" x14ac:dyDescent="0.2">
      <c r="F64" t="s">
        <v>65</v>
      </c>
      <c r="G64">
        <v>5155</v>
      </c>
      <c r="H64">
        <v>4151</v>
      </c>
      <c r="I64">
        <v>557.15634786800001</v>
      </c>
      <c r="J64">
        <v>179</v>
      </c>
      <c r="K64">
        <v>1156.2569832402</v>
      </c>
      <c r="L64">
        <v>150</v>
      </c>
      <c r="M64">
        <v>611.69333333329996</v>
      </c>
      <c r="N64">
        <v>848</v>
      </c>
      <c r="O64">
        <v>909.90448113210005</v>
      </c>
      <c r="R64">
        <v>6</v>
      </c>
      <c r="S64">
        <v>716.33333333329995</v>
      </c>
    </row>
    <row r="65" spans="6:19" x14ac:dyDescent="0.2">
      <c r="F65" t="s">
        <v>67</v>
      </c>
      <c r="G65">
        <v>637</v>
      </c>
      <c r="H65">
        <v>381</v>
      </c>
      <c r="I65">
        <v>424.78477690289998</v>
      </c>
      <c r="J65">
        <v>234</v>
      </c>
      <c r="K65">
        <v>487.93589743590002</v>
      </c>
      <c r="L65">
        <v>105</v>
      </c>
      <c r="M65">
        <v>135.9714285714</v>
      </c>
      <c r="N65">
        <v>148</v>
      </c>
      <c r="O65">
        <v>687.73648648649998</v>
      </c>
      <c r="R65">
        <v>3</v>
      </c>
      <c r="S65">
        <v>188</v>
      </c>
    </row>
    <row r="66" spans="6:19" x14ac:dyDescent="0.2">
      <c r="F66" t="s">
        <v>82</v>
      </c>
      <c r="G66">
        <v>170</v>
      </c>
      <c r="H66">
        <v>39</v>
      </c>
      <c r="I66">
        <v>1000.4358974359</v>
      </c>
      <c r="J66">
        <v>6</v>
      </c>
      <c r="K66">
        <v>1758.5</v>
      </c>
      <c r="L66">
        <v>59</v>
      </c>
      <c r="M66">
        <v>729.91525423730002</v>
      </c>
      <c r="N66">
        <v>68</v>
      </c>
      <c r="O66">
        <v>616.5588235294</v>
      </c>
      <c r="R66">
        <v>4</v>
      </c>
      <c r="S66">
        <v>422.5</v>
      </c>
    </row>
    <row r="67" spans="6:19" x14ac:dyDescent="0.2">
      <c r="F67" t="s">
        <v>63</v>
      </c>
      <c r="G67">
        <v>5869</v>
      </c>
      <c r="H67">
        <v>4008</v>
      </c>
      <c r="I67">
        <v>275.47005988019998</v>
      </c>
      <c r="J67">
        <v>701</v>
      </c>
      <c r="K67">
        <v>418.8045649073</v>
      </c>
      <c r="L67">
        <v>1189</v>
      </c>
      <c r="M67">
        <v>362.69470142979998</v>
      </c>
      <c r="N67">
        <v>647</v>
      </c>
      <c r="O67">
        <v>607.86707882530004</v>
      </c>
      <c r="R67">
        <v>25</v>
      </c>
      <c r="S67">
        <v>505.08</v>
      </c>
    </row>
    <row r="68" spans="6:19" x14ac:dyDescent="0.2">
      <c r="F68" t="s">
        <v>430</v>
      </c>
      <c r="G68">
        <v>29</v>
      </c>
      <c r="H68">
        <v>10</v>
      </c>
      <c r="I68">
        <v>508.2</v>
      </c>
      <c r="L68">
        <v>6</v>
      </c>
      <c r="M68">
        <v>917.66666666670005</v>
      </c>
      <c r="N68">
        <v>11</v>
      </c>
      <c r="O68">
        <v>285.1818181818</v>
      </c>
      <c r="R68">
        <v>2</v>
      </c>
      <c r="S68">
        <v>401.5</v>
      </c>
    </row>
    <row r="69" spans="6:19" x14ac:dyDescent="0.2">
      <c r="F69" t="s">
        <v>83</v>
      </c>
      <c r="G69">
        <v>8629</v>
      </c>
      <c r="H69">
        <v>6653</v>
      </c>
      <c r="I69">
        <v>241.37366601529999</v>
      </c>
      <c r="J69">
        <v>1233</v>
      </c>
      <c r="K69">
        <v>447.36739659369999</v>
      </c>
      <c r="L69">
        <v>1140</v>
      </c>
      <c r="M69">
        <v>152.72894736839999</v>
      </c>
      <c r="N69">
        <v>826</v>
      </c>
      <c r="O69">
        <v>345.64891041160001</v>
      </c>
      <c r="R69">
        <v>10</v>
      </c>
      <c r="S69">
        <v>160.9</v>
      </c>
    </row>
    <row r="70" spans="6:19" x14ac:dyDescent="0.2">
      <c r="F70" t="s">
        <v>135</v>
      </c>
      <c r="G70">
        <v>206</v>
      </c>
      <c r="H70">
        <v>175</v>
      </c>
      <c r="I70">
        <v>520.11428571429997</v>
      </c>
      <c r="J70">
        <v>66</v>
      </c>
      <c r="K70">
        <v>474.56060606059998</v>
      </c>
      <c r="L70">
        <v>6</v>
      </c>
      <c r="M70">
        <v>428.1666666667</v>
      </c>
      <c r="N70">
        <v>24</v>
      </c>
      <c r="O70">
        <v>455.8333333333</v>
      </c>
      <c r="R70">
        <v>1</v>
      </c>
      <c r="S70">
        <v>283</v>
      </c>
    </row>
    <row r="71" spans="6:19" x14ac:dyDescent="0.2">
      <c r="F71" t="s">
        <v>369</v>
      </c>
      <c r="G71">
        <v>57636</v>
      </c>
      <c r="H71">
        <v>42395</v>
      </c>
      <c r="I71">
        <v>370.08741803089998</v>
      </c>
      <c r="J71">
        <v>5633</v>
      </c>
      <c r="K71">
        <v>553.07314042250005</v>
      </c>
      <c r="L71">
        <v>9561</v>
      </c>
      <c r="M71">
        <v>513.9433113691</v>
      </c>
      <c r="N71">
        <v>5560</v>
      </c>
      <c r="O71">
        <v>568.03579136689996</v>
      </c>
      <c r="R71">
        <v>120</v>
      </c>
      <c r="S71">
        <v>480.72500000000002</v>
      </c>
    </row>
    <row r="72" spans="6:19" x14ac:dyDescent="0.2">
      <c r="F72" t="s">
        <v>698</v>
      </c>
      <c r="G72">
        <v>324264</v>
      </c>
      <c r="H72">
        <v>236806</v>
      </c>
      <c r="I72">
        <v>403.48837199479999</v>
      </c>
      <c r="J72">
        <v>31718</v>
      </c>
      <c r="K72">
        <v>577.47433633900005</v>
      </c>
      <c r="L72">
        <v>52800</v>
      </c>
      <c r="M72">
        <v>555.74043560610005</v>
      </c>
      <c r="N72">
        <v>23526</v>
      </c>
      <c r="O72">
        <v>510.44228561710003</v>
      </c>
      <c r="P72">
        <v>10505</v>
      </c>
      <c r="Q72">
        <v>175.5334666286</v>
      </c>
      <c r="R72">
        <v>627</v>
      </c>
      <c r="S72">
        <v>441.09888357260002</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1035</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1037</v>
      </c>
      <c r="G4" t="s">
        <v>437</v>
      </c>
      <c r="H4" t="s">
        <v>6</v>
      </c>
      <c r="I4">
        <v>-99</v>
      </c>
      <c r="J4">
        <v>1</v>
      </c>
      <c r="K4" t="s">
        <v>6</v>
      </c>
      <c r="L4">
        <v>-99</v>
      </c>
      <c r="M4" t="s">
        <v>654</v>
      </c>
      <c r="N4" t="s">
        <v>654</v>
      </c>
      <c r="O4">
        <v>-99</v>
      </c>
      <c r="P4">
        <v>-99</v>
      </c>
      <c r="Q4">
        <v>1</v>
      </c>
      <c r="R4" t="s">
        <v>208</v>
      </c>
    </row>
    <row r="5" spans="1:18" x14ac:dyDescent="0.2">
      <c r="A5">
        <v>4</v>
      </c>
      <c r="B5">
        <v>-99</v>
      </c>
      <c r="C5" t="s">
        <v>439</v>
      </c>
      <c r="D5" t="s">
        <v>6</v>
      </c>
      <c r="E5" t="s">
        <v>439</v>
      </c>
      <c r="F5" t="s">
        <v>1043</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1038</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1044</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1045</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1046</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1047</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129</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130</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131</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132</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136</v>
      </c>
      <c r="D22" t="s">
        <v>35</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137</v>
      </c>
      <c r="D23" t="s">
        <v>67</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137</v>
      </c>
      <c r="D24" t="s">
        <v>67</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138</v>
      </c>
      <c r="D25" t="s">
        <v>60</v>
      </c>
      <c r="E25" t="s">
        <v>517</v>
      </c>
      <c r="F25" t="s">
        <v>518</v>
      </c>
      <c r="G25" t="s">
        <v>656</v>
      </c>
      <c r="H25" t="s">
        <v>370</v>
      </c>
      <c r="I25">
        <v>380</v>
      </c>
      <c r="J25">
        <v>30</v>
      </c>
      <c r="K25" t="s">
        <v>369</v>
      </c>
      <c r="L25">
        <v>8237</v>
      </c>
      <c r="M25" t="s">
        <v>335</v>
      </c>
      <c r="N25" t="s">
        <v>60</v>
      </c>
      <c r="O25">
        <v>1</v>
      </c>
      <c r="P25">
        <v>2</v>
      </c>
      <c r="Q25">
        <v>-99</v>
      </c>
      <c r="R25" t="s">
        <v>682</v>
      </c>
    </row>
    <row r="26" spans="1:18" x14ac:dyDescent="0.2">
      <c r="A26">
        <v>25</v>
      </c>
      <c r="B26">
        <v>11</v>
      </c>
      <c r="C26" t="s">
        <v>139</v>
      </c>
      <c r="D26" t="s">
        <v>24</v>
      </c>
      <c r="E26" t="s">
        <v>519</v>
      </c>
      <c r="F26" t="s">
        <v>520</v>
      </c>
      <c r="G26" t="s">
        <v>656</v>
      </c>
      <c r="H26" t="s">
        <v>370</v>
      </c>
      <c r="I26">
        <v>380</v>
      </c>
      <c r="J26">
        <v>30</v>
      </c>
      <c r="K26" t="s">
        <v>369</v>
      </c>
      <c r="L26">
        <v>8238</v>
      </c>
      <c r="M26" t="s">
        <v>335</v>
      </c>
      <c r="N26" t="s">
        <v>60</v>
      </c>
      <c r="O26">
        <v>1</v>
      </c>
      <c r="P26">
        <v>2</v>
      </c>
      <c r="Q26">
        <v>-99</v>
      </c>
      <c r="R26" t="s">
        <v>682</v>
      </c>
    </row>
    <row r="27" spans="1:18" x14ac:dyDescent="0.2">
      <c r="A27">
        <v>26</v>
      </c>
      <c r="B27">
        <v>12</v>
      </c>
      <c r="C27" t="s">
        <v>140</v>
      </c>
      <c r="D27" t="s">
        <v>44</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141</v>
      </c>
      <c r="D28" t="s">
        <v>61</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99</v>
      </c>
      <c r="D29" t="s">
        <v>63</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99</v>
      </c>
      <c r="D30" t="s">
        <v>63</v>
      </c>
      <c r="E30" t="s">
        <v>527</v>
      </c>
      <c r="F30" t="s">
        <v>210</v>
      </c>
      <c r="G30" t="s">
        <v>656</v>
      </c>
      <c r="H30" t="s">
        <v>370</v>
      </c>
      <c r="I30">
        <v>380</v>
      </c>
      <c r="J30">
        <v>30</v>
      </c>
      <c r="K30" t="s">
        <v>369</v>
      </c>
      <c r="L30">
        <v>8242</v>
      </c>
      <c r="M30" t="s">
        <v>347</v>
      </c>
      <c r="N30" t="s">
        <v>375</v>
      </c>
      <c r="O30">
        <v>-99</v>
      </c>
      <c r="P30">
        <v>1</v>
      </c>
      <c r="Q30">
        <v>-99</v>
      </c>
      <c r="R30" t="s">
        <v>208</v>
      </c>
    </row>
    <row r="31" spans="1:18" x14ac:dyDescent="0.2">
      <c r="A31">
        <v>30</v>
      </c>
      <c r="B31">
        <v>15</v>
      </c>
      <c r="C31" t="s">
        <v>142</v>
      </c>
      <c r="D31" t="s">
        <v>65</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142</v>
      </c>
      <c r="D32" t="s">
        <v>65</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143</v>
      </c>
      <c r="D33" t="s">
        <v>33</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103</v>
      </c>
      <c r="D34" t="s">
        <v>69</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144</v>
      </c>
      <c r="D35" t="s">
        <v>47</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145</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146</v>
      </c>
      <c r="D37" t="s">
        <v>77</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147</v>
      </c>
      <c r="D38" t="s">
        <v>83</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147</v>
      </c>
      <c r="D39" t="s">
        <v>83</v>
      </c>
      <c r="E39" t="s">
        <v>544</v>
      </c>
      <c r="F39" t="s">
        <v>213</v>
      </c>
      <c r="G39" t="s">
        <v>657</v>
      </c>
      <c r="H39" t="s">
        <v>377</v>
      </c>
      <c r="I39">
        <v>381</v>
      </c>
      <c r="J39">
        <v>30</v>
      </c>
      <c r="K39" t="s">
        <v>369</v>
      </c>
      <c r="L39">
        <v>8249</v>
      </c>
      <c r="M39" t="s">
        <v>348</v>
      </c>
      <c r="N39" t="s">
        <v>382</v>
      </c>
      <c r="O39">
        <v>-99</v>
      </c>
      <c r="P39">
        <v>1</v>
      </c>
      <c r="Q39">
        <v>-99</v>
      </c>
      <c r="R39" t="s">
        <v>679</v>
      </c>
    </row>
    <row r="40" spans="1:18" x14ac:dyDescent="0.2">
      <c r="A40">
        <v>39</v>
      </c>
      <c r="B40">
        <v>-99</v>
      </c>
      <c r="C40" t="s">
        <v>147</v>
      </c>
      <c r="D40" t="s">
        <v>83</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148</v>
      </c>
      <c r="D41" t="s">
        <v>39</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91</v>
      </c>
      <c r="D42" t="s">
        <v>58</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149</v>
      </c>
      <c r="D43" t="s">
        <v>59</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150</v>
      </c>
      <c r="D44" t="s">
        <v>57</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151</v>
      </c>
      <c r="D45" t="s">
        <v>49</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151</v>
      </c>
      <c r="D46" t="s">
        <v>49</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152</v>
      </c>
      <c r="D47" t="s">
        <v>38</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153</v>
      </c>
      <c r="D48" t="s">
        <v>48</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154</v>
      </c>
      <c r="D49" t="s">
        <v>53</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154</v>
      </c>
      <c r="D50" t="s">
        <v>53</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155</v>
      </c>
      <c r="D51" t="s">
        <v>37</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156</v>
      </c>
      <c r="D52" t="s">
        <v>42</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157</v>
      </c>
      <c r="D53" t="s">
        <v>56</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157</v>
      </c>
      <c r="D54" t="s">
        <v>56</v>
      </c>
      <c r="E54" t="s">
        <v>572</v>
      </c>
      <c r="F54" t="s">
        <v>209</v>
      </c>
      <c r="G54" t="s">
        <v>658</v>
      </c>
      <c r="H54" t="s">
        <v>386</v>
      </c>
      <c r="I54">
        <v>382</v>
      </c>
      <c r="J54">
        <v>32</v>
      </c>
      <c r="K54" t="s">
        <v>390</v>
      </c>
      <c r="L54">
        <v>8260</v>
      </c>
      <c r="M54" t="s">
        <v>316</v>
      </c>
      <c r="N54" t="s">
        <v>396</v>
      </c>
      <c r="O54">
        <v>-99</v>
      </c>
      <c r="P54">
        <v>1</v>
      </c>
      <c r="Q54">
        <v>-99</v>
      </c>
      <c r="R54" t="s">
        <v>208</v>
      </c>
    </row>
    <row r="55" spans="1:18" x14ac:dyDescent="0.2">
      <c r="A55">
        <v>54</v>
      </c>
      <c r="B55">
        <v>58</v>
      </c>
      <c r="C55" t="s">
        <v>158</v>
      </c>
      <c r="D55" t="s">
        <v>75</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159</v>
      </c>
      <c r="D56" t="s">
        <v>41</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160</v>
      </c>
      <c r="D57" t="s">
        <v>50</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161</v>
      </c>
      <c r="D58" t="s">
        <v>76</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161</v>
      </c>
      <c r="D59" t="s">
        <v>76</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161</v>
      </c>
      <c r="D60" t="s">
        <v>76</v>
      </c>
      <c r="E60" t="s">
        <v>582</v>
      </c>
      <c r="F60" t="s">
        <v>212</v>
      </c>
      <c r="G60" t="s">
        <v>658</v>
      </c>
      <c r="H60" t="s">
        <v>386</v>
      </c>
      <c r="I60">
        <v>382</v>
      </c>
      <c r="J60">
        <v>32</v>
      </c>
      <c r="K60" t="s">
        <v>390</v>
      </c>
      <c r="L60">
        <v>8264</v>
      </c>
      <c r="M60" t="s">
        <v>333</v>
      </c>
      <c r="N60" t="s">
        <v>401</v>
      </c>
      <c r="O60">
        <v>-99</v>
      </c>
      <c r="P60">
        <v>1</v>
      </c>
      <c r="Q60">
        <v>-99</v>
      </c>
      <c r="R60" t="s">
        <v>208</v>
      </c>
    </row>
    <row r="61" spans="1:18" x14ac:dyDescent="0.2">
      <c r="A61">
        <v>60</v>
      </c>
      <c r="B61">
        <v>100</v>
      </c>
      <c r="C61" t="s">
        <v>162</v>
      </c>
      <c r="D61" t="s">
        <v>40</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163</v>
      </c>
      <c r="D62" t="s">
        <v>31</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164</v>
      </c>
      <c r="D63" t="s">
        <v>70</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164</v>
      </c>
      <c r="D64" t="s">
        <v>70</v>
      </c>
      <c r="E64" t="s">
        <v>589</v>
      </c>
      <c r="F64" t="s">
        <v>211</v>
      </c>
      <c r="G64" t="s">
        <v>660</v>
      </c>
      <c r="H64" t="s">
        <v>402</v>
      </c>
      <c r="I64">
        <v>383</v>
      </c>
      <c r="J64">
        <v>33</v>
      </c>
      <c r="K64" t="s">
        <v>385</v>
      </c>
      <c r="L64">
        <v>8270</v>
      </c>
      <c r="M64" t="s">
        <v>344</v>
      </c>
      <c r="N64" t="s">
        <v>406</v>
      </c>
      <c r="O64">
        <v>-99</v>
      </c>
      <c r="P64">
        <v>1</v>
      </c>
      <c r="Q64">
        <v>-99</v>
      </c>
      <c r="R64" t="s">
        <v>679</v>
      </c>
    </row>
    <row r="65" spans="1:18" x14ac:dyDescent="0.2">
      <c r="A65">
        <v>64</v>
      </c>
      <c r="B65">
        <v>103</v>
      </c>
      <c r="C65" t="s">
        <v>165</v>
      </c>
      <c r="D65" t="s">
        <v>62</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166</v>
      </c>
      <c r="D66" t="s">
        <v>52</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167</v>
      </c>
      <c r="D67" t="s">
        <v>64</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168</v>
      </c>
      <c r="D68" t="s">
        <v>73</v>
      </c>
      <c r="E68" t="s">
        <v>596</v>
      </c>
      <c r="F68" t="s">
        <v>597</v>
      </c>
      <c r="G68" t="s">
        <v>660</v>
      </c>
      <c r="H68" t="s">
        <v>402</v>
      </c>
      <c r="I68">
        <v>383</v>
      </c>
      <c r="J68">
        <v>34</v>
      </c>
      <c r="K68" t="s">
        <v>404</v>
      </c>
      <c r="L68">
        <v>8203</v>
      </c>
      <c r="M68" t="s">
        <v>329</v>
      </c>
      <c r="N68" t="s">
        <v>80</v>
      </c>
      <c r="O68">
        <v>1</v>
      </c>
      <c r="P68">
        <v>1</v>
      </c>
      <c r="Q68">
        <v>-99</v>
      </c>
      <c r="R68" t="s">
        <v>682</v>
      </c>
    </row>
    <row r="69" spans="1:18" x14ac:dyDescent="0.2">
      <c r="A69">
        <v>68</v>
      </c>
      <c r="B69">
        <v>-99</v>
      </c>
      <c r="C69" t="s">
        <v>168</v>
      </c>
      <c r="D69" t="s">
        <v>73</v>
      </c>
      <c r="E69" t="s">
        <v>598</v>
      </c>
      <c r="F69" t="s">
        <v>599</v>
      </c>
      <c r="G69" t="s">
        <v>660</v>
      </c>
      <c r="H69" t="s">
        <v>402</v>
      </c>
      <c r="I69">
        <v>383</v>
      </c>
      <c r="J69">
        <v>34</v>
      </c>
      <c r="K69" t="s">
        <v>404</v>
      </c>
      <c r="L69">
        <v>8203</v>
      </c>
      <c r="M69" t="s">
        <v>329</v>
      </c>
      <c r="N69" t="s">
        <v>80</v>
      </c>
      <c r="O69">
        <v>-99</v>
      </c>
      <c r="P69">
        <v>1</v>
      </c>
      <c r="Q69">
        <v>-99</v>
      </c>
      <c r="R69" t="s">
        <v>398</v>
      </c>
    </row>
    <row r="70" spans="1:18" x14ac:dyDescent="0.2">
      <c r="A70">
        <v>69</v>
      </c>
      <c r="B70">
        <v>111</v>
      </c>
      <c r="C70" t="s">
        <v>169</v>
      </c>
      <c r="D70" t="s">
        <v>34</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170</v>
      </c>
      <c r="D71" t="s">
        <v>66</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171</v>
      </c>
      <c r="D72" t="s">
        <v>79</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172</v>
      </c>
      <c r="D73" t="s">
        <v>51</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173</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174</v>
      </c>
      <c r="D75" t="s">
        <v>68</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175</v>
      </c>
      <c r="D76" t="s">
        <v>72</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176</v>
      </c>
      <c r="D77" t="s">
        <v>55</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177</v>
      </c>
      <c r="D78" t="s">
        <v>46</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178</v>
      </c>
      <c r="D80" t="s">
        <v>54</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179</v>
      </c>
      <c r="D82" t="s">
        <v>71</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179</v>
      </c>
      <c r="D83" t="s">
        <v>71</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1056</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180</v>
      </c>
      <c r="D85" t="s">
        <v>78</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89</v>
      </c>
      <c r="D86" t="s">
        <v>135</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182</v>
      </c>
      <c r="D87" t="s">
        <v>181</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183</v>
      </c>
      <c r="D88" t="s">
        <v>43</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184</v>
      </c>
      <c r="D89" t="s">
        <v>74</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36</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185</v>
      </c>
      <c r="D91" t="s">
        <v>81</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186</v>
      </c>
      <c r="D92" t="s">
        <v>45</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187</v>
      </c>
      <c r="D93" t="s">
        <v>82</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188</v>
      </c>
      <c r="D94" t="s">
        <v>32</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224</v>
      </c>
      <c r="G95" t="s">
        <v>654</v>
      </c>
      <c r="H95" t="s">
        <v>8</v>
      </c>
      <c r="I95">
        <v>-99</v>
      </c>
      <c r="J95">
        <v>-99</v>
      </c>
      <c r="K95" t="s">
        <v>8</v>
      </c>
      <c r="L95">
        <v>-99</v>
      </c>
      <c r="M95" t="s">
        <v>654</v>
      </c>
      <c r="N95" t="s">
        <v>654</v>
      </c>
      <c r="O95">
        <v>-99</v>
      </c>
      <c r="P95">
        <v>-99</v>
      </c>
      <c r="Q95">
        <v>-99</v>
      </c>
      <c r="R95" t="s">
        <v>208</v>
      </c>
    </row>
    <row r="96" spans="1:18" x14ac:dyDescent="0.2">
      <c r="A96">
        <v>95</v>
      </c>
      <c r="B96">
        <v>-99</v>
      </c>
      <c r="C96" t="s">
        <v>674</v>
      </c>
      <c r="D96" t="s">
        <v>8</v>
      </c>
      <c r="E96" t="s">
        <v>676</v>
      </c>
      <c r="F96" t="s">
        <v>308</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307</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1055</v>
      </c>
      <c r="E98" t="s">
        <v>666</v>
      </c>
      <c r="F98" t="s">
        <v>1055</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32</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212</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209</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210</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135</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46</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65</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309</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309</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60</v>
      </c>
      <c r="C22" t="s">
        <v>60</v>
      </c>
      <c r="D22" t="s">
        <v>466</v>
      </c>
      <c r="E22" t="s">
        <v>369</v>
      </c>
    </row>
    <row r="23" spans="1:5" x14ac:dyDescent="0.2">
      <c r="A23" t="s">
        <v>348</v>
      </c>
      <c r="B23" t="s">
        <v>382</v>
      </c>
      <c r="C23" t="s">
        <v>382</v>
      </c>
      <c r="D23" t="s">
        <v>309</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309</v>
      </c>
      <c r="D29" t="s">
        <v>454</v>
      </c>
      <c r="E29" t="s">
        <v>8</v>
      </c>
    </row>
    <row r="30" spans="1:5" x14ac:dyDescent="0.2">
      <c r="A30" t="s">
        <v>365</v>
      </c>
      <c r="B30" t="s">
        <v>417</v>
      </c>
      <c r="C30" t="s">
        <v>417</v>
      </c>
      <c r="D30" t="s">
        <v>466</v>
      </c>
      <c r="E30" t="s">
        <v>369</v>
      </c>
    </row>
    <row r="31" spans="1:5" x14ac:dyDescent="0.2">
      <c r="A31" t="s">
        <v>346</v>
      </c>
      <c r="B31" t="s">
        <v>414</v>
      </c>
      <c r="C31" t="s">
        <v>414</v>
      </c>
      <c r="D31" t="s">
        <v>309</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309</v>
      </c>
      <c r="D38" t="s">
        <v>454</v>
      </c>
      <c r="E38" t="s">
        <v>8</v>
      </c>
    </row>
    <row r="39" spans="1:5" x14ac:dyDescent="0.2">
      <c r="A39" t="s">
        <v>351</v>
      </c>
      <c r="B39" t="s">
        <v>409</v>
      </c>
      <c r="C39" t="s">
        <v>409</v>
      </c>
      <c r="D39" t="s">
        <v>469</v>
      </c>
      <c r="E39" t="s">
        <v>404</v>
      </c>
    </row>
    <row r="40" spans="1:5" x14ac:dyDescent="0.2">
      <c r="A40" t="s">
        <v>484</v>
      </c>
      <c r="B40" t="s">
        <v>485</v>
      </c>
      <c r="C40" t="s">
        <v>309</v>
      </c>
      <c r="D40" t="s">
        <v>454</v>
      </c>
      <c r="E40" t="s">
        <v>8</v>
      </c>
    </row>
    <row r="41" spans="1:5" x14ac:dyDescent="0.2">
      <c r="A41" t="s">
        <v>471</v>
      </c>
      <c r="B41" t="s">
        <v>472</v>
      </c>
      <c r="C41" t="s">
        <v>309</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309</v>
      </c>
      <c r="D52" t="s">
        <v>454</v>
      </c>
      <c r="E52" t="s">
        <v>8</v>
      </c>
    </row>
    <row r="53" spans="1:5" x14ac:dyDescent="0.2">
      <c r="A53" t="s">
        <v>482</v>
      </c>
      <c r="B53" t="s">
        <v>483</v>
      </c>
      <c r="C53" t="s">
        <v>309</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80</v>
      </c>
      <c r="C61" t="s">
        <v>80</v>
      </c>
      <c r="D61" t="s">
        <v>469</v>
      </c>
      <c r="E61" t="s">
        <v>404</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1034</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60</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60</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80</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80</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42518</v>
      </c>
      <c r="C20">
        <v>24255</v>
      </c>
      <c r="D20">
        <v>5</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0" zoomScaleNormal="8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978</v>
      </c>
      <c r="C2" s="325"/>
      <c r="D2" s="325"/>
      <c r="E2" s="325"/>
      <c r="F2" s="325"/>
      <c r="G2" s="326"/>
      <c r="H2" s="135" t="s">
        <v>5</v>
      </c>
      <c r="I2" s="136" t="s">
        <v>2</v>
      </c>
      <c r="J2" s="136" t="s">
        <v>228</v>
      </c>
      <c r="K2" s="134"/>
    </row>
    <row r="3" spans="1:11" ht="59.25" customHeight="1" x14ac:dyDescent="0.2">
      <c r="A3" s="130"/>
      <c r="B3" s="327"/>
      <c r="C3" s="328"/>
      <c r="D3" s="328"/>
      <c r="E3" s="328"/>
      <c r="F3" s="328"/>
      <c r="G3" s="328"/>
      <c r="H3" s="320">
        <f>SUM(H5,H10)</f>
        <v>356878</v>
      </c>
      <c r="I3" s="320">
        <f>SUM(I5,I10)</f>
        <v>73049</v>
      </c>
      <c r="J3" s="322">
        <f>ROUND(I3/H3,5)</f>
        <v>0.20469000000000001</v>
      </c>
      <c r="K3" s="134"/>
    </row>
    <row r="4" spans="1:11" ht="33" customHeight="1" thickBot="1" x14ac:dyDescent="0.25">
      <c r="A4" s="130"/>
      <c r="B4" s="329" t="str">
        <f>"As of: "&amp;TEXT(INDEX(MMWR_DATES[],1,1),"MMMM DD, YYYY")</f>
        <v>As of: May 28, 2016</v>
      </c>
      <c r="C4" s="330"/>
      <c r="D4" s="330"/>
      <c r="E4" s="330"/>
      <c r="F4" s="330"/>
      <c r="G4" s="331"/>
      <c r="H4" s="321"/>
      <c r="I4" s="321"/>
      <c r="J4" s="323"/>
      <c r="K4" s="137"/>
    </row>
    <row r="5" spans="1:11" ht="16.5" customHeight="1" thickBot="1" x14ac:dyDescent="0.25">
      <c r="A5" s="130"/>
      <c r="B5" s="318" t="s">
        <v>233</v>
      </c>
      <c r="C5" s="319"/>
      <c r="D5" s="319"/>
      <c r="E5" s="319"/>
      <c r="F5" s="319"/>
      <c r="G5" s="138" t="s">
        <v>244</v>
      </c>
      <c r="H5" s="158">
        <f>SUM(H6:H9)</f>
        <v>130531</v>
      </c>
      <c r="I5" s="158">
        <f>SUM(I6:I9)</f>
        <v>31326</v>
      </c>
      <c r="J5" s="159">
        <f t="shared" ref="J5:J15" si="0">IF(H5=0, 0,I5/H5)</f>
        <v>0.23998896813783699</v>
      </c>
      <c r="K5" s="134"/>
    </row>
    <row r="6" spans="1:11" ht="16.5" customHeight="1" x14ac:dyDescent="0.2">
      <c r="A6" s="130"/>
      <c r="B6" s="283" t="s">
        <v>16</v>
      </c>
      <c r="C6" s="284"/>
      <c r="D6" s="284"/>
      <c r="E6" s="284"/>
      <c r="F6" s="284"/>
      <c r="G6" s="139" t="s">
        <v>190</v>
      </c>
      <c r="H6" s="160">
        <f>IFERROR(VLOOKUP(MID($G6,4,3),MMWR_TRAD_AGG_NATIONAL[],2,0),0)</f>
        <v>33798</v>
      </c>
      <c r="I6" s="160">
        <f>IFERROR(VLOOKUP(MID($G6,4,3),MMWR_TRAD_AGG_NATIONAL[],3,0),0)</f>
        <v>10706</v>
      </c>
      <c r="J6" s="161">
        <f t="shared" si="0"/>
        <v>0.31676430558021185</v>
      </c>
      <c r="K6" s="134"/>
    </row>
    <row r="7" spans="1:11" ht="16.5" customHeight="1" x14ac:dyDescent="0.2">
      <c r="A7" s="130"/>
      <c r="B7" s="285" t="s">
        <v>0</v>
      </c>
      <c r="C7" s="286"/>
      <c r="D7" s="286"/>
      <c r="E7" s="286"/>
      <c r="F7" s="286"/>
      <c r="G7" s="140" t="s">
        <v>191</v>
      </c>
      <c r="H7" s="160">
        <f>IFERROR(VLOOKUP(MID($G7,4,3),MMWR_TRAD_AGG_NATIONAL[],2,0),0)</f>
        <v>78733</v>
      </c>
      <c r="I7" s="160">
        <f>IFERROR(VLOOKUP(MID($G7,4,3),MMWR_TRAD_AGG_NATIONAL[],3,0),0)</f>
        <v>18348</v>
      </c>
      <c r="J7" s="161">
        <f t="shared" si="0"/>
        <v>0.23304078340721171</v>
      </c>
      <c r="K7" s="134"/>
    </row>
    <row r="8" spans="1:11" ht="16.5" customHeight="1" x14ac:dyDescent="0.2">
      <c r="A8" s="130"/>
      <c r="B8" s="287" t="s">
        <v>234</v>
      </c>
      <c r="C8" s="288"/>
      <c r="D8" s="288"/>
      <c r="E8" s="288"/>
      <c r="F8" s="288"/>
      <c r="G8" s="141" t="s">
        <v>193</v>
      </c>
      <c r="H8" s="160">
        <f>IFERROR(VLOOKUP(MID($G8,4,3),MMWR_TRAD_AGG_NATIONAL[],2,0),0)</f>
        <v>7621</v>
      </c>
      <c r="I8" s="160">
        <f>IFERROR(VLOOKUP(MID($G8,4,3),MMWR_TRAD_AGG_NATIONAL[],3,0),0)</f>
        <v>544</v>
      </c>
      <c r="J8" s="161">
        <f t="shared" si="0"/>
        <v>7.1381708437212962E-2</v>
      </c>
      <c r="K8" s="134"/>
    </row>
    <row r="9" spans="1:11" ht="16.5" customHeight="1" thickBot="1" x14ac:dyDescent="0.25">
      <c r="A9" s="130"/>
      <c r="B9" s="292" t="s">
        <v>17</v>
      </c>
      <c r="C9" s="293"/>
      <c r="D9" s="293"/>
      <c r="E9" s="293"/>
      <c r="F9" s="293"/>
      <c r="G9" s="140" t="s">
        <v>195</v>
      </c>
      <c r="H9" s="160">
        <f>IFERROR(VLOOKUP(MID($G9,4,3),MMWR_TRAD_AGG_NATIONAL[],2,0),0)</f>
        <v>10379</v>
      </c>
      <c r="I9" s="160">
        <f>IFERROR(VLOOKUP(MID($G9,4,3),MMWR_TRAD_AGG_NATIONAL[],3,0),0)</f>
        <v>1728</v>
      </c>
      <c r="J9" s="161">
        <f t="shared" si="0"/>
        <v>0.16649002794103479</v>
      </c>
      <c r="K9" s="134"/>
    </row>
    <row r="10" spans="1:11" ht="17.25" thickBot="1" x14ac:dyDescent="0.25">
      <c r="A10" s="130"/>
      <c r="B10" s="318" t="s">
        <v>1</v>
      </c>
      <c r="C10" s="319"/>
      <c r="D10" s="319"/>
      <c r="E10" s="319"/>
      <c r="F10" s="319"/>
      <c r="G10" s="138" t="s">
        <v>244</v>
      </c>
      <c r="H10" s="158">
        <f>SUM(H11:H18)</f>
        <v>226347</v>
      </c>
      <c r="I10" s="158">
        <f>SUM(I11:I18)</f>
        <v>41723</v>
      </c>
      <c r="J10" s="159">
        <f t="shared" si="0"/>
        <v>0.18433202118870584</v>
      </c>
      <c r="K10" s="134"/>
    </row>
    <row r="11" spans="1:11" ht="16.5" customHeight="1" x14ac:dyDescent="0.2">
      <c r="A11" s="130"/>
      <c r="B11" s="283" t="s">
        <v>199</v>
      </c>
      <c r="C11" s="284"/>
      <c r="D11" s="284"/>
      <c r="E11" s="284"/>
      <c r="F11" s="284"/>
      <c r="G11" s="142" t="s">
        <v>194</v>
      </c>
      <c r="H11" s="162">
        <f>IFERROR(VLOOKUP(MID($G11,4,3),MMWR_TRAD_AGG_NATIONAL[],2,0),0)</f>
        <v>8698</v>
      </c>
      <c r="I11" s="160">
        <f>IFERROR(VLOOKUP(MID($G11,4,3),MMWR_TRAD_AGG_NATIONAL[],3,0),0)</f>
        <v>461</v>
      </c>
      <c r="J11" s="161">
        <f t="shared" si="0"/>
        <v>5.3000689813750286E-2</v>
      </c>
      <c r="K11" s="134"/>
    </row>
    <row r="12" spans="1:11" ht="16.5" customHeight="1" x14ac:dyDescent="0.2">
      <c r="A12" s="130"/>
      <c r="B12" s="285" t="s">
        <v>18</v>
      </c>
      <c r="C12" s="286"/>
      <c r="D12" s="286"/>
      <c r="E12" s="286"/>
      <c r="F12" s="286"/>
      <c r="G12" s="143" t="s">
        <v>192</v>
      </c>
      <c r="H12" s="163">
        <f>IFERROR(VLOOKUP(MID($G12,4,3),MMWR_TRAD_AGG_NATIONAL[],2,0),0)</f>
        <v>202702</v>
      </c>
      <c r="I12" s="160">
        <f>IFERROR(VLOOKUP(MID($G12,4,3),MMWR_TRAD_AGG_NATIONAL[],3,0),0)</f>
        <v>37963</v>
      </c>
      <c r="J12" s="161">
        <f t="shared" si="0"/>
        <v>0.18728478258724629</v>
      </c>
      <c r="K12" s="134"/>
    </row>
    <row r="13" spans="1:11" ht="16.5" customHeight="1" x14ac:dyDescent="0.2">
      <c r="A13" s="130"/>
      <c r="B13" s="285" t="s">
        <v>14</v>
      </c>
      <c r="C13" s="286"/>
      <c r="D13" s="286"/>
      <c r="E13" s="286"/>
      <c r="F13" s="286"/>
      <c r="G13" s="143" t="s">
        <v>196</v>
      </c>
      <c r="H13" s="163">
        <f>IFERROR(VLOOKUP(MID($G13,4,3),MMWR_TRAD_AGG_NATIONAL[],2,0),0)</f>
        <v>14420</v>
      </c>
      <c r="I13" s="160">
        <f>IFERROR(VLOOKUP(MID($G13,4,3),MMWR_TRAD_AGG_NATIONAL[],3,0),0)</f>
        <v>3221</v>
      </c>
      <c r="J13" s="161">
        <f t="shared" si="0"/>
        <v>0.22337031900138696</v>
      </c>
      <c r="K13" s="134"/>
    </row>
    <row r="14" spans="1:11" ht="16.5" customHeight="1" x14ac:dyDescent="0.2">
      <c r="A14" s="130"/>
      <c r="B14" s="287" t="s">
        <v>19</v>
      </c>
      <c r="C14" s="288"/>
      <c r="D14" s="288"/>
      <c r="E14" s="288"/>
      <c r="F14" s="288"/>
      <c r="G14" s="142" t="s">
        <v>197</v>
      </c>
      <c r="H14" s="163">
        <f>IFERROR(VLOOKUP(MID($G14,4,3),MMWR_TRAD_AGG_NATIONAL[],2,0),0)</f>
        <v>397</v>
      </c>
      <c r="I14" s="160">
        <f>IFERROR(VLOOKUP(MID($G14,4,3),MMWR_TRAD_AGG_NATIONAL[],3,0),0)</f>
        <v>50</v>
      </c>
      <c r="J14" s="161">
        <f t="shared" si="0"/>
        <v>0.12594458438287154</v>
      </c>
      <c r="K14" s="134"/>
    </row>
    <row r="15" spans="1:11" ht="16.5" customHeight="1" x14ac:dyDescent="0.2">
      <c r="A15" s="130"/>
      <c r="B15" s="287" t="s">
        <v>84</v>
      </c>
      <c r="C15" s="288"/>
      <c r="D15" s="288"/>
      <c r="E15" s="288"/>
      <c r="F15" s="288"/>
      <c r="G15" s="142" t="s">
        <v>200</v>
      </c>
      <c r="H15" s="163">
        <f>IFERROR(VLOOKUP(MID($G15,4,3),MMWR_TRAD_AGG_NATIONAL[],2,0),0)</f>
        <v>9</v>
      </c>
      <c r="I15" s="160">
        <f>IFERROR(VLOOKUP(MID($G15,4,3),MMWR_TRAD_AGG_NATIONAL[],3,0),0)</f>
        <v>2</v>
      </c>
      <c r="J15" s="161">
        <f t="shared" si="0"/>
        <v>0.22222222222222221</v>
      </c>
      <c r="K15" s="134"/>
    </row>
    <row r="16" spans="1:11" ht="15" x14ac:dyDescent="0.2">
      <c r="A16" s="130"/>
      <c r="B16" s="287" t="s">
        <v>85</v>
      </c>
      <c r="C16" s="288"/>
      <c r="D16" s="288"/>
      <c r="E16" s="288"/>
      <c r="F16" s="288"/>
      <c r="G16" s="142" t="s">
        <v>201</v>
      </c>
      <c r="H16" s="163">
        <f>IFERROR(VLOOKUP(MID($G16,4,3),MMWR_TRAD_AGG_NATIONAL[],2,0),0)</f>
        <v>1</v>
      </c>
      <c r="I16" s="160">
        <f>IFERROR(VLOOKUP(MID($G16,4,3),MMWR_TRAD_AGG_NATIONAL[],3,0),0)</f>
        <v>0</v>
      </c>
      <c r="J16" s="161">
        <f>IF(H16=0, 0,I16/H16)</f>
        <v>0</v>
      </c>
      <c r="K16" s="134"/>
    </row>
    <row r="17" spans="1:11" ht="16.5" customHeight="1" x14ac:dyDescent="0.2">
      <c r="A17" s="130"/>
      <c r="B17" s="287" t="s">
        <v>87</v>
      </c>
      <c r="C17" s="288"/>
      <c r="D17" s="288"/>
      <c r="E17" s="288"/>
      <c r="F17" s="288"/>
      <c r="G17" s="142" t="s">
        <v>202</v>
      </c>
      <c r="H17" s="163">
        <f>IFERROR(VLOOKUP(MID($G17,4,3),MMWR_TRAD_AGG_NATIONAL[],2,0),0)</f>
        <v>11</v>
      </c>
      <c r="I17" s="160">
        <f>IFERROR(VLOOKUP(MID($G17,4,3),MMWR_TRAD_AGG_NATIONAL[],3,0),0)</f>
        <v>0</v>
      </c>
      <c r="J17" s="161">
        <f>IF(H17=0, 0,I17/H17)</f>
        <v>0</v>
      </c>
      <c r="K17" s="134"/>
    </row>
    <row r="18" spans="1:11" ht="16.5" customHeight="1" thickBot="1" x14ac:dyDescent="0.25">
      <c r="A18" s="130"/>
      <c r="B18" s="292" t="s">
        <v>86</v>
      </c>
      <c r="C18" s="293"/>
      <c r="D18" s="293"/>
      <c r="E18" s="293"/>
      <c r="F18" s="293"/>
      <c r="G18" s="142" t="s">
        <v>203</v>
      </c>
      <c r="H18" s="164">
        <f>IFERROR(VLOOKUP(MID($G18,4,3),MMWR_TRAD_AGG_NATIONAL[],2,0),0)</f>
        <v>109</v>
      </c>
      <c r="I18" s="160">
        <f>IFERROR(VLOOKUP(MID($G18,4,3),MMWR_TRAD_AGG_NATIONAL[],3,0),0)</f>
        <v>26</v>
      </c>
      <c r="J18" s="165">
        <f>IF(H18=0, 0,I18/H18)</f>
        <v>0.23853211009174313</v>
      </c>
      <c r="K18" s="134"/>
    </row>
    <row r="19" spans="1:11" ht="16.5" customHeight="1" x14ac:dyDescent="0.2">
      <c r="A19" s="130"/>
      <c r="B19" s="297" t="s">
        <v>969</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960</v>
      </c>
      <c r="C21" s="313"/>
      <c r="D21" s="314"/>
      <c r="E21" s="312" t="s">
        <v>961</v>
      </c>
      <c r="F21" s="313"/>
      <c r="G21" s="314"/>
      <c r="H21" s="312" t="s">
        <v>962</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954</v>
      </c>
      <c r="C23" s="313"/>
      <c r="D23" s="314"/>
      <c r="E23" s="312" t="s">
        <v>955</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38"/>
      <c r="D26" s="338"/>
      <c r="E26" s="338"/>
      <c r="F26" s="339"/>
      <c r="G26" s="263" t="s">
        <v>1063</v>
      </c>
      <c r="H26" s="263" t="s">
        <v>1064</v>
      </c>
      <c r="I26" s="263" t="s">
        <v>1060</v>
      </c>
      <c r="J26" s="264" t="s">
        <v>28</v>
      </c>
      <c r="K26" s="134"/>
    </row>
    <row r="27" spans="1:11" ht="16.5" customHeight="1" x14ac:dyDescent="0.2">
      <c r="A27" s="130"/>
      <c r="B27" s="294" t="s">
        <v>963</v>
      </c>
      <c r="C27" s="295"/>
      <c r="D27" s="295"/>
      <c r="E27" s="295"/>
      <c r="F27" s="296"/>
      <c r="G27" s="256">
        <v>7683</v>
      </c>
      <c r="H27" s="256">
        <v>7509</v>
      </c>
      <c r="I27" s="256">
        <v>174</v>
      </c>
      <c r="J27" s="260">
        <v>2.3E-2</v>
      </c>
      <c r="K27" s="134"/>
    </row>
    <row r="28" spans="1:11" ht="15.75" customHeight="1" x14ac:dyDescent="0.2">
      <c r="A28" s="130"/>
      <c r="B28" s="332" t="s">
        <v>24</v>
      </c>
      <c r="C28" s="333"/>
      <c r="D28" s="333"/>
      <c r="E28" s="333"/>
      <c r="F28" s="334"/>
      <c r="G28" s="257">
        <v>1747</v>
      </c>
      <c r="H28" s="257">
        <v>1952</v>
      </c>
      <c r="I28" s="257">
        <v>-205</v>
      </c>
      <c r="J28" s="253">
        <v>-0.105</v>
      </c>
      <c r="K28" s="134"/>
    </row>
    <row r="29" spans="1:11" ht="15.75" customHeight="1" x14ac:dyDescent="0.2">
      <c r="A29" s="130"/>
      <c r="B29" s="303" t="s">
        <v>25</v>
      </c>
      <c r="C29" s="304"/>
      <c r="D29" s="304"/>
      <c r="E29" s="304"/>
      <c r="F29" s="305"/>
      <c r="G29" s="258">
        <v>822</v>
      </c>
      <c r="H29" s="258">
        <v>714</v>
      </c>
      <c r="I29" s="258">
        <v>108</v>
      </c>
      <c r="J29" s="254">
        <v>0.151</v>
      </c>
      <c r="K29" s="134"/>
    </row>
    <row r="30" spans="1:11" ht="15" x14ac:dyDescent="0.2">
      <c r="A30" s="130"/>
      <c r="B30" s="306" t="s">
        <v>26</v>
      </c>
      <c r="C30" s="307"/>
      <c r="D30" s="307"/>
      <c r="E30" s="307"/>
      <c r="F30" s="308"/>
      <c r="G30" s="258">
        <v>1600</v>
      </c>
      <c r="H30" s="258">
        <v>1808</v>
      </c>
      <c r="I30" s="258">
        <v>-208</v>
      </c>
      <c r="J30" s="254">
        <v>-0.115</v>
      </c>
      <c r="K30" s="134"/>
    </row>
    <row r="31" spans="1:11" ht="15" x14ac:dyDescent="0.2">
      <c r="A31" s="130"/>
      <c r="B31" s="335" t="s">
        <v>27</v>
      </c>
      <c r="C31" s="336"/>
      <c r="D31" s="336"/>
      <c r="E31" s="336"/>
      <c r="F31" s="337"/>
      <c r="G31" s="259">
        <v>3514</v>
      </c>
      <c r="H31" s="259">
        <v>3035</v>
      </c>
      <c r="I31" s="259">
        <v>479</v>
      </c>
      <c r="J31" s="255">
        <v>0.158</v>
      </c>
      <c r="K31" s="134"/>
    </row>
    <row r="32" spans="1:11" ht="16.5" customHeight="1" x14ac:dyDescent="0.2">
      <c r="A32" s="130"/>
      <c r="B32" s="294" t="s">
        <v>235</v>
      </c>
      <c r="C32" s="295"/>
      <c r="D32" s="295"/>
      <c r="E32" s="295"/>
      <c r="F32" s="296"/>
      <c r="G32" s="256">
        <v>51317</v>
      </c>
      <c r="H32" s="256">
        <v>49969</v>
      </c>
      <c r="I32" s="256">
        <v>1348</v>
      </c>
      <c r="J32" s="260">
        <v>2.7E-2</v>
      </c>
      <c r="K32" s="134"/>
    </row>
    <row r="33" spans="1:11" ht="15" x14ac:dyDescent="0.2">
      <c r="A33" s="130"/>
      <c r="B33" s="332" t="s">
        <v>24</v>
      </c>
      <c r="C33" s="333"/>
      <c r="D33" s="333"/>
      <c r="E33" s="333"/>
      <c r="F33" s="334"/>
      <c r="G33" s="257">
        <v>12593</v>
      </c>
      <c r="H33" s="257">
        <v>11834</v>
      </c>
      <c r="I33" s="257">
        <v>759</v>
      </c>
      <c r="J33" s="253">
        <v>6.4000000000000001E-2</v>
      </c>
      <c r="K33" s="134"/>
    </row>
    <row r="34" spans="1:11" ht="15" x14ac:dyDescent="0.2">
      <c r="A34" s="130"/>
      <c r="B34" s="303" t="s">
        <v>25</v>
      </c>
      <c r="C34" s="304"/>
      <c r="D34" s="304"/>
      <c r="E34" s="304"/>
      <c r="F34" s="305"/>
      <c r="G34" s="258">
        <v>5406</v>
      </c>
      <c r="H34" s="258">
        <v>4946</v>
      </c>
      <c r="I34" s="258">
        <v>460</v>
      </c>
      <c r="J34" s="254">
        <v>9.2999999999999999E-2</v>
      </c>
      <c r="K34" s="134"/>
    </row>
    <row r="35" spans="1:11" ht="15" x14ac:dyDescent="0.2">
      <c r="A35" s="130"/>
      <c r="B35" s="306" t="s">
        <v>26</v>
      </c>
      <c r="C35" s="307"/>
      <c r="D35" s="307"/>
      <c r="E35" s="307"/>
      <c r="F35" s="308"/>
      <c r="G35" s="258">
        <v>20020</v>
      </c>
      <c r="H35" s="258">
        <v>16945</v>
      </c>
      <c r="I35" s="258">
        <v>3075</v>
      </c>
      <c r="J35" s="254">
        <v>0.18099999999999999</v>
      </c>
      <c r="K35" s="134"/>
    </row>
    <row r="36" spans="1:11" ht="15.75" thickBot="1" x14ac:dyDescent="0.25">
      <c r="A36" s="130"/>
      <c r="B36" s="309" t="s">
        <v>27</v>
      </c>
      <c r="C36" s="310"/>
      <c r="D36" s="310"/>
      <c r="E36" s="310"/>
      <c r="F36" s="311"/>
      <c r="G36" s="258">
        <v>13298</v>
      </c>
      <c r="H36" s="258">
        <v>16244</v>
      </c>
      <c r="I36" s="258">
        <v>-2946</v>
      </c>
      <c r="J36" s="254">
        <v>-0.18099999999999999</v>
      </c>
      <c r="K36" s="134"/>
    </row>
    <row r="37" spans="1:11" ht="15.75" customHeight="1" thickBot="1" x14ac:dyDescent="0.25">
      <c r="A37" s="130"/>
      <c r="B37" s="289" t="s">
        <v>968</v>
      </c>
      <c r="C37" s="290"/>
      <c r="D37" s="290"/>
      <c r="E37" s="290"/>
      <c r="F37" s="290"/>
      <c r="G37" s="290"/>
      <c r="H37" s="290"/>
      <c r="I37" s="290"/>
      <c r="J37" s="29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295</v>
      </c>
      <c r="D2" s="350"/>
      <c r="E2" s="350"/>
      <c r="F2" s="350"/>
      <c r="G2" s="350"/>
      <c r="H2" s="350"/>
      <c r="I2" s="350"/>
      <c r="J2" s="350"/>
      <c r="K2" s="351"/>
      <c r="L2" s="349" t="s">
        <v>300</v>
      </c>
      <c r="M2" s="350"/>
      <c r="N2" s="350"/>
      <c r="O2" s="351"/>
      <c r="P2" s="28"/>
    </row>
    <row r="3" spans="1:16" ht="24" customHeight="1" thickBot="1" x14ac:dyDescent="0.4">
      <c r="A3" s="25"/>
      <c r="B3" s="29"/>
      <c r="C3" s="352"/>
      <c r="D3" s="353"/>
      <c r="E3" s="353"/>
      <c r="F3" s="353"/>
      <c r="G3" s="353"/>
      <c r="H3" s="353"/>
      <c r="I3" s="353"/>
      <c r="J3" s="353"/>
      <c r="K3" s="354"/>
      <c r="L3" s="352" t="str">
        <f>Transformation!B4</f>
        <v>As of: May 28, 2016</v>
      </c>
      <c r="M3" s="353"/>
      <c r="N3" s="353"/>
      <c r="O3" s="354"/>
      <c r="P3" s="28"/>
    </row>
    <row r="4" spans="1:16" ht="51.75" customHeight="1" thickBot="1" x14ac:dyDescent="0.35">
      <c r="A4" s="30"/>
      <c r="B4" s="246" t="s">
        <v>455</v>
      </c>
      <c r="C4" s="355" t="s">
        <v>304</v>
      </c>
      <c r="D4" s="356"/>
      <c r="E4" s="356"/>
      <c r="F4" s="356"/>
      <c r="G4" s="356"/>
      <c r="H4" s="356"/>
      <c r="I4" s="356"/>
      <c r="J4" s="356"/>
      <c r="K4" s="356"/>
      <c r="L4" s="356"/>
      <c r="M4" s="356"/>
      <c r="N4" s="356"/>
      <c r="O4" s="357"/>
      <c r="P4" s="28"/>
    </row>
    <row r="5" spans="1:16" ht="27" customHeight="1" thickBot="1" x14ac:dyDescent="0.25">
      <c r="A5" s="30"/>
      <c r="B5" s="26"/>
      <c r="C5" s="358" t="s">
        <v>1041</v>
      </c>
      <c r="D5" s="359"/>
      <c r="E5" s="359"/>
      <c r="F5" s="359"/>
      <c r="G5" s="359"/>
      <c r="H5" s="359"/>
      <c r="I5" s="359"/>
      <c r="J5" s="359"/>
      <c r="K5" s="359"/>
      <c r="L5" s="359"/>
      <c r="M5" s="359"/>
      <c r="N5" s="359"/>
      <c r="O5" s="360"/>
      <c r="P5" s="28"/>
    </row>
    <row r="6" spans="1:16" ht="55.5" customHeight="1" x14ac:dyDescent="0.2">
      <c r="A6" s="30"/>
      <c r="B6" s="31"/>
      <c r="C6" s="32" t="s">
        <v>190</v>
      </c>
      <c r="D6" s="361" t="s">
        <v>16</v>
      </c>
      <c r="E6" s="362"/>
      <c r="F6" s="33" t="s">
        <v>193</v>
      </c>
      <c r="G6" s="361" t="s">
        <v>198</v>
      </c>
      <c r="H6" s="363"/>
      <c r="I6" s="33" t="s">
        <v>196</v>
      </c>
      <c r="J6" s="367" t="s">
        <v>14</v>
      </c>
      <c r="K6" s="368"/>
      <c r="L6" s="33" t="s">
        <v>201</v>
      </c>
      <c r="M6" s="364" t="s">
        <v>85</v>
      </c>
      <c r="N6" s="365"/>
      <c r="O6" s="366"/>
      <c r="P6" s="28"/>
    </row>
    <row r="7" spans="1:16" ht="51.75" customHeight="1" x14ac:dyDescent="0.2">
      <c r="A7" s="30"/>
      <c r="B7" s="34"/>
      <c r="C7" s="35" t="s">
        <v>191</v>
      </c>
      <c r="D7" s="379" t="s">
        <v>0</v>
      </c>
      <c r="E7" s="380"/>
      <c r="F7" s="36" t="s">
        <v>194</v>
      </c>
      <c r="G7" s="381" t="s">
        <v>199</v>
      </c>
      <c r="H7" s="381"/>
      <c r="I7" s="36" t="s">
        <v>197</v>
      </c>
      <c r="J7" s="369" t="s">
        <v>19</v>
      </c>
      <c r="K7" s="370"/>
      <c r="L7" s="36" t="s">
        <v>202</v>
      </c>
      <c r="M7" s="373" t="s">
        <v>87</v>
      </c>
      <c r="N7" s="374"/>
      <c r="O7" s="375"/>
      <c r="P7" s="28"/>
    </row>
    <row r="8" spans="1:16" ht="51.75" customHeight="1" thickBot="1" x14ac:dyDescent="0.25">
      <c r="A8" s="25"/>
      <c r="B8" s="28"/>
      <c r="C8" s="37" t="s">
        <v>192</v>
      </c>
      <c r="D8" s="382" t="s">
        <v>18</v>
      </c>
      <c r="E8" s="383"/>
      <c r="F8" s="38" t="s">
        <v>195</v>
      </c>
      <c r="G8" s="384" t="s">
        <v>17</v>
      </c>
      <c r="H8" s="384"/>
      <c r="I8" s="38" t="s">
        <v>200</v>
      </c>
      <c r="J8" s="371" t="s">
        <v>84</v>
      </c>
      <c r="K8" s="372"/>
      <c r="L8" s="38" t="s">
        <v>203</v>
      </c>
      <c r="M8" s="346" t="s">
        <v>86</v>
      </c>
      <c r="N8" s="347"/>
      <c r="O8" s="348"/>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1042</v>
      </c>
      <c r="N9" s="39" t="s">
        <v>924</v>
      </c>
      <c r="O9" s="39" t="s">
        <v>925</v>
      </c>
      <c r="P9" s="28"/>
    </row>
    <row r="10" spans="1:16" ht="15.75" customHeight="1" x14ac:dyDescent="0.2">
      <c r="A10" s="25"/>
      <c r="B10" s="26"/>
      <c r="C10" s="385" t="s">
        <v>293</v>
      </c>
      <c r="D10" s="385"/>
      <c r="E10" s="385"/>
      <c r="F10" s="385"/>
      <c r="G10" s="385"/>
      <c r="H10" s="385"/>
      <c r="I10" s="385"/>
      <c r="J10" s="385"/>
      <c r="K10" s="385"/>
      <c r="L10" s="385"/>
      <c r="M10" s="385"/>
      <c r="N10" s="385"/>
      <c r="O10" s="385"/>
      <c r="P10" s="28"/>
    </row>
    <row r="11" spans="1:16" ht="32.25" customHeight="1" x14ac:dyDescent="0.2">
      <c r="A11" s="25"/>
      <c r="B11" s="26"/>
      <c r="C11" s="340" t="s">
        <v>226</v>
      </c>
      <c r="D11" s="340" t="s">
        <v>134</v>
      </c>
      <c r="E11" s="340" t="s">
        <v>227</v>
      </c>
      <c r="F11" s="340" t="s">
        <v>189</v>
      </c>
      <c r="G11" s="340" t="s">
        <v>204</v>
      </c>
      <c r="H11" s="340" t="s">
        <v>206</v>
      </c>
      <c r="I11" s="340" t="s">
        <v>207</v>
      </c>
      <c r="J11" s="344" t="s">
        <v>1053</v>
      </c>
      <c r="K11" s="344" t="s">
        <v>1054</v>
      </c>
      <c r="L11" s="342" t="s">
        <v>1051</v>
      </c>
      <c r="M11" s="343"/>
      <c r="N11" s="342" t="s">
        <v>1052</v>
      </c>
      <c r="O11" s="343"/>
      <c r="P11" s="28"/>
    </row>
    <row r="12" spans="1:16" ht="32.25" customHeight="1" x14ac:dyDescent="0.2">
      <c r="A12" s="25"/>
      <c r="B12" s="26"/>
      <c r="C12" s="341"/>
      <c r="D12" s="341"/>
      <c r="E12" s="341"/>
      <c r="F12" s="341"/>
      <c r="G12" s="341"/>
      <c r="H12" s="341"/>
      <c r="I12" s="341"/>
      <c r="J12" s="345"/>
      <c r="K12" s="345"/>
      <c r="L12" s="40" t="s">
        <v>926</v>
      </c>
      <c r="M12" s="40" t="s">
        <v>931</v>
      </c>
      <c r="N12" s="40" t="s">
        <v>926</v>
      </c>
      <c r="O12" s="40" t="s">
        <v>931</v>
      </c>
      <c r="P12" s="28"/>
    </row>
    <row r="13" spans="1:16" x14ac:dyDescent="0.2">
      <c r="A13" s="25"/>
      <c r="B13" s="41" t="s">
        <v>1049</v>
      </c>
      <c r="C13" s="154">
        <f>IF($B13=" ","",IFERROR(INDEX(MMWR_RATING_RO_ROLLUP[],MATCH($B13,MMWR_RATING_RO_ROLLUP[MMWR_RATING_RO_ROLLUP],0),MATCH(C$9,MMWR_RATING_RO_ROLLUP[#Headers],0)),"ERROR"))</f>
        <v>356878</v>
      </c>
      <c r="D13" s="155">
        <f>IF($B13=" ","",IFERROR(INDEX(MMWR_RATING_RO_ROLLUP[],MATCH($B13,MMWR_RATING_RO_ROLLUP[MMWR_RATING_RO_ROLLUP],0),MATCH(D$9,MMWR_RATING_RO_ROLLUP[#Headers],0)),"ERROR"))</f>
        <v>88.609264230400001</v>
      </c>
      <c r="E13" s="156">
        <f>IF($B13=" ","",IFERROR(INDEX(MMWR_RATING_RO_ROLLUP[],MATCH($B13,MMWR_RATING_RO_ROLLUP[MMWR_RATING_RO_ROLLUP],0),MATCH(E$9,MMWR_RATING_RO_ROLLUP[#Headers],0))/$C13,"ERROR"))</f>
        <v>0.20468899736044249</v>
      </c>
      <c r="F13" s="154">
        <f>IF($B13=" ","",IFERROR(INDEX(MMWR_RATING_RO_ROLLUP[],MATCH($B13,MMWR_RATING_RO_ROLLUP[MMWR_RATING_RO_ROLLUP],0),MATCH(F$9,MMWR_RATING_RO_ROLLUP[#Headers],0)),"ERROR"))</f>
        <v>95957</v>
      </c>
      <c r="G13" s="154">
        <f>IF($B13=" ","",IFERROR(INDEX(MMWR_RATING_RO_ROLLUP[],MATCH($B13,MMWR_RATING_RO_ROLLUP[MMWR_RATING_RO_ROLLUP],0),MATCH(G$9,MMWR_RATING_RO_ROLLUP[#Headers],0)),"ERROR"))</f>
        <v>836391</v>
      </c>
      <c r="H13" s="155">
        <f>IF($B13=" ","",IFERROR(INDEX(MMWR_RATING_RO_ROLLUP[],MATCH($B13,MMWR_RATING_RO_ROLLUP[MMWR_RATING_RO_ROLLUP],0),MATCH(H$9,MMWR_RATING_RO_ROLLUP[#Headers],0)),"ERROR"))</f>
        <v>117.1651052034</v>
      </c>
      <c r="I13" s="155">
        <f>IF($B13=" ","",IFERROR(INDEX(MMWR_RATING_RO_ROLLUP[],MATCH($B13,MMWR_RATING_RO_ROLLUP[MMWR_RATING_RO_ROLLUP],0),MATCH(I$9,MMWR_RATING_RO_ROLLUP[#Headers],0)),"ERROR"))</f>
        <v>123.5537637301</v>
      </c>
      <c r="J13" s="42"/>
      <c r="K13" s="42"/>
      <c r="L13" s="42"/>
      <c r="M13" s="42"/>
      <c r="N13" s="42"/>
      <c r="O13" s="42"/>
      <c r="P13" s="28"/>
    </row>
    <row r="14" spans="1:16" x14ac:dyDescent="0.2">
      <c r="A14" s="25"/>
      <c r="B14" s="377" t="s">
        <v>732</v>
      </c>
      <c r="C14" s="378"/>
      <c r="D14" s="378"/>
      <c r="E14" s="378"/>
      <c r="F14" s="378"/>
      <c r="G14" s="378"/>
      <c r="H14" s="378"/>
      <c r="I14" s="378"/>
      <c r="J14" s="378"/>
      <c r="K14" s="378"/>
      <c r="L14" s="378"/>
      <c r="M14" s="378"/>
      <c r="N14" s="378"/>
      <c r="O14" s="378"/>
      <c r="P14" s="28"/>
    </row>
    <row r="15" spans="1:16" x14ac:dyDescent="0.2">
      <c r="A15" s="25"/>
      <c r="B15" s="41" t="s">
        <v>728</v>
      </c>
      <c r="C15" s="154">
        <f>IF($B15=" ","",IFERROR(INDEX(MMWR_RATING_RO_ROLLUP[],MATCH($B15,MMWR_RATING_RO_ROLLUP[MMWR_RATING_RO_ROLLUP],0),MATCH(C$9,MMWR_RATING_RO_ROLLUP[#Headers],0)),"ERROR"))</f>
        <v>313682</v>
      </c>
      <c r="D15" s="155">
        <f>IF($B15=" ","",IFERROR(INDEX(MMWR_RATING_RO_ROLLUP[],MATCH($B15,MMWR_RATING_RO_ROLLUP[MMWR_RATING_RO_ROLLUP],0),MATCH(D$9,MMWR_RATING_RO_ROLLUP[#Headers],0)),"ERROR"))</f>
        <v>90.667178862699998</v>
      </c>
      <c r="E15" s="156">
        <f>IF($B15=" ","",IFERROR(INDEX(MMWR_RATING_RO_ROLLUP[],MATCH($B15,MMWR_RATING_RO_ROLLUP[MMWR_RATING_RO_ROLLUP],0),MATCH(E$9,MMWR_RATING_RO_ROLLUP[#Headers],0))/$C15,"ERROR"))</f>
        <v>0.2136239886254232</v>
      </c>
      <c r="F15" s="154">
        <f>IF($B15=" ","",IFERROR(INDEX(MMWR_RATING_RO_ROLLUP[],MATCH($B15,MMWR_RATING_RO_ROLLUP[MMWR_RATING_RO_ROLLUP],0),MATCH(F$9,MMWR_RATING_RO_ROLLUP[#Headers],0)),"ERROR"))</f>
        <v>79387</v>
      </c>
      <c r="G15" s="154">
        <f>IF($B15=" ","",IFERROR(INDEX(MMWR_RATING_RO_ROLLUP[],MATCH($B15,MMWR_RATING_RO_ROLLUP[MMWR_RATING_RO_ROLLUP],0),MATCH(G$9,MMWR_RATING_RO_ROLLUP[#Headers],0)),"ERROR"))</f>
        <v>704234</v>
      </c>
      <c r="H15" s="155">
        <f>IF($B15=" ","",IFERROR(INDEX(MMWR_RATING_RO_ROLLUP[],MATCH($B15,MMWR_RATING_RO_ROLLUP[MMWR_RATING_RO_ROLLUP],0),MATCH(H$9,MMWR_RATING_RO_ROLLUP[#Headers],0)),"ERROR"))</f>
        <v>121.8243793064</v>
      </c>
      <c r="I15" s="155">
        <f>IF($B15=" ","",IFERROR(INDEX(MMWR_RATING_RO_ROLLUP[],MATCH($B15,MMWR_RATING_RO_ROLLUP[MMWR_RATING_RO_ROLLUP],0),MATCH(I$9,MMWR_RATING_RO_ROLLUP[#Headers],0)),"ERROR"))</f>
        <v>129.1267192439</v>
      </c>
      <c r="J15" s="157">
        <f>VLOOKUP($B$13,MMWR_ACCURACY_RO[],MATCH(J$9,MMWR_ACCURACY_RO[#Headers],0),0)</f>
        <v>0.95176772964690182</v>
      </c>
      <c r="K15" s="157">
        <f>VLOOKUP($B$13,MMWR_ACCURACY_RO[],MATCH(K$9,MMWR_ACCURACY_RO[#Headers],0),0)</f>
        <v>0.87163094919678907</v>
      </c>
      <c r="L15" s="157">
        <f>VLOOKUP($B$13,MMWR_ACCURACY_RO[],MATCH(L$9,MMWR_ACCURACY_RO[#Headers],0),0)</f>
        <v>0.89273068920662102</v>
      </c>
      <c r="M15" s="157">
        <f>VLOOKUP($B$13,MMWR_ACCURACY_RO[],MATCH(M$9,MMWR_ACCURACY_RO[#Headers],0),0)</f>
        <v>7.765925205636748E-3</v>
      </c>
      <c r="N15" s="157">
        <f>VLOOKUP($B$13,MMWR_ACCURACY_RO[],MATCH(N$9,MMWR_ACCURACY_RO[#Headers],0),0)</f>
        <v>0.89687768186165484</v>
      </c>
      <c r="O15" s="157">
        <f>VLOOKUP($B$13,MMWR_ACCURACY_RO[],MATCH(O$9,MMWR_ACCURACY_RO[#Headers],0),0)</f>
        <v>1.1083282094694766E-2</v>
      </c>
      <c r="P15" s="28"/>
    </row>
    <row r="16" spans="1:16" x14ac:dyDescent="0.2">
      <c r="A16" s="25"/>
      <c r="B16" s="247" t="s">
        <v>369</v>
      </c>
      <c r="C16" s="154">
        <f>IF($B16=" ","",IFERROR(INDEX(MMWR_RATING_RO_ROLLUP[],MATCH($B16,MMWR_RATING_RO_ROLLUP[MMWR_RATING_RO_ROLLUP],0),MATCH(C$9,MMWR_RATING_RO_ROLLUP[#Headers],0)),"ERROR"))</f>
        <v>17677</v>
      </c>
      <c r="D16" s="155">
        <f>IF($B16=" ","",IFERROR(INDEX(MMWR_RATING_RO_ROLLUP[],MATCH($B16,MMWR_RATING_RO_ROLLUP[MMWR_RATING_RO_ROLLUP],0),MATCH(D$9,MMWR_RATING_RO_ROLLUP[#Headers],0)),"ERROR"))</f>
        <v>101.2870962267</v>
      </c>
      <c r="E16" s="156">
        <f>IF($B16=" ","",IFERROR(INDEX(MMWR_RATING_RO_ROLLUP[],MATCH($B16,MMWR_RATING_RO_ROLLUP[MMWR_RATING_RO_ROLLUP],0),MATCH(E$9,MMWR_RATING_RO_ROLLUP[#Headers],0))/$C16,"ERROR"))</f>
        <v>0.29648696045709111</v>
      </c>
      <c r="F16" s="154">
        <f>IF($B16=" ","",IFERROR(INDEX(MMWR_RATING_RO_ROLLUP[],MATCH($B16,MMWR_RATING_RO_ROLLUP[MMWR_RATING_RO_ROLLUP],0),MATCH(F$9,MMWR_RATING_RO_ROLLUP[#Headers],0)),"ERROR"))</f>
        <v>16814</v>
      </c>
      <c r="G16" s="154">
        <f>IF($B16=" ","",IFERROR(INDEX(MMWR_RATING_RO_ROLLUP[],MATCH($B16,MMWR_RATING_RO_ROLLUP[MMWR_RATING_RO_ROLLUP],0),MATCH(G$9,MMWR_RATING_RO_ROLLUP[#Headers],0)),"ERROR"))</f>
        <v>148721</v>
      </c>
      <c r="H16" s="155">
        <f>IF($B16=" ","",IFERROR(INDEX(MMWR_RATING_RO_ROLLUP[],MATCH($B16,MMWR_RATING_RO_ROLLUP[MMWR_RATING_RO_ROLLUP],0),MATCH(H$9,MMWR_RATING_RO_ROLLUP[#Headers],0)),"ERROR"))</f>
        <v>122.0820149875</v>
      </c>
      <c r="I16" s="155">
        <f>IF($B16=" ","",IFERROR(INDEX(MMWR_RATING_RO_ROLLUP[],MATCH($B16,MMWR_RATING_RO_ROLLUP[MMWR_RATING_RO_ROLLUP],0),MATCH(I$9,MMWR_RATING_RO_ROLLUP[#Headers],0)),"ERROR"))</f>
        <v>130.24127729099999</v>
      </c>
      <c r="J16" s="157">
        <f>IF($B16=" ","",IFERROR(VLOOKUP($B16,MMWR_ACCURACY_RO[],MATCH(J$9,MMWR_ACCURACY_RO[#Headers],0),0),"ERROR"))</f>
        <v>0.9564827339894213</v>
      </c>
      <c r="K16" s="157">
        <f>IF($B16=" ","",IFERROR(VLOOKUP($B16,MMWR_ACCURACY_RO[],MATCH(K$9,MMWR_ACCURACY_RO[#Headers],0),0),"ERROR"))</f>
        <v>0.87121286191971492</v>
      </c>
      <c r="L16" s="157">
        <f>IF($B16=" ","",IFERROR(VLOOKUP($B16,MMWR_ACCURACY_RO[],MATCH(L$9,MMWR_ACCURACY_RO[#Headers],0),0),"ERROR"))</f>
        <v>0.8720675319309974</v>
      </c>
      <c r="M16" s="157">
        <f>IF($B16=" ","",IFERROR(VLOOKUP($B16,MMWR_ACCURACY_RO[],MATCH(M$9,MMWR_ACCURACY_RO[#Headers],0),0),"ERROR"))</f>
        <v>1.6284261136678139E-2</v>
      </c>
      <c r="N16" s="157">
        <f>IF($B16=" ","",IFERROR(VLOOKUP($B16,MMWR_ACCURACY_RO[],MATCH(N$9,MMWR_ACCURACY_RO[#Headers],0),0),"ERROR"))</f>
        <v>0.87078817832235245</v>
      </c>
      <c r="O16" s="157">
        <f>IF($B16=" ","",IFERROR(VLOOKUP($B16,MMWR_ACCURACY_RO[],MATCH(O$9,MMWR_ACCURACY_RO[#Headers],0),0),"ERROR"))</f>
        <v>2.9592002991377982E-2</v>
      </c>
      <c r="P16" s="28"/>
    </row>
    <row r="17" spans="1:16" x14ac:dyDescent="0.2">
      <c r="A17" s="25"/>
      <c r="B17" s="8" t="str">
        <f>VLOOKUP($B$16,DISTRICT_RO[],2,0)</f>
        <v>Baltimore VSC</v>
      </c>
      <c r="C17" s="154">
        <f>IF($B17=" ","",IFERROR(INDEX(MMWR_RATING_RO_ROLLUP[],MATCH($B17,MMWR_RATING_RO_ROLLUP[MMWR_RATING_RO_ROLLUP],0),MATCH(C$9,MMWR_RATING_RO_ROLLUP[#Headers],0)),"ERROR"))</f>
        <v>777</v>
      </c>
      <c r="D17" s="155">
        <f>IF($B17=" ","",IFERROR(INDEX(MMWR_RATING_RO_ROLLUP[],MATCH($B17,MMWR_RATING_RO_ROLLUP[MMWR_RATING_RO_ROLLUP],0),MATCH(D$9,MMWR_RATING_RO_ROLLUP[#Headers],0)),"ERROR"))</f>
        <v>133.9356499356</v>
      </c>
      <c r="E17" s="156">
        <f>IF($B17=" ","",IFERROR(INDEX(MMWR_RATING_RO_ROLLUP[],MATCH($B17,MMWR_RATING_RO_ROLLUP[MMWR_RATING_RO_ROLLUP],0),MATCH(E$9,MMWR_RATING_RO_ROLLUP[#Headers],0))/$C17,"ERROR"))</f>
        <v>0.46332046332046334</v>
      </c>
      <c r="F17" s="154">
        <f>IF($B17=" ","",IFERROR(INDEX(MMWR_RATING_RO_ROLLUP[],MATCH($B17,MMWR_RATING_RO_ROLLUP[MMWR_RATING_RO_ROLLUP],0),MATCH(F$9,MMWR_RATING_RO_ROLLUP[#Headers],0)),"ERROR"))</f>
        <v>391</v>
      </c>
      <c r="G17" s="154">
        <f>IF($B17=" ","",IFERROR(INDEX(MMWR_RATING_RO_ROLLUP[],MATCH($B17,MMWR_RATING_RO_ROLLUP[MMWR_RATING_RO_ROLLUP],0),MATCH(G$9,MMWR_RATING_RO_ROLLUP[#Headers],0)),"ERROR"))</f>
        <v>5592</v>
      </c>
      <c r="H17" s="155">
        <f>IF($B17=" ","",IFERROR(INDEX(MMWR_RATING_RO_ROLLUP[],MATCH($B17,MMWR_RATING_RO_ROLLUP[MMWR_RATING_RO_ROLLUP],0),MATCH(H$9,MMWR_RATING_RO_ROLLUP[#Headers],0)),"ERROR"))</f>
        <v>187.1969309463</v>
      </c>
      <c r="I17" s="155">
        <f>IF($B17=" ","",IFERROR(INDEX(MMWR_RATING_RO_ROLLUP[],MATCH($B17,MMWR_RATING_RO_ROLLUP[MMWR_RATING_RO_ROLLUP],0),MATCH(I$9,MMWR_RATING_RO_ROLLUP[#Headers],0)),"ERROR"))</f>
        <v>139.29291845489999</v>
      </c>
      <c r="J17" s="157">
        <f>IF($B17=" ","",IFERROR(VLOOKUP($B17,MMWR_ACCURACY_RO[],MATCH(J$9,MMWR_ACCURACY_RO[#Headers],0),0),"ERROR"))</f>
        <v>0.92837314473327059</v>
      </c>
      <c r="K17" s="157">
        <f>IF($B17=" ","",IFERROR(VLOOKUP($B17,MMWR_ACCURACY_RO[],MATCH(K$9,MMWR_ACCURACY_RO[#Headers],0),0),"ERROR"))</f>
        <v>0.7709332165468068</v>
      </c>
      <c r="L17" s="157">
        <f>IF($B17=" ","",IFERROR(VLOOKUP($B17,MMWR_ACCURACY_RO[],MATCH(L$9,MMWR_ACCURACY_RO[#Headers],0),0),"ERROR"))</f>
        <v>0.82257499032598114</v>
      </c>
      <c r="M17" s="157">
        <f>IF($B17=" ","",IFERROR(VLOOKUP($B17,MMWR_ACCURACY_RO[],MATCH(M$9,MMWR_ACCURACY_RO[#Headers],0),0),"ERROR"))</f>
        <v>4.5359962260500312E-2</v>
      </c>
      <c r="N17" s="157">
        <f>IF($B17=" ","",IFERROR(VLOOKUP($B17,MMWR_ACCURACY_RO[],MATCH(N$9,MMWR_ACCURACY_RO[#Headers],0),0),"ERROR"))</f>
        <v>0.89082682834602978</v>
      </c>
      <c r="O17" s="157">
        <f>IF($B17=" ","",IFERROR(VLOOKUP($B17,MMWR_ACCURACY_RO[],MATCH(O$9,MMWR_ACCURACY_RO[#Headers],0),0),"ERROR"))</f>
        <v>4.7337825081612411E-2</v>
      </c>
      <c r="P17" s="28"/>
    </row>
    <row r="18" spans="1:16" x14ac:dyDescent="0.2">
      <c r="A18" s="25"/>
      <c r="B18" s="8" t="str">
        <f>VLOOKUP($B$16,DISTRICT_RO[],3,0)</f>
        <v>Boston VSC</v>
      </c>
      <c r="C18" s="154">
        <f>IF($B18=" ","",IFERROR(INDEX(MMWR_RATING_RO_ROLLUP[],MATCH($B18,MMWR_RATING_RO_ROLLUP[MMWR_RATING_RO_ROLLUP],0),MATCH(C$9,MMWR_RATING_RO_ROLLUP[#Headers],0)),"ERROR"))</f>
        <v>852</v>
      </c>
      <c r="D18" s="155">
        <f>IF($B18=" ","",IFERROR(INDEX(MMWR_RATING_RO_ROLLUP[],MATCH($B18,MMWR_RATING_RO_ROLLUP[MMWR_RATING_RO_ROLLUP],0),MATCH(D$9,MMWR_RATING_RO_ROLLUP[#Headers],0)),"ERROR"))</f>
        <v>111.93779342720001</v>
      </c>
      <c r="E18" s="156">
        <f>IF($B18=" ","",IFERROR(INDEX(MMWR_RATING_RO_ROLLUP[],MATCH($B18,MMWR_RATING_RO_ROLLUP[MMWR_RATING_RO_ROLLUP],0),MATCH(E$9,MMWR_RATING_RO_ROLLUP[#Headers],0))/$C18,"ERROR"))</f>
        <v>0.30516431924882631</v>
      </c>
      <c r="F18" s="154">
        <f>IF($B18=" ","",IFERROR(INDEX(MMWR_RATING_RO_ROLLUP[],MATCH($B18,MMWR_RATING_RO_ROLLUP[MMWR_RATING_RO_ROLLUP],0),MATCH(F$9,MMWR_RATING_RO_ROLLUP[#Headers],0)),"ERROR"))</f>
        <v>567</v>
      </c>
      <c r="G18" s="154">
        <f>IF($B18=" ","",IFERROR(INDEX(MMWR_RATING_RO_ROLLUP[],MATCH($B18,MMWR_RATING_RO_ROLLUP[MMWR_RATING_RO_ROLLUP],0),MATCH(G$9,MMWR_RATING_RO_ROLLUP[#Headers],0)),"ERROR"))</f>
        <v>6305</v>
      </c>
      <c r="H18" s="155">
        <f>IF($B18=" ","",IFERROR(INDEX(MMWR_RATING_RO_ROLLUP[],MATCH($B18,MMWR_RATING_RO_ROLLUP[MMWR_RATING_RO_ROLLUP],0),MATCH(H$9,MMWR_RATING_RO_ROLLUP[#Headers],0)),"ERROR"))</f>
        <v>146.23985890649999</v>
      </c>
      <c r="I18" s="155">
        <f>IF($B18=" ","",IFERROR(INDEX(MMWR_RATING_RO_ROLLUP[],MATCH($B18,MMWR_RATING_RO_ROLLUP[MMWR_RATING_RO_ROLLUP],0),MATCH(I$9,MMWR_RATING_RO_ROLLUP[#Headers],0)),"ERROR"))</f>
        <v>130.49246629660001</v>
      </c>
      <c r="J18" s="157">
        <f>IF($B18=" ","",IFERROR(VLOOKUP($B18,MMWR_ACCURACY_RO[],MATCH(J$9,MMWR_ACCURACY_RO[#Headers],0),0),"ERROR"))</f>
        <v>0.93850543962903532</v>
      </c>
      <c r="K18" s="157">
        <f>IF($B18=" ","",IFERROR(VLOOKUP($B18,MMWR_ACCURACY_RO[],MATCH(K$9,MMWR_ACCURACY_RO[#Headers],0),0),"ERROR"))</f>
        <v>0.79292619825708055</v>
      </c>
      <c r="L18" s="157">
        <f>IF($B18=" ","",IFERROR(VLOOKUP($B18,MMWR_ACCURACY_RO[],MATCH(L$9,MMWR_ACCURACY_RO[#Headers],0),0),"ERROR"))</f>
        <v>0.81398201846196083</v>
      </c>
      <c r="M18" s="157">
        <f>IF($B18=" ","",IFERROR(VLOOKUP($B18,MMWR_ACCURACY_RO[],MATCH(M$9,MMWR_ACCURACY_RO[#Headers],0),0),"ERROR"))</f>
        <v>5.9296661569065566E-2</v>
      </c>
      <c r="N18" s="157">
        <f>IF($B18=" ","",IFERROR(VLOOKUP($B18,MMWR_ACCURACY_RO[],MATCH(N$9,MMWR_ACCURACY_RO[#Headers],0),0),"ERROR"))</f>
        <v>0.94159251547120482</v>
      </c>
      <c r="O18" s="157">
        <f>IF($B18=" ","",IFERROR(VLOOKUP($B18,MMWR_ACCURACY_RO[],MATCH(O$9,MMWR_ACCURACY_RO[#Headers],0),0),"ERROR"))</f>
        <v>2.9109857599928332E-2</v>
      </c>
      <c r="P18" s="28"/>
    </row>
    <row r="19" spans="1:16" x14ac:dyDescent="0.2">
      <c r="A19" s="25"/>
      <c r="B19" s="8" t="str">
        <f>VLOOKUP($B$16,DISTRICT_RO[],4,0)</f>
        <v>Buffalo VSC</v>
      </c>
      <c r="C19" s="154">
        <f>IF($B19=" ","",IFERROR(INDEX(MMWR_RATING_RO_ROLLUP[],MATCH($B19,MMWR_RATING_RO_ROLLUP[MMWR_RATING_RO_ROLLUP],0),MATCH(C$9,MMWR_RATING_RO_ROLLUP[#Headers],0)),"ERROR"))</f>
        <v>604</v>
      </c>
      <c r="D19" s="155">
        <f>IF($B19=" ","",IFERROR(INDEX(MMWR_RATING_RO_ROLLUP[],MATCH($B19,MMWR_RATING_RO_ROLLUP[MMWR_RATING_RO_ROLLUP],0),MATCH(D$9,MMWR_RATING_RO_ROLLUP[#Headers],0)),"ERROR"))</f>
        <v>105.8841059603</v>
      </c>
      <c r="E19" s="156">
        <f>IF($B19=" ","",IFERROR(INDEX(MMWR_RATING_RO_ROLLUP[],MATCH($B19,MMWR_RATING_RO_ROLLUP[MMWR_RATING_RO_ROLLUP],0),MATCH(E$9,MMWR_RATING_RO_ROLLUP[#Headers],0))/$C19,"ERROR"))</f>
        <v>0.35596026490066224</v>
      </c>
      <c r="F19" s="154">
        <f>IF($B19=" ","",IFERROR(INDEX(MMWR_RATING_RO_ROLLUP[],MATCH($B19,MMWR_RATING_RO_ROLLUP[MMWR_RATING_RO_ROLLUP],0),MATCH(F$9,MMWR_RATING_RO_ROLLUP[#Headers],0)),"ERROR"))</f>
        <v>871</v>
      </c>
      <c r="G19" s="154">
        <f>IF($B19=" ","",IFERROR(INDEX(MMWR_RATING_RO_ROLLUP[],MATCH($B19,MMWR_RATING_RO_ROLLUP[MMWR_RATING_RO_ROLLUP],0),MATCH(G$9,MMWR_RATING_RO_ROLLUP[#Headers],0)),"ERROR"))</f>
        <v>6914</v>
      </c>
      <c r="H19" s="155">
        <f>IF($B19=" ","",IFERROR(INDEX(MMWR_RATING_RO_ROLLUP[],MATCH($B19,MMWR_RATING_RO_ROLLUP[MMWR_RATING_RO_ROLLUP],0),MATCH(H$9,MMWR_RATING_RO_ROLLUP[#Headers],0)),"ERROR"))</f>
        <v>125.36394948340001</v>
      </c>
      <c r="I19" s="155">
        <f>IF($B19=" ","",IFERROR(INDEX(MMWR_RATING_RO_ROLLUP[],MATCH($B19,MMWR_RATING_RO_ROLLUP[MMWR_RATING_RO_ROLLUP],0),MATCH(I$9,MMWR_RATING_RO_ROLLUP[#Headers],0)),"ERROR"))</f>
        <v>133.2525310963</v>
      </c>
      <c r="J19" s="157">
        <f>IF($B19=" ","",IFERROR(VLOOKUP($B19,MMWR_ACCURACY_RO[],MATCH(J$9,MMWR_ACCURACY_RO[#Headers],0),0),"ERROR"))</f>
        <v>0.96440362258333856</v>
      </c>
      <c r="K19" s="157">
        <f>IF($B19=" ","",IFERROR(VLOOKUP($B19,MMWR_ACCURACY_RO[],MATCH(K$9,MMWR_ACCURACY_RO[#Headers],0),0),"ERROR"))</f>
        <v>0.95858585858585854</v>
      </c>
      <c r="L19" s="157">
        <f>IF($B19=" ","",IFERROR(VLOOKUP($B19,MMWR_ACCURACY_RO[],MATCH(L$9,MMWR_ACCURACY_RO[#Headers],0),0),"ERROR"))</f>
        <v>0.87553224788394279</v>
      </c>
      <c r="M19" s="157">
        <f>IF($B19=" ","",IFERROR(VLOOKUP($B19,MMWR_ACCURACY_RO[],MATCH(M$9,MMWR_ACCURACY_RO[#Headers],0),0),"ERROR"))</f>
        <v>5.3595781326795662E-2</v>
      </c>
      <c r="N19" s="157">
        <f>IF($B19=" ","",IFERROR(VLOOKUP($B19,MMWR_ACCURACY_RO[],MATCH(N$9,MMWR_ACCURACY_RO[#Headers],0),0),"ERROR"))</f>
        <v>0.85767050780979903</v>
      </c>
      <c r="O19" s="157">
        <f>IF($B19=" ","",IFERROR(VLOOKUP($B19,MMWR_ACCURACY_RO[],MATCH(O$9,MMWR_ACCURACY_RO[#Headers],0),0),"ERROR"))</f>
        <v>5.129562959160637E-2</v>
      </c>
      <c r="P19" s="28"/>
    </row>
    <row r="20" spans="1:16" x14ac:dyDescent="0.2">
      <c r="A20" s="25"/>
      <c r="B20" s="8" t="str">
        <f>VLOOKUP($B$16,DISTRICT_RO[],5,0)</f>
        <v>Hartford VSC</v>
      </c>
      <c r="C20" s="154">
        <f>IF($B20=" ","",IFERROR(INDEX(MMWR_RATING_RO_ROLLUP[],MATCH($B20,MMWR_RATING_RO_ROLLUP[MMWR_RATING_RO_ROLLUP],0),MATCH(C$9,MMWR_RATING_RO_ROLLUP[#Headers],0)),"ERROR"))</f>
        <v>604</v>
      </c>
      <c r="D20" s="155">
        <f>IF($B20=" ","",IFERROR(INDEX(MMWR_RATING_RO_ROLLUP[],MATCH($B20,MMWR_RATING_RO_ROLLUP[MMWR_RATING_RO_ROLLUP],0),MATCH(D$9,MMWR_RATING_RO_ROLLUP[#Headers],0)),"ERROR"))</f>
        <v>92.887417218500005</v>
      </c>
      <c r="E20" s="156">
        <f>IF($B20=" ","",IFERROR(INDEX(MMWR_RATING_RO_ROLLUP[],MATCH($B20,MMWR_RATING_RO_ROLLUP[MMWR_RATING_RO_ROLLUP],0),MATCH(E$9,MMWR_RATING_RO_ROLLUP[#Headers],0))/$C20,"ERROR"))</f>
        <v>0.24172185430463577</v>
      </c>
      <c r="F20" s="154">
        <f>IF($B20=" ","",IFERROR(INDEX(MMWR_RATING_RO_ROLLUP[],MATCH($B20,MMWR_RATING_RO_ROLLUP[MMWR_RATING_RO_ROLLUP],0),MATCH(F$9,MMWR_RATING_RO_ROLLUP[#Headers],0)),"ERROR"))</f>
        <v>661</v>
      </c>
      <c r="G20" s="154">
        <f>IF($B20=" ","",IFERROR(INDEX(MMWR_RATING_RO_ROLLUP[],MATCH($B20,MMWR_RATING_RO_ROLLUP[MMWR_RATING_RO_ROLLUP],0),MATCH(G$9,MMWR_RATING_RO_ROLLUP[#Headers],0)),"ERROR"))</f>
        <v>6212</v>
      </c>
      <c r="H20" s="155">
        <f>IF($B20=" ","",IFERROR(INDEX(MMWR_RATING_RO_ROLLUP[],MATCH($B20,MMWR_RATING_RO_ROLLUP[MMWR_RATING_RO_ROLLUP],0),MATCH(H$9,MMWR_RATING_RO_ROLLUP[#Headers],0)),"ERROR"))</f>
        <v>103.98335854770001</v>
      </c>
      <c r="I20" s="155">
        <f>IF($B20=" ","",IFERROR(INDEX(MMWR_RATING_RO_ROLLUP[],MATCH($B20,MMWR_RATING_RO_ROLLUP[MMWR_RATING_RO_ROLLUP],0),MATCH(I$9,MMWR_RATING_RO_ROLLUP[#Headers],0)),"ERROR"))</f>
        <v>129.6646812621</v>
      </c>
      <c r="J20" s="157">
        <f>IF($B20=" ","",IFERROR(VLOOKUP($B20,MMWR_ACCURACY_RO[],MATCH(J$9,MMWR_ACCURACY_RO[#Headers],0),0),"ERROR"))</f>
        <v>0.98453752397001548</v>
      </c>
      <c r="K20" s="157">
        <f>IF($B20=" ","",IFERROR(VLOOKUP($B20,MMWR_ACCURACY_RO[],MATCH(K$9,MMWR_ACCURACY_RO[#Headers],0),0),"ERROR"))</f>
        <v>0.98332842415316635</v>
      </c>
      <c r="L20" s="157">
        <f>IF($B20=" ","",IFERROR(VLOOKUP($B20,MMWR_ACCURACY_RO[],MATCH(L$9,MMWR_ACCURACY_RO[#Headers],0),0),"ERROR"))</f>
        <v>0.9238691183059502</v>
      </c>
      <c r="M20" s="157">
        <f>IF($B20=" ","",IFERROR(VLOOKUP($B20,MMWR_ACCURACY_RO[],MATCH(M$9,MMWR_ACCURACY_RO[#Headers],0),0),"ERROR"))</f>
        <v>4.35780716222866E-2</v>
      </c>
      <c r="N20" s="157">
        <f>IF($B20=" ","",IFERROR(VLOOKUP($B20,MMWR_ACCURACY_RO[],MATCH(N$9,MMWR_ACCURACY_RO[#Headers],0),0),"ERROR"))</f>
        <v>0.97192699689348505</v>
      </c>
      <c r="O20" s="157">
        <f>IF($B20=" ","",IFERROR(VLOOKUP($B20,MMWR_ACCURACY_RO[],MATCH(O$9,MMWR_ACCURACY_RO[#Headers],0),0),"ERROR"))</f>
        <v>2.5027410073905614E-2</v>
      </c>
      <c r="P20" s="28"/>
    </row>
    <row r="21" spans="1:16" x14ac:dyDescent="0.2">
      <c r="A21" s="25"/>
      <c r="B21" s="8" t="str">
        <f>VLOOKUP($B$16,DISTRICT_RO[],6,0)</f>
        <v>Huntington VSC</v>
      </c>
      <c r="C21" s="154">
        <f>IF($B21=" ","",IFERROR(INDEX(MMWR_RATING_RO_ROLLUP[],MATCH($B21,MMWR_RATING_RO_ROLLUP[MMWR_RATING_RO_ROLLUP],0),MATCH(C$9,MMWR_RATING_RO_ROLLUP[#Headers],0)),"ERROR"))</f>
        <v>1890</v>
      </c>
      <c r="D21" s="155">
        <f>IF($B21=" ","",IFERROR(INDEX(MMWR_RATING_RO_ROLLUP[],MATCH($B21,MMWR_RATING_RO_ROLLUP[MMWR_RATING_RO_ROLLUP],0),MATCH(D$9,MMWR_RATING_RO_ROLLUP[#Headers],0)),"ERROR"))</f>
        <v>80.864021163999993</v>
      </c>
      <c r="E21" s="156">
        <f>IF($B21=" ","",IFERROR(INDEX(MMWR_RATING_RO_ROLLUP[],MATCH($B21,MMWR_RATING_RO_ROLLUP[MMWR_RATING_RO_ROLLUP],0),MATCH(E$9,MMWR_RATING_RO_ROLLUP[#Headers],0))/$C21,"ERROR"))</f>
        <v>0.1761904761904762</v>
      </c>
      <c r="F21" s="154">
        <f>IF($B21=" ","",IFERROR(INDEX(MMWR_RATING_RO_ROLLUP[],MATCH($B21,MMWR_RATING_RO_ROLLUP[MMWR_RATING_RO_ROLLUP],0),MATCH(F$9,MMWR_RATING_RO_ROLLUP[#Headers],0)),"ERROR"))</f>
        <v>1089</v>
      </c>
      <c r="G21" s="154">
        <f>IF($B21=" ","",IFERROR(INDEX(MMWR_RATING_RO_ROLLUP[],MATCH($B21,MMWR_RATING_RO_ROLLUP[MMWR_RATING_RO_ROLLUP],0),MATCH(G$9,MMWR_RATING_RO_ROLLUP[#Headers],0)),"ERROR"))</f>
        <v>11034</v>
      </c>
      <c r="H21" s="155">
        <f>IF($B21=" ","",IFERROR(INDEX(MMWR_RATING_RO_ROLLUP[],MATCH($B21,MMWR_RATING_RO_ROLLUP[MMWR_RATING_RO_ROLLUP],0),MATCH(H$9,MMWR_RATING_RO_ROLLUP[#Headers],0)),"ERROR"))</f>
        <v>106.8879706152</v>
      </c>
      <c r="I21" s="155">
        <f>IF($B21=" ","",IFERROR(INDEX(MMWR_RATING_RO_ROLLUP[],MATCH($B21,MMWR_RATING_RO_ROLLUP[MMWR_RATING_RO_ROLLUP],0),MATCH(I$9,MMWR_RATING_RO_ROLLUP[#Headers],0)),"ERROR"))</f>
        <v>131.43510966100001</v>
      </c>
      <c r="J21" s="157">
        <f>IF($B21=" ","",IFERROR(VLOOKUP($B21,MMWR_ACCURACY_RO[],MATCH(J$9,MMWR_ACCURACY_RO[#Headers],0),0),"ERROR"))</f>
        <v>0.97263958701263431</v>
      </c>
      <c r="K21" s="157">
        <f>IF($B21=" ","",IFERROR(VLOOKUP($B21,MMWR_ACCURACY_RO[],MATCH(K$9,MMWR_ACCURACY_RO[#Headers],0),0),"ERROR"))</f>
        <v>0.87294124193189404</v>
      </c>
      <c r="L21" s="157">
        <f>IF($B21=" ","",IFERROR(VLOOKUP($B21,MMWR_ACCURACY_RO[],MATCH(L$9,MMWR_ACCURACY_RO[#Headers],0),0),"ERROR"))</f>
        <v>0.87847431396580744</v>
      </c>
      <c r="M21" s="157">
        <f>IF($B21=" ","",IFERROR(VLOOKUP($B21,MMWR_ACCURACY_RO[],MATCH(M$9,MMWR_ACCURACY_RO[#Headers],0),0),"ERROR"))</f>
        <v>4.8195768731984501E-2</v>
      </c>
      <c r="N21" s="157">
        <f>IF($B21=" ","",IFERROR(VLOOKUP($B21,MMWR_ACCURACY_RO[],MATCH(N$9,MMWR_ACCURACY_RO[#Headers],0),0),"ERROR"))</f>
        <v>0.89142160445107033</v>
      </c>
      <c r="O21" s="157">
        <f>IF($B21=" ","",IFERROR(VLOOKUP($B21,MMWR_ACCURACY_RO[],MATCH(O$9,MMWR_ACCURACY_RO[#Headers],0),0),"ERROR"))</f>
        <v>5.0020323554045162E-2</v>
      </c>
      <c r="P21" s="28"/>
    </row>
    <row r="22" spans="1:16" x14ac:dyDescent="0.2">
      <c r="A22" s="25"/>
      <c r="B22" s="8" t="str">
        <f>VLOOKUP($B$16,DISTRICT_RO[],7,0)</f>
        <v>Manchester VSC</v>
      </c>
      <c r="C22" s="154">
        <f>IF($B22=" ","",IFERROR(INDEX(MMWR_RATING_RO_ROLLUP[],MATCH($B22,MMWR_RATING_RO_ROLLUP[MMWR_RATING_RO_ROLLUP],0),MATCH(C$9,MMWR_RATING_RO_ROLLUP[#Headers],0)),"ERROR"))</f>
        <v>193</v>
      </c>
      <c r="D22" s="155">
        <f>IF($B22=" ","",IFERROR(INDEX(MMWR_RATING_RO_ROLLUP[],MATCH($B22,MMWR_RATING_RO_ROLLUP[MMWR_RATING_RO_ROLLUP],0),MATCH(D$9,MMWR_RATING_RO_ROLLUP[#Headers],0)),"ERROR"))</f>
        <v>97.751295336799998</v>
      </c>
      <c r="E22" s="156">
        <f>IF($B22=" ","",IFERROR(INDEX(MMWR_RATING_RO_ROLLUP[],MATCH($B22,MMWR_RATING_RO_ROLLUP[MMWR_RATING_RO_ROLLUP],0),MATCH(E$9,MMWR_RATING_RO_ROLLUP[#Headers],0))/$C22,"ERROR"))</f>
        <v>0.25906735751295334</v>
      </c>
      <c r="F22" s="154">
        <f>IF($B22=" ","",IFERROR(INDEX(MMWR_RATING_RO_ROLLUP[],MATCH($B22,MMWR_RATING_RO_ROLLUP[MMWR_RATING_RO_ROLLUP],0),MATCH(F$9,MMWR_RATING_RO_ROLLUP[#Headers],0)),"ERROR"))</f>
        <v>343</v>
      </c>
      <c r="G22" s="154">
        <f>IF($B22=" ","",IFERROR(INDEX(MMWR_RATING_RO_ROLLUP[],MATCH($B22,MMWR_RATING_RO_ROLLUP[MMWR_RATING_RO_ROLLUP],0),MATCH(G$9,MMWR_RATING_RO_ROLLUP[#Headers],0)),"ERROR"))</f>
        <v>2748</v>
      </c>
      <c r="H22" s="155">
        <f>IF($B22=" ","",IFERROR(INDEX(MMWR_RATING_RO_ROLLUP[],MATCH($B22,MMWR_RATING_RO_ROLLUP[MMWR_RATING_RO_ROLLUP],0),MATCH(H$9,MMWR_RATING_RO_ROLLUP[#Headers],0)),"ERROR"))</f>
        <v>110.80174927109999</v>
      </c>
      <c r="I22" s="155">
        <f>IF($B22=" ","",IFERROR(INDEX(MMWR_RATING_RO_ROLLUP[],MATCH($B22,MMWR_RATING_RO_ROLLUP[MMWR_RATING_RO_ROLLUP],0),MATCH(I$9,MMWR_RATING_RO_ROLLUP[#Headers],0)),"ERROR"))</f>
        <v>134.90829694320001</v>
      </c>
      <c r="J22" s="157">
        <f>IF($B22=" ","",IFERROR(VLOOKUP($B22,MMWR_ACCURACY_RO[],MATCH(J$9,MMWR_ACCURACY_RO[#Headers],0),0),"ERROR"))</f>
        <v>0.90929182360549976</v>
      </c>
      <c r="K22" s="157">
        <f>IF($B22=" ","",IFERROR(VLOOKUP($B22,MMWR_ACCURACY_RO[],MATCH(K$9,MMWR_ACCURACY_RO[#Headers],0),0),"ERROR"))</f>
        <v>0.82725307803729864</v>
      </c>
      <c r="L22" s="157">
        <f>IF($B22=" ","",IFERROR(VLOOKUP($B22,MMWR_ACCURACY_RO[],MATCH(L$9,MMWR_ACCURACY_RO[#Headers],0),0),"ERROR"))</f>
        <v>0.91170139082575619</v>
      </c>
      <c r="M22" s="157">
        <f>IF($B22=" ","",IFERROR(VLOOKUP($B22,MMWR_ACCURACY_RO[],MATCH(M$9,MMWR_ACCURACY_RO[#Headers],0),0),"ERROR"))</f>
        <v>4.1534871648814191E-2</v>
      </c>
      <c r="N22" s="157">
        <f>IF($B22=" ","",IFERROR(VLOOKUP($B22,MMWR_ACCURACY_RO[],MATCH(N$9,MMWR_ACCURACY_RO[#Headers],0),0),"ERROR"))</f>
        <v>0.90686478287736638</v>
      </c>
      <c r="O22" s="157">
        <f>IF($B22=" ","",IFERROR(VLOOKUP($B22,MMWR_ACCURACY_RO[],MATCH(O$9,MMWR_ACCURACY_RO[#Headers],0),0),"ERROR"))</f>
        <v>4.8756897482193792E-2</v>
      </c>
      <c r="P22" s="28"/>
    </row>
    <row r="23" spans="1:16" x14ac:dyDescent="0.2">
      <c r="A23" s="25"/>
      <c r="B23" s="8" t="str">
        <f>VLOOKUP($B$16,DISTRICT_RO[],8,0)</f>
        <v>New York VSC</v>
      </c>
      <c r="C23" s="154">
        <f>IF($B23=" ","",IFERROR(INDEX(MMWR_RATING_RO_ROLLUP[],MATCH($B23,MMWR_RATING_RO_ROLLUP[MMWR_RATING_RO_ROLLUP],0),MATCH(C$9,MMWR_RATING_RO_ROLLUP[#Headers],0)),"ERROR"))</f>
        <v>1026</v>
      </c>
      <c r="D23" s="155">
        <f>IF($B23=" ","",IFERROR(INDEX(MMWR_RATING_RO_ROLLUP[],MATCH($B23,MMWR_RATING_RO_ROLLUP[MMWR_RATING_RO_ROLLUP],0),MATCH(D$9,MMWR_RATING_RO_ROLLUP[#Headers],0)),"ERROR"))</f>
        <v>109.9132553606</v>
      </c>
      <c r="E23" s="156">
        <f>IF($B23=" ","",IFERROR(INDEX(MMWR_RATING_RO_ROLLUP[],MATCH($B23,MMWR_RATING_RO_ROLLUP[MMWR_RATING_RO_ROLLUP],0),MATCH(E$9,MMWR_RATING_RO_ROLLUP[#Headers],0))/$C23,"ERROR"))</f>
        <v>0.34015594541910332</v>
      </c>
      <c r="F23" s="154">
        <f>IF($B23=" ","",IFERROR(INDEX(MMWR_RATING_RO_ROLLUP[],MATCH($B23,MMWR_RATING_RO_ROLLUP[MMWR_RATING_RO_ROLLUP],0),MATCH(F$9,MMWR_RATING_RO_ROLLUP[#Headers],0)),"ERROR"))</f>
        <v>818</v>
      </c>
      <c r="G23" s="154">
        <f>IF($B23=" ","",IFERROR(INDEX(MMWR_RATING_RO_ROLLUP[],MATCH($B23,MMWR_RATING_RO_ROLLUP[MMWR_RATING_RO_ROLLUP],0),MATCH(G$9,MMWR_RATING_RO_ROLLUP[#Headers],0)),"ERROR"))</f>
        <v>7820</v>
      </c>
      <c r="H23" s="155">
        <f>IF($B23=" ","",IFERROR(INDEX(MMWR_RATING_RO_ROLLUP[],MATCH($B23,MMWR_RATING_RO_ROLLUP[MMWR_RATING_RO_ROLLUP],0),MATCH(H$9,MMWR_RATING_RO_ROLLUP[#Headers],0)),"ERROR"))</f>
        <v>131.4608801956</v>
      </c>
      <c r="I23" s="155">
        <f>IF($B23=" ","",IFERROR(INDEX(MMWR_RATING_RO_ROLLUP[],MATCH($B23,MMWR_RATING_RO_ROLLUP[MMWR_RATING_RO_ROLLUP],0),MATCH(I$9,MMWR_RATING_RO_ROLLUP[#Headers],0)),"ERROR"))</f>
        <v>129.10345268539999</v>
      </c>
      <c r="J23" s="157">
        <f>IF($B23=" ","",IFERROR(VLOOKUP($B23,MMWR_ACCURACY_RO[],MATCH(J$9,MMWR_ACCURACY_RO[#Headers],0),0),"ERROR"))</f>
        <v>0.96657599287798612</v>
      </c>
      <c r="K23" s="157">
        <f>IF($B23=" ","",IFERROR(VLOOKUP($B23,MMWR_ACCURACY_RO[],MATCH(K$9,MMWR_ACCURACY_RO[#Headers],0),0),"ERROR"))</f>
        <v>0.93956679894179895</v>
      </c>
      <c r="L23" s="157">
        <f>IF($B23=" ","",IFERROR(VLOOKUP($B23,MMWR_ACCURACY_RO[],MATCH(L$9,MMWR_ACCURACY_RO[#Headers],0),0),"ERROR"))</f>
        <v>0.88259272979856451</v>
      </c>
      <c r="M23" s="157">
        <f>IF($B23=" ","",IFERROR(VLOOKUP($B23,MMWR_ACCURACY_RO[],MATCH(M$9,MMWR_ACCURACY_RO[#Headers],0),0),"ERROR"))</f>
        <v>5.1645014059914375E-2</v>
      </c>
      <c r="N23" s="157">
        <f>IF($B23=" ","",IFERROR(VLOOKUP($B23,MMWR_ACCURACY_RO[],MATCH(N$9,MMWR_ACCURACY_RO[#Headers],0),0),"ERROR"))</f>
        <v>0.91508673949309938</v>
      </c>
      <c r="O23" s="157">
        <f>IF($B23=" ","",IFERROR(VLOOKUP($B23,MMWR_ACCURACY_RO[],MATCH(O$9,MMWR_ACCURACY_RO[#Headers],0),0),"ERROR"))</f>
        <v>4.2504843316969812E-2</v>
      </c>
      <c r="P23" s="28"/>
    </row>
    <row r="24" spans="1:16" x14ac:dyDescent="0.2">
      <c r="A24" s="25"/>
      <c r="B24" s="8" t="str">
        <f>VLOOKUP($B$16,DISTRICT_RO[],9,0)</f>
        <v>Newark VSC</v>
      </c>
      <c r="C24" s="154">
        <f>IF($B24=" ","",IFERROR(INDEX(MMWR_RATING_RO_ROLLUP[],MATCH($B24,MMWR_RATING_RO_ROLLUP[MMWR_RATING_RO_ROLLUP],0),MATCH(C$9,MMWR_RATING_RO_ROLLUP[#Headers],0)),"ERROR"))</f>
        <v>721</v>
      </c>
      <c r="D24" s="155">
        <f>IF($B24=" ","",IFERROR(INDEX(MMWR_RATING_RO_ROLLUP[],MATCH($B24,MMWR_RATING_RO_ROLLUP[MMWR_RATING_RO_ROLLUP],0),MATCH(D$9,MMWR_RATING_RO_ROLLUP[#Headers],0)),"ERROR"))</f>
        <v>113.9542302358</v>
      </c>
      <c r="E24" s="156">
        <f>IF($B24=" ","",IFERROR(INDEX(MMWR_RATING_RO_ROLLUP[],MATCH($B24,MMWR_RATING_RO_ROLLUP[MMWR_RATING_RO_ROLLUP],0),MATCH(E$9,MMWR_RATING_RO_ROLLUP[#Headers],0))/$C24,"ERROR"))</f>
        <v>0.37864077669902912</v>
      </c>
      <c r="F24" s="154">
        <f>IF($B24=" ","",IFERROR(INDEX(MMWR_RATING_RO_ROLLUP[],MATCH($B24,MMWR_RATING_RO_ROLLUP[MMWR_RATING_RO_ROLLUP],0),MATCH(F$9,MMWR_RATING_RO_ROLLUP[#Headers],0)),"ERROR"))</f>
        <v>322</v>
      </c>
      <c r="G24" s="154">
        <f>IF($B24=" ","",IFERROR(INDEX(MMWR_RATING_RO_ROLLUP[],MATCH($B24,MMWR_RATING_RO_ROLLUP[MMWR_RATING_RO_ROLLUP],0),MATCH(G$9,MMWR_RATING_RO_ROLLUP[#Headers],0)),"ERROR"))</f>
        <v>3664</v>
      </c>
      <c r="H24" s="155">
        <f>IF($B24=" ","",IFERROR(INDEX(MMWR_RATING_RO_ROLLUP[],MATCH($B24,MMWR_RATING_RO_ROLLUP[MMWR_RATING_RO_ROLLUP],0),MATCH(H$9,MMWR_RATING_RO_ROLLUP[#Headers],0)),"ERROR"))</f>
        <v>149.6086956522</v>
      </c>
      <c r="I24" s="155">
        <f>IF($B24=" ","",IFERROR(INDEX(MMWR_RATING_RO_ROLLUP[],MATCH($B24,MMWR_RATING_RO_ROLLUP[MMWR_RATING_RO_ROLLUP],0),MATCH(I$9,MMWR_RATING_RO_ROLLUP[#Headers],0)),"ERROR"))</f>
        <v>139.24072052400001</v>
      </c>
      <c r="J24" s="157">
        <f>IF($B24=" ","",IFERROR(VLOOKUP($B24,MMWR_ACCURACY_RO[],MATCH(J$9,MMWR_ACCURACY_RO[#Headers],0),0),"ERROR"))</f>
        <v>0.95889169542834019</v>
      </c>
      <c r="K24" s="157">
        <f>IF($B24=" ","",IFERROR(VLOOKUP($B24,MMWR_ACCURACY_RO[],MATCH(K$9,MMWR_ACCURACY_RO[#Headers],0),0),"ERROR"))</f>
        <v>0.91289377289377294</v>
      </c>
      <c r="L24" s="157">
        <f>IF($B24=" ","",IFERROR(VLOOKUP($B24,MMWR_ACCURACY_RO[],MATCH(L$9,MMWR_ACCURACY_RO[#Headers],0),0),"ERROR"))</f>
        <v>0.90285723058971645</v>
      </c>
      <c r="M24" s="157">
        <f>IF($B24=" ","",IFERROR(VLOOKUP($B24,MMWR_ACCURACY_RO[],MATCH(M$9,MMWR_ACCURACY_RO[#Headers],0),0),"ERROR"))</f>
        <v>4.048194812254266E-2</v>
      </c>
      <c r="N24" s="157">
        <f>IF($B24=" ","",IFERROR(VLOOKUP($B24,MMWR_ACCURACY_RO[],MATCH(N$9,MMWR_ACCURACY_RO[#Headers],0),0),"ERROR"))</f>
        <v>0.8530292768055453</v>
      </c>
      <c r="O24" s="157">
        <f>IF($B24=" ","",IFERROR(VLOOKUP($B24,MMWR_ACCURACY_RO[],MATCH(O$9,MMWR_ACCURACY_RO[#Headers],0),0),"ERROR"))</f>
        <v>5.0260403379797224E-2</v>
      </c>
      <c r="P24" s="28"/>
    </row>
    <row r="25" spans="1:16" x14ac:dyDescent="0.2">
      <c r="A25" s="25"/>
      <c r="B25" s="8" t="str">
        <f>VLOOKUP($B$16,DISTRICT_RO[],10,0)</f>
        <v>Philadelphia VSC</v>
      </c>
      <c r="C25" s="154">
        <f>IF($B25=" ","",IFERROR(INDEX(MMWR_RATING_RO_ROLLUP[],MATCH($B25,MMWR_RATING_RO_ROLLUP[MMWR_RATING_RO_ROLLUP],0),MATCH(C$9,MMWR_RATING_RO_ROLLUP[#Headers],0)),"ERROR"))</f>
        <v>2161</v>
      </c>
      <c r="D25" s="155">
        <f>IF($B25=" ","",IFERROR(INDEX(MMWR_RATING_RO_ROLLUP[],MATCH($B25,MMWR_RATING_RO_ROLLUP[MMWR_RATING_RO_ROLLUP],0),MATCH(D$9,MMWR_RATING_RO_ROLLUP[#Headers],0)),"ERROR"))</f>
        <v>109.4178621009</v>
      </c>
      <c r="E25" s="156">
        <f>IF($B25=" ","",IFERROR(INDEX(MMWR_RATING_RO_ROLLUP[],MATCH($B25,MMWR_RATING_RO_ROLLUP[MMWR_RATING_RO_ROLLUP],0),MATCH(E$9,MMWR_RATING_RO_ROLLUP[#Headers],0))/$C25,"ERROR"))</f>
        <v>0.30680240629338268</v>
      </c>
      <c r="F25" s="154">
        <f>IF($B25=" ","",IFERROR(INDEX(MMWR_RATING_RO_ROLLUP[],MATCH($B25,MMWR_RATING_RO_ROLLUP[MMWR_RATING_RO_ROLLUP],0),MATCH(F$9,MMWR_RATING_RO_ROLLUP[#Headers],0)),"ERROR"))</f>
        <v>1555</v>
      </c>
      <c r="G25" s="154">
        <f>IF($B25=" ","",IFERROR(INDEX(MMWR_RATING_RO_ROLLUP[],MATCH($B25,MMWR_RATING_RO_ROLLUP[MMWR_RATING_RO_ROLLUP],0),MATCH(G$9,MMWR_RATING_RO_ROLLUP[#Headers],0)),"ERROR"))</f>
        <v>16030</v>
      </c>
      <c r="H25" s="155">
        <f>IF($B25=" ","",IFERROR(INDEX(MMWR_RATING_RO_ROLLUP[],MATCH($B25,MMWR_RATING_RO_ROLLUP[MMWR_RATING_RO_ROLLUP],0),MATCH(H$9,MMWR_RATING_RO_ROLLUP[#Headers],0)),"ERROR"))</f>
        <v>139.48553054659999</v>
      </c>
      <c r="I25" s="155">
        <f>IF($B25=" ","",IFERROR(INDEX(MMWR_RATING_RO_ROLLUP[],MATCH($B25,MMWR_RATING_RO_ROLLUP[MMWR_RATING_RO_ROLLUP],0),MATCH(I$9,MMWR_RATING_RO_ROLLUP[#Headers],0)),"ERROR"))</f>
        <v>146.18415470990001</v>
      </c>
      <c r="J25" s="157">
        <f>IF($B25=" ","",IFERROR(VLOOKUP($B25,MMWR_ACCURACY_RO[],MATCH(J$9,MMWR_ACCURACY_RO[#Headers],0),0),"ERROR"))</f>
        <v>0.96524829097355025</v>
      </c>
      <c r="K25" s="157">
        <f>IF($B25=" ","",IFERROR(VLOOKUP($B25,MMWR_ACCURACY_RO[],MATCH(K$9,MMWR_ACCURACY_RO[#Headers],0),0),"ERROR"))</f>
        <v>0.89062186132815824</v>
      </c>
      <c r="L25" s="157">
        <f>IF($B25=" ","",IFERROR(VLOOKUP($B25,MMWR_ACCURACY_RO[],MATCH(L$9,MMWR_ACCURACY_RO[#Headers],0),0),"ERROR"))</f>
        <v>0.88562180252575506</v>
      </c>
      <c r="M25" s="157">
        <f>IF($B25=" ","",IFERROR(VLOOKUP($B25,MMWR_ACCURACY_RO[],MATCH(M$9,MMWR_ACCURACY_RO[#Headers],0),0),"ERROR"))</f>
        <v>4.6701474131648053E-2</v>
      </c>
      <c r="N25" s="157">
        <f>IF($B25=" ","",IFERROR(VLOOKUP($B25,MMWR_ACCURACY_RO[],MATCH(N$9,MMWR_ACCURACY_RO[#Headers],0),0),"ERROR"))</f>
        <v>0.87305664426188057</v>
      </c>
      <c r="O25" s="157">
        <f>IF($B25=" ","",IFERROR(VLOOKUP($B25,MMWR_ACCURACY_RO[],MATCH(O$9,MMWR_ACCURACY_RO[#Headers],0),0),"ERROR"))</f>
        <v>5.6317754816057289E-2</v>
      </c>
      <c r="P25" s="28"/>
    </row>
    <row r="26" spans="1:16" x14ac:dyDescent="0.2">
      <c r="A26" s="25"/>
      <c r="B26" s="8" t="str">
        <f>VLOOKUP($B$16,DISTRICT_RO[],11,0)</f>
        <v>Pittsburgh VSC</v>
      </c>
      <c r="C26" s="154">
        <f>IF($B26=" ","",IFERROR(INDEX(MMWR_RATING_RO_ROLLUP[],MATCH($B26,MMWR_RATING_RO_ROLLUP[MMWR_RATING_RO_ROLLUP],0),MATCH(C$9,MMWR_RATING_RO_ROLLUP[#Headers],0)),"ERROR"))</f>
        <v>510</v>
      </c>
      <c r="D26" s="155">
        <f>IF($B26=" ","",IFERROR(INDEX(MMWR_RATING_RO_ROLLUP[],MATCH($B26,MMWR_RATING_RO_ROLLUP[MMWR_RATING_RO_ROLLUP],0),MATCH(D$9,MMWR_RATING_RO_ROLLUP[#Headers],0)),"ERROR"))</f>
        <v>147.27843137249999</v>
      </c>
      <c r="E26" s="156">
        <f>IF($B26=" ","",IFERROR(INDEX(MMWR_RATING_RO_ROLLUP[],MATCH($B26,MMWR_RATING_RO_ROLLUP[MMWR_RATING_RO_ROLLUP],0),MATCH(E$9,MMWR_RATING_RO_ROLLUP[#Headers],0))/$C26,"ERROR"))</f>
        <v>0.49019607843137253</v>
      </c>
      <c r="F26" s="154">
        <f>IF($B26=" ","",IFERROR(INDEX(MMWR_RATING_RO_ROLLUP[],MATCH($B26,MMWR_RATING_RO_ROLLUP[MMWR_RATING_RO_ROLLUP],0),MATCH(F$9,MMWR_RATING_RO_ROLLUP[#Headers],0)),"ERROR"))</f>
        <v>982</v>
      </c>
      <c r="G26" s="154">
        <f>IF($B26=" ","",IFERROR(INDEX(MMWR_RATING_RO_ROLLUP[],MATCH($B26,MMWR_RATING_RO_ROLLUP[MMWR_RATING_RO_ROLLUP],0),MATCH(G$9,MMWR_RATING_RO_ROLLUP[#Headers],0)),"ERROR"))</f>
        <v>7262</v>
      </c>
      <c r="H26" s="155">
        <f>IF($B26=" ","",IFERROR(INDEX(MMWR_RATING_RO_ROLLUP[],MATCH($B26,MMWR_RATING_RO_ROLLUP[MMWR_RATING_RO_ROLLUP],0),MATCH(H$9,MMWR_RATING_RO_ROLLUP[#Headers],0)),"ERROR"))</f>
        <v>155.70162932790001</v>
      </c>
      <c r="I26" s="155">
        <f>IF($B26=" ","",IFERROR(INDEX(MMWR_RATING_RO_ROLLUP[],MATCH($B26,MMWR_RATING_RO_ROLLUP[MMWR_RATING_RO_ROLLUP],0),MATCH(I$9,MMWR_RATING_RO_ROLLUP[#Headers],0)),"ERROR"))</f>
        <v>170.63426053430001</v>
      </c>
      <c r="J26" s="157">
        <f>IF($B26=" ","",IFERROR(VLOOKUP($B26,MMWR_ACCURACY_RO[],MATCH(J$9,MMWR_ACCURACY_RO[#Headers],0),0),"ERROR"))</f>
        <v>0.916412959582943</v>
      </c>
      <c r="K26" s="157">
        <f>IF($B26=" ","",IFERROR(VLOOKUP($B26,MMWR_ACCURACY_RO[],MATCH(K$9,MMWR_ACCURACY_RO[#Headers],0),0),"ERROR"))</f>
        <v>0.82760223323445981</v>
      </c>
      <c r="L26" s="157">
        <f>IF($B26=" ","",IFERROR(VLOOKUP($B26,MMWR_ACCURACY_RO[],MATCH(L$9,MMWR_ACCURACY_RO[#Headers],0),0),"ERROR"))</f>
        <v>0.88644527986633237</v>
      </c>
      <c r="M26" s="157">
        <f>IF($B26=" ","",IFERROR(VLOOKUP($B26,MMWR_ACCURACY_RO[],MATCH(M$9,MMWR_ACCURACY_RO[#Headers],0),0),"ERROR"))</f>
        <v>4.7298037825363085E-2</v>
      </c>
      <c r="N26" s="157">
        <f>IF($B26=" ","",IFERROR(VLOOKUP($B26,MMWR_ACCURACY_RO[],MATCH(N$9,MMWR_ACCURACY_RO[#Headers],0),0),"ERROR"))</f>
        <v>0.88805872578599843</v>
      </c>
      <c r="O26" s="157">
        <f>IF($B26=" ","",IFERROR(VLOOKUP($B26,MMWR_ACCURACY_RO[],MATCH(O$9,MMWR_ACCURACY_RO[#Headers],0),0),"ERROR"))</f>
        <v>5.70423698208333E-2</v>
      </c>
      <c r="P26" s="28"/>
    </row>
    <row r="27" spans="1:16" x14ac:dyDescent="0.2">
      <c r="A27" s="25"/>
      <c r="B27" s="8" t="str">
        <f>VLOOKUP($B$16,DISTRICT_RO[],12,0)</f>
        <v>Providence VSC</v>
      </c>
      <c r="C27" s="154">
        <f>IF($B27=" ","",IFERROR(INDEX(MMWR_RATING_RO_ROLLUP[],MATCH($B27,MMWR_RATING_RO_ROLLUP[MMWR_RATING_RO_ROLLUP],0),MATCH(C$9,MMWR_RATING_RO_ROLLUP[#Headers],0)),"ERROR"))</f>
        <v>1454</v>
      </c>
      <c r="D27" s="155">
        <f>IF($B27=" ","",IFERROR(INDEX(MMWR_RATING_RO_ROLLUP[],MATCH($B27,MMWR_RATING_RO_ROLLUP[MMWR_RATING_RO_ROLLUP],0),MATCH(D$9,MMWR_RATING_RO_ROLLUP[#Headers],0)),"ERROR"))</f>
        <v>58.109353507599998</v>
      </c>
      <c r="E27" s="156">
        <f>IF($B27=" ","",IFERROR(INDEX(MMWR_RATING_RO_ROLLUP[],MATCH($B27,MMWR_RATING_RO_ROLLUP[MMWR_RATING_RO_ROLLUP],0),MATCH(E$9,MMWR_RATING_RO_ROLLUP[#Headers],0))/$C27,"ERROR"))</f>
        <v>0.15130674002751032</v>
      </c>
      <c r="F27" s="154">
        <f>IF($B27=" ","",IFERROR(INDEX(MMWR_RATING_RO_ROLLUP[],MATCH($B27,MMWR_RATING_RO_ROLLUP[MMWR_RATING_RO_ROLLUP],0),MATCH(F$9,MMWR_RATING_RO_ROLLUP[#Headers],0)),"ERROR"))</f>
        <v>2075</v>
      </c>
      <c r="G27" s="154">
        <f>IF($B27=" ","",IFERROR(INDEX(MMWR_RATING_RO_ROLLUP[],MATCH($B27,MMWR_RATING_RO_ROLLUP[MMWR_RATING_RO_ROLLUP],0),MATCH(G$9,MMWR_RATING_RO_ROLLUP[#Headers],0)),"ERROR"))</f>
        <v>16966</v>
      </c>
      <c r="H27" s="155">
        <f>IF($B27=" ","",IFERROR(INDEX(MMWR_RATING_RO_ROLLUP[],MATCH($B27,MMWR_RATING_RO_ROLLUP[MMWR_RATING_RO_ROLLUP],0),MATCH(H$9,MMWR_RATING_RO_ROLLUP[#Headers],0)),"ERROR"))</f>
        <v>50.590361445799999</v>
      </c>
      <c r="I27" s="155">
        <f>IF($B27=" ","",IFERROR(INDEX(MMWR_RATING_RO_ROLLUP[],MATCH($B27,MMWR_RATING_RO_ROLLUP[MMWR_RATING_RO_ROLLUP],0),MATCH(I$9,MMWR_RATING_RO_ROLLUP[#Headers],0)),"ERROR"))</f>
        <v>75.2895791583</v>
      </c>
      <c r="J27" s="157">
        <f>IF($B27=" ","",IFERROR(VLOOKUP($B27,MMWR_ACCURACY_RO[],MATCH(J$9,MMWR_ACCURACY_RO[#Headers],0),0),"ERROR"))</f>
        <v>0.94409854269682336</v>
      </c>
      <c r="K27" s="157">
        <f>IF($B27=" ","",IFERROR(VLOOKUP($B27,MMWR_ACCURACY_RO[],MATCH(K$9,MMWR_ACCURACY_RO[#Headers],0),0),"ERROR"))</f>
        <v>0.83368196172102116</v>
      </c>
      <c r="L27" s="157">
        <f>IF($B27=" ","",IFERROR(VLOOKUP($B27,MMWR_ACCURACY_RO[],MATCH(L$9,MMWR_ACCURACY_RO[#Headers],0),0),"ERROR"))</f>
        <v>0.84433323077746281</v>
      </c>
      <c r="M27" s="157">
        <f>IF($B27=" ","",IFERROR(VLOOKUP($B27,MMWR_ACCURACY_RO[],MATCH(M$9,MMWR_ACCURACY_RO[#Headers],0),0),"ERROR"))</f>
        <v>6.2487798834523857E-2</v>
      </c>
      <c r="N27" s="157">
        <f>IF($B27=" ","",IFERROR(VLOOKUP($B27,MMWR_ACCURACY_RO[],MATCH(N$9,MMWR_ACCURACY_RO[#Headers],0),0),"ERROR"))</f>
        <v>0.92093018169490792</v>
      </c>
      <c r="O27" s="157">
        <f>IF($B27=" ","",IFERROR(VLOOKUP($B27,MMWR_ACCURACY_RO[],MATCH(O$9,MMWR_ACCURACY_RO[#Headers],0),0),"ERROR"))</f>
        <v>4.5996232418849772E-2</v>
      </c>
      <c r="P27" s="28"/>
    </row>
    <row r="28" spans="1:16" x14ac:dyDescent="0.2">
      <c r="A28" s="25"/>
      <c r="B28" s="8" t="str">
        <f>VLOOKUP($B$16,DISTRICT_RO[],13,0)</f>
        <v>Roanoke VSC</v>
      </c>
      <c r="C28" s="154">
        <f>IF($B28=" ","",IFERROR(INDEX(MMWR_RATING_RO_ROLLUP[],MATCH($B28,MMWR_RATING_RO_ROLLUP[MMWR_RATING_RO_ROLLUP],0),MATCH(C$9,MMWR_RATING_RO_ROLLUP[#Headers],0)),"ERROR"))</f>
        <v>1804</v>
      </c>
      <c r="D28" s="155">
        <f>IF($B28=" ","",IFERROR(INDEX(MMWR_RATING_RO_ROLLUP[],MATCH($B28,MMWR_RATING_RO_ROLLUP[MMWR_RATING_RO_ROLLUP],0),MATCH(D$9,MMWR_RATING_RO_ROLLUP[#Headers],0)),"ERROR"))</f>
        <v>110.70898004430001</v>
      </c>
      <c r="E28" s="156">
        <f>IF($B28=" ","",IFERROR(INDEX(MMWR_RATING_RO_ROLLUP[],MATCH($B28,MMWR_RATING_RO_ROLLUP[MMWR_RATING_RO_ROLLUP],0),MATCH(E$9,MMWR_RATING_RO_ROLLUP[#Headers],0))/$C28,"ERROR"))</f>
        <v>0.34589800443458979</v>
      </c>
      <c r="F28" s="154">
        <f>IF($B28=" ","",IFERROR(INDEX(MMWR_RATING_RO_ROLLUP[],MATCH($B28,MMWR_RATING_RO_ROLLUP[MMWR_RATING_RO_ROLLUP],0),MATCH(F$9,MMWR_RATING_RO_ROLLUP[#Headers],0)),"ERROR"))</f>
        <v>2798</v>
      </c>
      <c r="G28" s="154">
        <f>IF($B28=" ","",IFERROR(INDEX(MMWR_RATING_RO_ROLLUP[],MATCH($B28,MMWR_RATING_RO_ROLLUP[MMWR_RATING_RO_ROLLUP],0),MATCH(G$9,MMWR_RATING_RO_ROLLUP[#Headers],0)),"ERROR"))</f>
        <v>22744</v>
      </c>
      <c r="H28" s="155">
        <f>IF($B28=" ","",IFERROR(INDEX(MMWR_RATING_RO_ROLLUP[],MATCH($B28,MMWR_RATING_RO_ROLLUP[MMWR_RATING_RO_ROLLUP],0),MATCH(H$9,MMWR_RATING_RO_ROLLUP[#Headers],0)),"ERROR"))</f>
        <v>130.71015010720001</v>
      </c>
      <c r="I28" s="155">
        <f>IF($B28=" ","",IFERROR(INDEX(MMWR_RATING_RO_ROLLUP[],MATCH($B28,MMWR_RATING_RO_ROLLUP[MMWR_RATING_RO_ROLLUP],0),MATCH(I$9,MMWR_RATING_RO_ROLLUP[#Headers],0)),"ERROR"))</f>
        <v>132.63876187130001</v>
      </c>
      <c r="J28" s="157">
        <f>IF($B28=" ","",IFERROR(VLOOKUP($B28,MMWR_ACCURACY_RO[],MATCH(J$9,MMWR_ACCURACY_RO[#Headers],0),0),"ERROR"))</f>
        <v>0.92823624278330585</v>
      </c>
      <c r="K28" s="157">
        <f>IF($B28=" ","",IFERROR(VLOOKUP($B28,MMWR_ACCURACY_RO[],MATCH(K$9,MMWR_ACCURACY_RO[#Headers],0),0),"ERROR"))</f>
        <v>0.85222899684993347</v>
      </c>
      <c r="L28" s="157">
        <f>IF($B28=" ","",IFERROR(VLOOKUP($B28,MMWR_ACCURACY_RO[],MATCH(L$9,MMWR_ACCURACY_RO[#Headers],0),0),"ERROR"))</f>
        <v>0.89036786946123114</v>
      </c>
      <c r="M28" s="157">
        <f>IF($B28=" ","",IFERROR(VLOOKUP($B28,MMWR_ACCURACY_RO[],MATCH(M$9,MMWR_ACCURACY_RO[#Headers],0),0),"ERROR"))</f>
        <v>5.0454225816718573E-2</v>
      </c>
      <c r="N28" s="157">
        <f>IF($B28=" ","",IFERROR(VLOOKUP($B28,MMWR_ACCURACY_RO[],MATCH(N$9,MMWR_ACCURACY_RO[#Headers],0),0),"ERROR"))</f>
        <v>0.89271539089904384</v>
      </c>
      <c r="O28" s="157">
        <f>IF($B28=" ","",IFERROR(VLOOKUP($B28,MMWR_ACCURACY_RO[],MATCH(O$9,MMWR_ACCURACY_RO[#Headers],0),0),"ERROR"))</f>
        <v>4.7497386328916986E-2</v>
      </c>
      <c r="P28" s="28"/>
    </row>
    <row r="29" spans="1:16" x14ac:dyDescent="0.2">
      <c r="A29" s="25"/>
      <c r="B29" s="8" t="str">
        <f>VLOOKUP($B$16,DISTRICT_RO[],14,0)</f>
        <v>Togus VSC</v>
      </c>
      <c r="C29" s="154">
        <f>IF($B29=" ","",IFERROR(INDEX(MMWR_RATING_RO_ROLLUP[],MATCH($B29,MMWR_RATING_RO_ROLLUP[MMWR_RATING_RO_ROLLUP],0),MATCH(C$9,MMWR_RATING_RO_ROLLUP[#Headers],0)),"ERROR"))</f>
        <v>1387</v>
      </c>
      <c r="D29" s="155">
        <f>IF($B29=" ","",IFERROR(INDEX(MMWR_RATING_RO_ROLLUP[],MATCH($B29,MMWR_RATING_RO_ROLLUP[MMWR_RATING_RO_ROLLUP],0),MATCH(D$9,MMWR_RATING_RO_ROLLUP[#Headers],0)),"ERROR"))</f>
        <v>73.273972602699999</v>
      </c>
      <c r="E29" s="156">
        <f>IF($B29=" ","",IFERROR(INDEX(MMWR_RATING_RO_ROLLUP[],MATCH($B29,MMWR_RATING_RO_ROLLUP[MMWR_RATING_RO_ROLLUP],0),MATCH(E$9,MMWR_RATING_RO_ROLLUP[#Headers],0))/$C29,"ERROR"))</f>
        <v>0.1247296322999279</v>
      </c>
      <c r="F29" s="154">
        <f>IF($B29=" ","",IFERROR(INDEX(MMWR_RATING_RO_ROLLUP[],MATCH($B29,MMWR_RATING_RO_ROLLUP[MMWR_RATING_RO_ROLLUP],0),MATCH(F$9,MMWR_RATING_RO_ROLLUP[#Headers],0)),"ERROR"))</f>
        <v>1225</v>
      </c>
      <c r="G29" s="154">
        <f>IF($B29=" ","",IFERROR(INDEX(MMWR_RATING_RO_ROLLUP[],MATCH($B29,MMWR_RATING_RO_ROLLUP[MMWR_RATING_RO_ROLLUP],0),MATCH(G$9,MMWR_RATING_RO_ROLLUP[#Headers],0)),"ERROR"))</f>
        <v>11500</v>
      </c>
      <c r="H29" s="155">
        <f>IF($B29=" ","",IFERROR(INDEX(MMWR_RATING_RO_ROLLUP[],MATCH($B29,MMWR_RATING_RO_ROLLUP[MMWR_RATING_RO_ROLLUP],0),MATCH(H$9,MMWR_RATING_RO_ROLLUP[#Headers],0)),"ERROR"))</f>
        <v>88.537959183699996</v>
      </c>
      <c r="I29" s="155">
        <f>IF($B29=" ","",IFERROR(INDEX(MMWR_RATING_RO_ROLLUP[],MATCH($B29,MMWR_RATING_RO_ROLLUP[MMWR_RATING_RO_ROLLUP],0),MATCH(I$9,MMWR_RATING_RO_ROLLUP[#Headers],0)),"ERROR"))</f>
        <v>133.7471304348</v>
      </c>
      <c r="J29" s="157">
        <f>IF($B29=" ","",IFERROR(VLOOKUP($B29,MMWR_ACCURACY_RO[],MATCH(J$9,MMWR_ACCURACY_RO[#Headers],0),0),"ERROR"))</f>
        <v>0.9834251730928032</v>
      </c>
      <c r="K29" s="157">
        <f>IF($B29=" ","",IFERROR(VLOOKUP($B29,MMWR_ACCURACY_RO[],MATCH(K$9,MMWR_ACCURACY_RO[#Headers],0),0),"ERROR"))</f>
        <v>0.91972011537228937</v>
      </c>
      <c r="L29" s="157">
        <f>IF($B29=" ","",IFERROR(VLOOKUP($B29,MMWR_ACCURACY_RO[],MATCH(L$9,MMWR_ACCURACY_RO[#Headers],0),0),"ERROR"))</f>
        <v>0.89195057996193516</v>
      </c>
      <c r="M29" s="157">
        <f>IF($B29=" ","",IFERROR(VLOOKUP($B29,MMWR_ACCURACY_RO[],MATCH(M$9,MMWR_ACCURACY_RO[#Headers],0),0),"ERROR"))</f>
        <v>5.1719027618099392E-2</v>
      </c>
      <c r="N29" s="157">
        <f>IF($B29=" ","",IFERROR(VLOOKUP($B29,MMWR_ACCURACY_RO[],MATCH(N$9,MMWR_ACCURACY_RO[#Headers],0),0),"ERROR"))</f>
        <v>0.94280648429584601</v>
      </c>
      <c r="O29" s="157">
        <f>IF($B29=" ","",IFERROR(VLOOKUP($B29,MMWR_ACCURACY_RO[],MATCH(O$9,MMWR_ACCURACY_RO[#Headers],0),0),"ERROR"))</f>
        <v>3.6210672572002951E-2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169</v>
      </c>
      <c r="D30" s="155">
        <f>IF($B30=" ","",IFERROR(INDEX(MMWR_RATING_RO_ROLLUP[],MATCH($B30,MMWR_RATING_RO_ROLLUP[MMWR_RATING_RO_ROLLUP],0),MATCH(D$9,MMWR_RATING_RO_ROLLUP[#Headers],0)),"ERROR"))</f>
        <v>109.2366863905</v>
      </c>
      <c r="E30" s="156">
        <f>IF($B30=" ","",IFERROR(INDEX(MMWR_RATING_RO_ROLLUP[],MATCH($B30,MMWR_RATING_RO_ROLLUP[MMWR_RATING_RO_ROLLUP],0),MATCH(E$9,MMWR_RATING_RO_ROLLUP[#Headers],0))/$C30,"ERROR"))</f>
        <v>0.40236686390532544</v>
      </c>
      <c r="F30" s="154">
        <f>IF($B30=" ","",IFERROR(INDEX(MMWR_RATING_RO_ROLLUP[],MATCH($B30,MMWR_RATING_RO_ROLLUP[MMWR_RATING_RO_ROLLUP],0),MATCH(F$9,MMWR_RATING_RO_ROLLUP[#Headers],0)),"ERROR"))</f>
        <v>200</v>
      </c>
      <c r="G30" s="154">
        <f>IF($B30=" ","",IFERROR(INDEX(MMWR_RATING_RO_ROLLUP[],MATCH($B30,MMWR_RATING_RO_ROLLUP[MMWR_RATING_RO_ROLLUP],0),MATCH(G$9,MMWR_RATING_RO_ROLLUP[#Headers],0)),"ERROR"))</f>
        <v>1442</v>
      </c>
      <c r="H30" s="155">
        <f>IF($B30=" ","",IFERROR(INDEX(MMWR_RATING_RO_ROLLUP[],MATCH($B30,MMWR_RATING_RO_ROLLUP[MMWR_RATING_RO_ROLLUP],0),MATCH(H$9,MMWR_RATING_RO_ROLLUP[#Headers],0)),"ERROR"))</f>
        <v>108.19</v>
      </c>
      <c r="I30" s="155">
        <f>IF($B30=" ","",IFERROR(INDEX(MMWR_RATING_RO_ROLLUP[],MATCH($B30,MMWR_RATING_RO_ROLLUP[MMWR_RATING_RO_ROLLUP],0),MATCH(I$9,MMWR_RATING_RO_ROLLUP[#Headers],0)),"ERROR"))</f>
        <v>146.0506241331</v>
      </c>
      <c r="J30" s="157">
        <f>IF($B30=" ","",IFERROR(VLOOKUP($B30,MMWR_ACCURACY_RO[],MATCH(J$9,MMWR_ACCURACY_RO[#Headers],0),0),"ERROR"))</f>
        <v>0.92773128803492932</v>
      </c>
      <c r="K30" s="157">
        <f>IF($B30=" ","",IFERROR(VLOOKUP($B30,MMWR_ACCURACY_RO[],MATCH(K$9,MMWR_ACCURACY_RO[#Headers],0),0),"ERROR"))</f>
        <v>0.89017995656220905</v>
      </c>
      <c r="L30" s="157">
        <f>IF($B30=" ","",IFERROR(VLOOKUP($B30,MMWR_ACCURACY_RO[],MATCH(L$9,MMWR_ACCURACY_RO[#Headers],0),0),"ERROR"))</f>
        <v>0.844495277449823</v>
      </c>
      <c r="M30" s="157">
        <f>IF($B30=" ","",IFERROR(VLOOKUP($B30,MMWR_ACCURACY_RO[],MATCH(M$9,MMWR_ACCURACY_RO[#Headers],0),0),"ERROR"))</f>
        <v>5.0048646647757308E-2</v>
      </c>
      <c r="N30" s="157">
        <f>IF($B30=" ","",IFERROR(VLOOKUP($B30,MMWR_ACCURACY_RO[],MATCH(N$9,MMWR_ACCURACY_RO[#Headers],0),0),"ERROR"))</f>
        <v>0.8782871288947679</v>
      </c>
      <c r="O30" s="157">
        <f>IF($B30=" ","",IFERROR(VLOOKUP($B30,MMWR_ACCURACY_RO[],MATCH(O$9,MMWR_ACCURACY_RO[#Headers],0),0),"ERROR"))</f>
        <v>4.7552013771213882E-2</v>
      </c>
      <c r="P30" s="28"/>
    </row>
    <row r="31" spans="1:16" x14ac:dyDescent="0.2">
      <c r="A31" s="25"/>
      <c r="B31" s="8" t="str">
        <f>VLOOKUP($B$16,DISTRICT_RO[],16,0)</f>
        <v>Wilmington VSC</v>
      </c>
      <c r="C31" s="154">
        <f>IF($B31=" ","",IFERROR(INDEX(MMWR_RATING_RO_ROLLUP[],MATCH($B31,MMWR_RATING_RO_ROLLUP[MMWR_RATING_RO_ROLLUP],0),MATCH(C$9,MMWR_RATING_RO_ROLLUP[#Headers],0)),"ERROR"))</f>
        <v>201</v>
      </c>
      <c r="D31" s="155">
        <f>IF($B31=" ","",IFERROR(INDEX(MMWR_RATING_RO_ROLLUP[],MATCH($B31,MMWR_RATING_RO_ROLLUP[MMWR_RATING_RO_ROLLUP],0),MATCH(D$9,MMWR_RATING_RO_ROLLUP[#Headers],0)),"ERROR"))</f>
        <v>114.08457711440001</v>
      </c>
      <c r="E31" s="156">
        <f>IF($B31=" ","",IFERROR(INDEX(MMWR_RATING_RO_ROLLUP[],MATCH($B31,MMWR_RATING_RO_ROLLUP[MMWR_RATING_RO_ROLLUP],0),MATCH(E$9,MMWR_RATING_RO_ROLLUP[#Headers],0))/$C31,"ERROR"))</f>
        <v>0.39303482587064675</v>
      </c>
      <c r="F31" s="154">
        <f>IF($B31=" ","",IFERROR(INDEX(MMWR_RATING_RO_ROLLUP[],MATCH($B31,MMWR_RATING_RO_ROLLUP[MMWR_RATING_RO_ROLLUP],0),MATCH(F$9,MMWR_RATING_RO_ROLLUP[#Headers],0)),"ERROR"))</f>
        <v>109</v>
      </c>
      <c r="G31" s="154">
        <f>IF($B31=" ","",IFERROR(INDEX(MMWR_RATING_RO_ROLLUP[],MATCH($B31,MMWR_RATING_RO_ROLLUP[MMWR_RATING_RO_ROLLUP],0),MATCH(G$9,MMWR_RATING_RO_ROLLUP[#Headers],0)),"ERROR"))</f>
        <v>1031</v>
      </c>
      <c r="H31" s="155">
        <f>IF($B31=" ","",IFERROR(INDEX(MMWR_RATING_RO_ROLLUP[],MATCH($B31,MMWR_RATING_RO_ROLLUP[MMWR_RATING_RO_ROLLUP],0),MATCH(H$9,MMWR_RATING_RO_ROLLUP[#Headers],0)),"ERROR"))</f>
        <v>148.6697247706</v>
      </c>
      <c r="I31" s="155">
        <f>IF($B31=" ","",IFERROR(INDEX(MMWR_RATING_RO_ROLLUP[],MATCH($B31,MMWR_RATING_RO_ROLLUP[MMWR_RATING_RO_ROLLUP],0),MATCH(I$9,MMWR_RATING_RO_ROLLUP[#Headers],0)),"ERROR"))</f>
        <v>124.38021338510001</v>
      </c>
      <c r="J31" s="157">
        <f>IF($B31=" ","",IFERROR(VLOOKUP($B31,MMWR_ACCURACY_RO[],MATCH(J$9,MMWR_ACCURACY_RO[#Headers],0),0),"ERROR"))</f>
        <v>0.95052602792613083</v>
      </c>
      <c r="K31" s="157">
        <f>IF($B31=" ","",IFERROR(VLOOKUP($B31,MMWR_ACCURACY_RO[],MATCH(K$9,MMWR_ACCURACY_RO[#Headers],0),0),"ERROR"))</f>
        <v>0.94769874476987459</v>
      </c>
      <c r="L31" s="157">
        <f>IF($B31=" ","",IFERROR(VLOOKUP($B31,MMWR_ACCURACY_RO[],MATCH(L$9,MMWR_ACCURACY_RO[#Headers],0),0),"ERROR"))</f>
        <v>0.87049645585174185</v>
      </c>
      <c r="M31" s="157">
        <f>IF($B31=" ","",IFERROR(VLOOKUP($B31,MMWR_ACCURACY_RO[],MATCH(M$9,MMWR_ACCURACY_RO[#Headers],0),0),"ERROR"))</f>
        <v>4.6260906559825586E-2</v>
      </c>
      <c r="N31" s="157">
        <f>IF($B31=" ","",IFERROR(VLOOKUP($B31,MMWR_ACCURACY_RO[],MATCH(N$9,MMWR_ACCURACY_RO[#Headers],0),0),"ERROR"))</f>
        <v>0.8957557084169292</v>
      </c>
      <c r="O31" s="157">
        <f>IF($B31=" ","",IFERROR(VLOOKUP($B31,MMWR_ACCURACY_RO[],MATCH(O$9,MMWR_ACCURACY_RO[#Headers],0),0),"ERROR"))</f>
        <v>5.3502496213121163E-2</v>
      </c>
      <c r="P31" s="28"/>
    </row>
    <row r="32" spans="1:16" x14ac:dyDescent="0.2">
      <c r="A32" s="25"/>
      <c r="B32" s="8" t="str">
        <f>VLOOKUP($B$16,DISTRICT_RO[],17,0)</f>
        <v>Winston-Salem VSC</v>
      </c>
      <c r="C32" s="154">
        <f>IF($B32=" ","",IFERROR(INDEX(MMWR_RATING_RO_ROLLUP[],MATCH($B32,MMWR_RATING_RO_ROLLUP[MMWR_RATING_RO_ROLLUP],0),MATCH(C$9,MMWR_RATING_RO_ROLLUP[#Headers],0)),"ERROR"))</f>
        <v>3324</v>
      </c>
      <c r="D32" s="155">
        <f>IF($B32=" ","",IFERROR(INDEX(MMWR_RATING_RO_ROLLUP[],MATCH($B32,MMWR_RATING_RO_ROLLUP[MMWR_RATING_RO_ROLLUP],0),MATCH(D$9,MMWR_RATING_RO_ROLLUP[#Headers],0)),"ERROR"))</f>
        <v>109.96600481350001</v>
      </c>
      <c r="E32" s="156">
        <f>IF($B32=" ","",IFERROR(INDEX(MMWR_RATING_RO_ROLLUP[],MATCH($B32,MMWR_RATING_RO_ROLLUP[MMWR_RATING_RO_ROLLUP],0),MATCH(E$9,MMWR_RATING_RO_ROLLUP[#Headers],0))/$C32,"ERROR"))</f>
        <v>0.35439229843561976</v>
      </c>
      <c r="F32" s="154">
        <f>IF($B32=" ","",IFERROR(INDEX(MMWR_RATING_RO_ROLLUP[],MATCH($B32,MMWR_RATING_RO_ROLLUP[MMWR_RATING_RO_ROLLUP],0),MATCH(F$9,MMWR_RATING_RO_ROLLUP[#Headers],0)),"ERROR"))</f>
        <v>2808</v>
      </c>
      <c r="G32" s="154">
        <f>IF($B32=" ","",IFERROR(INDEX(MMWR_RATING_RO_ROLLUP[],MATCH($B32,MMWR_RATING_RO_ROLLUP[MMWR_RATING_RO_ROLLUP],0),MATCH(G$9,MMWR_RATING_RO_ROLLUP[#Headers],0)),"ERROR"))</f>
        <v>21457</v>
      </c>
      <c r="H32" s="155">
        <f>IF($B32=" ","",IFERROR(INDEX(MMWR_RATING_RO_ROLLUP[],MATCH($B32,MMWR_RATING_RO_ROLLUP[MMWR_RATING_RO_ROLLUP],0),MATCH(H$9,MMWR_RATING_RO_ROLLUP[#Headers],0)),"ERROR"))</f>
        <v>150.18945868949999</v>
      </c>
      <c r="I32" s="155">
        <f>IF($B32=" ","",IFERROR(INDEX(MMWR_RATING_RO_ROLLUP[],MATCH($B32,MMWR_RATING_RO_ROLLUP[MMWR_RATING_RO_ROLLUP],0),MATCH(I$9,MMWR_RATING_RO_ROLLUP[#Headers],0)),"ERROR"))</f>
        <v>137.33919000789999</v>
      </c>
      <c r="J32" s="157">
        <f>IF($B32=" ","",IFERROR(VLOOKUP($B32,MMWR_ACCURACY_RO[],MATCH(J$9,MMWR_ACCURACY_RO[#Headers],0),0),"ERROR"))</f>
        <v>0.9647268237319685</v>
      </c>
      <c r="K32" s="157">
        <f>IF($B32=" ","",IFERROR(VLOOKUP($B32,MMWR_ACCURACY_RO[],MATCH(K$9,MMWR_ACCURACY_RO[#Headers],0),0),"ERROR"))</f>
        <v>0.8540946168535859</v>
      </c>
      <c r="L32" s="157">
        <f>IF($B32=" ","",IFERROR(VLOOKUP($B32,MMWR_ACCURACY_RO[],MATCH(L$9,MMWR_ACCURACY_RO[#Headers],0),0),"ERROR"))</f>
        <v>0.85332556396750037</v>
      </c>
      <c r="M32" s="157">
        <f>IF($B32=" ","",IFERROR(VLOOKUP($B32,MMWR_ACCURACY_RO[],MATCH(M$9,MMWR_ACCURACY_RO[#Headers],0),0),"ERROR"))</f>
        <v>5.0195783285741979E-2</v>
      </c>
      <c r="N32" s="157">
        <f>IF($B32=" ","",IFERROR(VLOOKUP($B32,MMWR_ACCURACY_RO[],MATCH(N$9,MMWR_ACCURACY_RO[#Headers],0),0),"ERROR"))</f>
        <v>0.93580523331404075</v>
      </c>
      <c r="O32" s="157">
        <f>IF($B32=" ","",IFERROR(VLOOKUP($B32,MMWR_ACCURACY_RO[],MATCH(O$9,MMWR_ACCURACY_RO[#Headers],0),0),"ERROR"))</f>
        <v>4.1136772296727103E-2</v>
      </c>
      <c r="P32" s="28"/>
    </row>
    <row r="33" spans="1:16" x14ac:dyDescent="0.2">
      <c r="A33" s="25"/>
      <c r="B33" s="377" t="s">
        <v>733</v>
      </c>
      <c r="C33" s="378"/>
      <c r="D33" s="378"/>
      <c r="E33" s="378"/>
      <c r="F33" s="378"/>
      <c r="G33" s="378"/>
      <c r="H33" s="378"/>
      <c r="I33" s="378"/>
      <c r="J33" s="378"/>
      <c r="K33" s="378"/>
      <c r="L33" s="378"/>
      <c r="M33" s="378"/>
      <c r="N33" s="378"/>
      <c r="O33" s="378"/>
      <c r="P33" s="28"/>
    </row>
    <row r="34" spans="1:16" x14ac:dyDescent="0.2">
      <c r="A34" s="25"/>
      <c r="B34" s="11" t="s">
        <v>696</v>
      </c>
      <c r="C34" s="154">
        <f>IF($B34=" ","",IFERROR(INDEX(MMWR_RATING_RO_ROLLUP[],MATCH($B34,MMWR_RATING_RO_ROLLUP[MMWR_RATING_RO_ROLLUP],0),MATCH(C$9,MMWR_RATING_RO_ROLLUP[#Headers],0)),"ERROR"))</f>
        <v>28843</v>
      </c>
      <c r="D34" s="155">
        <f>IF($B34=" ","",IFERROR(INDEX(MMWR_RATING_RO_ROLLUP[],MATCH($B34,MMWR_RATING_RO_ROLLUP[MMWR_RATING_RO_ROLLUP],0),MATCH(D$9,MMWR_RATING_RO_ROLLUP[#Headers],0)),"ERROR"))</f>
        <v>67.733696217499997</v>
      </c>
      <c r="E34" s="156">
        <f>IF($B34=" ","",IFERROR(INDEX(MMWR_RATING_RO_ROLLUP[],MATCH($B34,MMWR_RATING_RO_ROLLUP[MMWR_RATING_RO_ROLLUP],0),MATCH(E$9,MMWR_RATING_RO_ROLLUP[#Headers],0))/$C34,"ERROR"))</f>
        <v>0.10352598550774884</v>
      </c>
      <c r="F34" s="154">
        <f>IF($B34=" ","",IFERROR(INDEX(MMWR_RATING_RO_ROLLUP[],MATCH($B34,MMWR_RATING_RO_ROLLUP[MMWR_RATING_RO_ROLLUP],0),MATCH(F$9,MMWR_RATING_RO_ROLLUP[#Headers],0)),"ERROR"))</f>
        <v>10875</v>
      </c>
      <c r="G34" s="154">
        <f>IF($B34=" ","",IFERROR(INDEX(MMWR_RATING_RO_ROLLUP[],MATCH($B34,MMWR_RATING_RO_ROLLUP[MMWR_RATING_RO_ROLLUP],0),MATCH(G$9,MMWR_RATING_RO_ROLLUP[#Headers],0)),"ERROR"))</f>
        <v>96320</v>
      </c>
      <c r="H34" s="155">
        <f>IF($B34=" ","",IFERROR(INDEX(MMWR_RATING_RO_ROLLUP[],MATCH($B34,MMWR_RATING_RO_ROLLUP[MMWR_RATING_RO_ROLLUP],0),MATCH(H$9,MMWR_RATING_RO_ROLLUP[#Headers],0)),"ERROR"))</f>
        <v>78.952551724100005</v>
      </c>
      <c r="I34" s="155">
        <f>IF($B34=" ","",IFERROR(INDEX(MMWR_RATING_RO_ROLLUP[],MATCH($B34,MMWR_RATING_RO_ROLLUP[MMWR_RATING_RO_ROLLUP],0),MATCH(I$9,MMWR_RATING_RO_ROLLUP[#Headers],0)),"ERROR"))</f>
        <v>77.451411960100003</v>
      </c>
      <c r="J34" s="42"/>
      <c r="K34" s="262">
        <f>IF($B34=" ","",IFERROR(VLOOKUP($B34,MMWR_ACCURACY_RO[],MATCH(K$50,MMWR_ACCURACY_RO[#Headers],0),0),"ERROR"))</f>
        <v>0.94363038612199224</v>
      </c>
      <c r="L34" s="262">
        <f>IF($B34=" ","",IFERROR(VLOOKUP($B34,MMWR_ACCURACY_RO[],MATCH(L$50,MMWR_ACCURACY_RO[#Headers],0),0),"ERROR"))</f>
        <v>0.95612000113095486</v>
      </c>
      <c r="M34" s="262">
        <f>IF($B34=" ","",IFERROR(VLOOKUP($B34,MMWR_ACCURACY_RO[],MATCH(M$50,MMWR_ACCURACY_RO[#Headers],0),0),"ERROR"))</f>
        <v>2.0074672505244421E-2</v>
      </c>
      <c r="N34" s="262">
        <f>IF($B34=" ","",IFERROR(VLOOKUP($B34,MMWR_ACCURACY_RO[],MATCH(N$50,MMWR_ACCURACY_RO[#Headers],0),0),"ERROR"))</f>
        <v>0.9611815990348711</v>
      </c>
      <c r="O34" s="262">
        <f>IF($B34=" ","",IFERROR(VLOOKUP($B34,MMWR_ACCURACY_RO[],MATCH(O$50,MMWR_ACCURACY_RO[#Headers],0),0),"ERROR"))</f>
        <v>2.1011337989334321E-2</v>
      </c>
      <c r="P34" s="28"/>
    </row>
    <row r="35" spans="1:16" x14ac:dyDescent="0.2">
      <c r="A35" s="25"/>
      <c r="B35" s="12" t="s">
        <v>210</v>
      </c>
      <c r="C35" s="154">
        <f>IF($B35=" ","",IFERROR(INDEX(MMWR_RATING_RO_ROLLUP[],MATCH($B35,MMWR_RATING_RO_ROLLUP[MMWR_RATING_RO_ROLLUP],0),MATCH(C$9,MMWR_RATING_RO_ROLLUP[#Headers],0)),"ERROR"))</f>
        <v>14063</v>
      </c>
      <c r="D35" s="155">
        <f>IF($B35=" ","",IFERROR(INDEX(MMWR_RATING_RO_ROLLUP[],MATCH($B35,MMWR_RATING_RO_ROLLUP[MMWR_RATING_RO_ROLLUP],0),MATCH(D$9,MMWR_RATING_RO_ROLLUP[#Headers],0)),"ERROR"))</f>
        <v>68.216952286099996</v>
      </c>
      <c r="E35" s="156">
        <f>IF($B35=" ","",IFERROR(INDEX(MMWR_RATING_RO_ROLLUP[],MATCH($B35,MMWR_RATING_RO_ROLLUP[MMWR_RATING_RO_ROLLUP],0),MATCH(E$9,MMWR_RATING_RO_ROLLUP[#Headers],0))/$C35,"ERROR"))</f>
        <v>0.10111640475005333</v>
      </c>
      <c r="F35" s="154">
        <f>IF($B35=" ","",IFERROR(INDEX(MMWR_RATING_RO_ROLLUP[],MATCH($B35,MMWR_RATING_RO_ROLLUP[MMWR_RATING_RO_ROLLUP],0),MATCH(F$9,MMWR_RATING_RO_ROLLUP[#Headers],0)),"ERROR"))</f>
        <v>3612</v>
      </c>
      <c r="G35" s="154">
        <f>IF($B35=" ","",IFERROR(INDEX(MMWR_RATING_RO_ROLLUP[],MATCH($B35,MMWR_RATING_RO_ROLLUP[MMWR_RATING_RO_ROLLUP],0),MATCH(G$9,MMWR_RATING_RO_ROLLUP[#Headers],0)),"ERROR"))</f>
        <v>31154</v>
      </c>
      <c r="H35" s="155">
        <f>IF($B35=" ","",IFERROR(INDEX(MMWR_RATING_RO_ROLLUP[],MATCH($B35,MMWR_RATING_RO_ROLLUP[MMWR_RATING_RO_ROLLUP],0),MATCH(H$9,MMWR_RATING_RO_ROLLUP[#Headers],0)),"ERROR"))</f>
        <v>103.7918050941</v>
      </c>
      <c r="I35" s="155">
        <f>IF($B35=" ","",IFERROR(INDEX(MMWR_RATING_RO_ROLLUP[],MATCH($B35,MMWR_RATING_RO_ROLLUP[MMWR_RATING_RO_ROLLUP],0),MATCH(I$9,MMWR_RATING_RO_ROLLUP[#Headers],0)),"ERROR"))</f>
        <v>97.214290299799998</v>
      </c>
      <c r="J35" s="42"/>
      <c r="K35" s="251">
        <f>IF($B35=" ","",IFERROR(VLOOKUP($B35,MMWR_ACCURACY_RO[],MATCH(K$50,MMWR_ACCURACY_RO[#Headers],0),0),"ERROR"))</f>
        <v>0.93776494845360825</v>
      </c>
      <c r="L35" s="251">
        <f>IF($B35=" ","",IFERROR(VLOOKUP($B35,MMWR_ACCURACY_RO[],MATCH(L$50,MMWR_ACCURACY_RO[#Headers],0),0),"ERROR"))</f>
        <v>0.9260273128657972</v>
      </c>
      <c r="M35" s="251">
        <f>IF($B35=" ","",IFERROR(VLOOKUP($B35,MMWR_ACCURACY_RO[],MATCH(M$50,MMWR_ACCURACY_RO[#Headers],0),0),"ERROR"))</f>
        <v>4.5416877527014565E-2</v>
      </c>
      <c r="N35" s="251">
        <f>IF($B35=" ","",IFERROR(VLOOKUP($B35,MMWR_ACCURACY_RO[],MATCH(N$50,MMWR_ACCURACY_RO[#Headers],0),0),"ERROR"))</f>
        <v>0.92250082247036713</v>
      </c>
      <c r="O35" s="251">
        <f>IF($B35=" ","",IFERROR(VLOOKUP($B35,MMWR_ACCURACY_RO[],MATCH(O$50,MMWR_ACCURACY_RO[#Headers],0),0),"ERROR"))</f>
        <v>5.0641099529277513E-2</v>
      </c>
      <c r="P35" s="28"/>
    </row>
    <row r="36" spans="1:16" x14ac:dyDescent="0.2">
      <c r="A36" s="43"/>
      <c r="B36" s="12" t="s">
        <v>209</v>
      </c>
      <c r="C36" s="154">
        <f>IF($B36=" ","",IFERROR(INDEX(MMWR_RATING_RO_ROLLUP[],MATCH($B36,MMWR_RATING_RO_ROLLUP[MMWR_RATING_RO_ROLLUP],0),MATCH(C$9,MMWR_RATING_RO_ROLLUP[#Headers],0)),"ERROR"))</f>
        <v>5809</v>
      </c>
      <c r="D36" s="155">
        <f>IF($B36=" ","",IFERROR(INDEX(MMWR_RATING_RO_ROLLUP[],MATCH($B36,MMWR_RATING_RO_ROLLUP[MMWR_RATING_RO_ROLLUP],0),MATCH(D$9,MMWR_RATING_RO_ROLLUP[#Headers],0)),"ERROR"))</f>
        <v>65.987605439800006</v>
      </c>
      <c r="E36" s="156">
        <f>IF($B36=" ","",IFERROR(INDEX(MMWR_RATING_RO_ROLLUP[],MATCH($B36,MMWR_RATING_RO_ROLLUP[MMWR_RATING_RO_ROLLUP],0),MATCH(E$9,MMWR_RATING_RO_ROLLUP[#Headers],0))/$C36,"ERROR"))</f>
        <v>0.10896884145291788</v>
      </c>
      <c r="F36" s="154">
        <f>IF($B36=" ","",IFERROR(INDEX(MMWR_RATING_RO_ROLLUP[],MATCH($B36,MMWR_RATING_RO_ROLLUP[MMWR_RATING_RO_ROLLUP],0),MATCH(F$9,MMWR_RATING_RO_ROLLUP[#Headers],0)),"ERROR"))</f>
        <v>3055</v>
      </c>
      <c r="G36" s="154">
        <f>IF($B36=" ","",IFERROR(INDEX(MMWR_RATING_RO_ROLLUP[],MATCH($B36,MMWR_RATING_RO_ROLLUP[MMWR_RATING_RO_ROLLUP],0),MATCH(G$9,MMWR_RATING_RO_ROLLUP[#Headers],0)),"ERROR"))</f>
        <v>27590</v>
      </c>
      <c r="H36" s="155">
        <f>IF($B36=" ","",IFERROR(INDEX(MMWR_RATING_RO_ROLLUP[],MATCH($B36,MMWR_RATING_RO_ROLLUP[MMWR_RATING_RO_ROLLUP],0),MATCH(H$9,MMWR_RATING_RO_ROLLUP[#Headers],0)),"ERROR"))</f>
        <v>69.4314238953</v>
      </c>
      <c r="I36" s="155">
        <f>IF($B36=" ","",IFERROR(INDEX(MMWR_RATING_RO_ROLLUP[],MATCH($B36,MMWR_RATING_RO_ROLLUP[MMWR_RATING_RO_ROLLUP],0),MATCH(I$9,MMWR_RATING_RO_ROLLUP[#Headers],0)),"ERROR"))</f>
        <v>70.813918086300006</v>
      </c>
      <c r="J36" s="42"/>
      <c r="K36" s="251">
        <f>IF($B36=" ","",IFERROR(VLOOKUP($B36,MMWR_ACCURACY_RO[],MATCH(K$50,MMWR_ACCURACY_RO[#Headers],0),0),"ERROR"))</f>
        <v>0.92716420630581386</v>
      </c>
      <c r="L36" s="251">
        <f>IF($B36=" ","",IFERROR(VLOOKUP($B36,MMWR_ACCURACY_RO[],MATCH(L$50,MMWR_ACCURACY_RO[#Headers],0),0),"ERROR"))</f>
        <v>0.94479202420663622</v>
      </c>
      <c r="M36" s="251">
        <f>IF($B36=" ","",IFERROR(VLOOKUP($B36,MMWR_ACCURACY_RO[],MATCH(M$50,MMWR_ACCURACY_RO[#Headers],0),0),"ERROR"))</f>
        <v>4.0818778048310876E-2</v>
      </c>
      <c r="N36" s="251">
        <f>IF($B36=" ","",IFERROR(VLOOKUP($B36,MMWR_ACCURACY_RO[],MATCH(N$50,MMWR_ACCURACY_RO[#Headers],0),0),"ERROR"))</f>
        <v>0.98578189527838345</v>
      </c>
      <c r="O36" s="251">
        <f>IF($B36=" ","",IFERROR(VLOOKUP($B36,MMWR_ACCURACY_RO[],MATCH(O$50,MMWR_ACCURACY_RO[#Headers],0),0),"ERROR"))</f>
        <v>1.6028747144983056E-2</v>
      </c>
      <c r="P36" s="28"/>
    </row>
    <row r="37" spans="1:16" x14ac:dyDescent="0.2">
      <c r="A37" s="25"/>
      <c r="B37" s="12" t="s">
        <v>212</v>
      </c>
      <c r="C37" s="154">
        <f>IF($B37=" ","",IFERROR(INDEX(MMWR_RATING_RO_ROLLUP[],MATCH($B37,MMWR_RATING_RO_ROLLUP[MMWR_RATING_RO_ROLLUP],0),MATCH(C$9,MMWR_RATING_RO_ROLLUP[#Headers],0)),"ERROR"))</f>
        <v>8156</v>
      </c>
      <c r="D37" s="155">
        <f>IF($B37=" ","",IFERROR(INDEX(MMWR_RATING_RO_ROLLUP[],MATCH($B37,MMWR_RATING_RO_ROLLUP[MMWR_RATING_RO_ROLLUP],0),MATCH(D$9,MMWR_RATING_RO_ROLLUP[#Headers],0)),"ERROR"))</f>
        <v>56.032859244699999</v>
      </c>
      <c r="E37" s="156">
        <f>IF($B37=" ","",IFERROR(INDEX(MMWR_RATING_RO_ROLLUP[],MATCH($B37,MMWR_RATING_RO_ROLLUP[MMWR_RATING_RO_ROLLUP],0),MATCH(E$9,MMWR_RATING_RO_ROLLUP[#Headers],0))/$C37,"ERROR"))</f>
        <v>6.1917606669936245E-2</v>
      </c>
      <c r="F37" s="154">
        <f>IF($B37=" ","",IFERROR(INDEX(MMWR_RATING_RO_ROLLUP[],MATCH($B37,MMWR_RATING_RO_ROLLUP[MMWR_RATING_RO_ROLLUP],0),MATCH(F$9,MMWR_RATING_RO_ROLLUP[#Headers],0)),"ERROR"))</f>
        <v>3863</v>
      </c>
      <c r="G37" s="154">
        <f>IF($B37=" ","",IFERROR(INDEX(MMWR_RATING_RO_ROLLUP[],MATCH($B37,MMWR_RATING_RO_ROLLUP[MMWR_RATING_RO_ROLLUP],0),MATCH(G$9,MMWR_RATING_RO_ROLLUP[#Headers],0)),"ERROR"))</f>
        <v>34662</v>
      </c>
      <c r="H37" s="155">
        <f>IF($B37=" ","",IFERROR(INDEX(MMWR_RATING_RO_ROLLUP[],MATCH($B37,MMWR_RATING_RO_ROLLUP[MMWR_RATING_RO_ROLLUP],0),MATCH(H$9,MMWR_RATING_RO_ROLLUP[#Headers],0)),"ERROR"))</f>
        <v>65.264043489499997</v>
      </c>
      <c r="I37" s="155">
        <f>IF($B37=" ","",IFERROR(INDEX(MMWR_RATING_RO_ROLLUP[],MATCH($B37,MMWR_RATING_RO_ROLLUP[MMWR_RATING_RO_ROLLUP],0),MATCH(I$9,MMWR_RATING_RO_ROLLUP[#Headers],0)),"ERROR"))</f>
        <v>67.703710114800003</v>
      </c>
      <c r="J37" s="42"/>
      <c r="K37" s="251">
        <f>IF($B37=" ","",IFERROR(VLOOKUP($B37,MMWR_ACCURACY_RO[],MATCH(K$50,MMWR_ACCURACY_RO[#Headers],0),0),"ERROR"))</f>
        <v>0.96355114310576695</v>
      </c>
      <c r="L37" s="251">
        <f>IF($B37=" ","",IFERROR(VLOOKUP($B37,MMWR_ACCURACY_RO[],MATCH(L$50,MMWR_ACCURACY_RO[#Headers],0),0),"ERROR"))</f>
        <v>0.99161693533714201</v>
      </c>
      <c r="M37" s="251">
        <f>IF($B37=" ","",IFERROR(VLOOKUP($B37,MMWR_ACCURACY_RO[],MATCH(M$50,MMWR_ACCURACY_RO[#Headers],0),0),"ERROR"))</f>
        <v>1.2506047321108795E-2</v>
      </c>
      <c r="N37" s="251">
        <f>IF($B37=" ","",IFERROR(VLOOKUP($B37,MMWR_ACCURACY_RO[],MATCH(N$50,MMWR_ACCURACY_RO[#Headers],0),0),"ERROR"))</f>
        <v>0.98211606185882705</v>
      </c>
      <c r="O37" s="251">
        <f>IF($B37=" ","",IFERROR(VLOOKUP($B37,MMWR_ACCURACY_RO[],MATCH(O$50,MMWR_ACCURACY_RO[#Headers],0),0),"ERROR"))</f>
        <v>2.1682734415525998E-2</v>
      </c>
      <c r="P37" s="28"/>
    </row>
    <row r="38" spans="1:16" x14ac:dyDescent="0.2">
      <c r="A38" s="25"/>
      <c r="B38" s="13" t="s">
        <v>224</v>
      </c>
      <c r="C38" s="154">
        <f>IF($B38=" ","",IFERROR(INDEX(MMWR_RATING_RO_ROLLUP[],MATCH($B38,MMWR_RATING_RO_ROLLUP[MMWR_RATING_RO_ROLLUP],0),MATCH(C$9,MMWR_RATING_RO_ROLLUP[#Headers],0)),"ERROR"))</f>
        <v>815</v>
      </c>
      <c r="D38" s="155">
        <f>IF($B38=" ","",IFERROR(INDEX(MMWR_RATING_RO_ROLLUP[],MATCH($B38,MMWR_RATING_RO_ROLLUP[MMWR_RATING_RO_ROLLUP],0),MATCH(D$9,MMWR_RATING_RO_ROLLUP[#Headers],0)),"ERROR"))</f>
        <v>188.9349693252</v>
      </c>
      <c r="E38" s="156">
        <f>IF($B38=" ","",IFERROR(INDEX(MMWR_RATING_RO_ROLLUP[],MATCH($B38,MMWR_RATING_RO_ROLLUP[MMWR_RATING_RO_ROLLUP],0),MATCH(E$9,MMWR_RATING_RO_ROLLUP[#Headers],0))/$C38,"ERROR"))</f>
        <v>0.52269938650306746</v>
      </c>
      <c r="F38" s="154">
        <f>IF($B38=" ","",IFERROR(INDEX(MMWR_RATING_RO_ROLLUP[],MATCH($B38,MMWR_RATING_RO_ROLLUP[MMWR_RATING_RO_ROLLUP],0),MATCH(F$9,MMWR_RATING_RO_ROLLUP[#Headers],0)),"ERROR"))</f>
        <v>345</v>
      </c>
      <c r="G38" s="154">
        <f>IF($B38=" ","",IFERROR(INDEX(MMWR_RATING_RO_ROLLUP[],MATCH($B38,MMWR_RATING_RO_ROLLUP[MMWR_RATING_RO_ROLLUP],0),MATCH(G$9,MMWR_RATING_RO_ROLLUP[#Headers],0)),"ERROR"))</f>
        <v>2914</v>
      </c>
      <c r="H38" s="155">
        <f>IF($B38=" ","",IFERROR(INDEX(MMWR_RATING_RO_ROLLUP[],MATCH($B38,MMWR_RATING_RO_ROLLUP[MMWR_RATING_RO_ROLLUP],0),MATCH(H$9,MMWR_RATING_RO_ROLLUP[#Headers],0)),"ERROR"))</f>
        <v>56.4782608696</v>
      </c>
      <c r="I38" s="155">
        <f>IF($B38=" ","",IFERROR(INDEX(MMWR_RATING_RO_ROLLUP[],MATCH($B38,MMWR_RATING_RO_ROLLUP[MMWR_RATING_RO_ROLLUP],0),MATCH(I$9,MMWR_RATING_RO_ROLLUP[#Headers],0)),"ERROR"))</f>
        <v>44.956760466699997</v>
      </c>
      <c r="J38" s="42"/>
      <c r="K38" s="42"/>
      <c r="L38" s="42"/>
      <c r="M38" s="42"/>
      <c r="N38" s="42"/>
      <c r="O38" s="42"/>
      <c r="P38" s="28"/>
    </row>
    <row r="39" spans="1:16" x14ac:dyDescent="0.2">
      <c r="A39" s="25"/>
      <c r="B39" s="377" t="s">
        <v>916</v>
      </c>
      <c r="C39" s="378"/>
      <c r="D39" s="378"/>
      <c r="E39" s="378"/>
      <c r="F39" s="378"/>
      <c r="G39" s="378"/>
      <c r="H39" s="378"/>
      <c r="I39" s="378"/>
      <c r="J39" s="378"/>
      <c r="K39" s="378"/>
      <c r="L39" s="378"/>
      <c r="M39" s="378"/>
      <c r="N39" s="378"/>
      <c r="O39" s="378"/>
      <c r="P39" s="28"/>
    </row>
    <row r="40" spans="1:16" x14ac:dyDescent="0.2">
      <c r="A40" s="25"/>
      <c r="B40" s="44" t="s">
        <v>697</v>
      </c>
      <c r="C40" s="154">
        <f>IF($B40=" ","",IFERROR(INDEX(MMWR_RATING_RO_ROLLUP[],MATCH($B40,MMWR_RATING_RO_ROLLUP[MMWR_RATING_RO_ROLLUP],0),MATCH(C$9,MMWR_RATING_RO_ROLLUP[#Headers],0)),"ERROR"))</f>
        <v>7323</v>
      </c>
      <c r="D40" s="155">
        <f>IF($B40=" ","",IFERROR(INDEX(MMWR_RATING_RO_ROLLUP[],MATCH($B40,MMWR_RATING_RO_ROLLUP[MMWR_RATING_RO_ROLLUP],0),MATCH(D$9,MMWR_RATING_RO_ROLLUP[#Headers],0)),"ERROR"))</f>
        <v>83.510173426199998</v>
      </c>
      <c r="E40" s="156">
        <f>IF($B40=" ","",IFERROR(INDEX(MMWR_RATING_RO_ROLLUP[],MATCH($B40,MMWR_RATING_RO_ROLLUP[MMWR_RATING_RO_ROLLUP],0),MATCH(E$9,MMWR_RATING_RO_ROLLUP[#Headers],0))/$C40,"ERROR"))</f>
        <v>0.21084255086713097</v>
      </c>
      <c r="F40" s="154">
        <f>IF($B40=" ","",IFERROR(INDEX(MMWR_RATING_RO_ROLLUP[],MATCH($B40,MMWR_RATING_RO_ROLLUP[MMWR_RATING_RO_ROLLUP],0),MATCH(F$9,MMWR_RATING_RO_ROLLUP[#Headers],0)),"ERROR"))</f>
        <v>2724</v>
      </c>
      <c r="G40" s="154">
        <f>IF($B40=" ","",IFERROR(INDEX(MMWR_RATING_RO_ROLLUP[],MATCH($B40,MMWR_RATING_RO_ROLLUP[MMWR_RATING_RO_ROLLUP],0),MATCH(G$9,MMWR_RATING_RO_ROLLUP[#Headers],0)),"ERROR"))</f>
        <v>16633</v>
      </c>
      <c r="H40" s="155">
        <f>IF($B40=" ","",IFERROR(INDEX(MMWR_RATING_RO_ROLLUP[],MATCH($B40,MMWR_RATING_RO_ROLLUP[MMWR_RATING_RO_ROLLUP],0),MATCH(H$9,MMWR_RATING_RO_ROLLUP[#Headers],0)),"ERROR"))</f>
        <v>129.7525697504</v>
      </c>
      <c r="I40" s="155">
        <f>IF($B40=" ","",IFERROR(INDEX(MMWR_RATING_RO_ROLLUP[],MATCH($B40,MMWR_RATING_RO_ROLLUP[MMWR_RATING_RO_ROLLUP],0),MATCH(I$9,MMWR_RATING_RO_ROLLUP[#Headers],0)),"ERROR"))</f>
        <v>142.31172969400001</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970</v>
      </c>
      <c r="D41" s="155">
        <f>IF($B41=" ","",IFERROR(INDEX(MMWR_RATING_RO_ROLLUP[],MATCH($B41,MMWR_RATING_RO_ROLLUP[MMWR_RATING_RO_ROLLUP],0),MATCH(D$9,MMWR_RATING_RO_ROLLUP[#Headers],0)),"ERROR"))</f>
        <v>92.827835051500003</v>
      </c>
      <c r="E41" s="156">
        <f>IF($B41=" ","",IFERROR(INDEX(MMWR_RATING_RO_ROLLUP[],MATCH($B41,MMWR_RATING_RO_ROLLUP[MMWR_RATING_RO_ROLLUP],0),MATCH(E$9,MMWR_RATING_RO_ROLLUP[#Headers],0))/$C41,"ERROR"))</f>
        <v>0.23298969072164949</v>
      </c>
      <c r="F41" s="154">
        <f>IF($B41=" ","",IFERROR(INDEX(MMWR_RATING_RO_ROLLUP[],MATCH($B41,MMWR_RATING_RO_ROLLUP[MMWR_RATING_RO_ROLLUP],0),MATCH(F$9,MMWR_RATING_RO_ROLLUP[#Headers],0)),"ERROR"))</f>
        <v>1084</v>
      </c>
      <c r="G41" s="154">
        <f>IF($B41=" ","",IFERROR(INDEX(MMWR_RATING_RO_ROLLUP[],MATCH($B41,MMWR_RATING_RO_ROLLUP[MMWR_RATING_RO_ROLLUP],0),MATCH(G$9,MMWR_RATING_RO_ROLLUP[#Headers],0)),"ERROR"))</f>
        <v>7225</v>
      </c>
      <c r="H41" s="155">
        <f>IF($B41=" ","",IFERROR(INDEX(MMWR_RATING_RO_ROLLUP[],MATCH($B41,MMWR_RATING_RO_ROLLUP[MMWR_RATING_RO_ROLLUP],0),MATCH(H$9,MMWR_RATING_RO_ROLLUP[#Headers],0)),"ERROR"))</f>
        <v>123.19188191879999</v>
      </c>
      <c r="I41" s="155">
        <f>IF($B41=" ","",IFERROR(INDEX(MMWR_RATING_RO_ROLLUP[],MATCH($B41,MMWR_RATING_RO_ROLLUP[MMWR_RATING_RO_ROLLUP],0),MATCH(I$9,MMWR_RATING_RO_ROLLUP[#Headers],0)),"ERROR"))</f>
        <v>129.1871280277</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639</v>
      </c>
      <c r="D42" s="155">
        <f>IF($B42=" ","",IFERROR(INDEX(MMWR_RATING_RO_ROLLUP[],MATCH($B42,MMWR_RATING_RO_ROLLUP[MMWR_RATING_RO_ROLLUP],0),MATCH(D$9,MMWR_RATING_RO_ROLLUP[#Headers],0)),"ERROR"))</f>
        <v>133.85289514869999</v>
      </c>
      <c r="E42" s="156">
        <f>IF($B42=" ","",IFERROR(INDEX(MMWR_RATING_RO_ROLLUP[],MATCH($B42,MMWR_RATING_RO_ROLLUP[MMWR_RATING_RO_ROLLUP],0),MATCH(E$9,MMWR_RATING_RO_ROLLUP[#Headers],0))/$C42,"ERROR"))</f>
        <v>0.47887323943661969</v>
      </c>
      <c r="F42" s="154">
        <f>IF($B42=" ","",IFERROR(INDEX(MMWR_RATING_RO_ROLLUP[],MATCH($B42,MMWR_RATING_RO_ROLLUP[MMWR_RATING_RO_ROLLUP],0),MATCH(F$9,MMWR_RATING_RO_ROLLUP[#Headers],0)),"ERROR"))</f>
        <v>536</v>
      </c>
      <c r="G42" s="154">
        <f>IF($B42=" ","",IFERROR(INDEX(MMWR_RATING_RO_ROLLUP[],MATCH($B42,MMWR_RATING_RO_ROLLUP[MMWR_RATING_RO_ROLLUP],0),MATCH(G$9,MMWR_RATING_RO_ROLLUP[#Headers],0)),"ERROR"))</f>
        <v>6170</v>
      </c>
      <c r="H42" s="155">
        <f>IF($B42=" ","",IFERROR(INDEX(MMWR_RATING_RO_ROLLUP[],MATCH($B42,MMWR_RATING_RO_ROLLUP[MMWR_RATING_RO_ROLLUP],0),MATCH(H$9,MMWR_RATING_RO_ROLLUP[#Headers],0)),"ERROR"))</f>
        <v>155.0373134328</v>
      </c>
      <c r="I42" s="155">
        <f>IF($B42=" ","",IFERROR(INDEX(MMWR_RATING_RO_ROLLUP[],MATCH($B42,MMWR_RATING_RO_ROLLUP[MMWR_RATING_RO_ROLLUP],0),MATCH(I$9,MMWR_RATING_RO_ROLLUP[#Headers],0)),"ERROR"))</f>
        <v>161.43144246349999</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5714</v>
      </c>
      <c r="D43" s="155">
        <f>IF($B43=" ","",IFERROR(INDEX(MMWR_RATING_RO_ROLLUP[],MATCH($B43,MMWR_RATING_RO_ROLLUP[MMWR_RATING_RO_ROLLUP],0),MATCH(D$9,MMWR_RATING_RO_ROLLUP[#Headers],0)),"ERROR"))</f>
        <v>76.298564928199994</v>
      </c>
      <c r="E43" s="156">
        <f>IF($B43=" ","",IFERROR(INDEX(MMWR_RATING_RO_ROLLUP[],MATCH($B43,MMWR_RATING_RO_ROLLUP[MMWR_RATING_RO_ROLLUP],0),MATCH(E$9,MMWR_RATING_RO_ROLLUP[#Headers],0))/$C43,"ERROR"))</f>
        <v>0.17710885544277213</v>
      </c>
      <c r="F43" s="154">
        <f>IF($B43=" ","",IFERROR(INDEX(MMWR_RATING_RO_ROLLUP[],MATCH($B43,MMWR_RATING_RO_ROLLUP[MMWR_RATING_RO_ROLLUP],0),MATCH(F$9,MMWR_RATING_RO_ROLLUP[#Headers],0)),"ERROR"))</f>
        <v>1104</v>
      </c>
      <c r="G43" s="154">
        <f>IF($B43=" ","",IFERROR(INDEX(MMWR_RATING_RO_ROLLUP[],MATCH($B43,MMWR_RATING_RO_ROLLUP[MMWR_RATING_RO_ROLLUP],0),MATCH(G$9,MMWR_RATING_RO_ROLLUP[#Headers],0)),"ERROR"))</f>
        <v>3238</v>
      </c>
      <c r="H43" s="155">
        <f>IF($B43=" ","",IFERROR(INDEX(MMWR_RATING_RO_ROLLUP[],MATCH($B43,MMWR_RATING_RO_ROLLUP[MMWR_RATING_RO_ROLLUP],0),MATCH(H$9,MMWR_RATING_RO_ROLLUP[#Headers],0)),"ERROR"))</f>
        <v>123.9184782609</v>
      </c>
      <c r="I43" s="155">
        <f>IF($B43=" ","",IFERROR(INDEX(MMWR_RATING_RO_ROLLUP[],MATCH($B43,MMWR_RATING_RO_ROLLUP[MMWR_RATING_RO_ROLLUP],0),MATCH(I$9,MMWR_RATING_RO_ROLLUP[#Headers],0)),"ERROR"))</f>
        <v>135.16429894999999</v>
      </c>
      <c r="J43" s="42"/>
      <c r="K43" s="42"/>
      <c r="L43" s="42"/>
      <c r="M43" s="42"/>
      <c r="N43" s="42"/>
      <c r="O43" s="42"/>
      <c r="P43" s="28"/>
    </row>
    <row r="44" spans="1:16" x14ac:dyDescent="0.2">
      <c r="A44" s="25"/>
      <c r="B44" s="377" t="s">
        <v>734</v>
      </c>
      <c r="C44" s="378"/>
      <c r="D44" s="378"/>
      <c r="E44" s="378"/>
      <c r="F44" s="378"/>
      <c r="G44" s="378"/>
      <c r="H44" s="378"/>
      <c r="I44" s="378"/>
      <c r="J44" s="378"/>
      <c r="K44" s="378"/>
      <c r="L44" s="378"/>
      <c r="M44" s="378"/>
      <c r="N44" s="378"/>
      <c r="O44" s="378"/>
      <c r="P44" s="28"/>
    </row>
    <row r="45" spans="1:16" x14ac:dyDescent="0.2">
      <c r="A45" s="25"/>
      <c r="B45" s="44" t="s">
        <v>695</v>
      </c>
      <c r="C45" s="154">
        <f>IF($B45=" ","",IFERROR(INDEX(MMWR_RATING_RO_ROLLUP[],MATCH($B45,MMWR_RATING_RO_ROLLUP[MMWR_RATING_RO_ROLLUP],0),MATCH(C$9,MMWR_RATING_RO_ROLLUP[#Headers],0)),"ERROR"))</f>
        <v>7030</v>
      </c>
      <c r="D45" s="155">
        <f>IF($B45=" ","",IFERROR(INDEX(MMWR_RATING_RO_ROLLUP[],MATCH($B45,MMWR_RATING_RO_ROLLUP[MMWR_RATING_RO_ROLLUP],0),MATCH(D$9,MMWR_RATING_RO_ROLLUP[#Headers],0)),"ERROR"))</f>
        <v>87.744950213400003</v>
      </c>
      <c r="E45" s="156">
        <f>IF($B45=" ","",IFERROR(INDEX(MMWR_RATING_RO_ROLLUP[],MATCH($B45,MMWR_RATING_RO_ROLLUP[MMWR_RATING_RO_ROLLUP],0),MATCH(E$9,MMWR_RATING_RO_ROLLUP[#Headers],0))/$C45,"ERROR"))</f>
        <v>0.21465149359886201</v>
      </c>
      <c r="F45" s="154">
        <f>IF($B45=" ","",IFERROR(INDEX(MMWR_RATING_RO_ROLLUP[],MATCH($B45,MMWR_RATING_RO_ROLLUP[MMWR_RATING_RO_ROLLUP],0),MATCH(F$9,MMWR_RATING_RO_ROLLUP[#Headers],0)),"ERROR"))</f>
        <v>2971</v>
      </c>
      <c r="G45" s="154">
        <f>IF($B45=" ","",IFERROR(INDEX(MMWR_RATING_RO_ROLLUP[],MATCH($B45,MMWR_RATING_RO_ROLLUP[MMWR_RATING_RO_ROLLUP],0),MATCH(G$9,MMWR_RATING_RO_ROLLUP[#Headers],0)),"ERROR"))</f>
        <v>19204</v>
      </c>
      <c r="H45" s="155">
        <f>IF($B45=" ","",IFERROR(INDEX(MMWR_RATING_RO_ROLLUP[],MATCH($B45,MMWR_RATING_RO_ROLLUP[MMWR_RATING_RO_ROLLUP],0),MATCH(H$9,MMWR_RATING_RO_ROLLUP[#Headers],0)),"ERROR"))</f>
        <v>120.997980478</v>
      </c>
      <c r="I45" s="155">
        <f>IF($B45=" ","",IFERROR(INDEX(MMWR_RATING_RO_ROLLUP[],MATCH($B45,MMWR_RATING_RO_ROLLUP[MMWR_RATING_RO_ROLLUP],0),MATCH(I$9,MMWR_RATING_RO_ROLLUP[#Headers],0)),"ERROR"))</f>
        <v>134.17199541759999</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245</v>
      </c>
      <c r="D46" s="155">
        <f>IF($B46=" ","",IFERROR(INDEX(MMWR_RATING_RO_ROLLUP[],MATCH($B46,MMWR_RATING_RO_ROLLUP[MMWR_RATING_RO_ROLLUP],0),MATCH(D$9,MMWR_RATING_RO_ROLLUP[#Headers],0)),"ERROR"))</f>
        <v>109.8734693878</v>
      </c>
      <c r="E46" s="156">
        <f>IF($B46=" ","",IFERROR(INDEX(MMWR_RATING_RO_ROLLUP[],MATCH($B46,MMWR_RATING_RO_ROLLUP[MMWR_RATING_RO_ROLLUP],0),MATCH(E$9,MMWR_RATING_RO_ROLLUP[#Headers],0))/$C46,"ERROR"))</f>
        <v>0.26122448979591839</v>
      </c>
      <c r="F46" s="154">
        <f>IF($B46=" ","",IFERROR(INDEX(MMWR_RATING_RO_ROLLUP[],MATCH($B46,MMWR_RATING_RO_ROLLUP[MMWR_RATING_RO_ROLLUP],0),MATCH(F$9,MMWR_RATING_RO_ROLLUP[#Headers],0)),"ERROR"))</f>
        <v>801</v>
      </c>
      <c r="G46" s="154">
        <f>IF($B46=" ","",IFERROR(INDEX(MMWR_RATING_RO_ROLLUP[],MATCH($B46,MMWR_RATING_RO_ROLLUP[MMWR_RATING_RO_ROLLUP],0),MATCH(G$9,MMWR_RATING_RO_ROLLUP[#Headers],0)),"ERROR"))</f>
        <v>7734</v>
      </c>
      <c r="H46" s="155">
        <f>IF($B46=" ","",IFERROR(INDEX(MMWR_RATING_RO_ROLLUP[],MATCH($B46,MMWR_RATING_RO_ROLLUP[MMWR_RATING_RO_ROLLUP],0),MATCH(H$9,MMWR_RATING_RO_ROLLUP[#Headers],0)),"ERROR"))</f>
        <v>112.5755305868</v>
      </c>
      <c r="I46" s="155">
        <f>IF($B46=" ","",IFERROR(INDEX(MMWR_RATING_RO_ROLLUP[],MATCH($B46,MMWR_RATING_RO_ROLLUP[MMWR_RATING_RO_ROLLUP],0),MATCH(I$9,MMWR_RATING_RO_ROLLUP[#Headers],0)),"ERROR"))</f>
        <v>119.7923454875</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597</v>
      </c>
      <c r="D47" s="155">
        <f>IF($B47=" ","",IFERROR(INDEX(MMWR_RATING_RO_ROLLUP[],MATCH($B47,MMWR_RATING_RO_ROLLUP[MMWR_RATING_RO_ROLLUP],0),MATCH(D$9,MMWR_RATING_RO_ROLLUP[#Headers],0)),"ERROR"))</f>
        <v>132.75209380230001</v>
      </c>
      <c r="E47" s="156">
        <f>IF($B47=" ","",IFERROR(INDEX(MMWR_RATING_RO_ROLLUP[],MATCH($B47,MMWR_RATING_RO_ROLLUP[MMWR_RATING_RO_ROLLUP],0),MATCH(E$9,MMWR_RATING_RO_ROLLUP[#Headers],0))/$C47,"ERROR"))</f>
        <v>0.40368509212730319</v>
      </c>
      <c r="F47" s="154">
        <f>IF($B47=" ","",IFERROR(INDEX(MMWR_RATING_RO_ROLLUP[],MATCH($B47,MMWR_RATING_RO_ROLLUP[MMWR_RATING_RO_ROLLUP],0),MATCH(F$9,MMWR_RATING_RO_ROLLUP[#Headers],0)),"ERROR"))</f>
        <v>625</v>
      </c>
      <c r="G47" s="154">
        <f>IF($B47=" ","",IFERROR(INDEX(MMWR_RATING_RO_ROLLUP[],MATCH($B47,MMWR_RATING_RO_ROLLUP[MMWR_RATING_RO_ROLLUP],0),MATCH(G$9,MMWR_RATING_RO_ROLLUP[#Headers],0)),"ERROR"))</f>
        <v>7092</v>
      </c>
      <c r="H47" s="155">
        <f>IF($B47=" ","",IFERROR(INDEX(MMWR_RATING_RO_ROLLUP[],MATCH($B47,MMWR_RATING_RO_ROLLUP[MMWR_RATING_RO_ROLLUP],0),MATCH(H$9,MMWR_RATING_RO_ROLLUP[#Headers],0)),"ERROR"))</f>
        <v>151.51679999999999</v>
      </c>
      <c r="I47" s="155">
        <f>IF($B47=" ","",IFERROR(INDEX(MMWR_RATING_RO_ROLLUP[],MATCH($B47,MMWR_RATING_RO_ROLLUP[MMWR_RATING_RO_ROLLUP],0),MATCH(I$9,MMWR_RATING_RO_ROLLUP[#Headers],0)),"ERROR"))</f>
        <v>152.69416243649999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6188</v>
      </c>
      <c r="D48" s="155">
        <f>IF($B48=" ","",IFERROR(INDEX(MMWR_RATING_RO_ROLLUP[],MATCH($B48,MMWR_RATING_RO_ROLLUP[MMWR_RATING_RO_ROLLUP],0),MATCH(D$9,MMWR_RATING_RO_ROLLUP[#Headers],0)),"ERROR"))</f>
        <v>82.526664511999996</v>
      </c>
      <c r="E48" s="156">
        <f>IF($B48=" ","",IFERROR(INDEX(MMWR_RATING_RO_ROLLUP[],MATCH($B48,MMWR_RATING_RO_ROLLUP[MMWR_RATING_RO_ROLLUP],0),MATCH(E$9,MMWR_RATING_RO_ROLLUP[#Headers],0))/$C48,"ERROR"))</f>
        <v>0.19457013574660634</v>
      </c>
      <c r="F48" s="154">
        <f>IF($B48=" ","",IFERROR(INDEX(MMWR_RATING_RO_ROLLUP[],MATCH($B48,MMWR_RATING_RO_ROLLUP[MMWR_RATING_RO_ROLLUP],0),MATCH(F$9,MMWR_RATING_RO_ROLLUP[#Headers],0)),"ERROR"))</f>
        <v>1545</v>
      </c>
      <c r="G48" s="154">
        <f>IF($B48=" ","",IFERROR(INDEX(MMWR_RATING_RO_ROLLUP[],MATCH($B48,MMWR_RATING_RO_ROLLUP[MMWR_RATING_RO_ROLLUP],0),MATCH(G$9,MMWR_RATING_RO_ROLLUP[#Headers],0)),"ERROR"))</f>
        <v>4378</v>
      </c>
      <c r="H48" s="155">
        <f>IF($B48=" ","",IFERROR(INDEX(MMWR_RATING_RO_ROLLUP[],MATCH($B48,MMWR_RATING_RO_ROLLUP[MMWR_RATING_RO_ROLLUP],0),MATCH(H$9,MMWR_RATING_RO_ROLLUP[#Headers],0)),"ERROR"))</f>
        <v>113.0187702265</v>
      </c>
      <c r="I48" s="155">
        <f>IF($B48=" ","",IFERROR(INDEX(MMWR_RATING_RO_ROLLUP[],MATCH($B48,MMWR_RATING_RO_ROLLUP[MMWR_RATING_RO_ROLLUP],0),MATCH(I$9,MMWR_RATING_RO_ROLLUP[#Headers],0)),"ERROR"))</f>
        <v>129.570123344</v>
      </c>
      <c r="J48" s="42"/>
      <c r="K48" s="42"/>
      <c r="L48" s="42"/>
      <c r="M48" s="42"/>
      <c r="N48" s="42"/>
      <c r="O48" s="42"/>
      <c r="P48" s="28"/>
    </row>
    <row r="49" spans="1:16" ht="15.75" x14ac:dyDescent="0.25">
      <c r="A49" s="25"/>
      <c r="B49" s="376" t="s">
        <v>1050</v>
      </c>
      <c r="C49" s="376"/>
      <c r="D49" s="376"/>
      <c r="E49" s="376"/>
      <c r="F49" s="376"/>
      <c r="G49" s="376"/>
      <c r="H49" s="376"/>
      <c r="I49" s="376"/>
      <c r="J49" s="376"/>
      <c r="K49" s="376"/>
      <c r="L49" s="376"/>
      <c r="M49" s="376"/>
      <c r="N49" s="376"/>
      <c r="O49" s="261"/>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294</v>
      </c>
      <c r="D2" s="350"/>
      <c r="E2" s="350"/>
      <c r="F2" s="350"/>
      <c r="G2" s="350"/>
      <c r="H2" s="350"/>
      <c r="I2" s="350"/>
      <c r="J2" s="349" t="s">
        <v>300</v>
      </c>
      <c r="K2" s="350"/>
      <c r="L2" s="350"/>
      <c r="M2" s="351"/>
      <c r="N2" s="28"/>
    </row>
    <row r="3" spans="1:16" ht="24" customHeight="1" thickBot="1" x14ac:dyDescent="0.4">
      <c r="A3" s="25"/>
      <c r="B3" s="29"/>
      <c r="C3" s="352"/>
      <c r="D3" s="353"/>
      <c r="E3" s="353"/>
      <c r="F3" s="353"/>
      <c r="G3" s="353"/>
      <c r="H3" s="353"/>
      <c r="I3" s="353"/>
      <c r="J3" s="352" t="str">
        <f>Transformation!B4</f>
        <v>As of: May 28, 2016</v>
      </c>
      <c r="K3" s="353"/>
      <c r="L3" s="353"/>
      <c r="M3" s="354"/>
      <c r="N3" s="28"/>
    </row>
    <row r="4" spans="1:16" ht="51" customHeight="1" thickBot="1" x14ac:dyDescent="0.35">
      <c r="A4" s="30"/>
      <c r="B4" s="246" t="s">
        <v>455</v>
      </c>
      <c r="C4" s="355" t="s">
        <v>970</v>
      </c>
      <c r="D4" s="356"/>
      <c r="E4" s="356"/>
      <c r="F4" s="356"/>
      <c r="G4" s="356"/>
      <c r="H4" s="356"/>
      <c r="I4" s="356"/>
      <c r="J4" s="356"/>
      <c r="K4" s="356"/>
      <c r="L4" s="356"/>
      <c r="M4" s="357"/>
      <c r="N4" s="28"/>
      <c r="O4" s="22"/>
      <c r="P4" s="23"/>
    </row>
    <row r="5" spans="1:16" ht="27" customHeight="1" thickBot="1" x14ac:dyDescent="0.25">
      <c r="A5" s="30"/>
      <c r="B5" s="48"/>
      <c r="C5" s="358" t="s">
        <v>1041</v>
      </c>
      <c r="D5" s="359"/>
      <c r="E5" s="359"/>
      <c r="F5" s="359"/>
      <c r="G5" s="359"/>
      <c r="H5" s="359"/>
      <c r="I5" s="359"/>
      <c r="J5" s="359"/>
      <c r="K5" s="359"/>
      <c r="L5" s="359"/>
      <c r="M5" s="359"/>
      <c r="N5" s="359"/>
      <c r="O5" s="360"/>
    </row>
    <row r="6" spans="1:16"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6"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6"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385" t="s">
        <v>293</v>
      </c>
      <c r="D10" s="385"/>
      <c r="E10" s="385"/>
      <c r="F10" s="385"/>
      <c r="G10" s="385"/>
      <c r="H10" s="385"/>
      <c r="I10" s="385"/>
      <c r="J10" s="385"/>
      <c r="K10" s="385"/>
      <c r="L10" s="385"/>
      <c r="M10" s="386"/>
      <c r="N10" s="28"/>
    </row>
    <row r="11" spans="1:16" ht="64.5" customHeight="1" x14ac:dyDescent="0.2">
      <c r="A11" s="25"/>
      <c r="B11" s="26"/>
      <c r="C11" s="52" t="s">
        <v>226</v>
      </c>
      <c r="D11" s="52" t="s">
        <v>134</v>
      </c>
      <c r="E11" s="52" t="s">
        <v>227</v>
      </c>
      <c r="F11" s="52" t="s">
        <v>189</v>
      </c>
      <c r="G11" s="52" t="s">
        <v>204</v>
      </c>
      <c r="H11" s="52" t="s">
        <v>206</v>
      </c>
      <c r="I11" s="52" t="s">
        <v>207</v>
      </c>
      <c r="J11" s="388" t="s">
        <v>971</v>
      </c>
      <c r="K11" s="389"/>
      <c r="L11" s="389"/>
      <c r="M11" s="390"/>
      <c r="N11" s="28"/>
    </row>
    <row r="12" spans="1:16" x14ac:dyDescent="0.2">
      <c r="A12" s="25"/>
      <c r="B12" s="41" t="s">
        <v>729</v>
      </c>
      <c r="C12" s="154">
        <f>IF($B12=" ","",IFERROR(INDEX(MMWR_RATING_RO_ROLLUP[],MATCH($B12,MMWR_RATING_RO_ROLLUP[MMWR_RATING_RO_ROLLUP],0),MATCH(C$9,MMWR_RATING_RO_ROLLUP[#Headers],0)),"ERROR"))</f>
        <v>356878</v>
      </c>
      <c r="D12" s="155">
        <f>IF($B12=" ","",IFERROR(INDEX(MMWR_RATING_RO_ROLLUP[],MATCH($B12,MMWR_RATING_RO_ROLLUP[MMWR_RATING_RO_ROLLUP],0),MATCH(D$9,MMWR_RATING_RO_ROLLUP[#Headers],0)),"ERROR"))</f>
        <v>88.609264230400001</v>
      </c>
      <c r="E12" s="156">
        <f>IF($B12=" ","",IFERROR(INDEX(MMWR_RATING_RO_ROLLUP[],MATCH($B12,MMWR_RATING_RO_ROLLUP[MMWR_RATING_RO_ROLLUP],0),MATCH(E$9,MMWR_RATING_RO_ROLLUP[#Headers],0))/$C12,"ERROR"))</f>
        <v>0.20468899736044249</v>
      </c>
      <c r="F12" s="154">
        <f>IF($B12=" ","",IFERROR(INDEX(MMWR_RATING_RO_ROLLUP[],MATCH($B12,MMWR_RATING_RO_ROLLUP[MMWR_RATING_RO_ROLLUP],0),MATCH(F$9,MMWR_RATING_RO_ROLLUP[#Headers],0)),"ERROR"))</f>
        <v>95957</v>
      </c>
      <c r="G12" s="154">
        <f>IF($B12=" ","",IFERROR(INDEX(MMWR_RATING_RO_ROLLUP[],MATCH($B12,MMWR_RATING_RO_ROLLUP[MMWR_RATING_RO_ROLLUP],0),MATCH(G$9,MMWR_RATING_RO_ROLLUP[#Headers],0)),"ERROR"))</f>
        <v>836391</v>
      </c>
      <c r="H12" s="155">
        <f>IF($B12=" ","",IFERROR(INDEX(MMWR_RATING_RO_ROLLUP[],MATCH($B12,MMWR_RATING_RO_ROLLUP[MMWR_RATING_RO_ROLLUP],0),MATCH(H$9,MMWR_RATING_RO_ROLLUP[#Headers],0)),"ERROR"))</f>
        <v>117.1651052034</v>
      </c>
      <c r="I12" s="155">
        <f>IF($B12=" ","",IFERROR(INDEX(MMWR_RATING_RO_ROLLUP[],MATCH($B12,MMWR_RATING_RO_ROLLUP[MMWR_RATING_RO_ROLLUP],0),MATCH(I$9,MMWR_RATING_RO_ROLLUP[#Headers],0)),"ERROR"))</f>
        <v>123.5537637301</v>
      </c>
      <c r="J12" s="42"/>
      <c r="K12" s="42"/>
      <c r="L12" s="42"/>
      <c r="M12" s="42"/>
      <c r="N12" s="28"/>
    </row>
    <row r="13" spans="1:16" x14ac:dyDescent="0.2">
      <c r="A13" s="25"/>
      <c r="B13" s="377" t="s">
        <v>732</v>
      </c>
      <c r="C13" s="378"/>
      <c r="D13" s="378"/>
      <c r="E13" s="378"/>
      <c r="F13" s="378"/>
      <c r="G13" s="378"/>
      <c r="H13" s="378"/>
      <c r="I13" s="378"/>
      <c r="J13" s="378"/>
      <c r="K13" s="378"/>
      <c r="L13" s="378"/>
      <c r="M13" s="387"/>
      <c r="N13" s="28"/>
    </row>
    <row r="14" spans="1:16" x14ac:dyDescent="0.2">
      <c r="A14" s="25"/>
      <c r="B14" s="41" t="s">
        <v>728</v>
      </c>
      <c r="C14" s="154">
        <f>IF($B14=" ","",IFERROR(INDEX(MMWR_RATING_RO_ROLLUP[],MATCH($B14,MMWR_RATING_RO_ROLLUP[MMWR_RATING_RO_ROLLUP],0),MATCH(C$9,MMWR_RATING_RO_ROLLUP[#Headers],0)),"ERROR"))</f>
        <v>313681</v>
      </c>
      <c r="D14" s="155">
        <f>IF($B14=" ","",IFERROR(INDEX(MMWR_RATING_RO_ROLLUP[],MATCH($B14,MMWR_RATING_RO_ROLLUP[MMWR_RATING_RO_ROLLUP],0),MATCH(D$9,MMWR_RATING_RO_ROLLUP[#Headers],0)),"ERROR"))</f>
        <v>90.665982319600005</v>
      </c>
      <c r="E14" s="156">
        <f>IF($B14=" ","",IFERROR(INDEX(MMWR_RATING_RO_ROLLUP[],MATCH($B14,MMWR_RATING_RO_ROLLUP[MMWR_RATING_RO_ROLLUP],0),MATCH(E$9,MMWR_RATING_RO_ROLLUP[#Headers],0))/$C14,"ERROR"))</f>
        <v>0.21362148169637307</v>
      </c>
      <c r="F14" s="154">
        <f>IF($B14=" ","",IFERROR(INDEX(MMWR_RATING_RO_ROLLUP[],MATCH($B14,MMWR_RATING_RO_ROLLUP[MMWR_RATING_RO_ROLLUP],0),MATCH(F$9,MMWR_RATING_RO_ROLLUP[#Headers],0)),"ERROR"))</f>
        <v>79387</v>
      </c>
      <c r="G14" s="154">
        <f>IF($B14=" ","",IFERROR(INDEX(MMWR_RATING_RO_ROLLUP[],MATCH($B14,MMWR_RATING_RO_ROLLUP[MMWR_RATING_RO_ROLLUP],0),MATCH(G$9,MMWR_RATING_RO_ROLLUP[#Headers],0)),"ERROR"))</f>
        <v>704234</v>
      </c>
      <c r="H14" s="155">
        <f>IF($B14=" ","",IFERROR(INDEX(MMWR_RATING_RO_ROLLUP[],MATCH($B14,MMWR_RATING_RO_ROLLUP[MMWR_RATING_RO_ROLLUP],0),MATCH(H$9,MMWR_RATING_RO_ROLLUP[#Headers],0)),"ERROR"))</f>
        <v>121.8243793064</v>
      </c>
      <c r="I14" s="155">
        <f>IF($B14=" ","",IFERROR(INDEX(MMWR_RATING_RO_ROLLUP[],MATCH($B14,MMWR_RATING_RO_ROLLUP[MMWR_RATING_RO_ROLLUP],0),MATCH(I$9,MMWR_RATING_RO_ROLLUP[#Headers],0)),"ERROR"))</f>
        <v>129.1267192439</v>
      </c>
      <c r="J14" s="42"/>
      <c r="K14" s="42"/>
      <c r="L14" s="42"/>
      <c r="M14" s="42"/>
      <c r="N14" s="28"/>
    </row>
    <row r="15" spans="1:16" x14ac:dyDescent="0.2">
      <c r="A15" s="25"/>
      <c r="B15" s="247" t="s">
        <v>369</v>
      </c>
      <c r="C15" s="154">
        <f>IF($B15=" ","",IFERROR(INDEX(MMWR_RATING_RO_ROLLUP[],MATCH($B15,MMWR_RATING_RO_ROLLUP[MMWR_RATING_RO_ROLLUP],0),MATCH(C$9,MMWR_RATING_RO_ROLLUP[#Headers],0)),"ERROR"))</f>
        <v>71850</v>
      </c>
      <c r="D15" s="155">
        <f>IF($B15=" ","",IFERROR(INDEX(MMWR_RATING_RO_ROLLUP[],MATCH($B15,MMWR_RATING_RO_ROLLUP[MMWR_RATING_RO_ROLLUP],0),MATCH(D$9,MMWR_RATING_RO_ROLLUP[#Headers],0)),"ERROR"))</f>
        <v>93.766903270699999</v>
      </c>
      <c r="E15" s="156">
        <f>IF($B15=" ","",IFERROR(INDEX(MMWR_RATING_RO_ROLLUP[],MATCH($B15,MMWR_RATING_RO_ROLLUP[MMWR_RATING_RO_ROLLUP],0),MATCH(E$9,MMWR_RATING_RO_ROLLUP[#Headers],0))/$C15,"ERROR"))</f>
        <v>0.23348643006263048</v>
      </c>
      <c r="F15" s="154">
        <f>IF($B15=" ","",IFERROR(INDEX(MMWR_RATING_RO_ROLLUP[],MATCH($B15,MMWR_RATING_RO_ROLLUP[MMWR_RATING_RO_ROLLUP],0),MATCH(F$9,MMWR_RATING_RO_ROLLUP[#Headers],0)),"ERROR"))</f>
        <v>17885</v>
      </c>
      <c r="G15" s="154">
        <f>IF($B15=" ","",IFERROR(INDEX(MMWR_RATING_RO_ROLLUP[],MATCH($B15,MMWR_RATING_RO_ROLLUP[MMWR_RATING_RO_ROLLUP],0),MATCH(G$9,MMWR_RATING_RO_ROLLUP[#Headers],0)),"ERROR"))</f>
        <v>153319</v>
      </c>
      <c r="H15" s="155">
        <f>IF($B15=" ","",IFERROR(INDEX(MMWR_RATING_RO_ROLLUP[],MATCH($B15,MMWR_RATING_RO_ROLLUP[MMWR_RATING_RO_ROLLUP],0),MATCH(H$9,MMWR_RATING_RO_ROLLUP[#Headers],0)),"ERROR"))</f>
        <v>124.06228683250001</v>
      </c>
      <c r="I15" s="155">
        <f>IF($B15=" ","",IFERROR(INDEX(MMWR_RATING_RO_ROLLUP[],MATCH($B15,MMWR_RATING_RO_ROLLUP[MMWR_RATING_RO_ROLLUP],0),MATCH(I$9,MMWR_RATING_RO_ROLLUP[#Headers],0)),"ERROR"))</f>
        <v>131.35415049669999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4746</v>
      </c>
      <c r="D16" s="155">
        <f>IF($B16=" ","",IFERROR(INDEX(MMWR_RATING_RO_ROLLUP[],MATCH($B16,MMWR_RATING_RO_ROLLUP[MMWR_RATING_RO_ROLLUP],0),MATCH(D$9,MMWR_RATING_RO_ROLLUP[#Headers],0)),"ERROR"))</f>
        <v>102.5172777075</v>
      </c>
      <c r="E16" s="156">
        <f>IF($B16=" ","",IFERROR(INDEX(MMWR_RATING_RO_ROLLUP[],MATCH($B16,MMWR_RATING_RO_ROLLUP[MMWR_RATING_RO_ROLLUP],0),MATCH(E$9,MMWR_RATING_RO_ROLLUP[#Headers],0))/$C16,"ERROR"))</f>
        <v>0.25010535187526339</v>
      </c>
      <c r="F16" s="154">
        <f>IF($B16=" ","",IFERROR(INDEX(MMWR_RATING_RO_ROLLUP[],MATCH($B16,MMWR_RATING_RO_ROLLUP[MMWR_RATING_RO_ROLLUP],0),MATCH(F$9,MMWR_RATING_RO_ROLLUP[#Headers],0)),"ERROR"))</f>
        <v>1077</v>
      </c>
      <c r="G16" s="154">
        <f>IF($B16=" ","",IFERROR(INDEX(MMWR_RATING_RO_ROLLUP[],MATCH($B16,MMWR_RATING_RO_ROLLUP[MMWR_RATING_RO_ROLLUP],0),MATCH(G$9,MMWR_RATING_RO_ROLLUP[#Headers],0)),"ERROR"))</f>
        <v>9922</v>
      </c>
      <c r="H16" s="155">
        <f>IF($B16=" ","",IFERROR(INDEX(MMWR_RATING_RO_ROLLUP[],MATCH($B16,MMWR_RATING_RO_ROLLUP[MMWR_RATING_RO_ROLLUP],0),MATCH(H$9,MMWR_RATING_RO_ROLLUP[#Headers],0)),"ERROR"))</f>
        <v>136.5357474466</v>
      </c>
      <c r="I16" s="155">
        <f>IF($B16=" ","",IFERROR(INDEX(MMWR_RATING_RO_ROLLUP[],MATCH($B16,MMWR_RATING_RO_ROLLUP[MMWR_RATING_RO_ROLLUP],0),MATCH(I$9,MMWR_RATING_RO_ROLLUP[#Headers],0)),"ERROR"))</f>
        <v>142.9156420077</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3415</v>
      </c>
      <c r="D17" s="155">
        <f>IF($B17=" ","",IFERROR(INDEX(MMWR_RATING_RO_ROLLUP[],MATCH($B17,MMWR_RATING_RO_ROLLUP[MMWR_RATING_RO_ROLLUP],0),MATCH(D$9,MMWR_RATING_RO_ROLLUP[#Headers],0)),"ERROR"))</f>
        <v>89.351683748200003</v>
      </c>
      <c r="E17" s="156">
        <f>IF($B17=" ","",IFERROR(INDEX(MMWR_RATING_RO_ROLLUP[],MATCH($B17,MMWR_RATING_RO_ROLLUP[MMWR_RATING_RO_ROLLUP],0),MATCH(E$9,MMWR_RATING_RO_ROLLUP[#Headers],0))/$C17,"ERROR"))</f>
        <v>0.21054172767203513</v>
      </c>
      <c r="F17" s="154">
        <f>IF($B17=" ","",IFERROR(INDEX(MMWR_RATING_RO_ROLLUP[],MATCH($B17,MMWR_RATING_RO_ROLLUP[MMWR_RATING_RO_ROLLUP],0),MATCH(F$9,MMWR_RATING_RO_ROLLUP[#Headers],0)),"ERROR"))</f>
        <v>912</v>
      </c>
      <c r="G17" s="154">
        <f>IF($B17=" ","",IFERROR(INDEX(MMWR_RATING_RO_ROLLUP[],MATCH($B17,MMWR_RATING_RO_ROLLUP[MMWR_RATING_RO_ROLLUP],0),MATCH(G$9,MMWR_RATING_RO_ROLLUP[#Headers],0)),"ERROR"))</f>
        <v>7515</v>
      </c>
      <c r="H17" s="155">
        <f>IF($B17=" ","",IFERROR(INDEX(MMWR_RATING_RO_ROLLUP[],MATCH($B17,MMWR_RATING_RO_ROLLUP[MMWR_RATING_RO_ROLLUP],0),MATCH(H$9,MMWR_RATING_RO_ROLLUP[#Headers],0)),"ERROR"))</f>
        <v>124.2072368421</v>
      </c>
      <c r="I17" s="155">
        <f>IF($B17=" ","",IFERROR(INDEX(MMWR_RATING_RO_ROLLUP[],MATCH($B17,MMWR_RATING_RO_ROLLUP[MMWR_RATING_RO_ROLLUP],0),MATCH(I$9,MMWR_RATING_RO_ROLLUP[#Headers],0)),"ERROR"))</f>
        <v>131.88356620089999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3718</v>
      </c>
      <c r="D18" s="155">
        <f>IF($B18=" ","",IFERROR(INDEX(MMWR_RATING_RO_ROLLUP[],MATCH($B18,MMWR_RATING_RO_ROLLUP[MMWR_RATING_RO_ROLLUP],0),MATCH(D$9,MMWR_RATING_RO_ROLLUP[#Headers],0)),"ERROR"))</f>
        <v>83.442173211400004</v>
      </c>
      <c r="E18" s="156">
        <f>IF($B18=" ","",IFERROR(INDEX(MMWR_RATING_RO_ROLLUP[],MATCH($B18,MMWR_RATING_RO_ROLLUP[MMWR_RATING_RO_ROLLUP],0),MATCH(E$9,MMWR_RATING_RO_ROLLUP[#Headers],0))/$C18,"ERROR"))</f>
        <v>0.1993006993006993</v>
      </c>
      <c r="F18" s="154">
        <f>IF($B18=" ","",IFERROR(INDEX(MMWR_RATING_RO_ROLLUP[],MATCH($B18,MMWR_RATING_RO_ROLLUP[MMWR_RATING_RO_ROLLUP],0),MATCH(F$9,MMWR_RATING_RO_ROLLUP[#Headers],0)),"ERROR"))</f>
        <v>999</v>
      </c>
      <c r="G18" s="154">
        <f>IF($B18=" ","",IFERROR(INDEX(MMWR_RATING_RO_ROLLUP[],MATCH($B18,MMWR_RATING_RO_ROLLUP[MMWR_RATING_RO_ROLLUP],0),MATCH(G$9,MMWR_RATING_RO_ROLLUP[#Headers],0)),"ERROR"))</f>
        <v>8608</v>
      </c>
      <c r="H18" s="155">
        <f>IF($B18=" ","",IFERROR(INDEX(MMWR_RATING_RO_ROLLUP[],MATCH($B18,MMWR_RATING_RO_ROLLUP[MMWR_RATING_RO_ROLLUP],0),MATCH(H$9,MMWR_RATING_RO_ROLLUP[#Headers],0)),"ERROR"))</f>
        <v>119.8868868869</v>
      </c>
      <c r="I18" s="155">
        <f>IF($B18=" ","",IFERROR(INDEX(MMWR_RATING_RO_ROLLUP[],MATCH($B18,MMWR_RATING_RO_ROLLUP[MMWR_RATING_RO_ROLLUP],0),MATCH(I$9,MMWR_RATING_RO_ROLLUP[#Headers],0)),"ERROR"))</f>
        <v>135.94319237920001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1731</v>
      </c>
      <c r="D19" s="155">
        <f>IF($B19=" ","",IFERROR(INDEX(MMWR_RATING_RO_ROLLUP[],MATCH($B19,MMWR_RATING_RO_ROLLUP[MMWR_RATING_RO_ROLLUP],0),MATCH(D$9,MMWR_RATING_RO_ROLLUP[#Headers],0)),"ERROR"))</f>
        <v>86.511265164600005</v>
      </c>
      <c r="E19" s="156">
        <f>IF($B19=" ","",IFERROR(INDEX(MMWR_RATING_RO_ROLLUP[],MATCH($B19,MMWR_RATING_RO_ROLLUP[MMWR_RATING_RO_ROLLUP],0),MATCH(E$9,MMWR_RATING_RO_ROLLUP[#Headers],0))/$C19,"ERROR"))</f>
        <v>0.19064124783362218</v>
      </c>
      <c r="F19" s="154">
        <f>IF($B19=" ","",IFERROR(INDEX(MMWR_RATING_RO_ROLLUP[],MATCH($B19,MMWR_RATING_RO_ROLLUP[MMWR_RATING_RO_ROLLUP],0),MATCH(F$9,MMWR_RATING_RO_ROLLUP[#Headers],0)),"ERROR"))</f>
        <v>486</v>
      </c>
      <c r="G19" s="154">
        <f>IF($B19=" ","",IFERROR(INDEX(MMWR_RATING_RO_ROLLUP[],MATCH($B19,MMWR_RATING_RO_ROLLUP[MMWR_RATING_RO_ROLLUP],0),MATCH(G$9,MMWR_RATING_RO_ROLLUP[#Headers],0)),"ERROR"))</f>
        <v>4322</v>
      </c>
      <c r="H19" s="155">
        <f>IF($B19=" ","",IFERROR(INDEX(MMWR_RATING_RO_ROLLUP[],MATCH($B19,MMWR_RATING_RO_ROLLUP[MMWR_RATING_RO_ROLLUP],0),MATCH(H$9,MMWR_RATING_RO_ROLLUP[#Headers],0)),"ERROR"))</f>
        <v>109.47325102879999</v>
      </c>
      <c r="I19" s="155">
        <f>IF($B19=" ","",IFERROR(INDEX(MMWR_RATING_RO_ROLLUP[],MATCH($B19,MMWR_RATING_RO_ROLLUP[MMWR_RATING_RO_ROLLUP],0),MATCH(I$9,MMWR_RATING_RO_ROLLUP[#Headers],0)),"ERROR"))</f>
        <v>114.7681628876</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2587</v>
      </c>
      <c r="D20" s="155">
        <f>IF($B20=" ","",IFERROR(INDEX(MMWR_RATING_RO_ROLLUP[],MATCH($B20,MMWR_RATING_RO_ROLLUP[MMWR_RATING_RO_ROLLUP],0),MATCH(D$9,MMWR_RATING_RO_ROLLUP[#Headers],0)),"ERROR"))</f>
        <v>82.684190181700004</v>
      </c>
      <c r="E20" s="156">
        <f>IF($B20=" ","",IFERROR(INDEX(MMWR_RATING_RO_ROLLUP[],MATCH($B20,MMWR_RATING_RO_ROLLUP[MMWR_RATING_RO_ROLLUP],0),MATCH(E$9,MMWR_RATING_RO_ROLLUP[#Headers],0))/$C20,"ERROR"))</f>
        <v>0.18631619636644761</v>
      </c>
      <c r="F20" s="154">
        <f>IF($B20=" ","",IFERROR(INDEX(MMWR_RATING_RO_ROLLUP[],MATCH($B20,MMWR_RATING_RO_ROLLUP[MMWR_RATING_RO_ROLLUP],0),MATCH(F$9,MMWR_RATING_RO_ROLLUP[#Headers],0)),"ERROR"))</f>
        <v>842</v>
      </c>
      <c r="G20" s="154">
        <f>IF($B20=" ","",IFERROR(INDEX(MMWR_RATING_RO_ROLLUP[],MATCH($B20,MMWR_RATING_RO_ROLLUP[MMWR_RATING_RO_ROLLUP],0),MATCH(G$9,MMWR_RATING_RO_ROLLUP[#Headers],0)),"ERROR"))</f>
        <v>5870</v>
      </c>
      <c r="H20" s="155">
        <f>IF($B20=" ","",IFERROR(INDEX(MMWR_RATING_RO_ROLLUP[],MATCH($B20,MMWR_RATING_RO_ROLLUP[MMWR_RATING_RO_ROLLUP],0),MATCH(H$9,MMWR_RATING_RO_ROLLUP[#Headers],0)),"ERROR"))</f>
        <v>109.97268408550001</v>
      </c>
      <c r="I20" s="155">
        <f>IF($B20=" ","",IFERROR(INDEX(MMWR_RATING_RO_ROLLUP[],MATCH($B20,MMWR_RATING_RO_ROLLUP[MMWR_RATING_RO_ROLLUP],0),MATCH(I$9,MMWR_RATING_RO_ROLLUP[#Headers],0)),"ERROR"))</f>
        <v>117.24480408860001</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1128</v>
      </c>
      <c r="D21" s="155">
        <f>IF($B21=" ","",IFERROR(INDEX(MMWR_RATING_RO_ROLLUP[],MATCH($B21,MMWR_RATING_RO_ROLLUP[MMWR_RATING_RO_ROLLUP],0),MATCH(D$9,MMWR_RATING_RO_ROLLUP[#Headers],0)),"ERROR"))</f>
        <v>71.652482269499998</v>
      </c>
      <c r="E21" s="156">
        <f>IF($B21=" ","",IFERROR(INDEX(MMWR_RATING_RO_ROLLUP[],MATCH($B21,MMWR_RATING_RO_ROLLUP[MMWR_RATING_RO_ROLLUP],0),MATCH(E$9,MMWR_RATING_RO_ROLLUP[#Headers],0))/$C21,"ERROR"))</f>
        <v>0.13386524822695037</v>
      </c>
      <c r="F21" s="154">
        <f>IF($B21=" ","",IFERROR(INDEX(MMWR_RATING_RO_ROLLUP[],MATCH($B21,MMWR_RATING_RO_ROLLUP[MMWR_RATING_RO_ROLLUP],0),MATCH(F$9,MMWR_RATING_RO_ROLLUP[#Headers],0)),"ERROR"))</f>
        <v>295</v>
      </c>
      <c r="G21" s="154">
        <f>IF($B21=" ","",IFERROR(INDEX(MMWR_RATING_RO_ROLLUP[],MATCH($B21,MMWR_RATING_RO_ROLLUP[MMWR_RATING_RO_ROLLUP],0),MATCH(G$9,MMWR_RATING_RO_ROLLUP[#Headers],0)),"ERROR"))</f>
        <v>2639</v>
      </c>
      <c r="H21" s="155">
        <f>IF($B21=" ","",IFERROR(INDEX(MMWR_RATING_RO_ROLLUP[],MATCH($B21,MMWR_RATING_RO_ROLLUP[MMWR_RATING_RO_ROLLUP],0),MATCH(H$9,MMWR_RATING_RO_ROLLUP[#Headers],0)),"ERROR"))</f>
        <v>107.993220339</v>
      </c>
      <c r="I21" s="155">
        <f>IF($B21=" ","",IFERROR(INDEX(MMWR_RATING_RO_ROLLUP[],MATCH($B21,MMWR_RATING_RO_ROLLUP[MMWR_RATING_RO_ROLLUP],0),MATCH(I$9,MMWR_RATING_RO_ROLLUP[#Headers],0)),"ERROR"))</f>
        <v>130.4031830239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5083</v>
      </c>
      <c r="D22" s="155">
        <f>IF($B22=" ","",IFERROR(INDEX(MMWR_RATING_RO_ROLLUP[],MATCH($B22,MMWR_RATING_RO_ROLLUP[MMWR_RATING_RO_ROLLUP],0),MATCH(D$9,MMWR_RATING_RO_ROLLUP[#Headers],0)),"ERROR"))</f>
        <v>100.5040330513</v>
      </c>
      <c r="E22" s="156">
        <f>IF($B22=" ","",IFERROR(INDEX(MMWR_RATING_RO_ROLLUP[],MATCH($B22,MMWR_RATING_RO_ROLLUP[MMWR_RATING_RO_ROLLUP],0),MATCH(E$9,MMWR_RATING_RO_ROLLUP[#Headers],0))/$C22,"ERROR"))</f>
        <v>0.25634467833956326</v>
      </c>
      <c r="F22" s="154">
        <f>IF($B22=" ","",IFERROR(INDEX(MMWR_RATING_RO_ROLLUP[],MATCH($B22,MMWR_RATING_RO_ROLLUP[MMWR_RATING_RO_ROLLUP],0),MATCH(F$9,MMWR_RATING_RO_ROLLUP[#Headers],0)),"ERROR"))</f>
        <v>896</v>
      </c>
      <c r="G22" s="154">
        <f>IF($B22=" ","",IFERROR(INDEX(MMWR_RATING_RO_ROLLUP[],MATCH($B22,MMWR_RATING_RO_ROLLUP[MMWR_RATING_RO_ROLLUP],0),MATCH(G$9,MMWR_RATING_RO_ROLLUP[#Headers],0)),"ERROR"))</f>
        <v>9396</v>
      </c>
      <c r="H22" s="155">
        <f>IF($B22=" ","",IFERROR(INDEX(MMWR_RATING_RO_ROLLUP[],MATCH($B22,MMWR_RATING_RO_ROLLUP[MMWR_RATING_RO_ROLLUP],0),MATCH(H$9,MMWR_RATING_RO_ROLLUP[#Headers],0)),"ERROR"))</f>
        <v>140.92075892860001</v>
      </c>
      <c r="I22" s="155">
        <f>IF($B22=" ","",IFERROR(INDEX(MMWR_RATING_RO_ROLLUP[],MATCH($B22,MMWR_RATING_RO_ROLLUP[MMWR_RATING_RO_ROLLUP],0),MATCH(I$9,MMWR_RATING_RO_ROLLUP[#Headers],0)),"ERROR"))</f>
        <v>136.11398467430001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2886</v>
      </c>
      <c r="D23" s="155">
        <f>IF($B23=" ","",IFERROR(INDEX(MMWR_RATING_RO_ROLLUP[],MATCH($B23,MMWR_RATING_RO_ROLLUP[MMWR_RATING_RO_ROLLUP],0),MATCH(D$9,MMWR_RATING_RO_ROLLUP[#Headers],0)),"ERROR"))</f>
        <v>94.287595287599999</v>
      </c>
      <c r="E23" s="156">
        <f>IF($B23=" ","",IFERROR(INDEX(MMWR_RATING_RO_ROLLUP[],MATCH($B23,MMWR_RATING_RO_ROLLUP[MMWR_RATING_RO_ROLLUP],0),MATCH(E$9,MMWR_RATING_RO_ROLLUP[#Headers],0))/$C23,"ERROR"))</f>
        <v>0.23354123354123354</v>
      </c>
      <c r="F23" s="154">
        <f>IF($B23=" ","",IFERROR(INDEX(MMWR_RATING_RO_ROLLUP[],MATCH($B23,MMWR_RATING_RO_ROLLUP[MMWR_RATING_RO_ROLLUP],0),MATCH(F$9,MMWR_RATING_RO_ROLLUP[#Headers],0)),"ERROR"))</f>
        <v>542</v>
      </c>
      <c r="G23" s="154">
        <f>IF($B23=" ","",IFERROR(INDEX(MMWR_RATING_RO_ROLLUP[],MATCH($B23,MMWR_RATING_RO_ROLLUP[MMWR_RATING_RO_ROLLUP],0),MATCH(G$9,MMWR_RATING_RO_ROLLUP[#Headers],0)),"ERROR"))</f>
        <v>5196</v>
      </c>
      <c r="H23" s="155">
        <f>IF($B23=" ","",IFERROR(INDEX(MMWR_RATING_RO_ROLLUP[],MATCH($B23,MMWR_RATING_RO_ROLLUP[MMWR_RATING_RO_ROLLUP],0),MATCH(H$9,MMWR_RATING_RO_ROLLUP[#Headers],0)),"ERROR"))</f>
        <v>124.5442804428</v>
      </c>
      <c r="I23" s="155">
        <f>IF($B23=" ","",IFERROR(INDEX(MMWR_RATING_RO_ROLLUP[],MATCH($B23,MMWR_RATING_RO_ROLLUP[MMWR_RATING_RO_ROLLUP],0),MATCH(I$9,MMWR_RATING_RO_ROLLUP[#Headers],0)),"ERROR"))</f>
        <v>137.18379522710001</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8445</v>
      </c>
      <c r="D24" s="155">
        <f>IF($B24=" ","",IFERROR(INDEX(MMWR_RATING_RO_ROLLUP[],MATCH($B24,MMWR_RATING_RO_ROLLUP[MMWR_RATING_RO_ROLLUP],0),MATCH(D$9,MMWR_RATING_RO_ROLLUP[#Headers],0)),"ERROR"))</f>
        <v>102.5540556542</v>
      </c>
      <c r="E24" s="156">
        <f>IF($B24=" ","",IFERROR(INDEX(MMWR_RATING_RO_ROLLUP[],MATCH($B24,MMWR_RATING_RO_ROLLUP[MMWR_RATING_RO_ROLLUP],0),MATCH(E$9,MMWR_RATING_RO_ROLLUP[#Headers],0))/$C24,"ERROR"))</f>
        <v>0.26962699822380104</v>
      </c>
      <c r="F24" s="154">
        <f>IF($B24=" ","",IFERROR(INDEX(MMWR_RATING_RO_ROLLUP[],MATCH($B24,MMWR_RATING_RO_ROLLUP[MMWR_RATING_RO_ROLLUP],0),MATCH(F$9,MMWR_RATING_RO_ROLLUP[#Headers],0)),"ERROR"))</f>
        <v>1618</v>
      </c>
      <c r="G24" s="154">
        <f>IF($B24=" ","",IFERROR(INDEX(MMWR_RATING_RO_ROLLUP[],MATCH($B24,MMWR_RATING_RO_ROLLUP[MMWR_RATING_RO_ROLLUP],0),MATCH(G$9,MMWR_RATING_RO_ROLLUP[#Headers],0)),"ERROR"))</f>
        <v>15566</v>
      </c>
      <c r="H24" s="155">
        <f>IF($B24=" ","",IFERROR(INDEX(MMWR_RATING_RO_ROLLUP[],MATCH($B24,MMWR_RATING_RO_ROLLUP[MMWR_RATING_RO_ROLLUP],0),MATCH(H$9,MMWR_RATING_RO_ROLLUP[#Headers],0)),"ERROR"))</f>
        <v>148.3442521632</v>
      </c>
      <c r="I24" s="155">
        <f>IF($B24=" ","",IFERROR(INDEX(MMWR_RATING_RO_ROLLUP[],MATCH($B24,MMWR_RATING_RO_ROLLUP[MMWR_RATING_RO_ROLLUP],0),MATCH(I$9,MMWR_RATING_RO_ROLLUP[#Headers],0)),"ERROR"))</f>
        <v>148.56270075809999</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5007</v>
      </c>
      <c r="D25" s="155">
        <f>IF($B25=" ","",IFERROR(INDEX(MMWR_RATING_RO_ROLLUP[],MATCH($B25,MMWR_RATING_RO_ROLLUP[MMWR_RATING_RO_ROLLUP],0),MATCH(D$9,MMWR_RATING_RO_ROLLUP[#Headers],0)),"ERROR"))</f>
        <v>110.83862592369999</v>
      </c>
      <c r="E25" s="156">
        <f>IF($B25=" ","",IFERROR(INDEX(MMWR_RATING_RO_ROLLUP[],MATCH($B25,MMWR_RATING_RO_ROLLUP[MMWR_RATING_RO_ROLLUP],0),MATCH(E$9,MMWR_RATING_RO_ROLLUP[#Headers],0))/$C25,"ERROR"))</f>
        <v>0.31655682045136807</v>
      </c>
      <c r="F25" s="154">
        <f>IF($B25=" ","",IFERROR(INDEX(MMWR_RATING_RO_ROLLUP[],MATCH($B25,MMWR_RATING_RO_ROLLUP[MMWR_RATING_RO_ROLLUP],0),MATCH(F$9,MMWR_RATING_RO_ROLLUP[#Headers],0)),"ERROR"))</f>
        <v>913</v>
      </c>
      <c r="G25" s="154">
        <f>IF($B25=" ","",IFERROR(INDEX(MMWR_RATING_RO_ROLLUP[],MATCH($B25,MMWR_RATING_RO_ROLLUP[MMWR_RATING_RO_ROLLUP],0),MATCH(G$9,MMWR_RATING_RO_ROLLUP[#Headers],0)),"ERROR"))</f>
        <v>8556</v>
      </c>
      <c r="H25" s="155">
        <f>IF($B25=" ","",IFERROR(INDEX(MMWR_RATING_RO_ROLLUP[],MATCH($B25,MMWR_RATING_RO_ROLLUP[MMWR_RATING_RO_ROLLUP],0),MATCH(H$9,MMWR_RATING_RO_ROLLUP[#Headers],0)),"ERROR"))</f>
        <v>154.5629791895</v>
      </c>
      <c r="I25" s="155">
        <f>IF($B25=" ","",IFERROR(INDEX(MMWR_RATING_RO_ROLLUP[],MATCH($B25,MMWR_RATING_RO_ROLLUP[MMWR_RATING_RO_ROLLUP],0),MATCH(I$9,MMWR_RATING_RO_ROLLUP[#Headers],0)),"ERROR"))</f>
        <v>157.572113137</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2662</v>
      </c>
      <c r="D26" s="155">
        <f>IF($B26=" ","",IFERROR(INDEX(MMWR_RATING_RO_ROLLUP[],MATCH($B26,MMWR_RATING_RO_ROLLUP[MMWR_RATING_RO_ROLLUP],0),MATCH(D$9,MMWR_RATING_RO_ROLLUP[#Headers],0)),"ERROR"))</f>
        <v>64.917731029300001</v>
      </c>
      <c r="E26" s="156">
        <f>IF($B26=" ","",IFERROR(INDEX(MMWR_RATING_RO_ROLLUP[],MATCH($B26,MMWR_RATING_RO_ROLLUP[MMWR_RATING_RO_ROLLUP],0),MATCH(E$9,MMWR_RATING_RO_ROLLUP[#Headers],0))/$C26,"ERROR"))</f>
        <v>0.15214124718256949</v>
      </c>
      <c r="F26" s="154">
        <f>IF($B26=" ","",IFERROR(INDEX(MMWR_RATING_RO_ROLLUP[],MATCH($B26,MMWR_RATING_RO_ROLLUP[MMWR_RATING_RO_ROLLUP],0),MATCH(F$9,MMWR_RATING_RO_ROLLUP[#Headers],0)),"ERROR"))</f>
        <v>1819</v>
      </c>
      <c r="G26" s="154">
        <f>IF($B26=" ","",IFERROR(INDEX(MMWR_RATING_RO_ROLLUP[],MATCH($B26,MMWR_RATING_RO_ROLLUP[MMWR_RATING_RO_ROLLUP],0),MATCH(G$9,MMWR_RATING_RO_ROLLUP[#Headers],0)),"ERROR"))</f>
        <v>14225</v>
      </c>
      <c r="H26" s="155">
        <f>IF($B26=" ","",IFERROR(INDEX(MMWR_RATING_RO_ROLLUP[],MATCH($B26,MMWR_RATING_RO_ROLLUP[MMWR_RATING_RO_ROLLUP],0),MATCH(H$9,MMWR_RATING_RO_ROLLUP[#Headers],0)),"ERROR"))</f>
        <v>45.887850467299998</v>
      </c>
      <c r="I26" s="155">
        <f>IF($B26=" ","",IFERROR(INDEX(MMWR_RATING_RO_ROLLUP[],MATCH($B26,MMWR_RATING_RO_ROLLUP[MMWR_RATING_RO_ROLLUP],0),MATCH(I$9,MMWR_RATING_RO_ROLLUP[#Headers],0)),"ERROR"))</f>
        <v>57.102214411200002</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11016</v>
      </c>
      <c r="D27" s="155">
        <f>IF($B27=" ","",IFERROR(INDEX(MMWR_RATING_RO_ROLLUP[],MATCH($B27,MMWR_RATING_RO_ROLLUP[MMWR_RATING_RO_ROLLUP],0),MATCH(D$9,MMWR_RATING_RO_ROLLUP[#Headers],0)),"ERROR"))</f>
        <v>87.412672476400004</v>
      </c>
      <c r="E27" s="156">
        <f>IF($B27=" ","",IFERROR(INDEX(MMWR_RATING_RO_ROLLUP[],MATCH($B27,MMWR_RATING_RO_ROLLUP[MMWR_RATING_RO_ROLLUP],0),MATCH(E$9,MMWR_RATING_RO_ROLLUP[#Headers],0))/$C27,"ERROR"))</f>
        <v>0.20324981844589687</v>
      </c>
      <c r="F27" s="154">
        <f>IF($B27=" ","",IFERROR(INDEX(MMWR_RATING_RO_ROLLUP[],MATCH($B27,MMWR_RATING_RO_ROLLUP[MMWR_RATING_RO_ROLLUP],0),MATCH(F$9,MMWR_RATING_RO_ROLLUP[#Headers],0)),"ERROR"))</f>
        <v>2816</v>
      </c>
      <c r="G27" s="154">
        <f>IF($B27=" ","",IFERROR(INDEX(MMWR_RATING_RO_ROLLUP[],MATCH($B27,MMWR_RATING_RO_ROLLUP[MMWR_RATING_RO_ROLLUP],0),MATCH(G$9,MMWR_RATING_RO_ROLLUP[#Headers],0)),"ERROR"))</f>
        <v>22748</v>
      </c>
      <c r="H27" s="155">
        <f>IF($B27=" ","",IFERROR(INDEX(MMWR_RATING_RO_ROLLUP[],MATCH($B27,MMWR_RATING_RO_ROLLUP[MMWR_RATING_RO_ROLLUP],0),MATCH(H$9,MMWR_RATING_RO_ROLLUP[#Headers],0)),"ERROR"))</f>
        <v>134.7507102273</v>
      </c>
      <c r="I27" s="155">
        <f>IF($B27=" ","",IFERROR(INDEX(MMWR_RATING_RO_ROLLUP[],MATCH($B27,MMWR_RATING_RO_ROLLUP[MMWR_RATING_RO_ROLLUP],0),MATCH(I$9,MMWR_RATING_RO_ROLLUP[#Headers],0)),"ERROR"))</f>
        <v>136.33009495339999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1157</v>
      </c>
      <c r="D28" s="155">
        <f>IF($B28=" ","",IFERROR(INDEX(MMWR_RATING_RO_ROLLUP[],MATCH($B28,MMWR_RATING_RO_ROLLUP[MMWR_RATING_RO_ROLLUP],0),MATCH(D$9,MMWR_RATING_RO_ROLLUP[#Headers],0)),"ERROR"))</f>
        <v>73.265341400200001</v>
      </c>
      <c r="E28" s="156">
        <f>IF($B28=" ","",IFERROR(INDEX(MMWR_RATING_RO_ROLLUP[],MATCH($B28,MMWR_RATING_RO_ROLLUP[MMWR_RATING_RO_ROLLUP],0),MATCH(E$9,MMWR_RATING_RO_ROLLUP[#Headers],0))/$C28,"ERROR"))</f>
        <v>0.1365600691443388</v>
      </c>
      <c r="F28" s="154">
        <f>IF($B28=" ","",IFERROR(INDEX(MMWR_RATING_RO_ROLLUP[],MATCH($B28,MMWR_RATING_RO_ROLLUP[MMWR_RATING_RO_ROLLUP],0),MATCH(F$9,MMWR_RATING_RO_ROLLUP[#Headers],0)),"ERROR"))</f>
        <v>469</v>
      </c>
      <c r="G28" s="154">
        <f>IF($B28=" ","",IFERROR(INDEX(MMWR_RATING_RO_ROLLUP[],MATCH($B28,MMWR_RATING_RO_ROLLUP[MMWR_RATING_RO_ROLLUP],0),MATCH(G$9,MMWR_RATING_RO_ROLLUP[#Headers],0)),"ERROR"))</f>
        <v>3379</v>
      </c>
      <c r="H28" s="155">
        <f>IF($B28=" ","",IFERROR(INDEX(MMWR_RATING_RO_ROLLUP[],MATCH($B28,MMWR_RATING_RO_ROLLUP[MMWR_RATING_RO_ROLLUP],0),MATCH(H$9,MMWR_RATING_RO_ROLLUP[#Headers],0)),"ERROR"))</f>
        <v>89.522388059700006</v>
      </c>
      <c r="I28" s="155">
        <f>IF($B28=" ","",IFERROR(INDEX(MMWR_RATING_RO_ROLLUP[],MATCH($B28,MMWR_RATING_RO_ROLLUP[MMWR_RATING_RO_ROLLUP],0),MATCH(I$9,MMWR_RATING_RO_ROLLUP[#Headers],0)),"ERROR"))</f>
        <v>106.19325244159999</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530</v>
      </c>
      <c r="D29" s="155">
        <f>IF($B29=" ","",IFERROR(INDEX(MMWR_RATING_RO_ROLLUP[],MATCH($B29,MMWR_RATING_RO_ROLLUP[MMWR_RATING_RO_ROLLUP],0),MATCH(D$9,MMWR_RATING_RO_ROLLUP[#Headers],0)),"ERROR"))</f>
        <v>96.9113207547</v>
      </c>
      <c r="E29" s="156">
        <f>IF($B29=" ","",IFERROR(INDEX(MMWR_RATING_RO_ROLLUP[],MATCH($B29,MMWR_RATING_RO_ROLLUP[MMWR_RATING_RO_ROLLUP],0),MATCH(E$9,MMWR_RATING_RO_ROLLUP[#Headers],0))/$C29,"ERROR"))</f>
        <v>0.27735849056603773</v>
      </c>
      <c r="F29" s="154">
        <f>IF($B29=" ","",IFERROR(INDEX(MMWR_RATING_RO_ROLLUP[],MATCH($B29,MMWR_RATING_RO_ROLLUP[MMWR_RATING_RO_ROLLUP],0),MATCH(F$9,MMWR_RATING_RO_ROLLUP[#Headers],0)),"ERROR"))</f>
        <v>129</v>
      </c>
      <c r="G29" s="154">
        <f>IF($B29=" ","",IFERROR(INDEX(MMWR_RATING_RO_ROLLUP[],MATCH($B29,MMWR_RATING_RO_ROLLUP[MMWR_RATING_RO_ROLLUP],0),MATCH(G$9,MMWR_RATING_RO_ROLLUP[#Headers],0)),"ERROR"))</f>
        <v>978</v>
      </c>
      <c r="H29" s="155">
        <f>IF($B29=" ","",IFERROR(INDEX(MMWR_RATING_RO_ROLLUP[],MATCH($B29,MMWR_RATING_RO_ROLLUP[MMWR_RATING_RO_ROLLUP],0),MATCH(H$9,MMWR_RATING_RO_ROLLUP[#Headers],0)),"ERROR"))</f>
        <v>140.7131782946</v>
      </c>
      <c r="I29" s="155">
        <f>IF($B29=" ","",IFERROR(INDEX(MMWR_RATING_RO_ROLLUP[],MATCH($B29,MMWR_RATING_RO_ROLLUP[MMWR_RATING_RO_ROLLUP],0),MATCH(I$9,MMWR_RATING_RO_ROLLUP[#Headers],0)),"ERROR"))</f>
        <v>135.1983640082</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735</v>
      </c>
      <c r="D30" s="155">
        <f>IF($B30=" ","",IFERROR(INDEX(MMWR_RATING_RO_ROLLUP[],MATCH($B30,MMWR_RATING_RO_ROLLUP[MMWR_RATING_RO_ROLLUP],0),MATCH(D$9,MMWR_RATING_RO_ROLLUP[#Headers],0)),"ERROR"))</f>
        <v>87.225850340099996</v>
      </c>
      <c r="E30" s="156">
        <f>IF($B30=" ","",IFERROR(INDEX(MMWR_RATING_RO_ROLLUP[],MATCH($B30,MMWR_RATING_RO_ROLLUP[MMWR_RATING_RO_ROLLUP],0),MATCH(E$9,MMWR_RATING_RO_ROLLUP[#Headers],0))/$C30,"ERROR"))</f>
        <v>0.20680272108843537</v>
      </c>
      <c r="F30" s="154">
        <f>IF($B30=" ","",IFERROR(INDEX(MMWR_RATING_RO_ROLLUP[],MATCH($B30,MMWR_RATING_RO_ROLLUP[MMWR_RATING_RO_ROLLUP],0),MATCH(F$9,MMWR_RATING_RO_ROLLUP[#Headers],0)),"ERROR"))</f>
        <v>182</v>
      </c>
      <c r="G30" s="154">
        <f>IF($B30=" ","",IFERROR(INDEX(MMWR_RATING_RO_ROLLUP[],MATCH($B30,MMWR_RATING_RO_ROLLUP[MMWR_RATING_RO_ROLLUP],0),MATCH(G$9,MMWR_RATING_RO_ROLLUP[#Headers],0)),"ERROR"))</f>
        <v>1681</v>
      </c>
      <c r="H30" s="155">
        <f>IF($B30=" ","",IFERROR(INDEX(MMWR_RATING_RO_ROLLUP[],MATCH($B30,MMWR_RATING_RO_ROLLUP[MMWR_RATING_RO_ROLLUP],0),MATCH(H$9,MMWR_RATING_RO_ROLLUP[#Headers],0)),"ERROR"))</f>
        <v>149.0549450549</v>
      </c>
      <c r="I30" s="155">
        <f>IF($B30=" ","",IFERROR(INDEX(MMWR_RATING_RO_ROLLUP[],MATCH($B30,MMWR_RATING_RO_ROLLUP[MMWR_RATING_RO_ROLLUP],0),MATCH(I$9,MMWR_RATING_RO_ROLLUP[#Headers],0)),"ERROR"))</f>
        <v>141.24449732299999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17004</v>
      </c>
      <c r="D31" s="155">
        <f>IF($B31=" ","",IFERROR(INDEX(MMWR_RATING_RO_ROLLUP[],MATCH($B31,MMWR_RATING_RO_ROLLUP[MMWR_RATING_RO_ROLLUP],0),MATCH(D$9,MMWR_RATING_RO_ROLLUP[#Headers],0)),"ERROR"))</f>
        <v>97.079922371199999</v>
      </c>
      <c r="E31" s="156">
        <f>IF($B31=" ","",IFERROR(INDEX(MMWR_RATING_RO_ROLLUP[],MATCH($B31,MMWR_RATING_RO_ROLLUP[MMWR_RATING_RO_ROLLUP],0),MATCH(E$9,MMWR_RATING_RO_ROLLUP[#Headers],0))/$C31,"ERROR"))</f>
        <v>0.24852975770406963</v>
      </c>
      <c r="F31" s="154">
        <f>IF($B31=" ","",IFERROR(INDEX(MMWR_RATING_RO_ROLLUP[],MATCH($B31,MMWR_RATING_RO_ROLLUP[MMWR_RATING_RO_ROLLUP],0),MATCH(F$9,MMWR_RATING_RO_ROLLUP[#Headers],0)),"ERROR"))</f>
        <v>3890</v>
      </c>
      <c r="G31" s="154">
        <f>IF($B31=" ","",IFERROR(INDEX(MMWR_RATING_RO_ROLLUP[],MATCH($B31,MMWR_RATING_RO_ROLLUP[MMWR_RATING_RO_ROLLUP],0),MATCH(G$9,MMWR_RATING_RO_ROLLUP[#Headers],0)),"ERROR"))</f>
        <v>32718</v>
      </c>
      <c r="H31" s="155">
        <f>IF($B31=" ","",IFERROR(INDEX(MMWR_RATING_RO_ROLLUP[],MATCH($B31,MMWR_RATING_RO_ROLLUP[MMWR_RATING_RO_ROLLUP],0),MATCH(H$9,MMWR_RATING_RO_ROLLUP[#Headers],0)),"ERROR"))</f>
        <v>137.78997429309999</v>
      </c>
      <c r="I31" s="155">
        <f>IF($B31=" ","",IFERROR(INDEX(MMWR_RATING_RO_ROLLUP[],MATCH($B31,MMWR_RATING_RO_ROLLUP[MMWR_RATING_RO_ROLLUP],0),MATCH(I$9,MMWR_RATING_RO_ROLLUP[#Headers],0)),"ERROR"))</f>
        <v>144.78079344700001</v>
      </c>
      <c r="J31" s="42"/>
      <c r="K31" s="42"/>
      <c r="L31" s="42"/>
      <c r="M31" s="42"/>
      <c r="N31" s="28"/>
    </row>
    <row r="32" spans="1:14" x14ac:dyDescent="0.2">
      <c r="A32" s="25"/>
      <c r="B32" s="377" t="s">
        <v>733</v>
      </c>
      <c r="C32" s="378"/>
      <c r="D32" s="378"/>
      <c r="E32" s="378"/>
      <c r="F32" s="378"/>
      <c r="G32" s="378"/>
      <c r="H32" s="378"/>
      <c r="I32" s="378"/>
      <c r="J32" s="378"/>
      <c r="K32" s="378"/>
      <c r="L32" s="378"/>
      <c r="M32" s="387"/>
      <c r="N32" s="28"/>
    </row>
    <row r="33" spans="1:14" x14ac:dyDescent="0.2">
      <c r="A33" s="25"/>
      <c r="B33" s="11" t="s">
        <v>696</v>
      </c>
      <c r="C33" s="154">
        <f>IF($B33=" ","",IFERROR(INDEX(MMWR_RATING_RO_ROLLUP[],MATCH($B33,MMWR_RATING_RO_ROLLUP[MMWR_RATING_RO_ROLLUP],0),MATCH(C$9,MMWR_RATING_RO_ROLLUP[#Headers],0)),"ERROR"))</f>
        <v>28844</v>
      </c>
      <c r="D33" s="155">
        <f>IF($B33=" ","",IFERROR(INDEX(MMWR_RATING_RO_ROLLUP[],MATCH($B33,MMWR_RATING_RO_ROLLUP[MMWR_RATING_RO_ROLLUP],0),MATCH(D$9,MMWR_RATING_RO_ROLLUP[#Headers],0)),"ERROR"))</f>
        <v>67.747503813600005</v>
      </c>
      <c r="E33" s="156">
        <f>IF($B33=" ","",IFERROR(INDEX(MMWR_RATING_RO_ROLLUP[],MATCH($B33,MMWR_RATING_RO_ROLLUP[MMWR_RATING_RO_ROLLUP],0),MATCH(E$9,MMWR_RATING_RO_ROLLUP[#Headers],0))/$C33,"ERROR"))</f>
        <v>0.10355706559423103</v>
      </c>
      <c r="F33" s="154">
        <f>IF($B33=" ","",IFERROR(INDEX(MMWR_RATING_RO_ROLLUP[],MATCH($B33,MMWR_RATING_RO_ROLLUP[MMWR_RATING_RO_ROLLUP],0),MATCH(F$9,MMWR_RATING_RO_ROLLUP[#Headers],0)),"ERROR"))</f>
        <v>10875</v>
      </c>
      <c r="G33" s="154">
        <f>IF($B33=" ","",IFERROR(INDEX(MMWR_RATING_RO_ROLLUP[],MATCH($B33,MMWR_RATING_RO_ROLLUP[MMWR_RATING_RO_ROLLUP],0),MATCH(G$9,MMWR_RATING_RO_ROLLUP[#Headers],0)),"ERROR"))</f>
        <v>96320</v>
      </c>
      <c r="H33" s="155">
        <f>IF($B33=" ","",IFERROR(INDEX(MMWR_RATING_RO_ROLLUP[],MATCH($B33,MMWR_RATING_RO_ROLLUP[MMWR_RATING_RO_ROLLUP],0),MATCH(H$9,MMWR_RATING_RO_ROLLUP[#Headers],0)),"ERROR"))</f>
        <v>78.952551724100005</v>
      </c>
      <c r="I33" s="155">
        <f>IF($B33=" ","",IFERROR(INDEX(MMWR_RATING_RO_ROLLUP[],MATCH($B33,MMWR_RATING_RO_ROLLUP[MMWR_RATING_RO_ROLLUP],0),MATCH(I$9,MMWR_RATING_RO_ROLLUP[#Headers],0)),"ERROR"))</f>
        <v>77.451411960100003</v>
      </c>
      <c r="J33" s="42"/>
      <c r="K33" s="42"/>
      <c r="L33" s="42"/>
      <c r="M33" s="42"/>
      <c r="N33" s="28"/>
    </row>
    <row r="34" spans="1:14" x14ac:dyDescent="0.2">
      <c r="A34" s="25"/>
      <c r="B34" s="12" t="s">
        <v>210</v>
      </c>
      <c r="C34" s="154">
        <f>IF($B34=" ","",IFERROR(INDEX(MMWR_RATING_RO_ROLLUP[],MATCH($B34,MMWR_RATING_RO_ROLLUP[MMWR_RATING_RO_ROLLUP],0),MATCH(C$9,MMWR_RATING_RO_ROLLUP[#Headers],0)),"ERROR"))</f>
        <v>13976</v>
      </c>
      <c r="D34" s="155">
        <f>IF($B34=" ","",IFERROR(INDEX(MMWR_RATING_RO_ROLLUP[],MATCH($B34,MMWR_RATING_RO_ROLLUP[MMWR_RATING_RO_ROLLUP],0),MATCH(D$9,MMWR_RATING_RO_ROLLUP[#Headers],0)),"ERROR"))</f>
        <v>68.169361762999998</v>
      </c>
      <c r="E34" s="156">
        <f>IF($B34=" ","",IFERROR(INDEX(MMWR_RATING_RO_ROLLUP[],MATCH($B34,MMWR_RATING_RO_ROLLUP[MMWR_RATING_RO_ROLLUP],0),MATCH(E$9,MMWR_RATING_RO_ROLLUP[#Headers],0))/$C34,"ERROR"))</f>
        <v>0.10117344018317115</v>
      </c>
      <c r="F34" s="154">
        <f>IF($B34=" ","",IFERROR(INDEX(MMWR_RATING_RO_ROLLUP[],MATCH($B34,MMWR_RATING_RO_ROLLUP[MMWR_RATING_RO_ROLLUP],0),MATCH(F$9,MMWR_RATING_RO_ROLLUP[#Headers],0)),"ERROR"))</f>
        <v>3588</v>
      </c>
      <c r="G34" s="154">
        <f>IF($B34=" ","",IFERROR(INDEX(MMWR_RATING_RO_ROLLUP[],MATCH($B34,MMWR_RATING_RO_ROLLUP[MMWR_RATING_RO_ROLLUP],0),MATCH(G$9,MMWR_RATING_RO_ROLLUP[#Headers],0)),"ERROR"))</f>
        <v>30965</v>
      </c>
      <c r="H34" s="155">
        <f>IF($B34=" ","",IFERROR(INDEX(MMWR_RATING_RO_ROLLUP[],MATCH($B34,MMWR_RATING_RO_ROLLUP[MMWR_RATING_RO_ROLLUP],0),MATCH(H$9,MMWR_RATING_RO_ROLLUP[#Headers],0)),"ERROR"))</f>
        <v>103.38433667779999</v>
      </c>
      <c r="I34" s="155">
        <f>IF($B34=" ","",IFERROR(INDEX(MMWR_RATING_RO_ROLLUP[],MATCH($B34,MMWR_RATING_RO_ROLLUP[MMWR_RATING_RO_ROLLUP],0),MATCH(I$9,MMWR_RATING_RO_ROLLUP[#Headers],0)),"ERROR"))</f>
        <v>96.810624899100006</v>
      </c>
      <c r="J34" s="42"/>
      <c r="K34" s="42"/>
      <c r="L34" s="42"/>
      <c r="M34" s="42"/>
      <c r="N34" s="28"/>
    </row>
    <row r="35" spans="1:14" x14ac:dyDescent="0.2">
      <c r="A35" s="43"/>
      <c r="B35" s="12" t="s">
        <v>209</v>
      </c>
      <c r="C35" s="154">
        <f>IF($B35=" ","",IFERROR(INDEX(MMWR_RATING_RO_ROLLUP[],MATCH($B35,MMWR_RATING_RO_ROLLUP[MMWR_RATING_RO_ROLLUP],0),MATCH(C$9,MMWR_RATING_RO_ROLLUP[#Headers],0)),"ERROR"))</f>
        <v>5830</v>
      </c>
      <c r="D35" s="155">
        <f>IF($B35=" ","",IFERROR(INDEX(MMWR_RATING_RO_ROLLUP[],MATCH($B35,MMWR_RATING_RO_ROLLUP[MMWR_RATING_RO_ROLLUP],0),MATCH(D$9,MMWR_RATING_RO_ROLLUP[#Headers],0)),"ERROR"))</f>
        <v>66.798284734099994</v>
      </c>
      <c r="E35" s="156">
        <f>IF($B35=" ","",IFERROR(INDEX(MMWR_RATING_RO_ROLLUP[],MATCH($B35,MMWR_RATING_RO_ROLLUP[MMWR_RATING_RO_ROLLUP],0),MATCH(E$9,MMWR_RATING_RO_ROLLUP[#Headers],0))/$C35,"ERROR"))</f>
        <v>0.11097770154373927</v>
      </c>
      <c r="F35" s="154">
        <f>IF($B35=" ","",IFERROR(INDEX(MMWR_RATING_RO_ROLLUP[],MATCH($B35,MMWR_RATING_RO_ROLLUP[MMWR_RATING_RO_ROLLUP],0),MATCH(F$9,MMWR_RATING_RO_ROLLUP[#Headers],0)),"ERROR"))</f>
        <v>3031</v>
      </c>
      <c r="G35" s="154">
        <f>IF($B35=" ","",IFERROR(INDEX(MMWR_RATING_RO_ROLLUP[],MATCH($B35,MMWR_RATING_RO_ROLLUP[MMWR_RATING_RO_ROLLUP],0),MATCH(G$9,MMWR_RATING_RO_ROLLUP[#Headers],0)),"ERROR"))</f>
        <v>27431</v>
      </c>
      <c r="H35" s="155">
        <f>IF($B35=" ","",IFERROR(INDEX(MMWR_RATING_RO_ROLLUP[],MATCH($B35,MMWR_RATING_RO_ROLLUP[MMWR_RATING_RO_ROLLUP],0),MATCH(H$9,MMWR_RATING_RO_ROLLUP[#Headers],0)),"ERROR"))</f>
        <v>69.273177169299998</v>
      </c>
      <c r="I35" s="155">
        <f>IF($B35=" ","",IFERROR(INDEX(MMWR_RATING_RO_ROLLUP[],MATCH($B35,MMWR_RATING_RO_ROLLUP[MMWR_RATING_RO_ROLLUP],0),MATCH(I$9,MMWR_RATING_RO_ROLLUP[#Headers],0)),"ERROR"))</f>
        <v>70.622981298499994</v>
      </c>
      <c r="J35" s="42"/>
      <c r="K35" s="42"/>
      <c r="L35" s="42"/>
      <c r="M35" s="42"/>
      <c r="N35" s="28"/>
    </row>
    <row r="36" spans="1:14" x14ac:dyDescent="0.2">
      <c r="A36" s="25"/>
      <c r="B36" s="12" t="s">
        <v>212</v>
      </c>
      <c r="C36" s="154">
        <f>IF($B36=" ","",IFERROR(INDEX(MMWR_RATING_RO_ROLLUP[],MATCH($B36,MMWR_RATING_RO_ROLLUP[MMWR_RATING_RO_ROLLUP],0),MATCH(C$9,MMWR_RATING_RO_ROLLUP[#Headers],0)),"ERROR"))</f>
        <v>8158</v>
      </c>
      <c r="D36" s="155">
        <f>IF($B36=" ","",IFERROR(INDEX(MMWR_RATING_RO_ROLLUP[],MATCH($B36,MMWR_RATING_RO_ROLLUP[MMWR_RATING_RO_ROLLUP],0),MATCH(D$9,MMWR_RATING_RO_ROLLUP[#Headers],0)),"ERROR"))</f>
        <v>56.470703603799997</v>
      </c>
      <c r="E36" s="156">
        <f>IF($B36=" ","",IFERROR(INDEX(MMWR_RATING_RO_ROLLUP[],MATCH($B36,MMWR_RATING_RO_ROLLUP[MMWR_RATING_RO_ROLLUP],0),MATCH(E$9,MMWR_RATING_RO_ROLLUP[#Headers],0))/$C36,"ERROR"))</f>
        <v>6.3250796763912723E-2</v>
      </c>
      <c r="F36" s="154">
        <f>IF($B36=" ","",IFERROR(INDEX(MMWR_RATING_RO_ROLLUP[],MATCH($B36,MMWR_RATING_RO_ROLLUP[MMWR_RATING_RO_ROLLUP],0),MATCH(F$9,MMWR_RATING_RO_ROLLUP[#Headers],0)),"ERROR"))</f>
        <v>3820</v>
      </c>
      <c r="G36" s="154">
        <f>IF($B36=" ","",IFERROR(INDEX(MMWR_RATING_RO_ROLLUP[],MATCH($B36,MMWR_RATING_RO_ROLLUP[MMWR_RATING_RO_ROLLUP],0),MATCH(G$9,MMWR_RATING_RO_ROLLUP[#Headers],0)),"ERROR"))</f>
        <v>34395</v>
      </c>
      <c r="H36" s="155">
        <f>IF($B36=" ","",IFERROR(INDEX(MMWR_RATING_RO_ROLLUP[],MATCH($B36,MMWR_RATING_RO_ROLLUP[MMWR_RATING_RO_ROLLUP],0),MATCH(H$9,MMWR_RATING_RO_ROLLUP[#Headers],0)),"ERROR"))</f>
        <v>64.703141361299998</v>
      </c>
      <c r="I36" s="155">
        <f>IF($B36=" ","",IFERROR(INDEX(MMWR_RATING_RO_ROLLUP[],MATCH($B36,MMWR_RATING_RO_ROLLUP[MMWR_RATING_RO_ROLLUP],0),MATCH(I$9,MMWR_RATING_RO_ROLLUP[#Headers],0)),"ERROR"))</f>
        <v>67.4524204099</v>
      </c>
      <c r="J36" s="42"/>
      <c r="K36" s="42"/>
      <c r="L36" s="42"/>
      <c r="M36" s="42"/>
      <c r="N36" s="28"/>
    </row>
    <row r="37" spans="1:14" x14ac:dyDescent="0.2">
      <c r="A37" s="25"/>
      <c r="B37" s="13" t="s">
        <v>224</v>
      </c>
      <c r="C37" s="154">
        <f>IF($B37=" ","",IFERROR(INDEX(MMWR_RATING_RO_ROLLUP[],MATCH($B37,MMWR_RATING_RO_ROLLUP[MMWR_RATING_RO_ROLLUP],0),MATCH(C$9,MMWR_RATING_RO_ROLLUP[#Headers],0)),"ERROR"))</f>
        <v>880</v>
      </c>
      <c r="D37" s="155">
        <f>IF($B37=" ","",IFERROR(INDEX(MMWR_RATING_RO_ROLLUP[],MATCH($B37,MMWR_RATING_RO_ROLLUP[MMWR_RATING_RO_ROLLUP],0),MATCH(D$9,MMWR_RATING_RO_ROLLUP[#Headers],0)),"ERROR"))</f>
        <v>171.87727272730001</v>
      </c>
      <c r="E37" s="156">
        <f>IF($B37=" ","",IFERROR(INDEX(MMWR_RATING_RO_ROLLUP[],MATCH($B37,MMWR_RATING_RO_ROLLUP[MMWR_RATING_RO_ROLLUP],0),MATCH(E$9,MMWR_RATING_RO_ROLLUP[#Headers],0))/$C37,"ERROR"))</f>
        <v>0.46590909090909088</v>
      </c>
      <c r="F37" s="154">
        <f>IF($B37=" ","",IFERROR(INDEX(MMWR_RATING_RO_ROLLUP[],MATCH($B37,MMWR_RATING_RO_ROLLUP[MMWR_RATING_RO_ROLLUP],0),MATCH(F$9,MMWR_RATING_RO_ROLLUP[#Headers],0)),"ERROR"))</f>
        <v>436</v>
      </c>
      <c r="G37" s="154">
        <f>IF($B37=" ","",IFERROR(INDEX(MMWR_RATING_RO_ROLLUP[],MATCH($B37,MMWR_RATING_RO_ROLLUP[MMWR_RATING_RO_ROLLUP],0),MATCH(G$9,MMWR_RATING_RO_ROLLUP[#Headers],0)),"ERROR"))</f>
        <v>3529</v>
      </c>
      <c r="H37" s="155">
        <f>IF($B37=" ","",IFERROR(INDEX(MMWR_RATING_RO_ROLLUP[],MATCH($B37,MMWR_RATING_RO_ROLLUP[MMWR_RATING_RO_ROLLUP],0),MATCH(H$9,MMWR_RATING_RO_ROLLUP[#Headers],0)),"ERROR"))</f>
        <v>70.0298165138</v>
      </c>
      <c r="I37" s="155">
        <f>IF($B37=" ","",IFERROR(INDEX(MMWR_RATING_RO_ROLLUP[],MATCH($B37,MMWR_RATING_RO_ROLLUP[MMWR_RATING_RO_ROLLUP],0),MATCH(I$9,MMWR_RATING_RO_ROLLUP[#Headers],0)),"ERROR"))</f>
        <v>58.116746953800003</v>
      </c>
      <c r="J37" s="42"/>
      <c r="K37" s="42"/>
      <c r="L37" s="42"/>
      <c r="M37" s="42"/>
      <c r="N37" s="28"/>
    </row>
    <row r="38" spans="1:14" x14ac:dyDescent="0.2">
      <c r="A38" s="25"/>
      <c r="B38" s="377" t="s">
        <v>916</v>
      </c>
      <c r="C38" s="378"/>
      <c r="D38" s="378"/>
      <c r="E38" s="378"/>
      <c r="F38" s="378"/>
      <c r="G38" s="378"/>
      <c r="H38" s="378"/>
      <c r="I38" s="378"/>
      <c r="J38" s="378"/>
      <c r="K38" s="378"/>
      <c r="L38" s="378"/>
      <c r="M38" s="387"/>
      <c r="N38" s="28"/>
    </row>
    <row r="39" spans="1:14" x14ac:dyDescent="0.2">
      <c r="A39" s="25"/>
      <c r="B39" s="44" t="s">
        <v>697</v>
      </c>
      <c r="C39" s="154">
        <f>IF($B39=" ","",IFERROR(INDEX(MMWR_RATING_RO_ROLLUP[],MATCH($B39,MMWR_RATING_RO_ROLLUP[MMWR_RATING_RO_ROLLUP],0),MATCH(C$9,MMWR_RATING_RO_ROLLUP[#Headers],0)),"ERROR"))</f>
        <v>7323</v>
      </c>
      <c r="D39" s="155">
        <f>IF($B39=" ","",IFERROR(INDEX(MMWR_RATING_RO_ROLLUP[],MATCH($B39,MMWR_RATING_RO_ROLLUP[MMWR_RATING_RO_ROLLUP],0),MATCH(D$9,MMWR_RATING_RO_ROLLUP[#Headers],0)),"ERROR"))</f>
        <v>83.510173426199998</v>
      </c>
      <c r="E39" s="156">
        <f>IF($B39=" ","",IFERROR(INDEX(MMWR_RATING_RO_ROLLUP[],MATCH($B39,MMWR_RATING_RO_ROLLUP[MMWR_RATING_RO_ROLLUP],0),MATCH(E$9,MMWR_RATING_RO_ROLLUP[#Headers],0))/$C39,"ERROR"))</f>
        <v>0.21084255086713097</v>
      </c>
      <c r="F39" s="154">
        <f>IF($B39=" ","",IFERROR(INDEX(MMWR_RATING_RO_ROLLUP[],MATCH($B39,MMWR_RATING_RO_ROLLUP[MMWR_RATING_RO_ROLLUP],0),MATCH(F$9,MMWR_RATING_RO_ROLLUP[#Headers],0)),"ERROR"))</f>
        <v>2724</v>
      </c>
      <c r="G39" s="154">
        <f>IF($B39=" ","",IFERROR(INDEX(MMWR_RATING_RO_ROLLUP[],MATCH($B39,MMWR_RATING_RO_ROLLUP[MMWR_RATING_RO_ROLLUP],0),MATCH(G$9,MMWR_RATING_RO_ROLLUP[#Headers],0)),"ERROR"))</f>
        <v>16633</v>
      </c>
      <c r="H39" s="155">
        <f>IF($B39=" ","",IFERROR(INDEX(MMWR_RATING_RO_ROLLUP[],MATCH($B39,MMWR_RATING_RO_ROLLUP[MMWR_RATING_RO_ROLLUP],0),MATCH(H$9,MMWR_RATING_RO_ROLLUP[#Headers],0)),"ERROR"))</f>
        <v>129.7525697504</v>
      </c>
      <c r="I39" s="155">
        <f>IF($B39=" ","",IFERROR(INDEX(MMWR_RATING_RO_ROLLUP[],MATCH($B39,MMWR_RATING_RO_ROLLUP[MMWR_RATING_RO_ROLLUP],0),MATCH(I$9,MMWR_RATING_RO_ROLLUP[#Headers],0)),"ERROR"))</f>
        <v>142.31172969400001</v>
      </c>
      <c r="J39" s="42"/>
      <c r="K39" s="42"/>
      <c r="L39" s="42"/>
      <c r="M39" s="42"/>
      <c r="N39" s="28"/>
    </row>
    <row r="40" spans="1:14" x14ac:dyDescent="0.2">
      <c r="A40" s="25"/>
      <c r="B40" s="53" t="s">
        <v>956</v>
      </c>
      <c r="C40" s="154">
        <f>IF($B40=" ","",IFERROR(INDEX(MMWR_RATING_RO_ROLLUP[],MATCH($B40,MMWR_RATING_RO_ROLLUP[MMWR_RATING_RO_ROLLUP],0),MATCH(C$9,MMWR_RATING_RO_ROLLUP[#Headers],0)),"ERROR"))</f>
        <v>1031</v>
      </c>
      <c r="D40" s="155">
        <f>IF($B40=" ","",IFERROR(INDEX(MMWR_RATING_RO_ROLLUP[],MATCH($B40,MMWR_RATING_RO_ROLLUP[MMWR_RATING_RO_ROLLUP],0),MATCH(D$9,MMWR_RATING_RO_ROLLUP[#Headers],0)),"ERROR"))</f>
        <v>73.533462657599998</v>
      </c>
      <c r="E40" s="156">
        <f>IF($B40=" ","",IFERROR(INDEX(MMWR_RATING_RO_ROLLUP[],MATCH($B40,MMWR_RATING_RO_ROLLUP[MMWR_RATING_RO_ROLLUP],0),MATCH(E$9,MMWR_RATING_RO_ROLLUP[#Headers],0))/$C40,"ERROR"))</f>
        <v>0.15809893307468478</v>
      </c>
      <c r="F40" s="154">
        <f>IF($B40=" ","",IFERROR(INDEX(MMWR_RATING_RO_ROLLUP[],MATCH($B40,MMWR_RATING_RO_ROLLUP[MMWR_RATING_RO_ROLLUP],0),MATCH(F$9,MMWR_RATING_RO_ROLLUP[#Headers],0)),"ERROR"))</f>
        <v>447</v>
      </c>
      <c r="G40" s="154">
        <f>IF($B40=" ","",IFERROR(INDEX(MMWR_RATING_RO_ROLLUP[],MATCH($B40,MMWR_RATING_RO_ROLLUP[MMWR_RATING_RO_ROLLUP],0),MATCH(G$9,MMWR_RATING_RO_ROLLUP[#Headers],0)),"ERROR"))</f>
        <v>3272</v>
      </c>
      <c r="H40" s="155">
        <f>IF($B40=" ","",IFERROR(INDEX(MMWR_RATING_RO_ROLLUP[],MATCH($B40,MMWR_RATING_RO_ROLLUP[MMWR_RATING_RO_ROLLUP],0),MATCH(H$9,MMWR_RATING_RO_ROLLUP[#Headers],0)),"ERROR"))</f>
        <v>105.966442953</v>
      </c>
      <c r="I40" s="155">
        <f>IF($B40=" ","",IFERROR(INDEX(MMWR_RATING_RO_ROLLUP[],MATCH($B40,MMWR_RATING_RO_ROLLUP[MMWR_RATING_RO_ROLLUP],0),MATCH(I$9,MMWR_RATING_RO_ROLLUP[#Headers],0)),"ERROR"))</f>
        <v>126.7545843521</v>
      </c>
      <c r="J40" s="42"/>
      <c r="K40" s="42"/>
      <c r="L40" s="42"/>
      <c r="M40" s="42"/>
      <c r="N40" s="28"/>
    </row>
    <row r="41" spans="1:14" x14ac:dyDescent="0.2">
      <c r="A41" s="25"/>
      <c r="B41" s="53" t="s">
        <v>957</v>
      </c>
      <c r="C41" s="154">
        <f>IF($B41=" ","",IFERROR(INDEX(MMWR_RATING_RO_ROLLUP[],MATCH($B41,MMWR_RATING_RO_ROLLUP[MMWR_RATING_RO_ROLLUP],0),MATCH(C$9,MMWR_RATING_RO_ROLLUP[#Headers],0)),"ERROR"))</f>
        <v>1028</v>
      </c>
      <c r="D41" s="155">
        <f>IF($B41=" ","",IFERROR(INDEX(MMWR_RATING_RO_ROLLUP[],MATCH($B41,MMWR_RATING_RO_ROLLUP[MMWR_RATING_RO_ROLLUP],0),MATCH(D$9,MMWR_RATING_RO_ROLLUP[#Headers],0)),"ERROR"))</f>
        <v>85.868677042800002</v>
      </c>
      <c r="E41" s="156">
        <f>IF($B41=" ","",IFERROR(INDEX(MMWR_RATING_RO_ROLLUP[],MATCH($B41,MMWR_RATING_RO_ROLLUP[MMWR_RATING_RO_ROLLUP],0),MATCH(E$9,MMWR_RATING_RO_ROLLUP[#Headers],0))/$C41,"ERROR"))</f>
        <v>0.25389105058365757</v>
      </c>
      <c r="F41" s="154">
        <f>IF($B41=" ","",IFERROR(INDEX(MMWR_RATING_RO_ROLLUP[],MATCH($B41,MMWR_RATING_RO_ROLLUP[MMWR_RATING_RO_ROLLUP],0),MATCH(F$9,MMWR_RATING_RO_ROLLUP[#Headers],0)),"ERROR"))</f>
        <v>439</v>
      </c>
      <c r="G41" s="154">
        <f>IF($B41=" ","",IFERROR(INDEX(MMWR_RATING_RO_ROLLUP[],MATCH($B41,MMWR_RATING_RO_ROLLUP[MMWR_RATING_RO_ROLLUP],0),MATCH(G$9,MMWR_RATING_RO_ROLLUP[#Headers],0)),"ERROR"))</f>
        <v>2706</v>
      </c>
      <c r="H41" s="155">
        <f>IF($B41=" ","",IFERROR(INDEX(MMWR_RATING_RO_ROLLUP[],MATCH($B41,MMWR_RATING_RO_ROLLUP[MMWR_RATING_RO_ROLLUP],0),MATCH(H$9,MMWR_RATING_RO_ROLLUP[#Headers],0)),"ERROR"))</f>
        <v>144.1571753986</v>
      </c>
      <c r="I41" s="155">
        <f>IF($B41=" ","",IFERROR(INDEX(MMWR_RATING_RO_ROLLUP[],MATCH($B41,MMWR_RATING_RO_ROLLUP[MMWR_RATING_RO_ROLLUP],0),MATCH(I$9,MMWR_RATING_RO_ROLLUP[#Headers],0)),"ERROR"))</f>
        <v>154.50443458980001</v>
      </c>
      <c r="J41" s="42"/>
      <c r="K41" s="42"/>
      <c r="L41" s="42"/>
      <c r="M41" s="42"/>
      <c r="N41" s="28"/>
    </row>
    <row r="42" spans="1:14" x14ac:dyDescent="0.2">
      <c r="A42" s="25"/>
      <c r="B42" s="46" t="s">
        <v>307</v>
      </c>
      <c r="C42" s="154">
        <f>IF($B42=" ","",IFERROR(INDEX(MMWR_RATING_RO_ROLLUP[],MATCH($B42,MMWR_RATING_RO_ROLLUP[MMWR_RATING_RO_ROLLUP],0),MATCH(C$9,MMWR_RATING_RO_ROLLUP[#Headers],0)),"ERROR"))</f>
        <v>5264</v>
      </c>
      <c r="D42" s="155">
        <f>IF($B42=" ","",IFERROR(INDEX(MMWR_RATING_RO_ROLLUP[],MATCH($B42,MMWR_RATING_RO_ROLLUP[MMWR_RATING_RO_ROLLUP],0),MATCH(D$9,MMWR_RATING_RO_ROLLUP[#Headers],0)),"ERROR"))</f>
        <v>85.003609422500006</v>
      </c>
      <c r="E42" s="156">
        <f>IF($B42=" ","",IFERROR(INDEX(MMWR_RATING_RO_ROLLUP[],MATCH($B42,MMWR_RATING_RO_ROLLUP[MMWR_RATING_RO_ROLLUP],0),MATCH(E$9,MMWR_RATING_RO_ROLLUP[#Headers],0))/$C42,"ERROR"))</f>
        <v>0.21276595744680851</v>
      </c>
      <c r="F42" s="154">
        <f>IF($B42=" ","",IFERROR(INDEX(MMWR_RATING_RO_ROLLUP[],MATCH($B42,MMWR_RATING_RO_ROLLUP[MMWR_RATING_RO_ROLLUP],0),MATCH(F$9,MMWR_RATING_RO_ROLLUP[#Headers],0)),"ERROR"))</f>
        <v>1838</v>
      </c>
      <c r="G42" s="154">
        <f>IF($B42=" ","",IFERROR(INDEX(MMWR_RATING_RO_ROLLUP[],MATCH($B42,MMWR_RATING_RO_ROLLUP[MMWR_RATING_RO_ROLLUP],0),MATCH(G$9,MMWR_RATING_RO_ROLLUP[#Headers],0)),"ERROR"))</f>
        <v>10655</v>
      </c>
      <c r="H42" s="155">
        <f>IF($B42=" ","",IFERROR(INDEX(MMWR_RATING_RO_ROLLUP[],MATCH($B42,MMWR_RATING_RO_ROLLUP[MMWR_RATING_RO_ROLLUP],0),MATCH(H$9,MMWR_RATING_RO_ROLLUP[#Headers],0)),"ERROR"))</f>
        <v>132.09684439610001</v>
      </c>
      <c r="I42" s="155">
        <f>IF($B42=" ","",IFERROR(INDEX(MMWR_RATING_RO_ROLLUP[],MATCH($B42,MMWR_RATING_RO_ROLLUP[MMWR_RATING_RO_ROLLUP],0),MATCH(I$9,MMWR_RATING_RO_ROLLUP[#Headers],0)),"ERROR"))</f>
        <v>143.99258564050001</v>
      </c>
      <c r="J42" s="42"/>
      <c r="K42" s="42"/>
      <c r="L42" s="42"/>
      <c r="M42" s="42"/>
      <c r="N42" s="28"/>
    </row>
    <row r="43" spans="1:14" x14ac:dyDescent="0.2">
      <c r="A43" s="25"/>
      <c r="B43" s="377" t="s">
        <v>734</v>
      </c>
      <c r="C43" s="378"/>
      <c r="D43" s="378"/>
      <c r="E43" s="378"/>
      <c r="F43" s="378"/>
      <c r="G43" s="378"/>
      <c r="H43" s="378"/>
      <c r="I43" s="378"/>
      <c r="J43" s="378"/>
      <c r="K43" s="378"/>
      <c r="L43" s="378"/>
      <c r="M43" s="387"/>
      <c r="N43" s="28"/>
    </row>
    <row r="44" spans="1:14" x14ac:dyDescent="0.2">
      <c r="A44" s="25"/>
      <c r="B44" s="44" t="s">
        <v>695</v>
      </c>
      <c r="C44" s="154">
        <f>IF($B44=" ","",IFERROR(INDEX(MMWR_RATING_RO_ROLLUP[],MATCH($B44,MMWR_RATING_RO_ROLLUP[MMWR_RATING_RO_ROLLUP],0),MATCH(C$9,MMWR_RATING_RO_ROLLUP[#Headers],0)),"ERROR"))</f>
        <v>7030</v>
      </c>
      <c r="D44" s="155">
        <f>IF($B44=" ","",IFERROR(INDEX(MMWR_RATING_RO_ROLLUP[],MATCH($B44,MMWR_RATING_RO_ROLLUP[MMWR_RATING_RO_ROLLUP],0),MATCH(D$9,MMWR_RATING_RO_ROLLUP[#Headers],0)),"ERROR"))</f>
        <v>87.744950213400003</v>
      </c>
      <c r="E44" s="156">
        <f>IF($B44=" ","",IFERROR(INDEX(MMWR_RATING_RO_ROLLUP[],MATCH($B44,MMWR_RATING_RO_ROLLUP[MMWR_RATING_RO_ROLLUP],0),MATCH(E$9,MMWR_RATING_RO_ROLLUP[#Headers],0))/$C44,"ERROR"))</f>
        <v>0.21465149359886201</v>
      </c>
      <c r="F44" s="154">
        <f>IF($B44=" ","",IFERROR(INDEX(MMWR_RATING_RO_ROLLUP[],MATCH($B44,MMWR_RATING_RO_ROLLUP[MMWR_RATING_RO_ROLLUP],0),MATCH(F$9,MMWR_RATING_RO_ROLLUP[#Headers],0)),"ERROR"))</f>
        <v>2971</v>
      </c>
      <c r="G44" s="154">
        <f>IF($B44=" ","",IFERROR(INDEX(MMWR_RATING_RO_ROLLUP[],MATCH($B44,MMWR_RATING_RO_ROLLUP[MMWR_RATING_RO_ROLLUP],0),MATCH(G$9,MMWR_RATING_RO_ROLLUP[#Headers],0)),"ERROR"))</f>
        <v>19204</v>
      </c>
      <c r="H44" s="155">
        <f>IF($B44=" ","",IFERROR(INDEX(MMWR_RATING_RO_ROLLUP[],MATCH($B44,MMWR_RATING_RO_ROLLUP[MMWR_RATING_RO_ROLLUP],0),MATCH(H$9,MMWR_RATING_RO_ROLLUP[#Headers],0)),"ERROR"))</f>
        <v>120.997980478</v>
      </c>
      <c r="I44" s="155">
        <f>IF($B44=" ","",IFERROR(INDEX(MMWR_RATING_RO_ROLLUP[],MATCH($B44,MMWR_RATING_RO_ROLLUP[MMWR_RATING_RO_ROLLUP],0),MATCH(I$9,MMWR_RATING_RO_ROLLUP[#Headers],0)),"ERROR"))</f>
        <v>134.17199541759999</v>
      </c>
      <c r="J44" s="42"/>
      <c r="K44" s="42"/>
      <c r="L44" s="42"/>
      <c r="M44" s="42"/>
      <c r="N44" s="28"/>
    </row>
    <row r="45" spans="1:14" x14ac:dyDescent="0.2">
      <c r="A45" s="25"/>
      <c r="B45" s="45" t="s">
        <v>211</v>
      </c>
      <c r="C45" s="154">
        <f>IF($B45=" ","",IFERROR(INDEX(MMWR_RATING_RO_ROLLUP[],MATCH($B45,MMWR_RATING_RO_ROLLUP[MMWR_RATING_RO_ROLLUP],0),MATCH(C$9,MMWR_RATING_RO_ROLLUP[#Headers],0)),"ERROR"))</f>
        <v>54</v>
      </c>
      <c r="D45" s="155">
        <f>IF($B45=" ","",IFERROR(INDEX(MMWR_RATING_RO_ROLLUP[],MATCH($B45,MMWR_RATING_RO_ROLLUP[MMWR_RATING_RO_ROLLUP],0),MATCH(D$9,MMWR_RATING_RO_ROLLUP[#Headers],0)),"ERROR"))</f>
        <v>92.759259259299995</v>
      </c>
      <c r="E45" s="156">
        <f>IF($B45=" ","",IFERROR(INDEX(MMWR_RATING_RO_ROLLUP[],MATCH($B45,MMWR_RATING_RO_ROLLUP[MMWR_RATING_RO_ROLLUP],0),MATCH(E$9,MMWR_RATING_RO_ROLLUP[#Headers],0))/$C45,"ERROR"))</f>
        <v>0.20370370370370369</v>
      </c>
      <c r="F45" s="154">
        <f>IF($B45=" ","",IFERROR(INDEX(MMWR_RATING_RO_ROLLUP[],MATCH($B45,MMWR_RATING_RO_ROLLUP[MMWR_RATING_RO_ROLLUP],0),MATCH(F$9,MMWR_RATING_RO_ROLLUP[#Headers],0)),"ERROR"))</f>
        <v>22</v>
      </c>
      <c r="G45" s="154">
        <f>IF($B45=" ","",IFERROR(INDEX(MMWR_RATING_RO_ROLLUP[],MATCH($B45,MMWR_RATING_RO_ROLLUP[MMWR_RATING_RO_ROLLUP],0),MATCH(G$9,MMWR_RATING_RO_ROLLUP[#Headers],0)),"ERROR"))</f>
        <v>145</v>
      </c>
      <c r="H45" s="155">
        <f>IF($B45=" ","",IFERROR(INDEX(MMWR_RATING_RO_ROLLUP[],MATCH($B45,MMWR_RATING_RO_ROLLUP[MMWR_RATING_RO_ROLLUP],0),MATCH(H$9,MMWR_RATING_RO_ROLLUP[#Headers],0)),"ERROR"))</f>
        <v>84.318181818200003</v>
      </c>
      <c r="I45" s="155">
        <f>IF($B45=" ","",IFERROR(INDEX(MMWR_RATING_RO_ROLLUP[],MATCH($B45,MMWR_RATING_RO_ROLLUP[MMWR_RATING_RO_ROLLUP],0),MATCH(I$9,MMWR_RATING_RO_ROLLUP[#Headers],0)),"ERROR"))</f>
        <v>125.9517241379</v>
      </c>
      <c r="J45" s="42"/>
      <c r="K45" s="42"/>
      <c r="L45" s="42"/>
      <c r="M45" s="42"/>
      <c r="N45" s="28"/>
    </row>
    <row r="46" spans="1:14" x14ac:dyDescent="0.2">
      <c r="A46" s="25"/>
      <c r="B46" s="45" t="s">
        <v>213</v>
      </c>
      <c r="C46" s="154">
        <f>IF($B46=" ","",IFERROR(INDEX(MMWR_RATING_RO_ROLLUP[],MATCH($B46,MMWR_RATING_RO_ROLLUP[MMWR_RATING_RO_ROLLUP],0),MATCH(C$9,MMWR_RATING_RO_ROLLUP[#Headers],0)),"ERROR"))</f>
        <v>955</v>
      </c>
      <c r="D46" s="155">
        <f>IF($B46=" ","",IFERROR(INDEX(MMWR_RATING_RO_ROLLUP[],MATCH($B46,MMWR_RATING_RO_ROLLUP[MMWR_RATING_RO_ROLLUP],0),MATCH(D$9,MMWR_RATING_RO_ROLLUP[#Headers],0)),"ERROR"))</f>
        <v>95.057591622999993</v>
      </c>
      <c r="E46" s="156">
        <f>IF($B46=" ","",IFERROR(INDEX(MMWR_RATING_RO_ROLLUP[],MATCH($B46,MMWR_RATING_RO_ROLLUP[MMWR_RATING_RO_ROLLUP],0),MATCH(E$9,MMWR_RATING_RO_ROLLUP[#Headers],0))/$C46,"ERROR"))</f>
        <v>0.27015706806282724</v>
      </c>
      <c r="F46" s="154">
        <f>IF($B46=" ","",IFERROR(INDEX(MMWR_RATING_RO_ROLLUP[],MATCH($B46,MMWR_RATING_RO_ROLLUP[MMWR_RATING_RO_ROLLUP],0),MATCH(F$9,MMWR_RATING_RO_ROLLUP[#Headers],0)),"ERROR"))</f>
        <v>573</v>
      </c>
      <c r="G46" s="154">
        <f>IF($B46=" ","",IFERROR(INDEX(MMWR_RATING_RO_ROLLUP[],MATCH($B46,MMWR_RATING_RO_ROLLUP[MMWR_RATING_RO_ROLLUP],0),MATCH(G$9,MMWR_RATING_RO_ROLLUP[#Headers],0)),"ERROR"))</f>
        <v>3106</v>
      </c>
      <c r="H46" s="155">
        <f>IF($B46=" ","",IFERROR(INDEX(MMWR_RATING_RO_ROLLUP[],MATCH($B46,MMWR_RATING_RO_ROLLUP[MMWR_RATING_RO_ROLLUP],0),MATCH(H$9,MMWR_RATING_RO_ROLLUP[#Headers],0)),"ERROR"))</f>
        <v>134.1815008726</v>
      </c>
      <c r="I46" s="155">
        <f>IF($B46=" ","",IFERROR(INDEX(MMWR_RATING_RO_ROLLUP[],MATCH($B46,MMWR_RATING_RO_ROLLUP[MMWR_RATING_RO_ROLLUP],0),MATCH(I$9,MMWR_RATING_RO_ROLLUP[#Headers],0)),"ERROR"))</f>
        <v>146.49581455250001</v>
      </c>
      <c r="J46" s="42"/>
      <c r="K46" s="42"/>
      <c r="L46" s="42"/>
      <c r="M46" s="42"/>
      <c r="N46" s="28"/>
    </row>
    <row r="47" spans="1:14" x14ac:dyDescent="0.2">
      <c r="A47" s="25"/>
      <c r="B47" s="47" t="s">
        <v>308</v>
      </c>
      <c r="C47" s="154">
        <f>IF($B47=" ","",IFERROR(INDEX(MMWR_RATING_RO_ROLLUP[],MATCH($B47,MMWR_RATING_RO_ROLLUP[MMWR_RATING_RO_ROLLUP],0),MATCH(C$9,MMWR_RATING_RO_ROLLUP[#Headers],0)),"ERROR"))</f>
        <v>6021</v>
      </c>
      <c r="D47" s="155">
        <f>IF($B47=" ","",IFERROR(INDEX(MMWR_RATING_RO_ROLLUP[],MATCH($B47,MMWR_RATING_RO_ROLLUP[MMWR_RATING_RO_ROLLUP],0),MATCH(D$9,MMWR_RATING_RO_ROLLUP[#Headers],0)),"ERROR"))</f>
        <v>86.540109616300001</v>
      </c>
      <c r="E47" s="156">
        <f>IF($B47=" ","",IFERROR(INDEX(MMWR_RATING_RO_ROLLUP[],MATCH($B47,MMWR_RATING_RO_ROLLUP[MMWR_RATING_RO_ROLLUP],0),MATCH(E$9,MMWR_RATING_RO_ROLLUP[#Headers],0))/$C47,"ERROR"))</f>
        <v>0.20594585617007141</v>
      </c>
      <c r="F47" s="154">
        <f>IF($B47=" ","",IFERROR(INDEX(MMWR_RATING_RO_ROLLUP[],MATCH($B47,MMWR_RATING_RO_ROLLUP[MMWR_RATING_RO_ROLLUP],0),MATCH(F$9,MMWR_RATING_RO_ROLLUP[#Headers],0)),"ERROR"))</f>
        <v>2376</v>
      </c>
      <c r="G47" s="154">
        <f>IF($B47=" ","",IFERROR(INDEX(MMWR_RATING_RO_ROLLUP[],MATCH($B47,MMWR_RATING_RO_ROLLUP[MMWR_RATING_RO_ROLLUP],0),MATCH(G$9,MMWR_RATING_RO_ROLLUP[#Headers],0)),"ERROR"))</f>
        <v>15953</v>
      </c>
      <c r="H47" s="155">
        <f>IF($B47=" ","",IFERROR(INDEX(MMWR_RATING_RO_ROLLUP[],MATCH($B47,MMWR_RATING_RO_ROLLUP[MMWR_RATING_RO_ROLLUP],0),MATCH(H$9,MMWR_RATING_RO_ROLLUP[#Headers],0)),"ERROR"))</f>
        <v>118.15824915819999</v>
      </c>
      <c r="I47" s="155">
        <f>IF($B47=" ","",IFERROR(INDEX(MMWR_RATING_RO_ROLLUP[],MATCH($B47,MMWR_RATING_RO_ROLLUP[MMWR_RATING_RO_ROLLUP],0),MATCH(I$9,MMWR_RATING_RO_ROLLUP[#Headers],0)),"ERROR"))</f>
        <v>131.847301448</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977</v>
      </c>
      <c r="D2" s="350"/>
      <c r="E2" s="350"/>
      <c r="F2" s="350"/>
      <c r="G2" s="350"/>
      <c r="H2" s="350"/>
      <c r="I2" s="350"/>
      <c r="J2" s="349" t="s">
        <v>300</v>
      </c>
      <c r="K2" s="350"/>
      <c r="L2" s="350"/>
      <c r="M2" s="351"/>
      <c r="N2" s="28"/>
    </row>
    <row r="3" spans="1:15" ht="24" customHeight="1" thickBot="1" x14ac:dyDescent="0.4">
      <c r="A3" s="25"/>
      <c r="B3" s="29"/>
      <c r="C3" s="352"/>
      <c r="D3" s="353"/>
      <c r="E3" s="353"/>
      <c r="F3" s="353"/>
      <c r="G3" s="353"/>
      <c r="H3" s="353"/>
      <c r="I3" s="353"/>
      <c r="J3" s="352" t="str">
        <f>Transformation!B4</f>
        <v>As of: May 28, 2016</v>
      </c>
      <c r="K3" s="353"/>
      <c r="L3" s="353"/>
      <c r="M3" s="354"/>
      <c r="N3" s="28"/>
    </row>
    <row r="4" spans="1:15" ht="51.75" customHeight="1" thickBot="1" x14ac:dyDescent="0.35">
      <c r="A4" s="30"/>
      <c r="B4" s="246" t="s">
        <v>455</v>
      </c>
      <c r="C4" s="355" t="s">
        <v>431</v>
      </c>
      <c r="D4" s="356"/>
      <c r="E4" s="356"/>
      <c r="F4" s="356"/>
      <c r="G4" s="356"/>
      <c r="H4" s="356"/>
      <c r="I4" s="356"/>
      <c r="J4" s="356"/>
      <c r="K4" s="356"/>
      <c r="L4" s="356"/>
      <c r="M4" s="357"/>
      <c r="N4" s="28"/>
    </row>
    <row r="5" spans="1:15" ht="27" customHeight="1" thickBot="1" x14ac:dyDescent="0.25">
      <c r="A5" s="30"/>
      <c r="B5" s="245" t="s">
        <v>369</v>
      </c>
      <c r="C5" s="358" t="s">
        <v>1041</v>
      </c>
      <c r="D5" s="359"/>
      <c r="E5" s="359"/>
      <c r="F5" s="359"/>
      <c r="G5" s="359"/>
      <c r="H5" s="359"/>
      <c r="I5" s="359"/>
      <c r="J5" s="359"/>
      <c r="K5" s="359"/>
      <c r="L5" s="359"/>
      <c r="M5" s="359"/>
      <c r="N5" s="359"/>
      <c r="O5" s="360"/>
    </row>
    <row r="6" spans="1:15"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5"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5"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385" t="s">
        <v>293</v>
      </c>
      <c r="D10" s="385"/>
      <c r="E10" s="385"/>
      <c r="F10" s="385"/>
      <c r="G10" s="385"/>
      <c r="H10" s="385"/>
      <c r="I10" s="385"/>
      <c r="J10" s="385"/>
      <c r="K10" s="385"/>
      <c r="L10" s="385"/>
      <c r="M10" s="386"/>
      <c r="N10" s="28"/>
    </row>
    <row r="11" spans="1:15" ht="63.75" customHeight="1" x14ac:dyDescent="0.2">
      <c r="A11" s="25"/>
      <c r="B11" s="26"/>
      <c r="C11" s="52" t="s">
        <v>226</v>
      </c>
      <c r="D11" s="52" t="s">
        <v>134</v>
      </c>
      <c r="E11" s="52" t="s">
        <v>227</v>
      </c>
      <c r="F11" s="52" t="s">
        <v>189</v>
      </c>
      <c r="G11" s="52" t="s">
        <v>204</v>
      </c>
      <c r="H11" s="52" t="s">
        <v>206</v>
      </c>
      <c r="I11" s="52" t="s">
        <v>207</v>
      </c>
      <c r="J11" s="388" t="s">
        <v>972</v>
      </c>
      <c r="K11" s="389"/>
      <c r="L11" s="389"/>
      <c r="M11" s="390"/>
      <c r="N11" s="28"/>
    </row>
    <row r="12" spans="1:15" x14ac:dyDescent="0.2">
      <c r="A12" s="25"/>
      <c r="B12" s="41" t="s">
        <v>729</v>
      </c>
      <c r="C12" s="154">
        <f>IF($B12=" ","",IFERROR(INDEX(MMWR_RATING_STATE_ROLLUP_VSC[],MATCH($B12,MMWR_RATING_STATE_ROLLUP_VSC[MMWR_RATING_STATE_ROLLUP_VSC],0),MATCH(C$9,MMWR_RATING_STATE_ROLLUP_VSC[#Headers],0)),"ERROR"))</f>
        <v>356878</v>
      </c>
      <c r="D12" s="155">
        <f>IF($B12=" ","",IFERROR(INDEX(MMWR_RATING_STATE_ROLLUP_VSC[],MATCH($B12,MMWR_RATING_STATE_ROLLUP_VSC[MMWR_RATING_STATE_ROLLUP_VSC],0),MATCH(D$9,MMWR_RATING_STATE_ROLLUP_VSC[#Headers],0)),"ERROR"))</f>
        <v>88.609264230400001</v>
      </c>
      <c r="E12" s="157">
        <f>IF($B12=" ","",IFERROR(INDEX(MMWR_RATING_STATE_ROLLUP_VSC[],MATCH($B12,MMWR_RATING_STATE_ROLLUP_VSC[MMWR_RATING_STATE_ROLLUP_VSC],0),MATCH(E$9,MMWR_RATING_STATE_ROLLUP_VSC[#Headers],0))/$C12,"ERROR"))</f>
        <v>0.20468899736044249</v>
      </c>
      <c r="F12" s="154">
        <f>IF($B12=" ","",IFERROR(INDEX(MMWR_RATING_STATE_ROLLUP_VSC[],MATCH($B12,MMWR_RATING_STATE_ROLLUP_VSC[MMWR_RATING_STATE_ROLLUP_VSC],0),MATCH(F$9,MMWR_RATING_STATE_ROLLUP_VSC[#Headers],0)),"ERROR"))</f>
        <v>95957</v>
      </c>
      <c r="G12" s="154">
        <f>IF($B12=" ","",IFERROR(INDEX(MMWR_RATING_STATE_ROLLUP_VSC[],MATCH($B12,MMWR_RATING_STATE_ROLLUP_VSC[MMWR_RATING_STATE_ROLLUP_VSC],0),MATCH(G$9,MMWR_RATING_STATE_ROLLUP_VSC[#Headers],0)),"ERROR"))</f>
        <v>836391</v>
      </c>
      <c r="H12" s="155">
        <f>IF($B12=" ","",IFERROR(INDEX(MMWR_RATING_STATE_ROLLUP_VSC[],MATCH($B12,MMWR_RATING_STATE_ROLLUP_VSC[MMWR_RATING_STATE_ROLLUP_VSC],0),MATCH(H$9,MMWR_RATING_STATE_ROLLUP_VSC[#Headers],0)),"ERROR"))</f>
        <v>117.1651052034</v>
      </c>
      <c r="I12" s="155">
        <f>IF($B12=" ","",IFERROR(INDEX(MMWR_RATING_STATE_ROLLUP_VSC[],MATCH($B12,MMWR_RATING_STATE_ROLLUP_VSC[MMWR_RATING_STATE_ROLLUP_VSC],0),MATCH(I$9,MMWR_RATING_STATE_ROLLUP_VSC[#Headers],0)),"ERROR"))</f>
        <v>123.5537637301</v>
      </c>
      <c r="J12" s="42"/>
      <c r="K12" s="42"/>
      <c r="L12" s="42"/>
      <c r="M12" s="42"/>
      <c r="N12" s="28"/>
    </row>
    <row r="13" spans="1:15" x14ac:dyDescent="0.2">
      <c r="A13" s="25"/>
      <c r="B13" s="377" t="s">
        <v>958</v>
      </c>
      <c r="C13" s="378"/>
      <c r="D13" s="378"/>
      <c r="E13" s="378"/>
      <c r="F13" s="378"/>
      <c r="G13" s="378"/>
      <c r="H13" s="378"/>
      <c r="I13" s="378"/>
      <c r="J13" s="378"/>
      <c r="K13" s="378"/>
      <c r="L13" s="378"/>
      <c r="M13" s="387"/>
      <c r="N13" s="28"/>
    </row>
    <row r="14" spans="1:15" x14ac:dyDescent="0.2">
      <c r="A14" s="25"/>
      <c r="B14" s="41" t="s">
        <v>1035</v>
      </c>
      <c r="C14" s="154">
        <f>IF($B14=" ","",IFERROR(INDEX(MMWR_RATING_STATE_ROLLUP_VSC[],MATCH($B14,MMWR_RATING_STATE_ROLLUP_VSC[MMWR_RATING_STATE_ROLLUP_VSC],0),MATCH(C$9,MMWR_RATING_STATE_ROLLUP_VSC[#Headers],0)),"ERROR"))</f>
        <v>313682</v>
      </c>
      <c r="D14" s="155">
        <f>IF($B14=" ","",IFERROR(INDEX(MMWR_RATING_STATE_ROLLUP_VSC[],MATCH($B14,MMWR_RATING_STATE_ROLLUP_VSC[MMWR_RATING_STATE_ROLLUP_VSC],0),MATCH(D$9,MMWR_RATING_STATE_ROLLUP_VSC[#Headers],0)),"ERROR"))</f>
        <v>90.667178862699998</v>
      </c>
      <c r="E14" s="156">
        <f>IF($B14=" ","",IFERROR(INDEX(MMWR_RATING_STATE_ROLLUP_VSC[],MATCH($B14,MMWR_RATING_STATE_ROLLUP_VSC[MMWR_RATING_STATE_ROLLUP_VSC],0),MATCH(E$9,MMWR_RATING_STATE_ROLLUP_VSC[#Headers],0))/$C14,"ERROR"))</f>
        <v>0.2136239886254232</v>
      </c>
      <c r="F14" s="154">
        <f>IF($B14=" ","",IFERROR(INDEX(MMWR_RATING_STATE_ROLLUP_VSC[],MATCH($B14,MMWR_RATING_STATE_ROLLUP_VSC[MMWR_RATING_STATE_ROLLUP_VSC],0),MATCH(F$9,MMWR_RATING_STATE_ROLLUP_VSC[#Headers],0)),"ERROR"))</f>
        <v>79387</v>
      </c>
      <c r="G14" s="154">
        <f>IF($B14=" ","",IFERROR(INDEX(MMWR_RATING_STATE_ROLLUP_VSC[],MATCH($B14,MMWR_RATING_STATE_ROLLUP_VSC[MMWR_RATING_STATE_ROLLUP_VSC],0),MATCH(G$9,MMWR_RATING_STATE_ROLLUP_VSC[#Headers],0)),"ERROR"))</f>
        <v>704234</v>
      </c>
      <c r="H14" s="155">
        <f>IF($B14=" ","",IFERROR(INDEX(MMWR_RATING_STATE_ROLLUP_VSC[],MATCH($B14,MMWR_RATING_STATE_ROLLUP_VSC[MMWR_RATING_STATE_ROLLUP_VSC],0),MATCH(H$9,MMWR_RATING_STATE_ROLLUP_VSC[#Headers],0)),"ERROR"))</f>
        <v>121.8243793064</v>
      </c>
      <c r="I14" s="155">
        <f>IF($B14=" ","",IFERROR(INDEX(MMWR_RATING_STATE_ROLLUP_VSC[],MATCH($B14,MMWR_RATING_STATE_ROLLUP_VSC[MMWR_RATING_STATE_ROLLUP_VSC],0),MATCH(I$9,MMWR_RATING_STATE_ROLLUP_VSC[#Headers],0)),"ERROR"))</f>
        <v>129.1267192439</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68704</v>
      </c>
      <c r="D15" s="155">
        <f>IF($B15=" ","",IFERROR(INDEX(MMWR_RATING_STATE_ROLLUP_VSC[],MATCH($B15,MMWR_RATING_STATE_ROLLUP_VSC[MMWR_RATING_STATE_ROLLUP_VSC],0),MATCH(D$9,MMWR_RATING_STATE_ROLLUP_VSC[#Headers],0)),"ERROR"))</f>
        <v>93.314202957600003</v>
      </c>
      <c r="E15" s="156">
        <f>IF($B15=" ","",IFERROR(INDEX(MMWR_RATING_STATE_ROLLUP_VSC[],MATCH($B15,MMWR_RATING_STATE_ROLLUP_VSC[MMWR_RATING_STATE_ROLLUP_VSC],0),MATCH(E$9,MMWR_RATING_STATE_ROLLUP_VSC[#Headers],0))/$C15,"ERROR"))</f>
        <v>0.22809443409408478</v>
      </c>
      <c r="F15" s="154">
        <f>IF($B15=" ","",IFERROR(INDEX(MMWR_RATING_STATE_ROLLUP_VSC[],MATCH($B15,MMWR_RATING_STATE_ROLLUP_VSC[MMWR_RATING_STATE_ROLLUP_VSC],0),MATCH(F$9,MMWR_RATING_STATE_ROLLUP_VSC[#Headers],0)),"ERROR"))</f>
        <v>16927</v>
      </c>
      <c r="G15" s="154">
        <f>IF($B15=" ","",IFERROR(INDEX(MMWR_RATING_STATE_ROLLUP_VSC[],MATCH($B15,MMWR_RATING_STATE_ROLLUP_VSC[MMWR_RATING_STATE_ROLLUP_VSC],0),MATCH(G$9,MMWR_RATING_STATE_ROLLUP_VSC[#Headers],0)),"ERROR"))</f>
        <v>146533</v>
      </c>
      <c r="H15" s="155">
        <f>IF($B15=" ","",IFERROR(INDEX(MMWR_RATING_STATE_ROLLUP_VSC[],MATCH($B15,MMWR_RATING_STATE_ROLLUP_VSC[MMWR_RATING_STATE_ROLLUP_VSC],0),MATCH(H$9,MMWR_RATING_STATE_ROLLUP_VSC[#Headers],0)),"ERROR"))</f>
        <v>124.3832338867</v>
      </c>
      <c r="I15" s="155">
        <f>IF($B15=" ","",IFERROR(INDEX(MMWR_RATING_STATE_ROLLUP_VSC[],MATCH($B15,MMWR_RATING_STATE_ROLLUP_VSC[MMWR_RATING_STATE_ROLLUP_VSC],0),MATCH(I$9,MMWR_RATING_STATE_ROLLUP_VSC[#Headers],0)),"ERROR"))</f>
        <v>132.29662942819999</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1659</v>
      </c>
      <c r="D16" s="155">
        <f>IF($B16=" ","",IFERROR(INDEX(MMWR_RATING_STATE_ROLLUP_VSC[],MATCH($B16,MMWR_RATING_STATE_ROLLUP_VSC[MMWR_RATING_STATE_ROLLUP_VSC],0),MATCH(D$9,MMWR_RATING_STATE_ROLLUP_VSC[#Headers],0)),"ERROR"))</f>
        <v>85.345991561199995</v>
      </c>
      <c r="E16" s="156">
        <f>IF($B16=" ","",IFERROR(INDEX(MMWR_RATING_STATE_ROLLUP_VSC[],MATCH($B16,MMWR_RATING_STATE_ROLLUP_VSC[MMWR_RATING_STATE_ROLLUP_VSC],0),MATCH(E$9,MMWR_RATING_STATE_ROLLUP_VSC[#Headers],0))/$C16,"ERROR"))</f>
        <v>0.19469559975889089</v>
      </c>
      <c r="F16" s="154">
        <f>IF($B16=" ","",IFERROR(INDEX(MMWR_RATING_STATE_ROLLUP_VSC[],MATCH($B16,MMWR_RATING_STATE_ROLLUP_VSC[MMWR_RATING_STATE_ROLLUP_VSC],0),MATCH(F$9,MMWR_RATING_STATE_ROLLUP_VSC[#Headers],0)),"ERROR"))</f>
        <v>496</v>
      </c>
      <c r="G16" s="154">
        <f>IF($B16=" ","",IFERROR(INDEX(MMWR_RATING_STATE_ROLLUP_VSC[],MATCH($B16,MMWR_RATING_STATE_ROLLUP_VSC[MMWR_RATING_STATE_ROLLUP_VSC],0),MATCH(G$9,MMWR_RATING_STATE_ROLLUP_VSC[#Headers],0)),"ERROR"))</f>
        <v>4454</v>
      </c>
      <c r="H16" s="155">
        <f>IF($B16=" ","",IFERROR(INDEX(MMWR_RATING_STATE_ROLLUP_VSC[],MATCH($B16,MMWR_RATING_STATE_ROLLUP_VSC[MMWR_RATING_STATE_ROLLUP_VSC],0),MATCH(H$9,MMWR_RATING_STATE_ROLLUP_VSC[#Headers],0)),"ERROR"))</f>
        <v>109.80443548389999</v>
      </c>
      <c r="I16" s="155">
        <f>IF($B16=" ","",IFERROR(INDEX(MMWR_RATING_STATE_ROLLUP_VSC[],MATCH($B16,MMWR_RATING_STATE_ROLLUP_VSC[MMWR_RATING_STATE_ROLLUP_VSC],0),MATCH(I$9,MMWR_RATING_STATE_ROLLUP_VSC[#Headers],0)),"ERROR"))</f>
        <v>114.0345756623</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873</v>
      </c>
      <c r="D17" s="155">
        <f>IF($B17=" ","",IFERROR(INDEX(MMWR_RATING_STATE_ROLLUP_VSC[],MATCH($B17,MMWR_RATING_STATE_ROLLUP_VSC[MMWR_RATING_STATE_ROLLUP_VSC],0),MATCH(D$9,MMWR_RATING_STATE_ROLLUP_VSC[#Headers],0)),"ERROR"))</f>
        <v>89.7720504009</v>
      </c>
      <c r="E17" s="156">
        <f>IF($B17=" ","",IFERROR(INDEX(MMWR_RATING_STATE_ROLLUP_VSC[],MATCH($B17,MMWR_RATING_STATE_ROLLUP_VSC[MMWR_RATING_STATE_ROLLUP_VSC],0),MATCH(E$9,MMWR_RATING_STATE_ROLLUP_VSC[#Headers],0))/$C17,"ERROR"))</f>
        <v>0.22222222222222221</v>
      </c>
      <c r="F17" s="154">
        <f>IF($B17=" ","",IFERROR(INDEX(MMWR_RATING_STATE_ROLLUP_VSC[],MATCH($B17,MMWR_RATING_STATE_ROLLUP_VSC[MMWR_RATING_STATE_ROLLUP_VSC],0),MATCH(F$9,MMWR_RATING_STATE_ROLLUP_VSC[#Headers],0)),"ERROR"))</f>
        <v>215</v>
      </c>
      <c r="G17" s="154">
        <f>IF($B17=" ","",IFERROR(INDEX(MMWR_RATING_STATE_ROLLUP_VSC[],MATCH($B17,MMWR_RATING_STATE_ROLLUP_VSC[MMWR_RATING_STATE_ROLLUP_VSC],0),MATCH(G$9,MMWR_RATING_STATE_ROLLUP_VSC[#Headers],0)),"ERROR"))</f>
        <v>1995</v>
      </c>
      <c r="H17" s="155">
        <f>IF($B17=" ","",IFERROR(INDEX(MMWR_RATING_STATE_ROLLUP_VSC[],MATCH($B17,MMWR_RATING_STATE_ROLLUP_VSC[MMWR_RATING_STATE_ROLLUP_VSC],0),MATCH(H$9,MMWR_RATING_STATE_ROLLUP_VSC[#Headers],0)),"ERROR"))</f>
        <v>121.5023255814</v>
      </c>
      <c r="I17" s="155">
        <f>IF($B17=" ","",IFERROR(INDEX(MMWR_RATING_STATE_ROLLUP_VSC[],MATCH($B17,MMWR_RATING_STATE_ROLLUP_VSC[MMWR_RATING_STATE_ROLLUP_VSC],0),MATCH(I$9,MMWR_RATING_STATE_ROLLUP_VSC[#Headers],0)),"ERROR"))</f>
        <v>137.18897243110001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403</v>
      </c>
      <c r="D18" s="155">
        <f>IF($B18=" ","",IFERROR(INDEX(MMWR_RATING_STATE_ROLLUP_VSC[],MATCH($B18,MMWR_RATING_STATE_ROLLUP_VSC[MMWR_RATING_STATE_ROLLUP_VSC],0),MATCH(D$9,MMWR_RATING_STATE_ROLLUP_VSC[#Headers],0)),"ERROR"))</f>
        <v>84.315136476399999</v>
      </c>
      <c r="E18" s="156">
        <f>IF($B18=" ","",IFERROR(INDEX(MMWR_RATING_STATE_ROLLUP_VSC[],MATCH($B18,MMWR_RATING_STATE_ROLLUP_VSC[MMWR_RATING_STATE_ROLLUP_VSC],0),MATCH(E$9,MMWR_RATING_STATE_ROLLUP_VSC[#Headers],0))/$C18,"ERROR"))</f>
        <v>0.17866004962779156</v>
      </c>
      <c r="F18" s="154">
        <f>IF($B18=" ","",IFERROR(INDEX(MMWR_RATING_STATE_ROLLUP_VSC[],MATCH($B18,MMWR_RATING_STATE_ROLLUP_VSC[MMWR_RATING_STATE_ROLLUP_VSC],0),MATCH(F$9,MMWR_RATING_STATE_ROLLUP_VSC[#Headers],0)),"ERROR"))</f>
        <v>102</v>
      </c>
      <c r="G18" s="154">
        <f>IF($B18=" ","",IFERROR(INDEX(MMWR_RATING_STATE_ROLLUP_VSC[],MATCH($B18,MMWR_RATING_STATE_ROLLUP_VSC[MMWR_RATING_STATE_ROLLUP_VSC],0),MATCH(G$9,MMWR_RATING_STATE_ROLLUP_VSC[#Headers],0)),"ERROR"))</f>
        <v>909</v>
      </c>
      <c r="H18" s="155">
        <f>IF($B18=" ","",IFERROR(INDEX(MMWR_RATING_STATE_ROLLUP_VSC[],MATCH($B18,MMWR_RATING_STATE_ROLLUP_VSC[MMWR_RATING_STATE_ROLLUP_VSC],0),MATCH(H$9,MMWR_RATING_STATE_ROLLUP_VSC[#Headers],0)),"ERROR"))</f>
        <v>121.362745098</v>
      </c>
      <c r="I18" s="155">
        <f>IF($B18=" ","",IFERROR(INDEX(MMWR_RATING_STATE_ROLLUP_VSC[],MATCH($B18,MMWR_RATING_STATE_ROLLUP_VSC[MMWR_RATING_STATE_ROLLUP_VSC],0),MATCH(I$9,MMWR_RATING_STATE_ROLLUP_VSC[#Headers],0)),"ERROR"))</f>
        <v>140.85918591859999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1180</v>
      </c>
      <c r="D19" s="155">
        <f>IF($B19=" ","",IFERROR(INDEX(MMWR_RATING_STATE_ROLLUP_VSC[],MATCH($B19,MMWR_RATING_STATE_ROLLUP_VSC[MMWR_RATING_STATE_ROLLUP_VSC],0),MATCH(D$9,MMWR_RATING_STATE_ROLLUP_VSC[#Headers],0)),"ERROR"))</f>
        <v>73.981355932200003</v>
      </c>
      <c r="E19" s="156">
        <f>IF($B19=" ","",IFERROR(INDEX(MMWR_RATING_STATE_ROLLUP_VSC[],MATCH($B19,MMWR_RATING_STATE_ROLLUP_VSC[MMWR_RATING_STATE_ROLLUP_VSC],0),MATCH(E$9,MMWR_RATING_STATE_ROLLUP_VSC[#Headers],0))/$C19,"ERROR"))</f>
        <v>0.14067796610169492</v>
      </c>
      <c r="F19" s="154">
        <f>IF($B19=" ","",IFERROR(INDEX(MMWR_RATING_STATE_ROLLUP_VSC[],MATCH($B19,MMWR_RATING_STATE_ROLLUP_VSC[MMWR_RATING_STATE_ROLLUP_VSC],0),MATCH(F$9,MMWR_RATING_STATE_ROLLUP_VSC[#Headers],0)),"ERROR"))</f>
        <v>478</v>
      </c>
      <c r="G19" s="154">
        <f>IF($B19=" ","",IFERROR(INDEX(MMWR_RATING_STATE_ROLLUP_VSC[],MATCH($B19,MMWR_RATING_STATE_ROLLUP_VSC[MMWR_RATING_STATE_ROLLUP_VSC],0),MATCH(G$9,MMWR_RATING_STATE_ROLLUP_VSC[#Headers],0)),"ERROR"))</f>
        <v>3462</v>
      </c>
      <c r="H19" s="155">
        <f>IF($B19=" ","",IFERROR(INDEX(MMWR_RATING_STATE_ROLLUP_VSC[],MATCH($B19,MMWR_RATING_STATE_ROLLUP_VSC[MMWR_RATING_STATE_ROLLUP_VSC],0),MATCH(H$9,MMWR_RATING_STATE_ROLLUP_VSC[#Headers],0)),"ERROR"))</f>
        <v>88.744769874499994</v>
      </c>
      <c r="I19" s="155">
        <f>IF($B19=" ","",IFERROR(INDEX(MMWR_RATING_STATE_ROLLUP_VSC[],MATCH($B19,MMWR_RATING_STATE_ROLLUP_VSC[MMWR_RATING_STATE_ROLLUP_VSC],0),MATCH(I$9,MMWR_RATING_STATE_ROLLUP_VSC[#Headers],0)),"ERROR"))</f>
        <v>106.1086077412</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5280</v>
      </c>
      <c r="D20" s="155">
        <f>IF($B20=" ","",IFERROR(INDEX(MMWR_RATING_STATE_ROLLUP_VSC[],MATCH($B20,MMWR_RATING_STATE_ROLLUP_VSC[MMWR_RATING_STATE_ROLLUP_VSC],0),MATCH(D$9,MMWR_RATING_STATE_ROLLUP_VSC[#Headers],0)),"ERROR"))</f>
        <v>101.9005681818</v>
      </c>
      <c r="E20" s="156">
        <f>IF($B20=" ","",IFERROR(INDEX(MMWR_RATING_STATE_ROLLUP_VSC[],MATCH($B20,MMWR_RATING_STATE_ROLLUP_VSC[MMWR_RATING_STATE_ROLLUP_VSC],0),MATCH(E$9,MMWR_RATING_STATE_ROLLUP_VSC[#Headers],0))/$C20,"ERROR"))</f>
        <v>0.25151515151515152</v>
      </c>
      <c r="F20" s="154">
        <f>IF($B20=" ","",IFERROR(INDEX(MMWR_RATING_STATE_ROLLUP_VSC[],MATCH($B20,MMWR_RATING_STATE_ROLLUP_VSC[MMWR_RATING_STATE_ROLLUP_VSC],0),MATCH(F$9,MMWR_RATING_STATE_ROLLUP_VSC[#Headers],0)),"ERROR"))</f>
        <v>1259</v>
      </c>
      <c r="G20" s="154">
        <f>IF($B20=" ","",IFERROR(INDEX(MMWR_RATING_STATE_ROLLUP_VSC[],MATCH($B20,MMWR_RATING_STATE_ROLLUP_VSC[MMWR_RATING_STATE_ROLLUP_VSC],0),MATCH(G$9,MMWR_RATING_STATE_ROLLUP_VSC[#Headers],0)),"ERROR"))</f>
        <v>11581</v>
      </c>
      <c r="H20" s="155">
        <f>IF($B20=" ","",IFERROR(INDEX(MMWR_RATING_STATE_ROLLUP_VSC[],MATCH($B20,MMWR_RATING_STATE_ROLLUP_VSC[MMWR_RATING_STATE_ROLLUP_VSC],0),MATCH(H$9,MMWR_RATING_STATE_ROLLUP_VSC[#Headers],0)),"ERROR"))</f>
        <v>130.0158856235</v>
      </c>
      <c r="I20" s="155">
        <f>IF($B20=" ","",IFERROR(INDEX(MMWR_RATING_STATE_ROLLUP_VSC[],MATCH($B20,MMWR_RATING_STATE_ROLLUP_VSC[MMWR_RATING_STATE_ROLLUP_VSC],0),MATCH(I$9,MMWR_RATING_STATE_ROLLUP_VSC[#Headers],0)),"ERROR"))</f>
        <v>136.41775321649999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4247</v>
      </c>
      <c r="D21" s="155">
        <f>IF($B21=" ","",IFERROR(INDEX(MMWR_RATING_STATE_ROLLUP_VSC[],MATCH($B21,MMWR_RATING_STATE_ROLLUP_VSC[MMWR_RATING_STATE_ROLLUP_VSC],0),MATCH(D$9,MMWR_RATING_STATE_ROLLUP_VSC[#Headers],0)),"ERROR"))</f>
        <v>90.308688485999994</v>
      </c>
      <c r="E21" s="156">
        <f>IF($B21=" ","",IFERROR(INDEX(MMWR_RATING_STATE_ROLLUP_VSC[],MATCH($B21,MMWR_RATING_STATE_ROLLUP_VSC[MMWR_RATING_STATE_ROLLUP_VSC],0),MATCH(E$9,MMWR_RATING_STATE_ROLLUP_VSC[#Headers],0))/$C21,"ERROR"))</f>
        <v>0.2135625147162703</v>
      </c>
      <c r="F21" s="154">
        <f>IF($B21=" ","",IFERROR(INDEX(MMWR_RATING_STATE_ROLLUP_VSC[],MATCH($B21,MMWR_RATING_STATE_ROLLUP_VSC[MMWR_RATING_STATE_ROLLUP_VSC],0),MATCH(F$9,MMWR_RATING_STATE_ROLLUP_VSC[#Headers],0)),"ERROR"))</f>
        <v>1112</v>
      </c>
      <c r="G21" s="154">
        <f>IF($B21=" ","",IFERROR(INDEX(MMWR_RATING_STATE_ROLLUP_VSC[],MATCH($B21,MMWR_RATING_STATE_ROLLUP_VSC[MMWR_RATING_STATE_ROLLUP_VSC],0),MATCH(G$9,MMWR_RATING_STATE_ROLLUP_VSC[#Headers],0)),"ERROR"))</f>
        <v>9309</v>
      </c>
      <c r="H21" s="155">
        <f>IF($B21=" ","",IFERROR(INDEX(MMWR_RATING_STATE_ROLLUP_VSC[],MATCH($B21,MMWR_RATING_STATE_ROLLUP_VSC[MMWR_RATING_STATE_ROLLUP_VSC],0),MATCH(H$9,MMWR_RATING_STATE_ROLLUP_VSC[#Headers],0)),"ERROR"))</f>
        <v>117.3138489209</v>
      </c>
      <c r="I21" s="155">
        <f>IF($B21=" ","",IFERROR(INDEX(MMWR_RATING_STATE_ROLLUP_VSC[],MATCH($B21,MMWR_RATING_STATE_ROLLUP_VSC[MMWR_RATING_STATE_ROLLUP_VSC],0),MATCH(I$9,MMWR_RATING_STATE_ROLLUP_VSC[#Headers],0)),"ERROR"))</f>
        <v>127.7798904286</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1203</v>
      </c>
      <c r="D22" s="155">
        <f>IF($B22=" ","",IFERROR(INDEX(MMWR_RATING_STATE_ROLLUP_VSC[],MATCH($B22,MMWR_RATING_STATE_ROLLUP_VSC[MMWR_RATING_STATE_ROLLUP_VSC],0),MATCH(D$9,MMWR_RATING_STATE_ROLLUP_VSC[#Headers],0)),"ERROR"))</f>
        <v>75.887780548600006</v>
      </c>
      <c r="E22" s="156">
        <f>IF($B22=" ","",IFERROR(INDEX(MMWR_RATING_STATE_ROLLUP_VSC[],MATCH($B22,MMWR_RATING_STATE_ROLLUP_VSC[MMWR_RATING_STATE_ROLLUP_VSC],0),MATCH(E$9,MMWR_RATING_STATE_ROLLUP_VSC[#Headers],0))/$C22,"ERROR"))</f>
        <v>0.15045719035743974</v>
      </c>
      <c r="F22" s="154">
        <f>IF($B22=" ","",IFERROR(INDEX(MMWR_RATING_STATE_ROLLUP_VSC[],MATCH($B22,MMWR_RATING_STATE_ROLLUP_VSC[MMWR_RATING_STATE_ROLLUP_VSC],0),MATCH(F$9,MMWR_RATING_STATE_ROLLUP_VSC[#Headers],0)),"ERROR"))</f>
        <v>336</v>
      </c>
      <c r="G22" s="154">
        <f>IF($B22=" ","",IFERROR(INDEX(MMWR_RATING_STATE_ROLLUP_VSC[],MATCH($B22,MMWR_RATING_STATE_ROLLUP_VSC[MMWR_RATING_STATE_ROLLUP_VSC],0),MATCH(G$9,MMWR_RATING_STATE_ROLLUP_VSC[#Headers],0)),"ERROR"))</f>
        <v>2805</v>
      </c>
      <c r="H22" s="155">
        <f>IF($B22=" ","",IFERROR(INDEX(MMWR_RATING_STATE_ROLLUP_VSC[],MATCH($B22,MMWR_RATING_STATE_ROLLUP_VSC[MMWR_RATING_STATE_ROLLUP_VSC],0),MATCH(H$9,MMWR_RATING_STATE_ROLLUP_VSC[#Headers],0)),"ERROR"))</f>
        <v>109.86607142859999</v>
      </c>
      <c r="I22" s="155">
        <f>IF($B22=" ","",IFERROR(INDEX(MMWR_RATING_STATE_ROLLUP_VSC[],MATCH($B22,MMWR_RATING_STATE_ROLLUP_VSC[MMWR_RATING_STATE_ROLLUP_VSC],0),MATCH(I$9,MMWR_RATING_STATE_ROLLUP_VSC[#Headers],0)),"ERROR"))</f>
        <v>129.14153297679999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4269</v>
      </c>
      <c r="D23" s="155">
        <f>IF($B23=" ","",IFERROR(INDEX(MMWR_RATING_STATE_ROLLUP_VSC[],MATCH($B23,MMWR_RATING_STATE_ROLLUP_VSC[MMWR_RATING_STATE_ROLLUP_VSC],0),MATCH(D$9,MMWR_RATING_STATE_ROLLUP_VSC[#Headers],0)),"ERROR"))</f>
        <v>98.426563598000001</v>
      </c>
      <c r="E23" s="156">
        <f>IF($B23=" ","",IFERROR(INDEX(MMWR_RATING_STATE_ROLLUP_VSC[],MATCH($B23,MMWR_RATING_STATE_ROLLUP_VSC[MMWR_RATING_STATE_ROLLUP_VSC],0),MATCH(E$9,MMWR_RATING_STATE_ROLLUP_VSC[#Headers],0))/$C23,"ERROR"))</f>
        <v>0.24619348793628484</v>
      </c>
      <c r="F23" s="154">
        <f>IF($B23=" ","",IFERROR(INDEX(MMWR_RATING_STATE_ROLLUP_VSC[],MATCH($B23,MMWR_RATING_STATE_ROLLUP_VSC[MMWR_RATING_STATE_ROLLUP_VSC],0),MATCH(F$9,MMWR_RATING_STATE_ROLLUP_VSC[#Headers],0)),"ERROR"))</f>
        <v>811</v>
      </c>
      <c r="G23" s="154">
        <f>IF($B23=" ","",IFERROR(INDEX(MMWR_RATING_STATE_ROLLUP_VSC[],MATCH($B23,MMWR_RATING_STATE_ROLLUP_VSC[MMWR_RATING_STATE_ROLLUP_VSC],0),MATCH(G$9,MMWR_RATING_STATE_ROLLUP_VSC[#Headers],0)),"ERROR"))</f>
        <v>8145</v>
      </c>
      <c r="H23" s="155">
        <f>IF($B23=" ","",IFERROR(INDEX(MMWR_RATING_STATE_ROLLUP_VSC[],MATCH($B23,MMWR_RATING_STATE_ROLLUP_VSC[MMWR_RATING_STATE_ROLLUP_VSC],0),MATCH(H$9,MMWR_RATING_STATE_ROLLUP_VSC[#Headers],0)),"ERROR"))</f>
        <v>136.64981504319999</v>
      </c>
      <c r="I23" s="155">
        <f>IF($B23=" ","",IFERROR(INDEX(MMWR_RATING_STATE_ROLLUP_VSC[],MATCH($B23,MMWR_RATING_STATE_ROLLUP_VSC[MMWR_RATING_STATE_ROLLUP_VSC],0),MATCH(I$9,MMWR_RATING_STATE_ROLLUP_VSC[#Headers],0)),"ERROR"))</f>
        <v>137.7761817066</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8695</v>
      </c>
      <c r="D24" s="155">
        <f>IF($B24=" ","",IFERROR(INDEX(MMWR_RATING_STATE_ROLLUP_VSC[],MATCH($B24,MMWR_RATING_STATE_ROLLUP_VSC[MMWR_RATING_STATE_ROLLUP_VSC],0),MATCH(D$9,MMWR_RATING_STATE_ROLLUP_VSC[#Headers],0)),"ERROR"))</f>
        <v>92.808855664199996</v>
      </c>
      <c r="E24" s="156">
        <f>IF($B24=" ","",IFERROR(INDEX(MMWR_RATING_STATE_ROLLUP_VSC[],MATCH($B24,MMWR_RATING_STATE_ROLLUP_VSC[MMWR_RATING_STATE_ROLLUP_VSC],0),MATCH(E$9,MMWR_RATING_STATE_ROLLUP_VSC[#Headers],0))/$C24,"ERROR"))</f>
        <v>0.23254744105807937</v>
      </c>
      <c r="F24" s="154">
        <f>IF($B24=" ","",IFERROR(INDEX(MMWR_RATING_STATE_ROLLUP_VSC[],MATCH($B24,MMWR_RATING_STATE_ROLLUP_VSC[MMWR_RATING_STATE_ROLLUP_VSC],0),MATCH(F$9,MMWR_RATING_STATE_ROLLUP_VSC[#Headers],0)),"ERROR"))</f>
        <v>1943</v>
      </c>
      <c r="G24" s="154">
        <f>IF($B24=" ","",IFERROR(INDEX(MMWR_RATING_STATE_ROLLUP_VSC[],MATCH($B24,MMWR_RATING_STATE_ROLLUP_VSC[MMWR_RATING_STATE_ROLLUP_VSC],0),MATCH(G$9,MMWR_RATING_STATE_ROLLUP_VSC[#Headers],0)),"ERROR"))</f>
        <v>18733</v>
      </c>
      <c r="H24" s="155">
        <f>IF($B24=" ","",IFERROR(INDEX(MMWR_RATING_STATE_ROLLUP_VSC[],MATCH($B24,MMWR_RATING_STATE_ROLLUP_VSC[MMWR_RATING_STATE_ROLLUP_VSC],0),MATCH(H$9,MMWR_RATING_STATE_ROLLUP_VSC[#Headers],0)),"ERROR"))</f>
        <v>123.7982501287</v>
      </c>
      <c r="I24" s="155">
        <f>IF($B24=" ","",IFERROR(INDEX(MMWR_RATING_STATE_ROLLUP_VSC[],MATCH($B24,MMWR_RATING_STATE_ROLLUP_VSC[MMWR_RATING_STATE_ROLLUP_VSC],0),MATCH(I$9,MMWR_RATING_STATE_ROLLUP_VSC[#Headers],0)),"ERROR"))</f>
        <v>130.3045961672</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16409</v>
      </c>
      <c r="D25" s="155">
        <f>IF($B25=" ","",IFERROR(INDEX(MMWR_RATING_STATE_ROLLUP_VSC[],MATCH($B25,MMWR_RATING_STATE_ROLLUP_VSC[MMWR_RATING_STATE_ROLLUP_VSC],0),MATCH(D$9,MMWR_RATING_STATE_ROLLUP_VSC[#Headers],0)),"ERROR"))</f>
        <v>97.325370223700006</v>
      </c>
      <c r="E25" s="156">
        <f>IF($B25=" ","",IFERROR(INDEX(MMWR_RATING_STATE_ROLLUP_VSC[],MATCH($B25,MMWR_RATING_STATE_ROLLUP_VSC[MMWR_RATING_STATE_ROLLUP_VSC],0),MATCH(E$9,MMWR_RATING_STATE_ROLLUP_VSC[#Headers],0))/$C25,"ERROR"))</f>
        <v>0.25010664879029798</v>
      </c>
      <c r="F25" s="154">
        <f>IF($B25=" ","",IFERROR(INDEX(MMWR_RATING_STATE_ROLLUP_VSC[],MATCH($B25,MMWR_RATING_STATE_ROLLUP_VSC[MMWR_RATING_STATE_ROLLUP_VSC],0),MATCH(F$9,MMWR_RATING_STATE_ROLLUP_VSC[#Headers],0)),"ERROR"))</f>
        <v>4023</v>
      </c>
      <c r="G25" s="154">
        <f>IF($B25=" ","",IFERROR(INDEX(MMWR_RATING_STATE_ROLLUP_VSC[],MATCH($B25,MMWR_RATING_STATE_ROLLUP_VSC[MMWR_RATING_STATE_ROLLUP_VSC],0),MATCH(G$9,MMWR_RATING_STATE_ROLLUP_VSC[#Headers],0)),"ERROR"))</f>
        <v>33202</v>
      </c>
      <c r="H25" s="155">
        <f>IF($B25=" ","",IFERROR(INDEX(MMWR_RATING_STATE_ROLLUP_VSC[],MATCH($B25,MMWR_RATING_STATE_ROLLUP_VSC[MMWR_RATING_STATE_ROLLUP_VSC],0),MATCH(H$9,MMWR_RATING_STATE_ROLLUP_VSC[#Headers],0)),"ERROR"))</f>
        <v>129.83296047729999</v>
      </c>
      <c r="I25" s="155">
        <f>IF($B25=" ","",IFERROR(INDEX(MMWR_RATING_STATE_ROLLUP_VSC[],MATCH($B25,MMWR_RATING_STATE_ROLLUP_VSC[MMWR_RATING_STATE_ROLLUP_VSC],0),MATCH(I$9,MMWR_RATING_STATE_ROLLUP_VSC[#Headers],0)),"ERROR"))</f>
        <v>137.2267935667</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9642</v>
      </c>
      <c r="D26" s="155">
        <f>IF($B26=" ","",IFERROR(INDEX(MMWR_RATING_STATE_ROLLUP_VSC[],MATCH($B26,MMWR_RATING_STATE_ROLLUP_VSC[MMWR_RATING_STATE_ROLLUP_VSC],0),MATCH(D$9,MMWR_RATING_STATE_ROLLUP_VSC[#Headers],0)),"ERROR"))</f>
        <v>100.5702136486</v>
      </c>
      <c r="E26" s="156">
        <f>IF($B26=" ","",IFERROR(INDEX(MMWR_RATING_STATE_ROLLUP_VSC[],MATCH($B26,MMWR_RATING_STATE_ROLLUP_VSC[MMWR_RATING_STATE_ROLLUP_VSC],0),MATCH(E$9,MMWR_RATING_STATE_ROLLUP_VSC[#Headers],0))/$C26,"ERROR"))</f>
        <v>0.25658577058701515</v>
      </c>
      <c r="F26" s="154">
        <f>IF($B26=" ","",IFERROR(INDEX(MMWR_RATING_STATE_ROLLUP_VSC[],MATCH($B26,MMWR_RATING_STATE_ROLLUP_VSC[MMWR_RATING_STATE_ROLLUP_VSC],0),MATCH(F$9,MMWR_RATING_STATE_ROLLUP_VSC[#Headers],0)),"ERROR"))</f>
        <v>1981</v>
      </c>
      <c r="G26" s="154">
        <f>IF($B26=" ","",IFERROR(INDEX(MMWR_RATING_STATE_ROLLUP_VSC[],MATCH($B26,MMWR_RATING_STATE_ROLLUP_VSC[MMWR_RATING_STATE_ROLLUP_VSC],0),MATCH(G$9,MMWR_RATING_STATE_ROLLUP_VSC[#Headers],0)),"ERROR"))</f>
        <v>19072</v>
      </c>
      <c r="H26" s="155">
        <f>IF($B26=" ","",IFERROR(INDEX(MMWR_RATING_STATE_ROLLUP_VSC[],MATCH($B26,MMWR_RATING_STATE_ROLLUP_VSC[MMWR_RATING_STATE_ROLLUP_VSC],0),MATCH(H$9,MMWR_RATING_STATE_ROLLUP_VSC[#Headers],0)),"ERROR"))</f>
        <v>132.57849570920001</v>
      </c>
      <c r="I26" s="155">
        <f>IF($B26=" ","",IFERROR(INDEX(MMWR_RATING_STATE_ROLLUP_VSC[],MATCH($B26,MMWR_RATING_STATE_ROLLUP_VSC[MMWR_RATING_STATE_ROLLUP_VSC],0),MATCH(I$9,MMWR_RATING_STATE_ROLLUP_VSC[#Headers],0)),"ERROR"))</f>
        <v>140.18980704699999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891</v>
      </c>
      <c r="D27" s="155">
        <f>IF($B27=" ","",IFERROR(INDEX(MMWR_RATING_STATE_ROLLUP_VSC[],MATCH($B27,MMWR_RATING_STATE_ROLLUP_VSC[MMWR_RATING_STATE_ROLLUP_VSC],0),MATCH(D$9,MMWR_RATING_STATE_ROLLUP_VSC[#Headers],0)),"ERROR"))</f>
        <v>78.526374859699999</v>
      </c>
      <c r="E27" s="156">
        <f>IF($B27=" ","",IFERROR(INDEX(MMWR_RATING_STATE_ROLLUP_VSC[],MATCH($B27,MMWR_RATING_STATE_ROLLUP_VSC[MMWR_RATING_STATE_ROLLUP_VSC],0),MATCH(E$9,MMWR_RATING_STATE_ROLLUP_VSC[#Headers],0))/$C27,"ERROR"))</f>
        <v>0.19304152637485972</v>
      </c>
      <c r="F27" s="154">
        <f>IF($B27=" ","",IFERROR(INDEX(MMWR_RATING_STATE_ROLLUP_VSC[],MATCH($B27,MMWR_RATING_STATE_ROLLUP_VSC[MMWR_RATING_STATE_ROLLUP_VSC],0),MATCH(F$9,MMWR_RATING_STATE_ROLLUP_VSC[#Headers],0)),"ERROR"))</f>
        <v>293</v>
      </c>
      <c r="G27" s="154">
        <f>IF($B27=" ","",IFERROR(INDEX(MMWR_RATING_STATE_ROLLUP_VSC[],MATCH($B27,MMWR_RATING_STATE_ROLLUP_VSC[MMWR_RATING_STATE_ROLLUP_VSC],0),MATCH(G$9,MMWR_RATING_STATE_ROLLUP_VSC[#Headers],0)),"ERROR"))</f>
        <v>2247</v>
      </c>
      <c r="H27" s="155">
        <f>IF($B27=" ","",IFERROR(INDEX(MMWR_RATING_STATE_ROLLUP_VSC[],MATCH($B27,MMWR_RATING_STATE_ROLLUP_VSC[MMWR_RATING_STATE_ROLLUP_VSC],0),MATCH(H$9,MMWR_RATING_STATE_ROLLUP_VSC[#Headers],0)),"ERROR"))</f>
        <v>84.996587030699999</v>
      </c>
      <c r="I27" s="155">
        <f>IF($B27=" ","",IFERROR(INDEX(MMWR_RATING_STATE_ROLLUP_VSC[],MATCH($B27,MMWR_RATING_STATE_ROLLUP_VSC[MMWR_RATING_STATE_ROLLUP_VSC],0),MATCH(I$9,MMWR_RATING_STATE_ROLLUP_VSC[#Headers],0)),"ERROR"))</f>
        <v>108.1570983534</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520</v>
      </c>
      <c r="D28" s="155">
        <f>IF($B28=" ","",IFERROR(INDEX(MMWR_RATING_STATE_ROLLUP_VSC[],MATCH($B28,MMWR_RATING_STATE_ROLLUP_VSC[MMWR_RATING_STATE_ROLLUP_VSC],0),MATCH(D$9,MMWR_RATING_STATE_ROLLUP_VSC[#Headers],0)),"ERROR"))</f>
        <v>95.25</v>
      </c>
      <c r="E28" s="156">
        <f>IF($B28=" ","",IFERROR(INDEX(MMWR_RATING_STATE_ROLLUP_VSC[],MATCH($B28,MMWR_RATING_STATE_ROLLUP_VSC[MMWR_RATING_STATE_ROLLUP_VSC],0),MATCH(E$9,MMWR_RATING_STATE_ROLLUP_VSC[#Headers],0))/$C28,"ERROR"))</f>
        <v>0.26153846153846155</v>
      </c>
      <c r="F28" s="154">
        <f>IF($B28=" ","",IFERROR(INDEX(MMWR_RATING_STATE_ROLLUP_VSC[],MATCH($B28,MMWR_RATING_STATE_ROLLUP_VSC[MMWR_RATING_STATE_ROLLUP_VSC],0),MATCH(F$9,MMWR_RATING_STATE_ROLLUP_VSC[#Headers],0)),"ERROR"))</f>
        <v>116</v>
      </c>
      <c r="G28" s="154">
        <f>IF($B28=" ","",IFERROR(INDEX(MMWR_RATING_STATE_ROLLUP_VSC[],MATCH($B28,MMWR_RATING_STATE_ROLLUP_VSC[MMWR_RATING_STATE_ROLLUP_VSC],0),MATCH(G$9,MMWR_RATING_STATE_ROLLUP_VSC[#Headers],0)),"ERROR"))</f>
        <v>960</v>
      </c>
      <c r="H28" s="155">
        <f>IF($B28=" ","",IFERROR(INDEX(MMWR_RATING_STATE_ROLLUP_VSC[],MATCH($B28,MMWR_RATING_STATE_ROLLUP_VSC[MMWR_RATING_STATE_ROLLUP_VSC],0),MATCH(H$9,MMWR_RATING_STATE_ROLLUP_VSC[#Headers],0)),"ERROR"))</f>
        <v>128.61206896549999</v>
      </c>
      <c r="I28" s="155">
        <f>IF($B28=" ","",IFERROR(INDEX(MMWR_RATING_STATE_ROLLUP_VSC[],MATCH($B28,MMWR_RATING_STATE_ROLLUP_VSC[MMWR_RATING_STATE_ROLLUP_VSC],0),MATCH(I$9,MMWR_RATING_STATE_ROLLUP_VSC[#Headers],0)),"ERROR"))</f>
        <v>130.58125000000001</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10740</v>
      </c>
      <c r="D29" s="155">
        <f>IF($B29=" ","",IFERROR(INDEX(MMWR_RATING_STATE_ROLLUP_VSC[],MATCH($B29,MMWR_RATING_STATE_ROLLUP_VSC[MMWR_RATING_STATE_ROLLUP_VSC],0),MATCH(D$9,MMWR_RATING_STATE_ROLLUP_VSC[#Headers],0)),"ERROR"))</f>
        <v>85.565456238400003</v>
      </c>
      <c r="E29" s="156">
        <f>IF($B29=" ","",IFERROR(INDEX(MMWR_RATING_STATE_ROLLUP_VSC[],MATCH($B29,MMWR_RATING_STATE_ROLLUP_VSC[MMWR_RATING_STATE_ROLLUP_VSC],0),MATCH(E$9,MMWR_RATING_STATE_ROLLUP_VSC[#Headers],0))/$C29,"ERROR"))</f>
        <v>0.19124767225325884</v>
      </c>
      <c r="F29" s="154">
        <f>IF($B29=" ","",IFERROR(INDEX(MMWR_RATING_STATE_ROLLUP_VSC[],MATCH($B29,MMWR_RATING_STATE_ROLLUP_VSC[MMWR_RATING_STATE_ROLLUP_VSC],0),MATCH(F$9,MMWR_RATING_STATE_ROLLUP_VSC[#Headers],0)),"ERROR"))</f>
        <v>2876</v>
      </c>
      <c r="G29" s="154">
        <f>IF($B29=" ","",IFERROR(INDEX(MMWR_RATING_STATE_ROLLUP_VSC[],MATCH($B29,MMWR_RATING_STATE_ROLLUP_VSC[MMWR_RATING_STATE_ROLLUP_VSC],0),MATCH(G$9,MMWR_RATING_STATE_ROLLUP_VSC[#Headers],0)),"ERROR"))</f>
        <v>23660</v>
      </c>
      <c r="H29" s="155">
        <f>IF($B29=" ","",IFERROR(INDEX(MMWR_RATING_STATE_ROLLUP_VSC[],MATCH($B29,MMWR_RATING_STATE_ROLLUP_VSC[MMWR_RATING_STATE_ROLLUP_VSC],0),MATCH(H$9,MMWR_RATING_STATE_ROLLUP_VSC[#Headers],0)),"ERROR"))</f>
        <v>127.1063977747</v>
      </c>
      <c r="I29" s="155">
        <f>IF($B29=" ","",IFERROR(INDEX(MMWR_RATING_STATE_ROLLUP_VSC[],MATCH($B29,MMWR_RATING_STATE_ROLLUP_VSC[MMWR_RATING_STATE_ROLLUP_VSC],0),MATCH(I$9,MMWR_RATING_STATE_ROLLUP_VSC[#Headers],0)),"ERROR"))</f>
        <v>131.20067624679999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2693</v>
      </c>
      <c r="D30" s="155">
        <f>IF($B30=" ","",IFERROR(INDEX(MMWR_RATING_STATE_ROLLUP_VSC[],MATCH($B30,MMWR_RATING_STATE_ROLLUP_VSC[MMWR_RATING_STATE_ROLLUP_VSC],0),MATCH(D$9,MMWR_RATING_STATE_ROLLUP_VSC[#Headers],0)),"ERROR"))</f>
        <v>83.407723728199997</v>
      </c>
      <c r="E30" s="156">
        <f>IF($B30=" ","",IFERROR(INDEX(MMWR_RATING_STATE_ROLLUP_VSC[],MATCH($B30,MMWR_RATING_STATE_ROLLUP_VSC[MMWR_RATING_STATE_ROLLUP_VSC],0),MATCH(E$9,MMWR_RATING_STATE_ROLLUP_VSC[#Headers],0))/$C30,"ERROR"))</f>
        <v>0.18083921277385814</v>
      </c>
      <c r="F30" s="154">
        <f>IF($B30=" ","",IFERROR(INDEX(MMWR_RATING_STATE_ROLLUP_VSC[],MATCH($B30,MMWR_RATING_STATE_ROLLUP_VSC[MMWR_RATING_STATE_ROLLUP_VSC],0),MATCH(F$9,MMWR_RATING_STATE_ROLLUP_VSC[#Headers],0)),"ERROR"))</f>
        <v>886</v>
      </c>
      <c r="G30" s="154">
        <f>IF($B30=" ","",IFERROR(INDEX(MMWR_RATING_STATE_ROLLUP_VSC[],MATCH($B30,MMWR_RATING_STATE_ROLLUP_VSC[MMWR_RATING_STATE_ROLLUP_VSC],0),MATCH(G$9,MMWR_RATING_STATE_ROLLUP_VSC[#Headers],0)),"ERROR"))</f>
        <v>5999</v>
      </c>
      <c r="H30" s="155">
        <f>IF($B30=" ","",IFERROR(INDEX(MMWR_RATING_STATE_ROLLUP_VSC[],MATCH($B30,MMWR_RATING_STATE_ROLLUP_VSC[MMWR_RATING_STATE_ROLLUP_VSC],0),MATCH(H$9,MMWR_RATING_STATE_ROLLUP_VSC[#Headers],0)),"ERROR"))</f>
        <v>109.81038374720001</v>
      </c>
      <c r="I30" s="155">
        <f>IF($B30=" ","",IFERROR(INDEX(MMWR_RATING_STATE_ROLLUP_VSC[],MATCH($B30,MMWR_RATING_STATE_ROLLUP_VSC[MMWR_RATING_STATE_ROLLUP_VSC],0),MATCH(I$9,MMWR_RATING_STATE_ROLLUP_VSC[#Headers],0)),"ERROR"))</f>
        <v>118.61143523920001</v>
      </c>
      <c r="J30" s="42"/>
      <c r="K30" s="42"/>
      <c r="L30" s="42"/>
      <c r="M30" s="42"/>
      <c r="N30" s="28"/>
    </row>
    <row r="31" spans="1:14" x14ac:dyDescent="0.2">
      <c r="A31" s="25"/>
      <c r="B31" s="377" t="s">
        <v>959</v>
      </c>
      <c r="C31" s="378"/>
      <c r="D31" s="378"/>
      <c r="E31" s="378"/>
      <c r="F31" s="378"/>
      <c r="G31" s="378"/>
      <c r="H31" s="378"/>
      <c r="I31" s="378"/>
      <c r="J31" s="378"/>
      <c r="K31" s="378"/>
      <c r="L31" s="378"/>
      <c r="M31" s="387"/>
      <c r="N31" s="28"/>
    </row>
    <row r="32" spans="1:14" x14ac:dyDescent="0.2">
      <c r="A32" s="25"/>
      <c r="B32" s="41" t="s">
        <v>1037</v>
      </c>
      <c r="C32" s="154">
        <f>IF($B32=" ","",IFERROR(INDEX(MMWR_RATING_STATE_ROLLUP_PMC[],MATCH($B32,MMWR_RATING_STATE_ROLLUP_PMC[MMWR_RATING_STATE_ROLLUP_PMC],0),MATCH(C$9,MMWR_RATING_STATE_ROLLUP_PMC[#Headers],0)),"ERROR"))</f>
        <v>28843</v>
      </c>
      <c r="D32" s="155">
        <f>IF($B32=" ","",IFERROR(INDEX(MMWR_RATING_STATE_ROLLUP_PMC[],MATCH($B32,MMWR_RATING_STATE_ROLLUP_PMC[MMWR_RATING_STATE_ROLLUP_PMC],0),MATCH(D$9,MMWR_RATING_STATE_ROLLUP_PMC[#Headers],0)),"ERROR"))</f>
        <v>67.733696217499997</v>
      </c>
      <c r="E32" s="156">
        <f>IF($B32=" ","",IFERROR(INDEX(MMWR_RATING_STATE_ROLLUP_PMC[],MATCH($B32,MMWR_RATING_STATE_ROLLUP_PMC[MMWR_RATING_STATE_ROLLUP_PMC],0),MATCH(E$9,MMWR_RATING_STATE_ROLLUP_PMC[#Headers],0))/$C32,"ERROR"))</f>
        <v>0.10352598550774884</v>
      </c>
      <c r="F32" s="154">
        <f>IF($B32=" ","",IFERROR(INDEX(MMWR_RATING_STATE_ROLLUP_PMC[],MATCH($B32,MMWR_RATING_STATE_ROLLUP_PMC[MMWR_RATING_STATE_ROLLUP_PMC],0),MATCH(F$9,MMWR_RATING_STATE_ROLLUP_PMC[#Headers],0)),"ERROR"))</f>
        <v>10875</v>
      </c>
      <c r="G32" s="154">
        <f>IF($B32=" ","",IFERROR(INDEX(MMWR_RATING_STATE_ROLLUP_PMC[],MATCH($B32,MMWR_RATING_STATE_ROLLUP_PMC[MMWR_RATING_STATE_ROLLUP_PMC],0),MATCH(G$9,MMWR_RATING_STATE_ROLLUP_PMC[#Headers],0)),"ERROR"))</f>
        <v>96320</v>
      </c>
      <c r="H32" s="155">
        <f>IF($B32=" ","",IFERROR(INDEX(MMWR_RATING_STATE_ROLLUP_PMC[],MATCH($B32,MMWR_RATING_STATE_ROLLUP_PMC[MMWR_RATING_STATE_ROLLUP_PMC],0),MATCH(H$9,MMWR_RATING_STATE_ROLLUP_PMC[#Headers],0)),"ERROR"))</f>
        <v>78.952551724100005</v>
      </c>
      <c r="I32" s="155">
        <f>IF($B32=" ","",IFERROR(INDEX(MMWR_RATING_STATE_ROLLUP_PMC[],MATCH($B32,MMWR_RATING_STATE_ROLLUP_PMC[MMWR_RATING_STATE_ROLLUP_PMC],0),MATCH(I$9,MMWR_RATING_STATE_ROLLUP_PMC[#Headers],0)),"ERROR"))</f>
        <v>77.451411960100003</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8301</v>
      </c>
      <c r="D33" s="155">
        <f>IF($B33=" ","",IFERROR(INDEX(MMWR_RATING_STATE_ROLLUP_PMC[],MATCH($B33,MMWR_RATING_STATE_ROLLUP_PMC[MMWR_RATING_STATE_ROLLUP_PMC],0),MATCH(D$9,MMWR_RATING_STATE_ROLLUP_PMC[#Headers],0)),"ERROR"))</f>
        <v>71.763281532299999</v>
      </c>
      <c r="E33" s="156">
        <f>IF($B33=" ","",IFERROR(INDEX(MMWR_RATING_STATE_ROLLUP_PMC[],MATCH($B33,MMWR_RATING_STATE_ROLLUP_PMC[MMWR_RATING_STATE_ROLLUP_PMC],0),MATCH(E$9,MMWR_RATING_STATE_ROLLUP_PMC[#Headers],0))/$C33,"ERROR"))</f>
        <v>0.11661245633056258</v>
      </c>
      <c r="F33" s="154">
        <f>IF($B33=" ","",IFERROR(INDEX(MMWR_RATING_STATE_ROLLUP_PMC[],MATCH($B33,MMWR_RATING_STATE_ROLLUP_PMC[MMWR_RATING_STATE_ROLLUP_PMC],0),MATCH(F$9,MMWR_RATING_STATE_ROLLUP_PMC[#Headers],0)),"ERROR"))</f>
        <v>2176</v>
      </c>
      <c r="G33" s="154">
        <f>IF($B33=" ","",IFERROR(INDEX(MMWR_RATING_STATE_ROLLUP_PMC[],MATCH($B33,MMWR_RATING_STATE_ROLLUP_PMC[MMWR_RATING_STATE_ROLLUP_PMC],0),MATCH(G$9,MMWR_RATING_STATE_ROLLUP_PMC[#Headers],0)),"ERROR"))</f>
        <v>19030</v>
      </c>
      <c r="H33" s="155">
        <f>IF($B33=" ","",IFERROR(INDEX(MMWR_RATING_STATE_ROLLUP_PMC[],MATCH($B33,MMWR_RATING_STATE_ROLLUP_PMC[MMWR_RATING_STATE_ROLLUP_PMC],0),MATCH(H$9,MMWR_RATING_STATE_ROLLUP_PMC[#Headers],0)),"ERROR"))</f>
        <v>102.1341911765</v>
      </c>
      <c r="I33" s="155">
        <f>IF($B33=" ","",IFERROR(INDEX(MMWR_RATING_STATE_ROLLUP_PMC[],MATCH($B33,MMWR_RATING_STATE_ROLLUP_PMC[MMWR_RATING_STATE_ROLLUP_PMC],0),MATCH(I$9,MMWR_RATING_STATE_ROLLUP_PMC[#Headers],0)),"ERROR"))</f>
        <v>95.838465580700003</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265</v>
      </c>
      <c r="D34" s="155">
        <f>IF($B34=" ","",IFERROR(INDEX(MMWR_RATING_STATE_ROLLUP_PMC[],MATCH($B34,MMWR_RATING_STATE_ROLLUP_PMC[MMWR_RATING_STATE_ROLLUP_PMC],0),MATCH(D$9,MMWR_RATING_STATE_ROLLUP_PMC[#Headers],0)),"ERROR"))</f>
        <v>63.4113207547</v>
      </c>
      <c r="E34" s="156">
        <f>IF($B34=" ","",IFERROR(INDEX(MMWR_RATING_STATE_ROLLUP_PMC[],MATCH($B34,MMWR_RATING_STATE_ROLLUP_PMC[MMWR_RATING_STATE_ROLLUP_PMC],0),MATCH(E$9,MMWR_RATING_STATE_ROLLUP_PMC[#Headers],0))/$C34,"ERROR"))</f>
        <v>6.4150943396226415E-2</v>
      </c>
      <c r="F34" s="154">
        <f>IF($B34=" ","",IFERROR(INDEX(MMWR_RATING_STATE_ROLLUP_PMC[],MATCH($B34,MMWR_RATING_STATE_ROLLUP_PMC[MMWR_RATING_STATE_ROLLUP_PMC],0),MATCH(F$9,MMWR_RATING_STATE_ROLLUP_PMC[#Headers],0)),"ERROR"))</f>
        <v>58</v>
      </c>
      <c r="G34" s="154">
        <f>IF($B34=" ","",IFERROR(INDEX(MMWR_RATING_STATE_ROLLUP_PMC[],MATCH($B34,MMWR_RATING_STATE_ROLLUP_PMC[MMWR_RATING_STATE_ROLLUP_PMC],0),MATCH(G$9,MMWR_RATING_STATE_ROLLUP_PMC[#Headers],0)),"ERROR"))</f>
        <v>555</v>
      </c>
      <c r="H34" s="155">
        <f>IF($B34=" ","",IFERROR(INDEX(MMWR_RATING_STATE_ROLLUP_PMC[],MATCH($B34,MMWR_RATING_STATE_ROLLUP_PMC[MMWR_RATING_STATE_ROLLUP_PMC],0),MATCH(H$9,MMWR_RATING_STATE_ROLLUP_PMC[#Headers],0)),"ERROR"))</f>
        <v>130.7586206897</v>
      </c>
      <c r="I34" s="155">
        <f>IF($B34=" ","",IFERROR(INDEX(MMWR_RATING_STATE_ROLLUP_PMC[],MATCH($B34,MMWR_RATING_STATE_ROLLUP_PMC[MMWR_RATING_STATE_ROLLUP_PMC],0),MATCH(I$9,MMWR_RATING_STATE_ROLLUP_PMC[#Headers],0)),"ERROR"))</f>
        <v>97.209009008999999</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79</v>
      </c>
      <c r="D35" s="155">
        <f>IF($B35=" ","",IFERROR(INDEX(MMWR_RATING_STATE_ROLLUP_PMC[],MATCH($B35,MMWR_RATING_STATE_ROLLUP_PMC[MMWR_RATING_STATE_ROLLUP_PMC],0),MATCH(D$9,MMWR_RATING_STATE_ROLLUP_PMC[#Headers],0)),"ERROR"))</f>
        <v>76.962025316500004</v>
      </c>
      <c r="E35" s="156">
        <f>IF($B35=" ","",IFERROR(INDEX(MMWR_RATING_STATE_ROLLUP_PMC[],MATCH($B35,MMWR_RATING_STATE_ROLLUP_PMC[MMWR_RATING_STATE_ROLLUP_PMC],0),MATCH(E$9,MMWR_RATING_STATE_ROLLUP_PMC[#Headers],0))/$C35,"ERROR"))</f>
        <v>0.13924050632911392</v>
      </c>
      <c r="F35" s="154">
        <f>IF($B35=" ","",IFERROR(INDEX(MMWR_RATING_STATE_ROLLUP_PMC[],MATCH($B35,MMWR_RATING_STATE_ROLLUP_PMC[MMWR_RATING_STATE_ROLLUP_PMC],0),MATCH(F$9,MMWR_RATING_STATE_ROLLUP_PMC[#Headers],0)),"ERROR"))</f>
        <v>28</v>
      </c>
      <c r="G35" s="154">
        <f>IF($B35=" ","",IFERROR(INDEX(MMWR_RATING_STATE_ROLLUP_PMC[],MATCH($B35,MMWR_RATING_STATE_ROLLUP_PMC[MMWR_RATING_STATE_ROLLUP_PMC],0),MATCH(G$9,MMWR_RATING_STATE_ROLLUP_PMC[#Headers],0)),"ERROR"))</f>
        <v>198</v>
      </c>
      <c r="H35" s="155">
        <f>IF($B35=" ","",IFERROR(INDEX(MMWR_RATING_STATE_ROLLUP_PMC[],MATCH($B35,MMWR_RATING_STATE_ROLLUP_PMC[MMWR_RATING_STATE_ROLLUP_PMC],0),MATCH(H$9,MMWR_RATING_STATE_ROLLUP_PMC[#Headers],0)),"ERROR"))</f>
        <v>105.07142857140001</v>
      </c>
      <c r="I35" s="155">
        <f>IF($B35=" ","",IFERROR(INDEX(MMWR_RATING_STATE_ROLLUP_PMC[],MATCH($B35,MMWR_RATING_STATE_ROLLUP_PMC[MMWR_RATING_STATE_ROLLUP_PMC],0),MATCH(I$9,MMWR_RATING_STATE_ROLLUP_PMC[#Headers],0)),"ERROR"))</f>
        <v>95.545454545499993</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63</v>
      </c>
      <c r="D36" s="155">
        <f>IF($B36=" ","",IFERROR(INDEX(MMWR_RATING_STATE_ROLLUP_PMC[],MATCH($B36,MMWR_RATING_STATE_ROLLUP_PMC[MMWR_RATING_STATE_ROLLUP_PMC],0),MATCH(D$9,MMWR_RATING_STATE_ROLLUP_PMC[#Headers],0)),"ERROR"))</f>
        <v>79.587301587300004</v>
      </c>
      <c r="E36" s="156">
        <f>IF($B36=" ","",IFERROR(INDEX(MMWR_RATING_STATE_ROLLUP_PMC[],MATCH($B36,MMWR_RATING_STATE_ROLLUP_PMC[MMWR_RATING_STATE_ROLLUP_PMC],0),MATCH(E$9,MMWR_RATING_STATE_ROLLUP_PMC[#Headers],0))/$C36,"ERROR"))</f>
        <v>0.15873015873015872</v>
      </c>
      <c r="F36" s="154">
        <f>IF($B36=" ","",IFERROR(INDEX(MMWR_RATING_STATE_ROLLUP_PMC[],MATCH($B36,MMWR_RATING_STATE_ROLLUP_PMC[MMWR_RATING_STATE_ROLLUP_PMC],0),MATCH(F$9,MMWR_RATING_STATE_ROLLUP_PMC[#Headers],0)),"ERROR"))</f>
        <v>20</v>
      </c>
      <c r="G36" s="154">
        <f>IF($B36=" ","",IFERROR(INDEX(MMWR_RATING_STATE_ROLLUP_PMC[],MATCH($B36,MMWR_RATING_STATE_ROLLUP_PMC[MMWR_RATING_STATE_ROLLUP_PMC],0),MATCH(G$9,MMWR_RATING_STATE_ROLLUP_PMC[#Headers],0)),"ERROR"))</f>
        <v>175</v>
      </c>
      <c r="H36" s="155">
        <f>IF($B36=" ","",IFERROR(INDEX(MMWR_RATING_STATE_ROLLUP_PMC[],MATCH($B36,MMWR_RATING_STATE_ROLLUP_PMC[MMWR_RATING_STATE_ROLLUP_PMC],0),MATCH(H$9,MMWR_RATING_STATE_ROLLUP_PMC[#Headers],0)),"ERROR"))</f>
        <v>129.05000000000001</v>
      </c>
      <c r="I36" s="155">
        <f>IF($B36=" ","",IFERROR(INDEX(MMWR_RATING_STATE_ROLLUP_PMC[],MATCH($B36,MMWR_RATING_STATE_ROLLUP_PMC[MMWR_RATING_STATE_ROLLUP_PMC],0),MATCH(I$9,MMWR_RATING_STATE_ROLLUP_PMC[#Headers],0)),"ERROR"))</f>
        <v>104.85142857140001</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143</v>
      </c>
      <c r="D37" s="155">
        <f>IF($B37=" ","",IFERROR(INDEX(MMWR_RATING_STATE_ROLLUP_PMC[],MATCH($B37,MMWR_RATING_STATE_ROLLUP_PMC[MMWR_RATING_STATE_ROLLUP_PMC],0),MATCH(D$9,MMWR_RATING_STATE_ROLLUP_PMC[#Headers],0)),"ERROR"))</f>
        <v>67.328671328699997</v>
      </c>
      <c r="E37" s="156">
        <f>IF($B37=" ","",IFERROR(INDEX(MMWR_RATING_STATE_ROLLUP_PMC[],MATCH($B37,MMWR_RATING_STATE_ROLLUP_PMC[MMWR_RATING_STATE_ROLLUP_PMC],0),MATCH(E$9,MMWR_RATING_STATE_ROLLUP_PMC[#Headers],0))/$C37,"ERROR"))</f>
        <v>0.11188811188811189</v>
      </c>
      <c r="F37" s="154">
        <f>IF($B37=" ","",IFERROR(INDEX(MMWR_RATING_STATE_ROLLUP_PMC[],MATCH($B37,MMWR_RATING_STATE_ROLLUP_PMC[MMWR_RATING_STATE_ROLLUP_PMC],0),MATCH(F$9,MMWR_RATING_STATE_ROLLUP_PMC[#Headers],0)),"ERROR"))</f>
        <v>41</v>
      </c>
      <c r="G37" s="154">
        <f>IF($B37=" ","",IFERROR(INDEX(MMWR_RATING_STATE_ROLLUP_PMC[],MATCH($B37,MMWR_RATING_STATE_ROLLUP_PMC[MMWR_RATING_STATE_ROLLUP_PMC],0),MATCH(G$9,MMWR_RATING_STATE_ROLLUP_PMC[#Headers],0)),"ERROR"))</f>
        <v>364</v>
      </c>
      <c r="H37" s="155">
        <f>IF($B37=" ","",IFERROR(INDEX(MMWR_RATING_STATE_ROLLUP_PMC[],MATCH($B37,MMWR_RATING_STATE_ROLLUP_PMC[MMWR_RATING_STATE_ROLLUP_PMC],0),MATCH(H$9,MMWR_RATING_STATE_ROLLUP_PMC[#Headers],0)),"ERROR"))</f>
        <v>101</v>
      </c>
      <c r="I37" s="155">
        <f>IF($B37=" ","",IFERROR(INDEX(MMWR_RATING_STATE_ROLLUP_PMC[],MATCH($B37,MMWR_RATING_STATE_ROLLUP_PMC[MMWR_RATING_STATE_ROLLUP_PMC],0),MATCH(I$9,MMWR_RATING_STATE_ROLLUP_PMC[#Headers],0)),"ERROR"))</f>
        <v>84.730769230799993</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529</v>
      </c>
      <c r="D38" s="155">
        <f>IF($B38=" ","",IFERROR(INDEX(MMWR_RATING_STATE_ROLLUP_PMC[],MATCH($B38,MMWR_RATING_STATE_ROLLUP_PMC[MMWR_RATING_STATE_ROLLUP_PMC],0),MATCH(D$9,MMWR_RATING_STATE_ROLLUP_PMC[#Headers],0)),"ERROR"))</f>
        <v>76.185255198500002</v>
      </c>
      <c r="E38" s="156">
        <f>IF($B38=" ","",IFERROR(INDEX(MMWR_RATING_STATE_ROLLUP_PMC[],MATCH($B38,MMWR_RATING_STATE_ROLLUP_PMC[MMWR_RATING_STATE_ROLLUP_PMC],0),MATCH(E$9,MMWR_RATING_STATE_ROLLUP_PMC[#Headers],0))/$C38,"ERROR"))</f>
        <v>0.13421550094517959</v>
      </c>
      <c r="F38" s="154">
        <f>IF($B38=" ","",IFERROR(INDEX(MMWR_RATING_STATE_ROLLUP_PMC[],MATCH($B38,MMWR_RATING_STATE_ROLLUP_PMC[MMWR_RATING_STATE_ROLLUP_PMC],0),MATCH(F$9,MMWR_RATING_STATE_ROLLUP_PMC[#Headers],0)),"ERROR"))</f>
        <v>127</v>
      </c>
      <c r="G38" s="154">
        <f>IF($B38=" ","",IFERROR(INDEX(MMWR_RATING_STATE_ROLLUP_PMC[],MATCH($B38,MMWR_RATING_STATE_ROLLUP_PMC[MMWR_RATING_STATE_ROLLUP_PMC],0),MATCH(G$9,MMWR_RATING_STATE_ROLLUP_PMC[#Headers],0)),"ERROR"))</f>
        <v>1236</v>
      </c>
      <c r="H38" s="155">
        <f>IF($B38=" ","",IFERROR(INDEX(MMWR_RATING_STATE_ROLLUP_PMC[],MATCH($B38,MMWR_RATING_STATE_ROLLUP_PMC[MMWR_RATING_STATE_ROLLUP_PMC],0),MATCH(H$9,MMWR_RATING_STATE_ROLLUP_PMC[#Headers],0)),"ERROR"))</f>
        <v>107.6692913386</v>
      </c>
      <c r="I38" s="155">
        <f>IF($B38=" ","",IFERROR(INDEX(MMWR_RATING_STATE_ROLLUP_PMC[],MATCH($B38,MMWR_RATING_STATE_ROLLUP_PMC[MMWR_RATING_STATE_ROLLUP_PMC],0),MATCH(I$9,MMWR_RATING_STATE_ROLLUP_PMC[#Headers],0)),"ERROR"))</f>
        <v>98.338996763799997</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465</v>
      </c>
      <c r="D39" s="155">
        <f>IF($B39=" ","",IFERROR(INDEX(MMWR_RATING_STATE_ROLLUP_PMC[],MATCH($B39,MMWR_RATING_STATE_ROLLUP_PMC[MMWR_RATING_STATE_ROLLUP_PMC],0),MATCH(D$9,MMWR_RATING_STATE_ROLLUP_PMC[#Headers],0)),"ERROR"))</f>
        <v>69.984946236599995</v>
      </c>
      <c r="E39" s="156">
        <f>IF($B39=" ","",IFERROR(INDEX(MMWR_RATING_STATE_ROLLUP_PMC[],MATCH($B39,MMWR_RATING_STATE_ROLLUP_PMC[MMWR_RATING_STATE_ROLLUP_PMC],0),MATCH(E$9,MMWR_RATING_STATE_ROLLUP_PMC[#Headers],0))/$C39,"ERROR"))</f>
        <v>0.12258064516129032</v>
      </c>
      <c r="F39" s="154">
        <f>IF($B39=" ","",IFERROR(INDEX(MMWR_RATING_STATE_ROLLUP_PMC[],MATCH($B39,MMWR_RATING_STATE_ROLLUP_PMC[MMWR_RATING_STATE_ROLLUP_PMC],0),MATCH(F$9,MMWR_RATING_STATE_ROLLUP_PMC[#Headers],0)),"ERROR"))</f>
        <v>153</v>
      </c>
      <c r="G39" s="154">
        <f>IF($B39=" ","",IFERROR(INDEX(MMWR_RATING_STATE_ROLLUP_PMC[],MATCH($B39,MMWR_RATING_STATE_ROLLUP_PMC[MMWR_RATING_STATE_ROLLUP_PMC],0),MATCH(G$9,MMWR_RATING_STATE_ROLLUP_PMC[#Headers],0)),"ERROR"))</f>
        <v>1220</v>
      </c>
      <c r="H39" s="155">
        <f>IF($B39=" ","",IFERROR(INDEX(MMWR_RATING_STATE_ROLLUP_PMC[],MATCH($B39,MMWR_RATING_STATE_ROLLUP_PMC[MMWR_RATING_STATE_ROLLUP_PMC],0),MATCH(H$9,MMWR_RATING_STATE_ROLLUP_PMC[#Headers],0)),"ERROR"))</f>
        <v>99.575163398699999</v>
      </c>
      <c r="I39" s="155">
        <f>IF($B39=" ","",IFERROR(INDEX(MMWR_RATING_STATE_ROLLUP_PMC[],MATCH($B39,MMWR_RATING_STATE_ROLLUP_PMC[MMWR_RATING_STATE_ROLLUP_PMC],0),MATCH(I$9,MMWR_RATING_STATE_ROLLUP_PMC[#Headers],0)),"ERROR"))</f>
        <v>91.553278688500001</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122</v>
      </c>
      <c r="D40" s="155">
        <f>IF($B40=" ","",IFERROR(INDEX(MMWR_RATING_STATE_ROLLUP_PMC[],MATCH($B40,MMWR_RATING_STATE_ROLLUP_PMC[MMWR_RATING_STATE_ROLLUP_PMC],0),MATCH(D$9,MMWR_RATING_STATE_ROLLUP_PMC[#Headers],0)),"ERROR"))</f>
        <v>63.254098360699999</v>
      </c>
      <c r="E40" s="156">
        <f>IF($B40=" ","",IFERROR(INDEX(MMWR_RATING_STATE_ROLLUP_PMC[],MATCH($B40,MMWR_RATING_STATE_ROLLUP_PMC[MMWR_RATING_STATE_ROLLUP_PMC],0),MATCH(E$9,MMWR_RATING_STATE_ROLLUP_PMC[#Headers],0))/$C40,"ERROR"))</f>
        <v>6.5573770491803282E-2</v>
      </c>
      <c r="F40" s="154">
        <f>IF($B40=" ","",IFERROR(INDEX(MMWR_RATING_STATE_ROLLUP_PMC[],MATCH($B40,MMWR_RATING_STATE_ROLLUP_PMC[MMWR_RATING_STATE_ROLLUP_PMC],0),MATCH(F$9,MMWR_RATING_STATE_ROLLUP_PMC[#Headers],0)),"ERROR"))</f>
        <v>39</v>
      </c>
      <c r="G40" s="154">
        <f>IF($B40=" ","",IFERROR(INDEX(MMWR_RATING_STATE_ROLLUP_PMC[],MATCH($B40,MMWR_RATING_STATE_ROLLUP_PMC[MMWR_RATING_STATE_ROLLUP_PMC],0),MATCH(G$9,MMWR_RATING_STATE_ROLLUP_PMC[#Headers],0)),"ERROR"))</f>
        <v>291</v>
      </c>
      <c r="H40" s="155">
        <f>IF($B40=" ","",IFERROR(INDEX(MMWR_RATING_STATE_ROLLUP_PMC[],MATCH($B40,MMWR_RATING_STATE_ROLLUP_PMC[MMWR_RATING_STATE_ROLLUP_PMC],0),MATCH(H$9,MMWR_RATING_STATE_ROLLUP_PMC[#Headers],0)),"ERROR"))</f>
        <v>100.7435897436</v>
      </c>
      <c r="I40" s="155">
        <f>IF($B40=" ","",IFERROR(INDEX(MMWR_RATING_STATE_ROLLUP_PMC[],MATCH($B40,MMWR_RATING_STATE_ROLLUP_PMC[MMWR_RATING_STATE_ROLLUP_PMC],0),MATCH(I$9,MMWR_RATING_STATE_ROLLUP_PMC[#Headers],0)),"ERROR"))</f>
        <v>95.635738831599994</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577</v>
      </c>
      <c r="D41" s="155">
        <f>IF($B41=" ","",IFERROR(INDEX(MMWR_RATING_STATE_ROLLUP_PMC[],MATCH($B41,MMWR_RATING_STATE_ROLLUP_PMC[MMWR_RATING_STATE_ROLLUP_PMC],0),MATCH(D$9,MMWR_RATING_STATE_ROLLUP_PMC[#Headers],0)),"ERROR"))</f>
        <v>72.677642980900004</v>
      </c>
      <c r="E41" s="156">
        <f>IF($B41=" ","",IFERROR(INDEX(MMWR_RATING_STATE_ROLLUP_PMC[],MATCH($B41,MMWR_RATING_STATE_ROLLUP_PMC[MMWR_RATING_STATE_ROLLUP_PMC],0),MATCH(E$9,MMWR_RATING_STATE_ROLLUP_PMC[#Headers],0))/$C41,"ERROR"))</f>
        <v>0.11265164644714037</v>
      </c>
      <c r="F41" s="154">
        <f>IF($B41=" ","",IFERROR(INDEX(MMWR_RATING_STATE_ROLLUP_PMC[],MATCH($B41,MMWR_RATING_STATE_ROLLUP_PMC[MMWR_RATING_STATE_ROLLUP_PMC],0),MATCH(F$9,MMWR_RATING_STATE_ROLLUP_PMC[#Headers],0)),"ERROR"))</f>
        <v>165</v>
      </c>
      <c r="G41" s="154">
        <f>IF($B41=" ","",IFERROR(INDEX(MMWR_RATING_STATE_ROLLUP_PMC[],MATCH($B41,MMWR_RATING_STATE_ROLLUP_PMC[MMWR_RATING_STATE_ROLLUP_PMC],0),MATCH(G$9,MMWR_RATING_STATE_ROLLUP_PMC[#Headers],0)),"ERROR"))</f>
        <v>1289</v>
      </c>
      <c r="H41" s="155">
        <f>IF($B41=" ","",IFERROR(INDEX(MMWR_RATING_STATE_ROLLUP_PMC[],MATCH($B41,MMWR_RATING_STATE_ROLLUP_PMC[MMWR_RATING_STATE_ROLLUP_PMC],0),MATCH(H$9,MMWR_RATING_STATE_ROLLUP_PMC[#Headers],0)),"ERROR"))</f>
        <v>103.0666666667</v>
      </c>
      <c r="I41" s="155">
        <f>IF($B41=" ","",IFERROR(INDEX(MMWR_RATING_STATE_ROLLUP_PMC[],MATCH($B41,MMWR_RATING_STATE_ROLLUP_PMC[MMWR_RATING_STATE_ROLLUP_PMC],0),MATCH(I$9,MMWR_RATING_STATE_ROLLUP_PMC[#Headers],0)),"ERROR"))</f>
        <v>94.190069821600005</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1452</v>
      </c>
      <c r="D42" s="155">
        <f>IF($B42=" ","",IFERROR(INDEX(MMWR_RATING_STATE_ROLLUP_PMC[],MATCH($B42,MMWR_RATING_STATE_ROLLUP_PMC[MMWR_RATING_STATE_ROLLUP_PMC],0),MATCH(D$9,MMWR_RATING_STATE_ROLLUP_PMC[#Headers],0)),"ERROR"))</f>
        <v>71.983471074400001</v>
      </c>
      <c r="E42" s="156">
        <f>IF($B42=" ","",IFERROR(INDEX(MMWR_RATING_STATE_ROLLUP_PMC[],MATCH($B42,MMWR_RATING_STATE_ROLLUP_PMC[MMWR_RATING_STATE_ROLLUP_PMC],0),MATCH(E$9,MMWR_RATING_STATE_ROLLUP_PMC[#Headers],0))/$C42,"ERROR"))</f>
        <v>0.1115702479338843</v>
      </c>
      <c r="F42" s="154">
        <f>IF($B42=" ","",IFERROR(INDEX(MMWR_RATING_STATE_ROLLUP_PMC[],MATCH($B42,MMWR_RATING_STATE_ROLLUP_PMC[MMWR_RATING_STATE_ROLLUP_PMC],0),MATCH(F$9,MMWR_RATING_STATE_ROLLUP_PMC[#Headers],0)),"ERROR"))</f>
        <v>354</v>
      </c>
      <c r="G42" s="154">
        <f>IF($B42=" ","",IFERROR(INDEX(MMWR_RATING_STATE_ROLLUP_PMC[],MATCH($B42,MMWR_RATING_STATE_ROLLUP_PMC[MMWR_RATING_STATE_ROLLUP_PMC],0),MATCH(G$9,MMWR_RATING_STATE_ROLLUP_PMC[#Headers],0)),"ERROR"))</f>
        <v>3268</v>
      </c>
      <c r="H42" s="155">
        <f>IF($B42=" ","",IFERROR(INDEX(MMWR_RATING_STATE_ROLLUP_PMC[],MATCH($B42,MMWR_RATING_STATE_ROLLUP_PMC[MMWR_RATING_STATE_ROLLUP_PMC],0),MATCH(H$9,MMWR_RATING_STATE_ROLLUP_PMC[#Headers],0)),"ERROR"))</f>
        <v>105</v>
      </c>
      <c r="I42" s="155">
        <f>IF($B42=" ","",IFERROR(INDEX(MMWR_RATING_STATE_ROLLUP_PMC[],MATCH($B42,MMWR_RATING_STATE_ROLLUP_PMC[MMWR_RATING_STATE_ROLLUP_PMC],0),MATCH(I$9,MMWR_RATING_STATE_ROLLUP_PMC[#Headers],0)),"ERROR"))</f>
        <v>97.6113831089</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1471</v>
      </c>
      <c r="D43" s="155">
        <f>IF($B43=" ","",IFERROR(INDEX(MMWR_RATING_STATE_ROLLUP_PMC[],MATCH($B43,MMWR_RATING_STATE_ROLLUP_PMC[MMWR_RATING_STATE_ROLLUP_PMC],0),MATCH(D$9,MMWR_RATING_STATE_ROLLUP_PMC[#Headers],0)),"ERROR"))</f>
        <v>73.974167233200006</v>
      </c>
      <c r="E43" s="156">
        <f>IF($B43=" ","",IFERROR(INDEX(MMWR_RATING_STATE_ROLLUP_PMC[],MATCH($B43,MMWR_RATING_STATE_ROLLUP_PMC[MMWR_RATING_STATE_ROLLUP_PMC],0),MATCH(E$9,MMWR_RATING_STATE_ROLLUP_PMC[#Headers],0))/$C43,"ERROR"))</f>
        <v>0.11964649898028552</v>
      </c>
      <c r="F43" s="154">
        <f>IF($B43=" ","",IFERROR(INDEX(MMWR_RATING_STATE_ROLLUP_PMC[],MATCH($B43,MMWR_RATING_STATE_ROLLUP_PMC[MMWR_RATING_STATE_ROLLUP_PMC],0),MATCH(F$9,MMWR_RATING_STATE_ROLLUP_PMC[#Headers],0)),"ERROR"))</f>
        <v>387</v>
      </c>
      <c r="G43" s="154">
        <f>IF($B43=" ","",IFERROR(INDEX(MMWR_RATING_STATE_ROLLUP_PMC[],MATCH($B43,MMWR_RATING_STATE_ROLLUP_PMC[MMWR_RATING_STATE_ROLLUP_PMC],0),MATCH(G$9,MMWR_RATING_STATE_ROLLUP_PMC[#Headers],0)),"ERROR"))</f>
        <v>3325</v>
      </c>
      <c r="H43" s="155">
        <f>IF($B43=" ","",IFERROR(INDEX(MMWR_RATING_STATE_ROLLUP_PMC[],MATCH($B43,MMWR_RATING_STATE_ROLLUP_PMC[MMWR_RATING_STATE_ROLLUP_PMC],0),MATCH(H$9,MMWR_RATING_STATE_ROLLUP_PMC[#Headers],0)),"ERROR"))</f>
        <v>97.643410852700001</v>
      </c>
      <c r="I43" s="155">
        <f>IF($B43=" ","",IFERROR(INDEX(MMWR_RATING_STATE_ROLLUP_PMC[],MATCH($B43,MMWR_RATING_STATE_ROLLUP_PMC[MMWR_RATING_STATE_ROLLUP_PMC],0),MATCH(I$9,MMWR_RATING_STATE_ROLLUP_PMC[#Headers],0)),"ERROR"))</f>
        <v>95.917293233099997</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1721</v>
      </c>
      <c r="D44" s="155">
        <f>IF($B44=" ","",IFERROR(INDEX(MMWR_RATING_STATE_ROLLUP_PMC[],MATCH($B44,MMWR_RATING_STATE_ROLLUP_PMC[MMWR_RATING_STATE_ROLLUP_PMC],0),MATCH(D$9,MMWR_RATING_STATE_ROLLUP_PMC[#Headers],0)),"ERROR"))</f>
        <v>70.182452062799996</v>
      </c>
      <c r="E44" s="156">
        <f>IF($B44=" ","",IFERROR(INDEX(MMWR_RATING_STATE_ROLLUP_PMC[],MATCH($B44,MMWR_RATING_STATE_ROLLUP_PMC[MMWR_RATING_STATE_ROLLUP_PMC],0),MATCH(E$9,MMWR_RATING_STATE_ROLLUP_PMC[#Headers],0))/$C44,"ERROR"))</f>
        <v>0.11272515979081929</v>
      </c>
      <c r="F44" s="154">
        <f>IF($B44=" ","",IFERROR(INDEX(MMWR_RATING_STATE_ROLLUP_PMC[],MATCH($B44,MMWR_RATING_STATE_ROLLUP_PMC[MMWR_RATING_STATE_ROLLUP_PMC],0),MATCH(F$9,MMWR_RATING_STATE_ROLLUP_PMC[#Headers],0)),"ERROR"))</f>
        <v>451</v>
      </c>
      <c r="G44" s="154">
        <f>IF($B44=" ","",IFERROR(INDEX(MMWR_RATING_STATE_ROLLUP_PMC[],MATCH($B44,MMWR_RATING_STATE_ROLLUP_PMC[MMWR_RATING_STATE_ROLLUP_PMC],0),MATCH(G$9,MMWR_RATING_STATE_ROLLUP_PMC[#Headers],0)),"ERROR"))</f>
        <v>3907</v>
      </c>
      <c r="H44" s="155">
        <f>IF($B44=" ","",IFERROR(INDEX(MMWR_RATING_STATE_ROLLUP_PMC[],MATCH($B44,MMWR_RATING_STATE_ROLLUP_PMC[MMWR_RATING_STATE_ROLLUP_PMC],0),MATCH(H$9,MMWR_RATING_STATE_ROLLUP_PMC[#Headers],0)),"ERROR"))</f>
        <v>99.742793791599993</v>
      </c>
      <c r="I44" s="155">
        <f>IF($B44=" ","",IFERROR(INDEX(MMWR_RATING_STATE_ROLLUP_PMC[],MATCH($B44,MMWR_RATING_STATE_ROLLUP_PMC[MMWR_RATING_STATE_ROLLUP_PMC],0),MATCH(I$9,MMWR_RATING_STATE_ROLLUP_PMC[#Headers],0)),"ERROR"))</f>
        <v>93.993089326800003</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125</v>
      </c>
      <c r="D45" s="155">
        <f>IF($B45=" ","",IFERROR(INDEX(MMWR_RATING_STATE_ROLLUP_PMC[],MATCH($B45,MMWR_RATING_STATE_ROLLUP_PMC[MMWR_RATING_STATE_ROLLUP_PMC],0),MATCH(D$9,MMWR_RATING_STATE_ROLLUP_PMC[#Headers],0)),"ERROR"))</f>
        <v>68.152000000000001</v>
      </c>
      <c r="E45" s="156">
        <f>IF($B45=" ","",IFERROR(INDEX(MMWR_RATING_STATE_ROLLUP_PMC[],MATCH($B45,MMWR_RATING_STATE_ROLLUP_PMC[MMWR_RATING_STATE_ROLLUP_PMC],0),MATCH(E$9,MMWR_RATING_STATE_ROLLUP_PMC[#Headers],0))/$C45,"ERROR"))</f>
        <v>9.6000000000000002E-2</v>
      </c>
      <c r="F45" s="154">
        <f>IF($B45=" ","",IFERROR(INDEX(MMWR_RATING_STATE_ROLLUP_PMC[],MATCH($B45,MMWR_RATING_STATE_ROLLUP_PMC[MMWR_RATING_STATE_ROLLUP_PMC],0),MATCH(F$9,MMWR_RATING_STATE_ROLLUP_PMC[#Headers],0)),"ERROR"))</f>
        <v>30</v>
      </c>
      <c r="G45" s="154">
        <f>IF($B45=" ","",IFERROR(INDEX(MMWR_RATING_STATE_ROLLUP_PMC[],MATCH($B45,MMWR_RATING_STATE_ROLLUP_PMC[MMWR_RATING_STATE_ROLLUP_PMC],0),MATCH(G$9,MMWR_RATING_STATE_ROLLUP_PMC[#Headers],0)),"ERROR"))</f>
        <v>305</v>
      </c>
      <c r="H45" s="155">
        <f>IF($B45=" ","",IFERROR(INDEX(MMWR_RATING_STATE_ROLLUP_PMC[],MATCH($B45,MMWR_RATING_STATE_ROLLUP_PMC[MMWR_RATING_STATE_ROLLUP_PMC],0),MATCH(H$9,MMWR_RATING_STATE_ROLLUP_PMC[#Headers],0)),"ERROR"))</f>
        <v>79.566666666700002</v>
      </c>
      <c r="I45" s="155">
        <f>IF($B45=" ","",IFERROR(INDEX(MMWR_RATING_STATE_ROLLUP_PMC[],MATCH($B45,MMWR_RATING_STATE_ROLLUP_PMC[MMWR_RATING_STATE_ROLLUP_PMC],0),MATCH(I$9,MMWR_RATING_STATE_ROLLUP_PMC[#Headers],0)),"ERROR"))</f>
        <v>94.445901639300004</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37</v>
      </c>
      <c r="D46" s="155">
        <f>IF($B46=" ","",IFERROR(INDEX(MMWR_RATING_STATE_ROLLUP_PMC[],MATCH($B46,MMWR_RATING_STATE_ROLLUP_PMC[MMWR_RATING_STATE_ROLLUP_PMC],0),MATCH(D$9,MMWR_RATING_STATE_ROLLUP_PMC[#Headers],0)),"ERROR"))</f>
        <v>81.189189189199993</v>
      </c>
      <c r="E46" s="156">
        <f>IF($B46=" ","",IFERROR(INDEX(MMWR_RATING_STATE_ROLLUP_PMC[],MATCH($B46,MMWR_RATING_STATE_ROLLUP_PMC[MMWR_RATING_STATE_ROLLUP_PMC],0),MATCH(E$9,MMWR_RATING_STATE_ROLLUP_PMC[#Headers],0))/$C46,"ERROR"))</f>
        <v>0.1891891891891892</v>
      </c>
      <c r="F46" s="154">
        <f>IF($B46=" ","",IFERROR(INDEX(MMWR_RATING_STATE_ROLLUP_PMC[],MATCH($B46,MMWR_RATING_STATE_ROLLUP_PMC[MMWR_RATING_STATE_ROLLUP_PMC],0),MATCH(F$9,MMWR_RATING_STATE_ROLLUP_PMC[#Headers],0)),"ERROR"))</f>
        <v>18</v>
      </c>
      <c r="G46" s="154">
        <f>IF($B46=" ","",IFERROR(INDEX(MMWR_RATING_STATE_ROLLUP_PMC[],MATCH($B46,MMWR_RATING_STATE_ROLLUP_PMC[MMWR_RATING_STATE_ROLLUP_PMC],0),MATCH(G$9,MMWR_RATING_STATE_ROLLUP_PMC[#Headers],0)),"ERROR"))</f>
        <v>114</v>
      </c>
      <c r="H46" s="155">
        <f>IF($B46=" ","",IFERROR(INDEX(MMWR_RATING_STATE_ROLLUP_PMC[],MATCH($B46,MMWR_RATING_STATE_ROLLUP_PMC[MMWR_RATING_STATE_ROLLUP_PMC],0),MATCH(H$9,MMWR_RATING_STATE_ROLLUP_PMC[#Headers],0)),"ERROR"))</f>
        <v>111.3888888889</v>
      </c>
      <c r="I46" s="155">
        <f>IF($B46=" ","",IFERROR(INDEX(MMWR_RATING_STATE_ROLLUP_PMC[],MATCH($B46,MMWR_RATING_STATE_ROLLUP_PMC[MMWR_RATING_STATE_ROLLUP_PMC],0),MATCH(I$9,MMWR_RATING_STATE_ROLLUP_PMC[#Headers],0)),"ERROR"))</f>
        <v>98.342105263199997</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1002</v>
      </c>
      <c r="D47" s="155">
        <f>IF($B47=" ","",IFERROR(INDEX(MMWR_RATING_STATE_ROLLUP_PMC[],MATCH($B47,MMWR_RATING_STATE_ROLLUP_PMC[MMWR_RATING_STATE_ROLLUP_PMC],0),MATCH(D$9,MMWR_RATING_STATE_ROLLUP_PMC[#Headers],0)),"ERROR"))</f>
        <v>70.712574850300001</v>
      </c>
      <c r="E47" s="156">
        <f>IF($B47=" ","",IFERROR(INDEX(MMWR_RATING_STATE_ROLLUP_PMC[],MATCH($B47,MMWR_RATING_STATE_ROLLUP_PMC[MMWR_RATING_STATE_ROLLUP_PMC],0),MATCH(E$9,MMWR_RATING_STATE_ROLLUP_PMC[#Headers],0))/$C47,"ERROR"))</f>
        <v>0.1217564870259481</v>
      </c>
      <c r="F47" s="154">
        <f>IF($B47=" ","",IFERROR(INDEX(MMWR_RATING_STATE_ROLLUP_PMC[],MATCH($B47,MMWR_RATING_STATE_ROLLUP_PMC[MMWR_RATING_STATE_ROLLUP_PMC],0),MATCH(F$9,MMWR_RATING_STATE_ROLLUP_PMC[#Headers],0)),"ERROR"))</f>
        <v>217</v>
      </c>
      <c r="G47" s="154">
        <f>IF($B47=" ","",IFERROR(INDEX(MMWR_RATING_STATE_ROLLUP_PMC[],MATCH($B47,MMWR_RATING_STATE_ROLLUP_PMC[MMWR_RATING_STATE_ROLLUP_PMC],0),MATCH(G$9,MMWR_RATING_STATE_ROLLUP_PMC[#Headers],0)),"ERROR"))</f>
        <v>2070</v>
      </c>
      <c r="H47" s="155">
        <f>IF($B47=" ","",IFERROR(INDEX(MMWR_RATING_STATE_ROLLUP_PMC[],MATCH($B47,MMWR_RATING_STATE_ROLLUP_PMC[MMWR_RATING_STATE_ROLLUP_PMC],0),MATCH(H$9,MMWR_RATING_STATE_ROLLUP_PMC[#Headers],0)),"ERROR"))</f>
        <v>104.5437788018</v>
      </c>
      <c r="I47" s="155">
        <f>IF($B47=" ","",IFERROR(INDEX(MMWR_RATING_STATE_ROLLUP_PMC[],MATCH($B47,MMWR_RATING_STATE_ROLLUP_PMC[MMWR_RATING_STATE_ROLLUP_PMC],0),MATCH(I$9,MMWR_RATING_STATE_ROLLUP_PMC[#Headers],0)),"ERROR"))</f>
        <v>99.395652173900004</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250</v>
      </c>
      <c r="D48" s="155">
        <f>IF($B48=" ","",IFERROR(INDEX(MMWR_RATING_STATE_ROLLUP_PMC[],MATCH($B48,MMWR_RATING_STATE_ROLLUP_PMC[MMWR_RATING_STATE_ROLLUP_PMC],0),MATCH(D$9,MMWR_RATING_STATE_ROLLUP_PMC[#Headers],0)),"ERROR"))</f>
        <v>76.748000000000005</v>
      </c>
      <c r="E48" s="156">
        <f>IF($B48=" ","",IFERROR(INDEX(MMWR_RATING_STATE_ROLLUP_PMC[],MATCH($B48,MMWR_RATING_STATE_ROLLUP_PMC[MMWR_RATING_STATE_ROLLUP_PMC],0),MATCH(E$9,MMWR_RATING_STATE_ROLLUP_PMC[#Headers],0))/$C48,"ERROR"))</f>
        <v>0.16</v>
      </c>
      <c r="F48" s="154">
        <f>IF($B48=" ","",IFERROR(INDEX(MMWR_RATING_STATE_ROLLUP_PMC[],MATCH($B48,MMWR_RATING_STATE_ROLLUP_PMC[MMWR_RATING_STATE_ROLLUP_PMC],0),MATCH(F$9,MMWR_RATING_STATE_ROLLUP_PMC[#Headers],0)),"ERROR"))</f>
        <v>88</v>
      </c>
      <c r="G48" s="154">
        <f>IF($B48=" ","",IFERROR(INDEX(MMWR_RATING_STATE_ROLLUP_PMC[],MATCH($B48,MMWR_RATING_STATE_ROLLUP_PMC[MMWR_RATING_STATE_ROLLUP_PMC],0),MATCH(G$9,MMWR_RATING_STATE_ROLLUP_PMC[#Headers],0)),"ERROR"))</f>
        <v>713</v>
      </c>
      <c r="H48" s="155">
        <f>IF($B48=" ","",IFERROR(INDEX(MMWR_RATING_STATE_ROLLUP_PMC[],MATCH($B48,MMWR_RATING_STATE_ROLLUP_PMC[MMWR_RATING_STATE_ROLLUP_PMC],0),MATCH(H$9,MMWR_RATING_STATE_ROLLUP_PMC[#Headers],0)),"ERROR"))</f>
        <v>92.409090909100001</v>
      </c>
      <c r="I48" s="155">
        <f>IF($B48=" ","",IFERROR(INDEX(MMWR_RATING_STATE_ROLLUP_PMC[],MATCH($B48,MMWR_RATING_STATE_ROLLUP_PMC[MMWR_RATING_STATE_ROLLUP_PMC],0),MATCH(I$9,MMWR_RATING_STATE_ROLLUP_PMC[#Headers],0)),"ERROR"))</f>
        <v>95.858345021000005</v>
      </c>
      <c r="J48" s="42"/>
      <c r="K48" s="42"/>
      <c r="L48" s="42"/>
      <c r="M48" s="42"/>
      <c r="N48" s="28"/>
    </row>
    <row r="49" spans="1:14" x14ac:dyDescent="0.2">
      <c r="A49" s="25"/>
      <c r="B49" s="377" t="s">
        <v>1039</v>
      </c>
      <c r="C49" s="378"/>
      <c r="D49" s="378"/>
      <c r="E49" s="378"/>
      <c r="F49" s="378"/>
      <c r="G49" s="378"/>
      <c r="H49" s="378"/>
      <c r="I49" s="378"/>
      <c r="J49" s="378"/>
      <c r="K49" s="378"/>
      <c r="L49" s="378"/>
      <c r="M49" s="387"/>
      <c r="N49" s="28"/>
    </row>
    <row r="50" spans="1:14" x14ac:dyDescent="0.2">
      <c r="A50" s="25"/>
      <c r="B50" s="41" t="s">
        <v>1038</v>
      </c>
      <c r="C50" s="154">
        <f>IF($B50=" ","",IFERROR(INDEX(MMWR_RATING_STATE_ROLLUP_QST[],MATCH($B50,MMWR_RATING_STATE_ROLLUP_QST[MMWR_RATING_STATE_ROLLUP_QST],0),MATCH(C$9,MMWR_RATING_STATE_ROLLUP_QST[#Headers],0)),"ERROR"))</f>
        <v>7323</v>
      </c>
      <c r="D50" s="155">
        <f>IF($B50=" ","",IFERROR(INDEX(MMWR_RATING_STATE_ROLLUP_QST[],MATCH($B50,MMWR_RATING_STATE_ROLLUP_QST[MMWR_RATING_STATE_ROLLUP_QST],0),MATCH(D$9,MMWR_RATING_STATE_ROLLUP_QST[#Headers],0)),"ERROR"))</f>
        <v>83.510173426199998</v>
      </c>
      <c r="E50" s="156">
        <f>IF($B50=" ","",IFERROR(INDEX(MMWR_RATING_STATE_ROLLUP_QST[],MATCH($B50,MMWR_RATING_STATE_ROLLUP_QST[MMWR_RATING_STATE_ROLLUP_QST],0),MATCH(E$9,MMWR_RATING_STATE_ROLLUP_QST[#Headers],0))/$C50,"ERROR"))</f>
        <v>0.21084255086713097</v>
      </c>
      <c r="F50" s="154">
        <f>IF($B50=" ","",IFERROR(INDEX(MMWR_RATING_STATE_ROLLUP_QST[],MATCH($B50,MMWR_RATING_STATE_ROLLUP_QST[MMWR_RATING_STATE_ROLLUP_QST],0),MATCH(F$9,MMWR_RATING_STATE_ROLLUP_QST[#Headers],0)),"ERROR"))</f>
        <v>2724</v>
      </c>
      <c r="G50" s="154">
        <f>IF($B50=" ","",IFERROR(INDEX(MMWR_RATING_STATE_ROLLUP_QST[],MATCH($B50,MMWR_RATING_STATE_ROLLUP_QST[MMWR_RATING_STATE_ROLLUP_QST],0),MATCH(G$9,MMWR_RATING_STATE_ROLLUP_QST[#Headers],0)),"ERROR"))</f>
        <v>16633</v>
      </c>
      <c r="H50" s="155">
        <f>IF($B50=" ","",IFERROR(INDEX(MMWR_RATING_STATE_ROLLUP_QST[],MATCH($B50,MMWR_RATING_STATE_ROLLUP_QST[MMWR_RATING_STATE_ROLLUP_QST],0),MATCH(H$9,MMWR_RATING_STATE_ROLLUP_QST[#Headers],0)),"ERROR"))</f>
        <v>129.7525697504</v>
      </c>
      <c r="I50" s="155">
        <f>IF($B50=" ","",IFERROR(INDEX(MMWR_RATING_STATE_ROLLUP_QST[],MATCH($B50,MMWR_RATING_STATE_ROLLUP_QST[MMWR_RATING_STATE_ROLLUP_QST],0),MATCH(I$9,MMWR_RATING_STATE_ROLLUP_QST[#Headers],0)),"ERROR"))</f>
        <v>142.31172969400001</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1730</v>
      </c>
      <c r="D51" s="155">
        <f>IF($B51=" ","",IFERROR(INDEX(MMWR_RATING_STATE_ROLLUP_QST[],MATCH($B51,MMWR_RATING_STATE_ROLLUP_QST[MMWR_RATING_STATE_ROLLUP_QST],0),MATCH(D$9,MMWR_RATING_STATE_ROLLUP_QST[#Headers],0)),"ERROR"))</f>
        <v>84.705202312099999</v>
      </c>
      <c r="E51" s="156">
        <f>IF($B51=" ","",IFERROR(INDEX(MMWR_RATING_STATE_ROLLUP_QST[],MATCH($B51,MMWR_RATING_STATE_ROLLUP_QST[MMWR_RATING_STATE_ROLLUP_QST],0),MATCH(E$9,MMWR_RATING_STATE_ROLLUP_QST[#Headers],0))/$C51,"ERROR"))</f>
        <v>0.2184971098265896</v>
      </c>
      <c r="F51" s="154">
        <f>IF($B51=" ","",IFERROR(INDEX(MMWR_RATING_STATE_ROLLUP_QST[],MATCH($B51,MMWR_RATING_STATE_ROLLUP_QST[MMWR_RATING_STATE_ROLLUP_QST],0),MATCH(F$9,MMWR_RATING_STATE_ROLLUP_QST[#Headers],0)),"ERROR"))</f>
        <v>634</v>
      </c>
      <c r="G51" s="154">
        <f>IF($B51=" ","",IFERROR(INDEX(MMWR_RATING_STATE_ROLLUP_QST[],MATCH($B51,MMWR_RATING_STATE_ROLLUP_QST[MMWR_RATING_STATE_ROLLUP_QST],0),MATCH(G$9,MMWR_RATING_STATE_ROLLUP_QST[#Headers],0)),"ERROR"))</f>
        <v>3665</v>
      </c>
      <c r="H51" s="155">
        <f>IF($B51=" ","",IFERROR(INDEX(MMWR_RATING_STATE_ROLLUP_QST[],MATCH($B51,MMWR_RATING_STATE_ROLLUP_QST[MMWR_RATING_STATE_ROLLUP_QST],0),MATCH(H$9,MMWR_RATING_STATE_ROLLUP_QST[#Headers],0)),"ERROR"))</f>
        <v>141.70504731860001</v>
      </c>
      <c r="I51" s="155">
        <f>IF($B51=" ","",IFERROR(INDEX(MMWR_RATING_STATE_ROLLUP_QST[],MATCH($B51,MMWR_RATING_STATE_ROLLUP_QST[MMWR_RATING_STATE_ROLLUP_QST],0),MATCH(I$9,MMWR_RATING_STATE_ROLLUP_QST[#Headers],0)),"ERROR"))</f>
        <v>151.1858117326</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50</v>
      </c>
      <c r="D52" s="155">
        <f>IF($B52=" ","",IFERROR(INDEX(MMWR_RATING_STATE_ROLLUP_QST[],MATCH($B52,MMWR_RATING_STATE_ROLLUP_QST[MMWR_RATING_STATE_ROLLUP_QST],0),MATCH(D$9,MMWR_RATING_STATE_ROLLUP_QST[#Headers],0)),"ERROR"))</f>
        <v>54.34</v>
      </c>
      <c r="E52" s="156">
        <f>IF($B52=" ","",IFERROR(INDEX(MMWR_RATING_STATE_ROLLUP_QST[],MATCH($B52,MMWR_RATING_STATE_ROLLUP_QST[MMWR_RATING_STATE_ROLLUP_QST],0),MATCH(E$9,MMWR_RATING_STATE_ROLLUP_QST[#Headers],0))/$C52,"ERROR"))</f>
        <v>0.06</v>
      </c>
      <c r="F52" s="154">
        <f>IF($B52=" ","",IFERROR(INDEX(MMWR_RATING_STATE_ROLLUP_QST[],MATCH($B52,MMWR_RATING_STATE_ROLLUP_QST[MMWR_RATING_STATE_ROLLUP_QST],0),MATCH(F$9,MMWR_RATING_STATE_ROLLUP_QST[#Headers],0)),"ERROR"))</f>
        <v>17</v>
      </c>
      <c r="G52" s="154">
        <f>IF($B52=" ","",IFERROR(INDEX(MMWR_RATING_STATE_ROLLUP_QST[],MATCH($B52,MMWR_RATING_STATE_ROLLUP_QST[MMWR_RATING_STATE_ROLLUP_QST],0),MATCH(G$9,MMWR_RATING_STATE_ROLLUP_QST[#Headers],0)),"ERROR"))</f>
        <v>93</v>
      </c>
      <c r="H52" s="155">
        <f>IF($B52=" ","",IFERROR(INDEX(MMWR_RATING_STATE_ROLLUP_QST[],MATCH($B52,MMWR_RATING_STATE_ROLLUP_QST[MMWR_RATING_STATE_ROLLUP_QST],0),MATCH(H$9,MMWR_RATING_STATE_ROLLUP_QST[#Headers],0)),"ERROR"))</f>
        <v>140.0588235294</v>
      </c>
      <c r="I52" s="155">
        <f>IF($B52=" ","",IFERROR(INDEX(MMWR_RATING_STATE_ROLLUP_QST[],MATCH($B52,MMWR_RATING_STATE_ROLLUP_QST[MMWR_RATING_STATE_ROLLUP_QST],0),MATCH(I$9,MMWR_RATING_STATE_ROLLUP_QST[#Headers],0)),"ERROR"))</f>
        <v>145.1612903226</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20</v>
      </c>
      <c r="D53" s="155">
        <f>IF($B53=" ","",IFERROR(INDEX(MMWR_RATING_STATE_ROLLUP_QST[],MATCH($B53,MMWR_RATING_STATE_ROLLUP_QST[MMWR_RATING_STATE_ROLLUP_QST],0),MATCH(D$9,MMWR_RATING_STATE_ROLLUP_QST[#Headers],0)),"ERROR"))</f>
        <v>103.75</v>
      </c>
      <c r="E53" s="156">
        <f>IF($B53=" ","",IFERROR(INDEX(MMWR_RATING_STATE_ROLLUP_QST[],MATCH($B53,MMWR_RATING_STATE_ROLLUP_QST[MMWR_RATING_STATE_ROLLUP_QST],0),MATCH(E$9,MMWR_RATING_STATE_ROLLUP_QST[#Headers],0))/$C53,"ERROR"))</f>
        <v>0.35</v>
      </c>
      <c r="F53" s="154">
        <f>IF($B53=" ","",IFERROR(INDEX(MMWR_RATING_STATE_ROLLUP_QST[],MATCH($B53,MMWR_RATING_STATE_ROLLUP_QST[MMWR_RATING_STATE_ROLLUP_QST],0),MATCH(F$9,MMWR_RATING_STATE_ROLLUP_QST[#Headers],0)),"ERROR"))</f>
        <v>3</v>
      </c>
      <c r="G53" s="154">
        <f>IF($B53=" ","",IFERROR(INDEX(MMWR_RATING_STATE_ROLLUP_QST[],MATCH($B53,MMWR_RATING_STATE_ROLLUP_QST[MMWR_RATING_STATE_ROLLUP_QST],0),MATCH(G$9,MMWR_RATING_STATE_ROLLUP_QST[#Headers],0)),"ERROR"))</f>
        <v>25</v>
      </c>
      <c r="H53" s="155">
        <f>IF($B53=" ","",IFERROR(INDEX(MMWR_RATING_STATE_ROLLUP_QST[],MATCH($B53,MMWR_RATING_STATE_ROLLUP_QST[MMWR_RATING_STATE_ROLLUP_QST],0),MATCH(H$9,MMWR_RATING_STATE_ROLLUP_QST[#Headers],0)),"ERROR"))</f>
        <v>235</v>
      </c>
      <c r="I53" s="155">
        <f>IF($B53=" ","",IFERROR(INDEX(MMWR_RATING_STATE_ROLLUP_QST[],MATCH($B53,MMWR_RATING_STATE_ROLLUP_QST[MMWR_RATING_STATE_ROLLUP_QST],0),MATCH(I$9,MMWR_RATING_STATE_ROLLUP_QST[#Headers],0)),"ERROR"))</f>
        <v>153.68</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15</v>
      </c>
      <c r="D54" s="155">
        <f>IF($B54=" ","",IFERROR(INDEX(MMWR_RATING_STATE_ROLLUP_QST[],MATCH($B54,MMWR_RATING_STATE_ROLLUP_QST[MMWR_RATING_STATE_ROLLUP_QST],0),MATCH(D$9,MMWR_RATING_STATE_ROLLUP_QST[#Headers],0)),"ERROR"))</f>
        <v>83.133333333300001</v>
      </c>
      <c r="E54" s="156">
        <f>IF($B54=" ","",IFERROR(INDEX(MMWR_RATING_STATE_ROLLUP_QST[],MATCH($B54,MMWR_RATING_STATE_ROLLUP_QST[MMWR_RATING_STATE_ROLLUP_QST],0),MATCH(E$9,MMWR_RATING_STATE_ROLLUP_QST[#Headers],0))/$C54,"ERROR"))</f>
        <v>0.2</v>
      </c>
      <c r="F54" s="154">
        <f>IF($B54=" ","",IFERROR(INDEX(MMWR_RATING_STATE_ROLLUP_QST[],MATCH($B54,MMWR_RATING_STATE_ROLLUP_QST[MMWR_RATING_STATE_ROLLUP_QST],0),MATCH(F$9,MMWR_RATING_STATE_ROLLUP_QST[#Headers],0)),"ERROR"))</f>
        <v>5</v>
      </c>
      <c r="G54" s="154">
        <f>IF($B54=" ","",IFERROR(INDEX(MMWR_RATING_STATE_ROLLUP_QST[],MATCH($B54,MMWR_RATING_STATE_ROLLUP_QST[MMWR_RATING_STATE_ROLLUP_QST],0),MATCH(G$9,MMWR_RATING_STATE_ROLLUP_QST[#Headers],0)),"ERROR"))</f>
        <v>29</v>
      </c>
      <c r="H54" s="155">
        <f>IF($B54=" ","",IFERROR(INDEX(MMWR_RATING_STATE_ROLLUP_QST[],MATCH($B54,MMWR_RATING_STATE_ROLLUP_QST[MMWR_RATING_STATE_ROLLUP_QST],0),MATCH(H$9,MMWR_RATING_STATE_ROLLUP_QST[#Headers],0)),"ERROR"))</f>
        <v>153</v>
      </c>
      <c r="I54" s="155">
        <f>IF($B54=" ","",IFERROR(INDEX(MMWR_RATING_STATE_ROLLUP_QST[],MATCH($B54,MMWR_RATING_STATE_ROLLUP_QST[MMWR_RATING_STATE_ROLLUP_QST],0),MATCH(I$9,MMWR_RATING_STATE_ROLLUP_QST[#Headers],0)),"ERROR"))</f>
        <v>159.93103448279999</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11</v>
      </c>
      <c r="D55" s="155">
        <f>IF($B55=" ","",IFERROR(INDEX(MMWR_RATING_STATE_ROLLUP_QST[],MATCH($B55,MMWR_RATING_STATE_ROLLUP_QST[MMWR_RATING_STATE_ROLLUP_QST],0),MATCH(D$9,MMWR_RATING_STATE_ROLLUP_QST[#Headers],0)),"ERROR"))</f>
        <v>67.727272727300004</v>
      </c>
      <c r="E55" s="156">
        <f>IF($B55=" ","",IFERROR(INDEX(MMWR_RATING_STATE_ROLLUP_QST[],MATCH($B55,MMWR_RATING_STATE_ROLLUP_QST[MMWR_RATING_STATE_ROLLUP_QST],0),MATCH(E$9,MMWR_RATING_STATE_ROLLUP_QST[#Headers],0))/$C55,"ERROR"))</f>
        <v>0.27272727272727271</v>
      </c>
      <c r="F55" s="154">
        <f>IF($B55=" ","",IFERROR(INDEX(MMWR_RATING_STATE_ROLLUP_QST[],MATCH($B55,MMWR_RATING_STATE_ROLLUP_QST[MMWR_RATING_STATE_ROLLUP_QST],0),MATCH(F$9,MMWR_RATING_STATE_ROLLUP_QST[#Headers],0)),"ERROR"))</f>
        <v>10</v>
      </c>
      <c r="G55" s="154">
        <f>IF($B55=" ","",IFERROR(INDEX(MMWR_RATING_STATE_ROLLUP_QST[],MATCH($B55,MMWR_RATING_STATE_ROLLUP_QST[MMWR_RATING_STATE_ROLLUP_QST],0),MATCH(G$9,MMWR_RATING_STATE_ROLLUP_QST[#Headers],0)),"ERROR"))</f>
        <v>43</v>
      </c>
      <c r="H55" s="155">
        <f>IF($B55=" ","",IFERROR(INDEX(MMWR_RATING_STATE_ROLLUP_QST[],MATCH($B55,MMWR_RATING_STATE_ROLLUP_QST[MMWR_RATING_STATE_ROLLUP_QST],0),MATCH(H$9,MMWR_RATING_STATE_ROLLUP_QST[#Headers],0)),"ERROR"))</f>
        <v>121.3</v>
      </c>
      <c r="I55" s="155">
        <f>IF($B55=" ","",IFERROR(INDEX(MMWR_RATING_STATE_ROLLUP_QST[],MATCH($B55,MMWR_RATING_STATE_ROLLUP_QST[MMWR_RATING_STATE_ROLLUP_QST],0),MATCH(I$9,MMWR_RATING_STATE_ROLLUP_QST[#Headers],0)),"ERROR"))</f>
        <v>147.20930232559999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167</v>
      </c>
      <c r="D56" s="155">
        <f>IF($B56=" ","",IFERROR(INDEX(MMWR_RATING_STATE_ROLLUP_QST[],MATCH($B56,MMWR_RATING_STATE_ROLLUP_QST[MMWR_RATING_STATE_ROLLUP_QST],0),MATCH(D$9,MMWR_RATING_STATE_ROLLUP_QST[#Headers],0)),"ERROR"))</f>
        <v>85.760479041899998</v>
      </c>
      <c r="E56" s="156">
        <f>IF($B56=" ","",IFERROR(INDEX(MMWR_RATING_STATE_ROLLUP_QST[],MATCH($B56,MMWR_RATING_STATE_ROLLUP_QST[MMWR_RATING_STATE_ROLLUP_QST],0),MATCH(E$9,MMWR_RATING_STATE_ROLLUP_QST[#Headers],0))/$C56,"ERROR"))</f>
        <v>0.19760479041916168</v>
      </c>
      <c r="F56" s="154">
        <f>IF($B56=" ","",IFERROR(INDEX(MMWR_RATING_STATE_ROLLUP_QST[],MATCH($B56,MMWR_RATING_STATE_ROLLUP_QST[MMWR_RATING_STATE_ROLLUP_QST],0),MATCH(F$9,MMWR_RATING_STATE_ROLLUP_QST[#Headers],0)),"ERROR"))</f>
        <v>64</v>
      </c>
      <c r="G56" s="154">
        <f>IF($B56=" ","",IFERROR(INDEX(MMWR_RATING_STATE_ROLLUP_QST[],MATCH($B56,MMWR_RATING_STATE_ROLLUP_QST[MMWR_RATING_STATE_ROLLUP_QST],0),MATCH(G$9,MMWR_RATING_STATE_ROLLUP_QST[#Headers],0)),"ERROR"))</f>
        <v>399</v>
      </c>
      <c r="H56" s="155">
        <f>IF($B56=" ","",IFERROR(INDEX(MMWR_RATING_STATE_ROLLUP_QST[],MATCH($B56,MMWR_RATING_STATE_ROLLUP_QST[MMWR_RATING_STATE_ROLLUP_QST],0),MATCH(H$9,MMWR_RATING_STATE_ROLLUP_QST[#Headers],0)),"ERROR"))</f>
        <v>142.890625</v>
      </c>
      <c r="I56" s="155">
        <f>IF($B56=" ","",IFERROR(INDEX(MMWR_RATING_STATE_ROLLUP_QST[],MATCH($B56,MMWR_RATING_STATE_ROLLUP_QST[MMWR_RATING_STATE_ROLLUP_QST],0),MATCH(I$9,MMWR_RATING_STATE_ROLLUP_QST[#Headers],0)),"ERROR"))</f>
        <v>150.17293233079999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57</v>
      </c>
      <c r="D57" s="155">
        <f>IF($B57=" ","",IFERROR(INDEX(MMWR_RATING_STATE_ROLLUP_QST[],MATCH($B57,MMWR_RATING_STATE_ROLLUP_QST[MMWR_RATING_STATE_ROLLUP_QST],0),MATCH(D$9,MMWR_RATING_STATE_ROLLUP_QST[#Headers],0)),"ERROR"))</f>
        <v>77.701754386000005</v>
      </c>
      <c r="E57" s="156">
        <f>IF($B57=" ","",IFERROR(INDEX(MMWR_RATING_STATE_ROLLUP_QST[],MATCH($B57,MMWR_RATING_STATE_ROLLUP_QST[MMWR_RATING_STATE_ROLLUP_QST],0),MATCH(E$9,MMWR_RATING_STATE_ROLLUP_QST[#Headers],0))/$C57,"ERROR"))</f>
        <v>0.22807017543859648</v>
      </c>
      <c r="F57" s="154">
        <f>IF($B57=" ","",IFERROR(INDEX(MMWR_RATING_STATE_ROLLUP_QST[],MATCH($B57,MMWR_RATING_STATE_ROLLUP_QST[MMWR_RATING_STATE_ROLLUP_QST],0),MATCH(F$9,MMWR_RATING_STATE_ROLLUP_QST[#Headers],0)),"ERROR"))</f>
        <v>24</v>
      </c>
      <c r="G57" s="154">
        <f>IF($B57=" ","",IFERROR(INDEX(MMWR_RATING_STATE_ROLLUP_QST[],MATCH($B57,MMWR_RATING_STATE_ROLLUP_QST[MMWR_RATING_STATE_ROLLUP_QST],0),MATCH(G$9,MMWR_RATING_STATE_ROLLUP_QST[#Headers],0)),"ERROR"))</f>
        <v>157</v>
      </c>
      <c r="H57" s="155">
        <f>IF($B57=" ","",IFERROR(INDEX(MMWR_RATING_STATE_ROLLUP_QST[],MATCH($B57,MMWR_RATING_STATE_ROLLUP_QST[MMWR_RATING_STATE_ROLLUP_QST],0),MATCH(H$9,MMWR_RATING_STATE_ROLLUP_QST[#Headers],0)),"ERROR"))</f>
        <v>127.5</v>
      </c>
      <c r="I57" s="155">
        <f>IF($B57=" ","",IFERROR(INDEX(MMWR_RATING_STATE_ROLLUP_QST[],MATCH($B57,MMWR_RATING_STATE_ROLLUP_QST[MMWR_RATING_STATE_ROLLUP_QST],0),MATCH(I$9,MMWR_RATING_STATE_ROLLUP_QST[#Headers],0)),"ERROR"))</f>
        <v>144.21656050959999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21</v>
      </c>
      <c r="D58" s="155">
        <f>IF($B58=" ","",IFERROR(INDEX(MMWR_RATING_STATE_ROLLUP_QST[],MATCH($B58,MMWR_RATING_STATE_ROLLUP_QST[MMWR_RATING_STATE_ROLLUP_QST],0),MATCH(D$9,MMWR_RATING_STATE_ROLLUP_QST[#Headers],0)),"ERROR"))</f>
        <v>64.285714285699996</v>
      </c>
      <c r="E58" s="156">
        <f>IF($B58=" ","",IFERROR(INDEX(MMWR_RATING_STATE_ROLLUP_QST[],MATCH($B58,MMWR_RATING_STATE_ROLLUP_QST[MMWR_RATING_STATE_ROLLUP_QST],0),MATCH(E$9,MMWR_RATING_STATE_ROLLUP_QST[#Headers],0))/$C58,"ERROR"))</f>
        <v>9.5238095238095233E-2</v>
      </c>
      <c r="F58" s="154">
        <f>IF($B58=" ","",IFERROR(INDEX(MMWR_RATING_STATE_ROLLUP_QST[],MATCH($B58,MMWR_RATING_STATE_ROLLUP_QST[MMWR_RATING_STATE_ROLLUP_QST],0),MATCH(F$9,MMWR_RATING_STATE_ROLLUP_QST[#Headers],0)),"ERROR"))</f>
        <v>7</v>
      </c>
      <c r="G58" s="154">
        <f>IF($B58=" ","",IFERROR(INDEX(MMWR_RATING_STATE_ROLLUP_QST[],MATCH($B58,MMWR_RATING_STATE_ROLLUP_QST[MMWR_RATING_STATE_ROLLUP_QST],0),MATCH(G$9,MMWR_RATING_STATE_ROLLUP_QST[#Headers],0)),"ERROR"))</f>
        <v>40</v>
      </c>
      <c r="H58" s="155">
        <f>IF($B58=" ","",IFERROR(INDEX(MMWR_RATING_STATE_ROLLUP_QST[],MATCH($B58,MMWR_RATING_STATE_ROLLUP_QST[MMWR_RATING_STATE_ROLLUP_QST],0),MATCH(H$9,MMWR_RATING_STATE_ROLLUP_QST[#Headers],0)),"ERROR"))</f>
        <v>165.57142857139999</v>
      </c>
      <c r="I58" s="155">
        <f>IF($B58=" ","",IFERROR(INDEX(MMWR_RATING_STATE_ROLLUP_QST[],MATCH($B58,MMWR_RATING_STATE_ROLLUP_QST[MMWR_RATING_STATE_ROLLUP_QST],0),MATCH(I$9,MMWR_RATING_STATE_ROLLUP_QST[#Headers],0)),"ERROR"))</f>
        <v>151.55000000000001</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94</v>
      </c>
      <c r="D59" s="155">
        <f>IF($B59=" ","",IFERROR(INDEX(MMWR_RATING_STATE_ROLLUP_QST[],MATCH($B59,MMWR_RATING_STATE_ROLLUP_QST[MMWR_RATING_STATE_ROLLUP_QST],0),MATCH(D$9,MMWR_RATING_STATE_ROLLUP_QST[#Headers],0)),"ERROR"))</f>
        <v>90.648936170200002</v>
      </c>
      <c r="E59" s="156">
        <f>IF($B59=" ","",IFERROR(INDEX(MMWR_RATING_STATE_ROLLUP_QST[],MATCH($B59,MMWR_RATING_STATE_ROLLUP_QST[MMWR_RATING_STATE_ROLLUP_QST],0),MATCH(E$9,MMWR_RATING_STATE_ROLLUP_QST[#Headers],0))/$C59,"ERROR"))</f>
        <v>0.25531914893617019</v>
      </c>
      <c r="F59" s="154">
        <f>IF($B59=" ","",IFERROR(INDEX(MMWR_RATING_STATE_ROLLUP_QST[],MATCH($B59,MMWR_RATING_STATE_ROLLUP_QST[MMWR_RATING_STATE_ROLLUP_QST],0),MATCH(F$9,MMWR_RATING_STATE_ROLLUP_QST[#Headers],0)),"ERROR"))</f>
        <v>31</v>
      </c>
      <c r="G59" s="154">
        <f>IF($B59=" ","",IFERROR(INDEX(MMWR_RATING_STATE_ROLLUP_QST[],MATCH($B59,MMWR_RATING_STATE_ROLLUP_QST[MMWR_RATING_STATE_ROLLUP_QST],0),MATCH(G$9,MMWR_RATING_STATE_ROLLUP_QST[#Headers],0)),"ERROR"))</f>
        <v>164</v>
      </c>
      <c r="H59" s="155">
        <f>IF($B59=" ","",IFERROR(INDEX(MMWR_RATING_STATE_ROLLUP_QST[],MATCH($B59,MMWR_RATING_STATE_ROLLUP_QST[MMWR_RATING_STATE_ROLLUP_QST],0),MATCH(H$9,MMWR_RATING_STATE_ROLLUP_QST[#Headers],0)),"ERROR"))</f>
        <v>151.45161290319999</v>
      </c>
      <c r="I59" s="155">
        <f>IF($B59=" ","",IFERROR(INDEX(MMWR_RATING_STATE_ROLLUP_QST[],MATCH($B59,MMWR_RATING_STATE_ROLLUP_QST[MMWR_RATING_STATE_ROLLUP_QST],0),MATCH(I$9,MMWR_RATING_STATE_ROLLUP_QST[#Headers],0)),"ERROR"))</f>
        <v>148.73170731709999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218</v>
      </c>
      <c r="D60" s="155">
        <f>IF($B60=" ","",IFERROR(INDEX(MMWR_RATING_STATE_ROLLUP_QST[],MATCH($B60,MMWR_RATING_STATE_ROLLUP_QST[MMWR_RATING_STATE_ROLLUP_QST],0),MATCH(D$9,MMWR_RATING_STATE_ROLLUP_QST[#Headers],0)),"ERROR"))</f>
        <v>79.504587155999999</v>
      </c>
      <c r="E60" s="156">
        <f>IF($B60=" ","",IFERROR(INDEX(MMWR_RATING_STATE_ROLLUP_QST[],MATCH($B60,MMWR_RATING_STATE_ROLLUP_QST[MMWR_RATING_STATE_ROLLUP_QST],0),MATCH(E$9,MMWR_RATING_STATE_ROLLUP_QST[#Headers],0))/$C60,"ERROR"))</f>
        <v>0.20183486238532111</v>
      </c>
      <c r="F60" s="154">
        <f>IF($B60=" ","",IFERROR(INDEX(MMWR_RATING_STATE_ROLLUP_QST[],MATCH($B60,MMWR_RATING_STATE_ROLLUP_QST[MMWR_RATING_STATE_ROLLUP_QST],0),MATCH(F$9,MMWR_RATING_STATE_ROLLUP_QST[#Headers],0)),"ERROR"))</f>
        <v>62</v>
      </c>
      <c r="G60" s="154">
        <f>IF($B60=" ","",IFERROR(INDEX(MMWR_RATING_STATE_ROLLUP_QST[],MATCH($B60,MMWR_RATING_STATE_ROLLUP_QST[MMWR_RATING_STATE_ROLLUP_QST],0),MATCH(G$9,MMWR_RATING_STATE_ROLLUP_QST[#Headers],0)),"ERROR"))</f>
        <v>382</v>
      </c>
      <c r="H60" s="155">
        <f>IF($B60=" ","",IFERROR(INDEX(MMWR_RATING_STATE_ROLLUP_QST[],MATCH($B60,MMWR_RATING_STATE_ROLLUP_QST[MMWR_RATING_STATE_ROLLUP_QST],0),MATCH(H$9,MMWR_RATING_STATE_ROLLUP_QST[#Headers],0)),"ERROR"))</f>
        <v>150.29032258059999</v>
      </c>
      <c r="I60" s="155">
        <f>IF($B60=" ","",IFERROR(INDEX(MMWR_RATING_STATE_ROLLUP_QST[],MATCH($B60,MMWR_RATING_STATE_ROLLUP_QST[MMWR_RATING_STATE_ROLLUP_QST],0),MATCH(I$9,MMWR_RATING_STATE_ROLLUP_QST[#Headers],0)),"ERROR"))</f>
        <v>142.18324607330001</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415</v>
      </c>
      <c r="D61" s="155">
        <f>IF($B61=" ","",IFERROR(INDEX(MMWR_RATING_STATE_ROLLUP_QST[],MATCH($B61,MMWR_RATING_STATE_ROLLUP_QST[MMWR_RATING_STATE_ROLLUP_QST],0),MATCH(D$9,MMWR_RATING_STATE_ROLLUP_QST[#Headers],0)),"ERROR"))</f>
        <v>85.689156626499994</v>
      </c>
      <c r="E61" s="156">
        <f>IF($B61=" ","",IFERROR(INDEX(MMWR_RATING_STATE_ROLLUP_QST[],MATCH($B61,MMWR_RATING_STATE_ROLLUP_QST[MMWR_RATING_STATE_ROLLUP_QST],0),MATCH(E$9,MMWR_RATING_STATE_ROLLUP_QST[#Headers],0))/$C61,"ERROR"))</f>
        <v>0.236144578313253</v>
      </c>
      <c r="F61" s="154">
        <f>IF($B61=" ","",IFERROR(INDEX(MMWR_RATING_STATE_ROLLUP_QST[],MATCH($B61,MMWR_RATING_STATE_ROLLUP_QST[MMWR_RATING_STATE_ROLLUP_QST],0),MATCH(F$9,MMWR_RATING_STATE_ROLLUP_QST[#Headers],0)),"ERROR"))</f>
        <v>168</v>
      </c>
      <c r="G61" s="154">
        <f>IF($B61=" ","",IFERROR(INDEX(MMWR_RATING_STATE_ROLLUP_QST[],MATCH($B61,MMWR_RATING_STATE_ROLLUP_QST[MMWR_RATING_STATE_ROLLUP_QST],0),MATCH(G$9,MMWR_RATING_STATE_ROLLUP_QST[#Headers],0)),"ERROR"))</f>
        <v>920</v>
      </c>
      <c r="H61" s="155">
        <f>IF($B61=" ","",IFERROR(INDEX(MMWR_RATING_STATE_ROLLUP_QST[],MATCH($B61,MMWR_RATING_STATE_ROLLUP_QST[MMWR_RATING_STATE_ROLLUP_QST],0),MATCH(H$9,MMWR_RATING_STATE_ROLLUP_QST[#Headers],0)),"ERROR"))</f>
        <v>143.25</v>
      </c>
      <c r="I61" s="155">
        <f>IF($B61=" ","",IFERROR(INDEX(MMWR_RATING_STATE_ROLLUP_QST[],MATCH($B61,MMWR_RATING_STATE_ROLLUP_QST[MMWR_RATING_STATE_ROLLUP_QST],0),MATCH(I$9,MMWR_RATING_STATE_ROLLUP_QST[#Headers],0)),"ERROR"))</f>
        <v>152.41630434780001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133</v>
      </c>
      <c r="D62" s="155">
        <f>IF($B62=" ","",IFERROR(INDEX(MMWR_RATING_STATE_ROLLUP_QST[],MATCH($B62,MMWR_RATING_STATE_ROLLUP_QST[MMWR_RATING_STATE_ROLLUP_QST],0),MATCH(D$9,MMWR_RATING_STATE_ROLLUP_QST[#Headers],0)),"ERROR"))</f>
        <v>89.691729323299995</v>
      </c>
      <c r="E62" s="156">
        <f>IF($B62=" ","",IFERROR(INDEX(MMWR_RATING_STATE_ROLLUP_QST[],MATCH($B62,MMWR_RATING_STATE_ROLLUP_QST[MMWR_RATING_STATE_ROLLUP_QST],0),MATCH(E$9,MMWR_RATING_STATE_ROLLUP_QST[#Headers],0))/$C62,"ERROR"))</f>
        <v>0.24812030075187969</v>
      </c>
      <c r="F62" s="154">
        <f>IF($B62=" ","",IFERROR(INDEX(MMWR_RATING_STATE_ROLLUP_QST[],MATCH($B62,MMWR_RATING_STATE_ROLLUP_QST[MMWR_RATING_STATE_ROLLUP_QST],0),MATCH(F$9,MMWR_RATING_STATE_ROLLUP_QST[#Headers],0)),"ERROR"))</f>
        <v>65</v>
      </c>
      <c r="G62" s="154">
        <f>IF($B62=" ","",IFERROR(INDEX(MMWR_RATING_STATE_ROLLUP_QST[],MATCH($B62,MMWR_RATING_STATE_ROLLUP_QST[MMWR_RATING_STATE_ROLLUP_QST],0),MATCH(G$9,MMWR_RATING_STATE_ROLLUP_QST[#Headers],0)),"ERROR"))</f>
        <v>334</v>
      </c>
      <c r="H62" s="155">
        <f>IF($B62=" ","",IFERROR(INDEX(MMWR_RATING_STATE_ROLLUP_QST[],MATCH($B62,MMWR_RATING_STATE_ROLLUP_QST[MMWR_RATING_STATE_ROLLUP_QST],0),MATCH(H$9,MMWR_RATING_STATE_ROLLUP_QST[#Headers],0)),"ERROR"))</f>
        <v>132.1230769231</v>
      </c>
      <c r="I62" s="155">
        <f>IF($B62=" ","",IFERROR(INDEX(MMWR_RATING_STATE_ROLLUP_QST[],MATCH($B62,MMWR_RATING_STATE_ROLLUP_QST[MMWR_RATING_STATE_ROLLUP_QST],0),MATCH(I$9,MMWR_RATING_STATE_ROLLUP_QST[#Headers],0)),"ERROR"))</f>
        <v>143.6766467066</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4</v>
      </c>
      <c r="D63" s="155">
        <f>IF($B63=" ","",IFERROR(INDEX(MMWR_RATING_STATE_ROLLUP_QST[],MATCH($B63,MMWR_RATING_STATE_ROLLUP_QST[MMWR_RATING_STATE_ROLLUP_QST],0),MATCH(D$9,MMWR_RATING_STATE_ROLLUP_QST[#Headers],0)),"ERROR"))</f>
        <v>84.5</v>
      </c>
      <c r="E63" s="156">
        <f>IF($B63=" ","",IFERROR(INDEX(MMWR_RATING_STATE_ROLLUP_QST[],MATCH($B63,MMWR_RATING_STATE_ROLLUP_QST[MMWR_RATING_STATE_ROLLUP_QST],0),MATCH(E$9,MMWR_RATING_STATE_ROLLUP_QST[#Headers],0))/$C63,"ERROR"))</f>
        <v>0.25</v>
      </c>
      <c r="F63" s="154">
        <f>IF($B63=" ","",IFERROR(INDEX(MMWR_RATING_STATE_ROLLUP_QST[],MATCH($B63,MMWR_RATING_STATE_ROLLUP_QST[MMWR_RATING_STATE_ROLLUP_QST],0),MATCH(F$9,MMWR_RATING_STATE_ROLLUP_QST[#Headers],0)),"ERROR"))</f>
        <v>10</v>
      </c>
      <c r="G63" s="154">
        <f>IF($B63=" ","",IFERROR(INDEX(MMWR_RATING_STATE_ROLLUP_QST[],MATCH($B63,MMWR_RATING_STATE_ROLLUP_QST[MMWR_RATING_STATE_ROLLUP_QST],0),MATCH(G$9,MMWR_RATING_STATE_ROLLUP_QST[#Headers],0)),"ERROR"))</f>
        <v>25</v>
      </c>
      <c r="H63" s="155">
        <f>IF($B63=" ","",IFERROR(INDEX(MMWR_RATING_STATE_ROLLUP_QST[],MATCH($B63,MMWR_RATING_STATE_ROLLUP_QST[MMWR_RATING_STATE_ROLLUP_QST],0),MATCH(H$9,MMWR_RATING_STATE_ROLLUP_QST[#Headers],0)),"ERROR"))</f>
        <v>124</v>
      </c>
      <c r="I63" s="155">
        <f>IF($B63=" ","",IFERROR(INDEX(MMWR_RATING_STATE_ROLLUP_QST[],MATCH($B63,MMWR_RATING_STATE_ROLLUP_QST[MMWR_RATING_STATE_ROLLUP_QST],0),MATCH(I$9,MMWR_RATING_STATE_ROLLUP_QST[#Headers],0)),"ERROR"))</f>
        <v>155.88</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7</v>
      </c>
      <c r="D64" s="155">
        <f>IF($B64=" ","",IFERROR(INDEX(MMWR_RATING_STATE_ROLLUP_QST[],MATCH($B64,MMWR_RATING_STATE_ROLLUP_QST[MMWR_RATING_STATE_ROLLUP_QST],0),MATCH(D$9,MMWR_RATING_STATE_ROLLUP_QST[#Headers],0)),"ERROR"))</f>
        <v>125.8571428571</v>
      </c>
      <c r="E64" s="156">
        <f>IF($B64=" ","",IFERROR(INDEX(MMWR_RATING_STATE_ROLLUP_QST[],MATCH($B64,MMWR_RATING_STATE_ROLLUP_QST[MMWR_RATING_STATE_ROLLUP_QST],0),MATCH(E$9,MMWR_RATING_STATE_ROLLUP_QST[#Headers],0))/$C64,"ERROR"))</f>
        <v>0.42857142857142855</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7</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135.42857142860001</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499</v>
      </c>
      <c r="D65" s="155">
        <f>IF($B65=" ","",IFERROR(INDEX(MMWR_RATING_STATE_ROLLUP_QST[],MATCH($B65,MMWR_RATING_STATE_ROLLUP_QST[MMWR_RATING_STATE_ROLLUP_QST],0),MATCH(D$9,MMWR_RATING_STATE_ROLLUP_QST[#Headers],0)),"ERROR"))</f>
        <v>87.629258516999997</v>
      </c>
      <c r="E65" s="156">
        <f>IF($B65=" ","",IFERROR(INDEX(MMWR_RATING_STATE_ROLLUP_QST[],MATCH($B65,MMWR_RATING_STATE_ROLLUP_QST[MMWR_RATING_STATE_ROLLUP_QST],0),MATCH(E$9,MMWR_RATING_STATE_ROLLUP_QST[#Headers],0))/$C65,"ERROR"))</f>
        <v>0.21643286573146292</v>
      </c>
      <c r="F65" s="154">
        <f>IF($B65=" ","",IFERROR(INDEX(MMWR_RATING_STATE_ROLLUP_QST[],MATCH($B65,MMWR_RATING_STATE_ROLLUP_QST[MMWR_RATING_STATE_ROLLUP_QST],0),MATCH(F$9,MMWR_RATING_STATE_ROLLUP_QST[#Headers],0)),"ERROR"))</f>
        <v>163</v>
      </c>
      <c r="G65" s="154">
        <f>IF($B65=" ","",IFERROR(INDEX(MMWR_RATING_STATE_ROLLUP_QST[],MATCH($B65,MMWR_RATING_STATE_ROLLUP_QST[MMWR_RATING_STATE_ROLLUP_QST],0),MATCH(G$9,MMWR_RATING_STATE_ROLLUP_QST[#Headers],0)),"ERROR"))</f>
        <v>1012</v>
      </c>
      <c r="H65" s="155">
        <f>IF($B65=" ","",IFERROR(INDEX(MMWR_RATING_STATE_ROLLUP_QST[],MATCH($B65,MMWR_RATING_STATE_ROLLUP_QST[MMWR_RATING_STATE_ROLLUP_QST],0),MATCH(H$9,MMWR_RATING_STATE_ROLLUP_QST[#Headers],0)),"ERROR"))</f>
        <v>139.8895705521</v>
      </c>
      <c r="I65" s="155">
        <f>IF($B65=" ","",IFERROR(INDEX(MMWR_RATING_STATE_ROLLUP_QST[],MATCH($B65,MMWR_RATING_STATE_ROLLUP_QST[MMWR_RATING_STATE_ROLLUP_QST],0),MATCH(I$9,MMWR_RATING_STATE_ROLLUP_QST[#Headers],0)),"ERROR"))</f>
        <v>158.30138339920001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19</v>
      </c>
      <c r="D66" s="155">
        <f>IF($B66=" ","",IFERROR(INDEX(MMWR_RATING_STATE_ROLLUP_QST[],MATCH($B66,MMWR_RATING_STATE_ROLLUP_QST[MMWR_RATING_STATE_ROLLUP_QST],0),MATCH(D$9,MMWR_RATING_STATE_ROLLUP_QST[#Headers],0)),"ERROR"))</f>
        <v>71.894736842100002</v>
      </c>
      <c r="E66" s="156">
        <f>IF($B66=" ","",IFERROR(INDEX(MMWR_RATING_STATE_ROLLUP_QST[],MATCH($B66,MMWR_RATING_STATE_ROLLUP_QST[MMWR_RATING_STATE_ROLLUP_QST],0),MATCH(E$9,MMWR_RATING_STATE_ROLLUP_QST[#Headers],0))/$C66,"ERROR"))</f>
        <v>0.15789473684210525</v>
      </c>
      <c r="F66" s="154">
        <f>IF($B66=" ","",IFERROR(INDEX(MMWR_RATING_STATE_ROLLUP_QST[],MATCH($B66,MMWR_RATING_STATE_ROLLUP_QST[MMWR_RATING_STATE_ROLLUP_QST],0),MATCH(F$9,MMWR_RATING_STATE_ROLLUP_QST[#Headers],0)),"ERROR"))</f>
        <v>5</v>
      </c>
      <c r="G66" s="154">
        <f>IF($B66=" ","",IFERROR(INDEX(MMWR_RATING_STATE_ROLLUP_QST[],MATCH($B66,MMWR_RATING_STATE_ROLLUP_QST[MMWR_RATING_STATE_ROLLUP_QST],0),MATCH(G$9,MMWR_RATING_STATE_ROLLUP_QST[#Headers],0)),"ERROR"))</f>
        <v>35</v>
      </c>
      <c r="H66" s="155">
        <f>IF($B66=" ","",IFERROR(INDEX(MMWR_RATING_STATE_ROLLUP_QST[],MATCH($B66,MMWR_RATING_STATE_ROLLUP_QST[MMWR_RATING_STATE_ROLLUP_QST],0),MATCH(H$9,MMWR_RATING_STATE_ROLLUP_QST[#Headers],0)),"ERROR"))</f>
        <v>140.80000000000001</v>
      </c>
      <c r="I66" s="155">
        <f>IF($B66=" ","",IFERROR(INDEX(MMWR_RATING_STATE_ROLLUP_QST[],MATCH($B66,MMWR_RATING_STATE_ROLLUP_QST[MMWR_RATING_STATE_ROLLUP_QST],0),MATCH(I$9,MMWR_RATING_STATE_ROLLUP_QST[#Headers],0)),"ERROR"))</f>
        <v>148.57142857139999</v>
      </c>
      <c r="J66" s="42"/>
      <c r="K66" s="42"/>
      <c r="L66" s="42"/>
      <c r="M66" s="42"/>
      <c r="N66" s="28"/>
    </row>
    <row r="67" spans="1:14" x14ac:dyDescent="0.2">
      <c r="A67" s="25"/>
      <c r="B67" s="377" t="s">
        <v>1040</v>
      </c>
      <c r="C67" s="378"/>
      <c r="D67" s="378"/>
      <c r="E67" s="378"/>
      <c r="F67" s="378"/>
      <c r="G67" s="378"/>
      <c r="H67" s="378"/>
      <c r="I67" s="378"/>
      <c r="J67" s="378"/>
      <c r="K67" s="378"/>
      <c r="L67" s="378"/>
      <c r="M67" s="387"/>
      <c r="N67" s="28"/>
    </row>
    <row r="68" spans="1:14" ht="25.5" x14ac:dyDescent="0.2">
      <c r="A68" s="25"/>
      <c r="B68" s="250" t="s">
        <v>1036</v>
      </c>
      <c r="C68" s="154">
        <f>IF($B68=" ","",IFERROR(INDEX(MMWR_RATING_STATE_ROLLUP_BDD[],MATCH($B68,MMWR_RATING_STATE_ROLLUP_BDD[MMWR_RATING_STATE_ROLLUP_BDD],0),MATCH(C$9,MMWR_RATING_STATE_ROLLUP_BDD[#Headers],0)),"ERROR"))</f>
        <v>7030</v>
      </c>
      <c r="D68" s="155">
        <f>IF($B68=" ","",IFERROR(INDEX(MMWR_RATING_STATE_ROLLUP_BDD[],MATCH($B68,MMWR_RATING_STATE_ROLLUP_BDD[MMWR_RATING_STATE_ROLLUP_BDD],0),MATCH(D$9,MMWR_RATING_STATE_ROLLUP_BDD[#Headers],0)),"ERROR"))</f>
        <v>87.744950213400003</v>
      </c>
      <c r="E68" s="156">
        <f>IF($B68=" ","",IFERROR(INDEX(MMWR_RATING_STATE_ROLLUP_BDD[],MATCH($B68,MMWR_RATING_STATE_ROLLUP_BDD[MMWR_RATING_STATE_ROLLUP_BDD],0),MATCH(E$9,MMWR_RATING_STATE_ROLLUP_BDD[#Headers],0))/$C68,"ERROR"))</f>
        <v>0.21465149359886201</v>
      </c>
      <c r="F68" s="154">
        <f>IF($B68=" ","",IFERROR(INDEX(MMWR_RATING_STATE_ROLLUP_BDD[],MATCH($B68,MMWR_RATING_STATE_ROLLUP_BDD[MMWR_RATING_STATE_ROLLUP_BDD],0),MATCH(F$9,MMWR_RATING_STATE_ROLLUP_BDD[#Headers],0)),"ERROR"))</f>
        <v>2971</v>
      </c>
      <c r="G68" s="154">
        <f>IF($B68=" ","",IFERROR(INDEX(MMWR_RATING_STATE_ROLLUP_BDD[],MATCH($B68,MMWR_RATING_STATE_ROLLUP_BDD[MMWR_RATING_STATE_ROLLUP_BDD],0),MATCH(G$9,MMWR_RATING_STATE_ROLLUP_BDD[#Headers],0)),"ERROR"))</f>
        <v>19204</v>
      </c>
      <c r="H68" s="155">
        <f>IF($B68=" ","",IFERROR(INDEX(MMWR_RATING_STATE_ROLLUP_BDD[],MATCH($B68,MMWR_RATING_STATE_ROLLUP_BDD[MMWR_RATING_STATE_ROLLUP_BDD],0),MATCH(H$9,MMWR_RATING_STATE_ROLLUP_BDD[#Headers],0)),"ERROR"))</f>
        <v>120.997980478</v>
      </c>
      <c r="I68" s="155">
        <f>IF($B68=" ","",IFERROR(INDEX(MMWR_RATING_STATE_ROLLUP_BDD[],MATCH($B68,MMWR_RATING_STATE_ROLLUP_BDD[MMWR_RATING_STATE_ROLLUP_BDD],0),MATCH(I$9,MMWR_RATING_STATE_ROLLUP_BDD[#Headers],0)),"ERROR"))</f>
        <v>134.17199541759999</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1889</v>
      </c>
      <c r="D69" s="155">
        <f>IF($B69=" ","",IFERROR(INDEX(MMWR_RATING_STATE_ROLLUP_BDD[],MATCH($B69,MMWR_RATING_STATE_ROLLUP_BDD[MMWR_RATING_STATE_ROLLUP_BDD],0),MATCH(D$9,MMWR_RATING_STATE_ROLLUP_BDD[#Headers],0)),"ERROR"))</f>
        <v>90.880889359400001</v>
      </c>
      <c r="E69" s="156">
        <f>IF($B69=" ","",IFERROR(INDEX(MMWR_RATING_STATE_ROLLUP_BDD[],MATCH($B69,MMWR_RATING_STATE_ROLLUP_BDD[MMWR_RATING_STATE_ROLLUP_BDD],0),MATCH(E$9,MMWR_RATING_STATE_ROLLUP_BDD[#Headers],0))/$C69,"ERROR"))</f>
        <v>0.23345685547908945</v>
      </c>
      <c r="F69" s="154">
        <f>IF($B69=" ","",IFERROR(INDEX(MMWR_RATING_STATE_ROLLUP_BDD[],MATCH($B69,MMWR_RATING_STATE_ROLLUP_BDD[MMWR_RATING_STATE_ROLLUP_BDD],0),MATCH(F$9,MMWR_RATING_STATE_ROLLUP_BDD[#Headers],0)),"ERROR"))</f>
        <v>913</v>
      </c>
      <c r="G69" s="154">
        <f>IF($B69=" ","",IFERROR(INDEX(MMWR_RATING_STATE_ROLLUP_BDD[],MATCH($B69,MMWR_RATING_STATE_ROLLUP_BDD[MMWR_RATING_STATE_ROLLUP_BDD],0),MATCH(G$9,MMWR_RATING_STATE_ROLLUP_BDD[#Headers],0)),"ERROR"))</f>
        <v>5050</v>
      </c>
      <c r="H69" s="155">
        <f>IF($B69=" ","",IFERROR(INDEX(MMWR_RATING_STATE_ROLLUP_BDD[],MATCH($B69,MMWR_RATING_STATE_ROLLUP_BDD[MMWR_RATING_STATE_ROLLUP_BDD],0),MATCH(H$9,MMWR_RATING_STATE_ROLLUP_BDD[#Headers],0)),"ERROR"))</f>
        <v>133.00547645130001</v>
      </c>
      <c r="I69" s="155">
        <f>IF($B69=" ","",IFERROR(INDEX(MMWR_RATING_STATE_ROLLUP_BDD[],MATCH($B69,MMWR_RATING_STATE_ROLLUP_BDD[MMWR_RATING_STATE_ROLLUP_BDD],0),MATCH(I$9,MMWR_RATING_STATE_ROLLUP_BDD[#Headers],0)),"ERROR"))</f>
        <v>145.98712871289999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22</v>
      </c>
      <c r="D70" s="155">
        <f>IF($B70=" ","",IFERROR(INDEX(MMWR_RATING_STATE_ROLLUP_BDD[],MATCH($B70,MMWR_RATING_STATE_ROLLUP_BDD[MMWR_RATING_STATE_ROLLUP_BDD],0),MATCH(D$9,MMWR_RATING_STATE_ROLLUP_BDD[#Headers],0)),"ERROR"))</f>
        <v>80</v>
      </c>
      <c r="E70" s="156">
        <f>IF($B70=" ","",IFERROR(INDEX(MMWR_RATING_STATE_ROLLUP_BDD[],MATCH($B70,MMWR_RATING_STATE_ROLLUP_BDD[MMWR_RATING_STATE_ROLLUP_BDD],0),MATCH(E$9,MMWR_RATING_STATE_ROLLUP_BDD[#Headers],0))/$C70,"ERROR"))</f>
        <v>0.13636363636363635</v>
      </c>
      <c r="F70" s="154">
        <f>IF($B70=" ","",IFERROR(INDEX(MMWR_RATING_STATE_ROLLUP_BDD[],MATCH($B70,MMWR_RATING_STATE_ROLLUP_BDD[MMWR_RATING_STATE_ROLLUP_BDD],0),MATCH(F$9,MMWR_RATING_STATE_ROLLUP_BDD[#Headers],0)),"ERROR"))</f>
        <v>26</v>
      </c>
      <c r="G70" s="154">
        <f>IF($B70=" ","",IFERROR(INDEX(MMWR_RATING_STATE_ROLLUP_BDD[],MATCH($B70,MMWR_RATING_STATE_ROLLUP_BDD[MMWR_RATING_STATE_ROLLUP_BDD],0),MATCH(G$9,MMWR_RATING_STATE_ROLLUP_BDD[#Headers],0)),"ERROR"))</f>
        <v>116</v>
      </c>
      <c r="H70" s="155">
        <f>IF($B70=" ","",IFERROR(INDEX(MMWR_RATING_STATE_ROLLUP_BDD[],MATCH($B70,MMWR_RATING_STATE_ROLLUP_BDD[MMWR_RATING_STATE_ROLLUP_BDD],0),MATCH(H$9,MMWR_RATING_STATE_ROLLUP_BDD[#Headers],0)),"ERROR"))</f>
        <v>113.69230769230001</v>
      </c>
      <c r="I70" s="155">
        <f>IF($B70=" ","",IFERROR(INDEX(MMWR_RATING_STATE_ROLLUP_BDD[],MATCH($B70,MMWR_RATING_STATE_ROLLUP_BDD[MMWR_RATING_STATE_ROLLUP_BDD],0),MATCH(I$9,MMWR_RATING_STATE_ROLLUP_BDD[#Headers],0)),"ERROR"))</f>
        <v>137.5</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22</v>
      </c>
      <c r="D71" s="155">
        <f>IF($B71=" ","",IFERROR(INDEX(MMWR_RATING_STATE_ROLLUP_BDD[],MATCH($B71,MMWR_RATING_STATE_ROLLUP_BDD[MMWR_RATING_STATE_ROLLUP_BDD],0),MATCH(D$9,MMWR_RATING_STATE_ROLLUP_BDD[#Headers],0)),"ERROR"))</f>
        <v>97.272727272699996</v>
      </c>
      <c r="E71" s="156">
        <f>IF($B71=" ","",IFERROR(INDEX(MMWR_RATING_STATE_ROLLUP_BDD[],MATCH($B71,MMWR_RATING_STATE_ROLLUP_BDD[MMWR_RATING_STATE_ROLLUP_BDD],0),MATCH(E$9,MMWR_RATING_STATE_ROLLUP_BDD[#Headers],0))/$C71,"ERROR"))</f>
        <v>0.22727272727272727</v>
      </c>
      <c r="F71" s="154">
        <f>IF($B71=" ","",IFERROR(INDEX(MMWR_RATING_STATE_ROLLUP_BDD[],MATCH($B71,MMWR_RATING_STATE_ROLLUP_BDD[MMWR_RATING_STATE_ROLLUP_BDD],0),MATCH(F$9,MMWR_RATING_STATE_ROLLUP_BDD[#Headers],0)),"ERROR"))</f>
        <v>6</v>
      </c>
      <c r="G71" s="154">
        <f>IF($B71=" ","",IFERROR(INDEX(MMWR_RATING_STATE_ROLLUP_BDD[],MATCH($B71,MMWR_RATING_STATE_ROLLUP_BDD[MMWR_RATING_STATE_ROLLUP_BDD],0),MATCH(G$9,MMWR_RATING_STATE_ROLLUP_BDD[#Headers],0)),"ERROR"))</f>
        <v>36</v>
      </c>
      <c r="H71" s="155">
        <f>IF($B71=" ","",IFERROR(INDEX(MMWR_RATING_STATE_ROLLUP_BDD[],MATCH($B71,MMWR_RATING_STATE_ROLLUP_BDD[MMWR_RATING_STATE_ROLLUP_BDD],0),MATCH(H$9,MMWR_RATING_STATE_ROLLUP_BDD[#Headers],0)),"ERROR"))</f>
        <v>142.6666666667</v>
      </c>
      <c r="I71" s="155">
        <f>IF($B71=" ","",IFERROR(INDEX(MMWR_RATING_STATE_ROLLUP_BDD[],MATCH($B71,MMWR_RATING_STATE_ROLLUP_BDD[MMWR_RATING_STATE_ROLLUP_BDD],0),MATCH(I$9,MMWR_RATING_STATE_ROLLUP_BDD[#Headers],0)),"ERROR"))</f>
        <v>155.2777777778</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15</v>
      </c>
      <c r="D72" s="155">
        <f>IF($B72=" ","",IFERROR(INDEX(MMWR_RATING_STATE_ROLLUP_BDD[],MATCH($B72,MMWR_RATING_STATE_ROLLUP_BDD[MMWR_RATING_STATE_ROLLUP_BDD],0),MATCH(D$9,MMWR_RATING_STATE_ROLLUP_BDD[#Headers],0)),"ERROR"))</f>
        <v>83.466666666699993</v>
      </c>
      <c r="E72" s="156">
        <f>IF($B72=" ","",IFERROR(INDEX(MMWR_RATING_STATE_ROLLUP_BDD[],MATCH($B72,MMWR_RATING_STATE_ROLLUP_BDD[MMWR_RATING_STATE_ROLLUP_BDD],0),MATCH(E$9,MMWR_RATING_STATE_ROLLUP_BDD[#Headers],0))/$C72,"ERROR"))</f>
        <v>0.26666666666666666</v>
      </c>
      <c r="F72" s="154">
        <f>IF($B72=" ","",IFERROR(INDEX(MMWR_RATING_STATE_ROLLUP_BDD[],MATCH($B72,MMWR_RATING_STATE_ROLLUP_BDD[MMWR_RATING_STATE_ROLLUP_BDD],0),MATCH(F$9,MMWR_RATING_STATE_ROLLUP_BDD[#Headers],0)),"ERROR"))</f>
        <v>6</v>
      </c>
      <c r="G72" s="154">
        <f>IF($B72=" ","",IFERROR(INDEX(MMWR_RATING_STATE_ROLLUP_BDD[],MATCH($B72,MMWR_RATING_STATE_ROLLUP_BDD[MMWR_RATING_STATE_ROLLUP_BDD],0),MATCH(G$9,MMWR_RATING_STATE_ROLLUP_BDD[#Headers],0)),"ERROR"))</f>
        <v>39</v>
      </c>
      <c r="H72" s="155">
        <f>IF($B72=" ","",IFERROR(INDEX(MMWR_RATING_STATE_ROLLUP_BDD[],MATCH($B72,MMWR_RATING_STATE_ROLLUP_BDD[MMWR_RATING_STATE_ROLLUP_BDD],0),MATCH(H$9,MMWR_RATING_STATE_ROLLUP_BDD[#Headers],0)),"ERROR"))</f>
        <v>106.5</v>
      </c>
      <c r="I72" s="155">
        <f>IF($B72=" ","",IFERROR(INDEX(MMWR_RATING_STATE_ROLLUP_BDD[],MATCH($B72,MMWR_RATING_STATE_ROLLUP_BDD[MMWR_RATING_STATE_ROLLUP_BDD],0),MATCH(I$9,MMWR_RATING_STATE_ROLLUP_BDD[#Headers],0)),"ERROR"))</f>
        <v>137.1794871795</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7</v>
      </c>
      <c r="D73" s="155">
        <f>IF($B73=" ","",IFERROR(INDEX(MMWR_RATING_STATE_ROLLUP_BDD[],MATCH($B73,MMWR_RATING_STATE_ROLLUP_BDD[MMWR_RATING_STATE_ROLLUP_BDD],0),MATCH(D$9,MMWR_RATING_STATE_ROLLUP_BDD[#Headers],0)),"ERROR"))</f>
        <v>81.428571428599994</v>
      </c>
      <c r="E73" s="156">
        <f>IF($B73=" ","",IFERROR(INDEX(MMWR_RATING_STATE_ROLLUP_BDD[],MATCH($B73,MMWR_RATING_STATE_ROLLUP_BDD[MMWR_RATING_STATE_ROLLUP_BDD],0),MATCH(E$9,MMWR_RATING_STATE_ROLLUP_BDD[#Headers],0))/$C73,"ERROR"))</f>
        <v>0.14285714285714285</v>
      </c>
      <c r="F73" s="154">
        <f>IF($B73=" ","",IFERROR(INDEX(MMWR_RATING_STATE_ROLLUP_BDD[],MATCH($B73,MMWR_RATING_STATE_ROLLUP_BDD[MMWR_RATING_STATE_ROLLUP_BDD],0),MATCH(F$9,MMWR_RATING_STATE_ROLLUP_BDD[#Headers],0)),"ERROR"))</f>
        <v>8</v>
      </c>
      <c r="G73" s="154">
        <f>IF($B73=" ","",IFERROR(INDEX(MMWR_RATING_STATE_ROLLUP_BDD[],MATCH($B73,MMWR_RATING_STATE_ROLLUP_BDD[MMWR_RATING_STATE_ROLLUP_BDD],0),MATCH(G$9,MMWR_RATING_STATE_ROLLUP_BDD[#Headers],0)),"ERROR"))</f>
        <v>44</v>
      </c>
      <c r="H73" s="155">
        <f>IF($B73=" ","",IFERROR(INDEX(MMWR_RATING_STATE_ROLLUP_BDD[],MATCH($B73,MMWR_RATING_STATE_ROLLUP_BDD[MMWR_RATING_STATE_ROLLUP_BDD],0),MATCH(H$9,MMWR_RATING_STATE_ROLLUP_BDD[#Headers],0)),"ERROR"))</f>
        <v>104.875</v>
      </c>
      <c r="I73" s="155">
        <f>IF($B73=" ","",IFERROR(INDEX(MMWR_RATING_STATE_ROLLUP_BDD[],MATCH($B73,MMWR_RATING_STATE_ROLLUP_BDD[MMWR_RATING_STATE_ROLLUP_BDD],0),MATCH(I$9,MMWR_RATING_STATE_ROLLUP_BDD[#Headers],0)),"ERROR"))</f>
        <v>141.8409090909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206</v>
      </c>
      <c r="D74" s="155">
        <f>IF($B74=" ","",IFERROR(INDEX(MMWR_RATING_STATE_ROLLUP_BDD[],MATCH($B74,MMWR_RATING_STATE_ROLLUP_BDD[MMWR_RATING_STATE_ROLLUP_BDD],0),MATCH(D$9,MMWR_RATING_STATE_ROLLUP_BDD[#Headers],0)),"ERROR"))</f>
        <v>90.966019417499993</v>
      </c>
      <c r="E74" s="156">
        <f>IF($B74=" ","",IFERROR(INDEX(MMWR_RATING_STATE_ROLLUP_BDD[],MATCH($B74,MMWR_RATING_STATE_ROLLUP_BDD[MMWR_RATING_STATE_ROLLUP_BDD],0),MATCH(E$9,MMWR_RATING_STATE_ROLLUP_BDD[#Headers],0))/$C74,"ERROR"))</f>
        <v>0.22815533980582525</v>
      </c>
      <c r="F74" s="154">
        <f>IF($B74=" ","",IFERROR(INDEX(MMWR_RATING_STATE_ROLLUP_BDD[],MATCH($B74,MMWR_RATING_STATE_ROLLUP_BDD[MMWR_RATING_STATE_ROLLUP_BDD],0),MATCH(F$9,MMWR_RATING_STATE_ROLLUP_BDD[#Headers],0)),"ERROR"))</f>
        <v>96</v>
      </c>
      <c r="G74" s="154">
        <f>IF($B74=" ","",IFERROR(INDEX(MMWR_RATING_STATE_ROLLUP_BDD[],MATCH($B74,MMWR_RATING_STATE_ROLLUP_BDD[MMWR_RATING_STATE_ROLLUP_BDD],0),MATCH(G$9,MMWR_RATING_STATE_ROLLUP_BDD[#Headers],0)),"ERROR"))</f>
        <v>551</v>
      </c>
      <c r="H74" s="155">
        <f>IF($B74=" ","",IFERROR(INDEX(MMWR_RATING_STATE_ROLLUP_BDD[],MATCH($B74,MMWR_RATING_STATE_ROLLUP_BDD[MMWR_RATING_STATE_ROLLUP_BDD],0),MATCH(H$9,MMWR_RATING_STATE_ROLLUP_BDD[#Headers],0)),"ERROR"))</f>
        <v>136.3333333333</v>
      </c>
      <c r="I74" s="155">
        <f>IF($B74=" ","",IFERROR(INDEX(MMWR_RATING_STATE_ROLLUP_BDD[],MATCH($B74,MMWR_RATING_STATE_ROLLUP_BDD[MMWR_RATING_STATE_ROLLUP_BDD],0),MATCH(I$9,MMWR_RATING_STATE_ROLLUP_BDD[#Headers],0)),"ERROR"))</f>
        <v>147.45372050820001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33</v>
      </c>
      <c r="D75" s="155">
        <f>IF($B75=" ","",IFERROR(INDEX(MMWR_RATING_STATE_ROLLUP_BDD[],MATCH($B75,MMWR_RATING_STATE_ROLLUP_BDD[MMWR_RATING_STATE_ROLLUP_BDD],0),MATCH(D$9,MMWR_RATING_STATE_ROLLUP_BDD[#Headers],0)),"ERROR"))</f>
        <v>56.363636363600001</v>
      </c>
      <c r="E75" s="156">
        <f>IF($B75=" ","",IFERROR(INDEX(MMWR_RATING_STATE_ROLLUP_BDD[],MATCH($B75,MMWR_RATING_STATE_ROLLUP_BDD[MMWR_RATING_STATE_ROLLUP_BDD],0),MATCH(E$9,MMWR_RATING_STATE_ROLLUP_BDD[#Headers],0))/$C75,"ERROR"))</f>
        <v>3.0303030303030304E-2</v>
      </c>
      <c r="F75" s="154">
        <f>IF($B75=" ","",IFERROR(INDEX(MMWR_RATING_STATE_ROLLUP_BDD[],MATCH($B75,MMWR_RATING_STATE_ROLLUP_BDD[MMWR_RATING_STATE_ROLLUP_BDD],0),MATCH(F$9,MMWR_RATING_STATE_ROLLUP_BDD[#Headers],0)),"ERROR"))</f>
        <v>12</v>
      </c>
      <c r="G75" s="154">
        <f>IF($B75=" ","",IFERROR(INDEX(MMWR_RATING_STATE_ROLLUP_BDD[],MATCH($B75,MMWR_RATING_STATE_ROLLUP_BDD[MMWR_RATING_STATE_ROLLUP_BDD],0),MATCH(G$9,MMWR_RATING_STATE_ROLLUP_BDD[#Headers],0)),"ERROR"))</f>
        <v>94</v>
      </c>
      <c r="H75" s="155">
        <f>IF($B75=" ","",IFERROR(INDEX(MMWR_RATING_STATE_ROLLUP_BDD[],MATCH($B75,MMWR_RATING_STATE_ROLLUP_BDD[MMWR_RATING_STATE_ROLLUP_BDD],0),MATCH(H$9,MMWR_RATING_STATE_ROLLUP_BDD[#Headers],0)),"ERROR"))</f>
        <v>125.9166666667</v>
      </c>
      <c r="I75" s="155">
        <f>IF($B75=" ","",IFERROR(INDEX(MMWR_RATING_STATE_ROLLUP_BDD[],MATCH($B75,MMWR_RATING_STATE_ROLLUP_BDD[MMWR_RATING_STATE_ROLLUP_BDD],0),MATCH(I$9,MMWR_RATING_STATE_ROLLUP_BDD[#Headers],0)),"ERROR"))</f>
        <v>133.7340425532</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7</v>
      </c>
      <c r="D76" s="155">
        <f>IF($B76=" ","",IFERROR(INDEX(MMWR_RATING_STATE_ROLLUP_BDD[],MATCH($B76,MMWR_RATING_STATE_ROLLUP_BDD[MMWR_RATING_STATE_ROLLUP_BDD],0),MATCH(D$9,MMWR_RATING_STATE_ROLLUP_BDD[#Headers],0)),"ERROR"))</f>
        <v>139.28571428570001</v>
      </c>
      <c r="E76" s="156">
        <f>IF($B76=" ","",IFERROR(INDEX(MMWR_RATING_STATE_ROLLUP_BDD[],MATCH($B76,MMWR_RATING_STATE_ROLLUP_BDD[MMWR_RATING_STATE_ROLLUP_BDD],0),MATCH(E$9,MMWR_RATING_STATE_ROLLUP_BDD[#Headers],0))/$C76,"ERROR"))</f>
        <v>0.42857142857142855</v>
      </c>
      <c r="F76" s="154">
        <f>IF($B76=" ","",IFERROR(INDEX(MMWR_RATING_STATE_ROLLUP_BDD[],MATCH($B76,MMWR_RATING_STATE_ROLLUP_BDD[MMWR_RATING_STATE_ROLLUP_BDD],0),MATCH(F$9,MMWR_RATING_STATE_ROLLUP_BDD[#Headers],0)),"ERROR"))</f>
        <v>9</v>
      </c>
      <c r="G76" s="154">
        <f>IF($B76=" ","",IFERROR(INDEX(MMWR_RATING_STATE_ROLLUP_BDD[],MATCH($B76,MMWR_RATING_STATE_ROLLUP_BDD[MMWR_RATING_STATE_ROLLUP_BDD],0),MATCH(G$9,MMWR_RATING_STATE_ROLLUP_BDD[#Headers],0)),"ERROR"))</f>
        <v>42</v>
      </c>
      <c r="H76" s="155">
        <f>IF($B76=" ","",IFERROR(INDEX(MMWR_RATING_STATE_ROLLUP_BDD[],MATCH($B76,MMWR_RATING_STATE_ROLLUP_BDD[MMWR_RATING_STATE_ROLLUP_BDD],0),MATCH(H$9,MMWR_RATING_STATE_ROLLUP_BDD[#Headers],0)),"ERROR"))</f>
        <v>127.6666666667</v>
      </c>
      <c r="I76" s="155">
        <f>IF($B76=" ","",IFERROR(INDEX(MMWR_RATING_STATE_ROLLUP_BDD[],MATCH($B76,MMWR_RATING_STATE_ROLLUP_BDD[MMWR_RATING_STATE_ROLLUP_BDD],0),MATCH(I$9,MMWR_RATING_STATE_ROLLUP_BDD[#Headers],0)),"ERROR"))</f>
        <v>132.21428571429999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54</v>
      </c>
      <c r="D77" s="155">
        <f>IF($B77=" ","",IFERROR(INDEX(MMWR_RATING_STATE_ROLLUP_BDD[],MATCH($B77,MMWR_RATING_STATE_ROLLUP_BDD[MMWR_RATING_STATE_ROLLUP_BDD],0),MATCH(D$9,MMWR_RATING_STATE_ROLLUP_BDD[#Headers],0)),"ERROR"))</f>
        <v>96.555555555599994</v>
      </c>
      <c r="E77" s="156">
        <f>IF($B77=" ","",IFERROR(INDEX(MMWR_RATING_STATE_ROLLUP_BDD[],MATCH($B77,MMWR_RATING_STATE_ROLLUP_BDD[MMWR_RATING_STATE_ROLLUP_BDD],0),MATCH(E$9,MMWR_RATING_STATE_ROLLUP_BDD[#Headers],0))/$C77,"ERROR"))</f>
        <v>0.22222222222222221</v>
      </c>
      <c r="F77" s="154">
        <f>IF($B77=" ","",IFERROR(INDEX(MMWR_RATING_STATE_ROLLUP_BDD[],MATCH($B77,MMWR_RATING_STATE_ROLLUP_BDD[MMWR_RATING_STATE_ROLLUP_BDD],0),MATCH(F$9,MMWR_RATING_STATE_ROLLUP_BDD[#Headers],0)),"ERROR"))</f>
        <v>15</v>
      </c>
      <c r="G77" s="154">
        <f>IF($B77=" ","",IFERROR(INDEX(MMWR_RATING_STATE_ROLLUP_BDD[],MATCH($B77,MMWR_RATING_STATE_ROLLUP_BDD[MMWR_RATING_STATE_ROLLUP_BDD],0),MATCH(G$9,MMWR_RATING_STATE_ROLLUP_BDD[#Headers],0)),"ERROR"))</f>
        <v>140</v>
      </c>
      <c r="H77" s="155">
        <f>IF($B77=" ","",IFERROR(INDEX(MMWR_RATING_STATE_ROLLUP_BDD[],MATCH($B77,MMWR_RATING_STATE_ROLLUP_BDD[MMWR_RATING_STATE_ROLLUP_BDD],0),MATCH(H$9,MMWR_RATING_STATE_ROLLUP_BDD[#Headers],0)),"ERROR"))</f>
        <v>120.9333333333</v>
      </c>
      <c r="I77" s="155">
        <f>IF($B77=" ","",IFERROR(INDEX(MMWR_RATING_STATE_ROLLUP_BDD[],MATCH($B77,MMWR_RATING_STATE_ROLLUP_BDD[MMWR_RATING_STATE_ROLLUP_BDD],0),MATCH(I$9,MMWR_RATING_STATE_ROLLUP_BDD[#Headers],0)),"ERROR"))</f>
        <v>138.82857142859999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117</v>
      </c>
      <c r="D78" s="155">
        <f>IF($B78=" ","",IFERROR(INDEX(MMWR_RATING_STATE_ROLLUP_BDD[],MATCH($B78,MMWR_RATING_STATE_ROLLUP_BDD[MMWR_RATING_STATE_ROLLUP_BDD],0),MATCH(D$9,MMWR_RATING_STATE_ROLLUP_BDD[#Headers],0)),"ERROR"))</f>
        <v>84.401709401700003</v>
      </c>
      <c r="E78" s="156">
        <f>IF($B78=" ","",IFERROR(INDEX(MMWR_RATING_STATE_ROLLUP_BDD[],MATCH($B78,MMWR_RATING_STATE_ROLLUP_BDD[MMWR_RATING_STATE_ROLLUP_BDD],0),MATCH(E$9,MMWR_RATING_STATE_ROLLUP_BDD[#Headers],0))/$C78,"ERROR"))</f>
        <v>0.23076923076923078</v>
      </c>
      <c r="F78" s="154">
        <f>IF($B78=" ","",IFERROR(INDEX(MMWR_RATING_STATE_ROLLUP_BDD[],MATCH($B78,MMWR_RATING_STATE_ROLLUP_BDD[MMWR_RATING_STATE_ROLLUP_BDD],0),MATCH(F$9,MMWR_RATING_STATE_ROLLUP_BDD[#Headers],0)),"ERROR"))</f>
        <v>53</v>
      </c>
      <c r="G78" s="154">
        <f>IF($B78=" ","",IFERROR(INDEX(MMWR_RATING_STATE_ROLLUP_BDD[],MATCH($B78,MMWR_RATING_STATE_ROLLUP_BDD[MMWR_RATING_STATE_ROLLUP_BDD],0),MATCH(G$9,MMWR_RATING_STATE_ROLLUP_BDD[#Headers],0)),"ERROR"))</f>
        <v>291</v>
      </c>
      <c r="H78" s="155">
        <f>IF($B78=" ","",IFERROR(INDEX(MMWR_RATING_STATE_ROLLUP_BDD[],MATCH($B78,MMWR_RATING_STATE_ROLLUP_BDD[MMWR_RATING_STATE_ROLLUP_BDD],0),MATCH(H$9,MMWR_RATING_STATE_ROLLUP_BDD[#Headers],0)),"ERROR"))</f>
        <v>123.45283018870001</v>
      </c>
      <c r="I78" s="155">
        <f>IF($B78=" ","",IFERROR(INDEX(MMWR_RATING_STATE_ROLLUP_BDD[],MATCH($B78,MMWR_RATING_STATE_ROLLUP_BDD[MMWR_RATING_STATE_ROLLUP_BDD],0),MATCH(I$9,MMWR_RATING_STATE_ROLLUP_BDD[#Headers],0)),"ERROR"))</f>
        <v>136.1683848797</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660</v>
      </c>
      <c r="D79" s="155">
        <f>IF($B79=" ","",IFERROR(INDEX(MMWR_RATING_STATE_ROLLUP_BDD[],MATCH($B79,MMWR_RATING_STATE_ROLLUP_BDD[MMWR_RATING_STATE_ROLLUP_BDD],0),MATCH(D$9,MMWR_RATING_STATE_ROLLUP_BDD[#Headers],0)),"ERROR"))</f>
        <v>86.233333333299996</v>
      </c>
      <c r="E79" s="156">
        <f>IF($B79=" ","",IFERROR(INDEX(MMWR_RATING_STATE_ROLLUP_BDD[],MATCH($B79,MMWR_RATING_STATE_ROLLUP_BDD[MMWR_RATING_STATE_ROLLUP_BDD],0),MATCH(E$9,MMWR_RATING_STATE_ROLLUP_BDD[#Headers],0))/$C79,"ERROR"))</f>
        <v>0.21212121212121213</v>
      </c>
      <c r="F79" s="154">
        <f>IF($B79=" ","",IFERROR(INDEX(MMWR_RATING_STATE_ROLLUP_BDD[],MATCH($B79,MMWR_RATING_STATE_ROLLUP_BDD[MMWR_RATING_STATE_ROLLUP_BDD],0),MATCH(F$9,MMWR_RATING_STATE_ROLLUP_BDD[#Headers],0)),"ERROR"))</f>
        <v>289</v>
      </c>
      <c r="G79" s="154">
        <f>IF($B79=" ","",IFERROR(INDEX(MMWR_RATING_STATE_ROLLUP_BDD[],MATCH($B79,MMWR_RATING_STATE_ROLLUP_BDD[MMWR_RATING_STATE_ROLLUP_BDD],0),MATCH(G$9,MMWR_RATING_STATE_ROLLUP_BDD[#Headers],0)),"ERROR"))</f>
        <v>1597</v>
      </c>
      <c r="H79" s="155">
        <f>IF($B79=" ","",IFERROR(INDEX(MMWR_RATING_STATE_ROLLUP_BDD[],MATCH($B79,MMWR_RATING_STATE_ROLLUP_BDD[MMWR_RATING_STATE_ROLLUP_BDD],0),MATCH(H$9,MMWR_RATING_STATE_ROLLUP_BDD[#Headers],0)),"ERROR"))</f>
        <v>138.44636678200001</v>
      </c>
      <c r="I79" s="155">
        <f>IF($B79=" ","",IFERROR(INDEX(MMWR_RATING_STATE_ROLLUP_BDD[],MATCH($B79,MMWR_RATING_STATE_ROLLUP_BDD[MMWR_RATING_STATE_ROLLUP_BDD],0),MATCH(I$9,MMWR_RATING_STATE_ROLLUP_BDD[#Headers],0)),"ERROR"))</f>
        <v>145.7908578585</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86</v>
      </c>
      <c r="D80" s="155">
        <f>IF($B80=" ","",IFERROR(INDEX(MMWR_RATING_STATE_ROLLUP_BDD[],MATCH($B80,MMWR_RATING_STATE_ROLLUP_BDD[MMWR_RATING_STATE_ROLLUP_BDD],0),MATCH(D$9,MMWR_RATING_STATE_ROLLUP_BDD[#Headers],0)),"ERROR"))</f>
        <v>92.174418604699994</v>
      </c>
      <c r="E80" s="156">
        <f>IF($B80=" ","",IFERROR(INDEX(MMWR_RATING_STATE_ROLLUP_BDD[],MATCH($B80,MMWR_RATING_STATE_ROLLUP_BDD[MMWR_RATING_STATE_ROLLUP_BDD],0),MATCH(E$9,MMWR_RATING_STATE_ROLLUP_BDD[#Headers],0))/$C80,"ERROR"))</f>
        <v>0.2441860465116279</v>
      </c>
      <c r="F80" s="154">
        <f>IF($B80=" ","",IFERROR(INDEX(MMWR_RATING_STATE_ROLLUP_BDD[],MATCH($B80,MMWR_RATING_STATE_ROLLUP_BDD[MMWR_RATING_STATE_ROLLUP_BDD],0),MATCH(F$9,MMWR_RATING_STATE_ROLLUP_BDD[#Headers],0)),"ERROR"))</f>
        <v>37</v>
      </c>
      <c r="G80" s="154">
        <f>IF($B80=" ","",IFERROR(INDEX(MMWR_RATING_STATE_ROLLUP_BDD[],MATCH($B80,MMWR_RATING_STATE_ROLLUP_BDD[MMWR_RATING_STATE_ROLLUP_BDD],0),MATCH(G$9,MMWR_RATING_STATE_ROLLUP_BDD[#Headers],0)),"ERROR"))</f>
        <v>280</v>
      </c>
      <c r="H80" s="155">
        <f>IF($B80=" ","",IFERROR(INDEX(MMWR_RATING_STATE_ROLLUP_BDD[],MATCH($B80,MMWR_RATING_STATE_ROLLUP_BDD[MMWR_RATING_STATE_ROLLUP_BDD],0),MATCH(H$9,MMWR_RATING_STATE_ROLLUP_BDD[#Headers],0)),"ERROR"))</f>
        <v>119.2702702703</v>
      </c>
      <c r="I80" s="155">
        <f>IF($B80=" ","",IFERROR(INDEX(MMWR_RATING_STATE_ROLLUP_BDD[],MATCH($B80,MMWR_RATING_STATE_ROLLUP_BDD[MMWR_RATING_STATE_ROLLUP_BDD],0),MATCH(I$9,MMWR_RATING_STATE_ROLLUP_BDD[#Headers],0)),"ERROR"))</f>
        <v>130.375</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4</v>
      </c>
      <c r="D81" s="155">
        <f>IF($B81=" ","",IFERROR(INDEX(MMWR_RATING_STATE_ROLLUP_BDD[],MATCH($B81,MMWR_RATING_STATE_ROLLUP_BDD[MMWR_RATING_STATE_ROLLUP_BDD],0),MATCH(D$9,MMWR_RATING_STATE_ROLLUP_BDD[#Headers],0)),"ERROR"))</f>
        <v>34</v>
      </c>
      <c r="E81" s="156">
        <f>IF($B81=" ","",IFERROR(INDEX(MMWR_RATING_STATE_ROLLUP_BDD[],MATCH($B81,MMWR_RATING_STATE_ROLLUP_BDD[MMWR_RATING_STATE_ROLLUP_BDD],0),MATCH(E$9,MMWR_RATING_STATE_ROLLUP_BDD[#Headers],0))/$C81,"ERROR"))</f>
        <v>0</v>
      </c>
      <c r="F81" s="154">
        <f>IF($B81=" ","",IFERROR(INDEX(MMWR_RATING_STATE_ROLLUP_BDD[],MATCH($B81,MMWR_RATING_STATE_ROLLUP_BDD[MMWR_RATING_STATE_ROLLUP_BDD],0),MATCH(F$9,MMWR_RATING_STATE_ROLLUP_BDD[#Headers],0)),"ERROR"))</f>
        <v>1</v>
      </c>
      <c r="G81" s="154">
        <f>IF($B81=" ","",IFERROR(INDEX(MMWR_RATING_STATE_ROLLUP_BDD[],MATCH($B81,MMWR_RATING_STATE_ROLLUP_BDD[MMWR_RATING_STATE_ROLLUP_BDD],0),MATCH(G$9,MMWR_RATING_STATE_ROLLUP_BDD[#Headers],0)),"ERROR"))</f>
        <v>21</v>
      </c>
      <c r="H81" s="155">
        <f>IF($B81=" ","",IFERROR(INDEX(MMWR_RATING_STATE_ROLLUP_BDD[],MATCH($B81,MMWR_RATING_STATE_ROLLUP_BDD[MMWR_RATING_STATE_ROLLUP_BDD],0),MATCH(H$9,MMWR_RATING_STATE_ROLLUP_BDD[#Headers],0)),"ERROR"))</f>
        <v>67</v>
      </c>
      <c r="I81" s="155">
        <f>IF($B81=" ","",IFERROR(INDEX(MMWR_RATING_STATE_ROLLUP_BDD[],MATCH($B81,MMWR_RATING_STATE_ROLLUP_BDD[MMWR_RATING_STATE_ROLLUP_BDD],0),MATCH(I$9,MMWR_RATING_STATE_ROLLUP_BDD[#Headers],0)),"ERROR"))</f>
        <v>130.09523809519999</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72.333333333300004</v>
      </c>
      <c r="E82" s="156">
        <f>IF($B82=" ","",IFERROR(INDEX(MMWR_RATING_STATE_ROLLUP_BDD[],MATCH($B82,MMWR_RATING_STATE_ROLLUP_BDD[MMWR_RATING_STATE_ROLLUP_BDD],0),MATCH(E$9,MMWR_RATING_STATE_ROLLUP_BDD[#Headers],0))/$C82,"ERROR"))</f>
        <v>0.33333333333333331</v>
      </c>
      <c r="F82" s="154">
        <f>IF($B82=" ","",IFERROR(INDEX(MMWR_RATING_STATE_ROLLUP_BDD[],MATCH($B82,MMWR_RATING_STATE_ROLLUP_BDD[MMWR_RATING_STATE_ROLLUP_BDD],0),MATCH(F$9,MMWR_RATING_STATE_ROLLUP_BDD[#Headers],0)),"ERROR"))</f>
        <v>2</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128</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634</v>
      </c>
      <c r="D83" s="155">
        <f>IF($B83=" ","",IFERROR(INDEX(MMWR_RATING_STATE_ROLLUP_BDD[],MATCH($B83,MMWR_RATING_STATE_ROLLUP_BDD[MMWR_RATING_STATE_ROLLUP_BDD],0),MATCH(D$9,MMWR_RATING_STATE_ROLLUP_BDD[#Headers],0)),"ERROR"))</f>
        <v>99</v>
      </c>
      <c r="E83" s="156">
        <f>IF($B83=" ","",IFERROR(INDEX(MMWR_RATING_STATE_ROLLUP_BDD[],MATCH($B83,MMWR_RATING_STATE_ROLLUP_BDD[MMWR_RATING_STATE_ROLLUP_BDD],0),MATCH(E$9,MMWR_RATING_STATE_ROLLUP_BDD[#Headers],0))/$C83,"ERROR"))</f>
        <v>0.27129337539432175</v>
      </c>
      <c r="F83" s="154">
        <f>IF($B83=" ","",IFERROR(INDEX(MMWR_RATING_STATE_ROLLUP_BDD[],MATCH($B83,MMWR_RATING_STATE_ROLLUP_BDD[MMWR_RATING_STATE_ROLLUP_BDD],0),MATCH(F$9,MMWR_RATING_STATE_ROLLUP_BDD[#Headers],0)),"ERROR"))</f>
        <v>340</v>
      </c>
      <c r="G83" s="154">
        <f>IF($B83=" ","",IFERROR(INDEX(MMWR_RATING_STATE_ROLLUP_BDD[],MATCH($B83,MMWR_RATING_STATE_ROLLUP_BDD[MMWR_RATING_STATE_ROLLUP_BDD],0),MATCH(G$9,MMWR_RATING_STATE_ROLLUP_BDD[#Headers],0)),"ERROR"))</f>
        <v>1726</v>
      </c>
      <c r="H83" s="155">
        <f>IF($B83=" ","",IFERROR(INDEX(MMWR_RATING_STATE_ROLLUP_BDD[],MATCH($B83,MMWR_RATING_STATE_ROLLUP_BDD[MMWR_RATING_STATE_ROLLUP_BDD],0),MATCH(H$9,MMWR_RATING_STATE_ROLLUP_BDD[#Headers],0)),"ERROR"))</f>
        <v>134.73823529410001</v>
      </c>
      <c r="I83" s="155">
        <f>IF($B83=" ","",IFERROR(INDEX(MMWR_RATING_STATE_ROLLUP_BDD[],MATCH($B83,MMWR_RATING_STATE_ROLLUP_BDD[MMWR_RATING_STATE_ROLLUP_BDD],0),MATCH(I$9,MMWR_RATING_STATE_ROLLUP_BDD[#Headers],0)),"ERROR"))</f>
        <v>152.77172653529999</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19</v>
      </c>
      <c r="D84" s="155">
        <f>IF($B84=" ","",IFERROR(INDEX(MMWR_RATING_STATE_ROLLUP_BDD[],MATCH($B84,MMWR_RATING_STATE_ROLLUP_BDD[MMWR_RATING_STATE_ROLLUP_BDD],0),MATCH(D$9,MMWR_RATING_STATE_ROLLUP_BDD[#Headers],0)),"ERROR"))</f>
        <v>69.947368421099995</v>
      </c>
      <c r="E84" s="156">
        <f>IF($B84=" ","",IFERROR(INDEX(MMWR_RATING_STATE_ROLLUP_BDD[],MATCH($B84,MMWR_RATING_STATE_ROLLUP_BDD[MMWR_RATING_STATE_ROLLUP_BDD],0),MATCH(E$9,MMWR_RATING_STATE_ROLLUP_BDD[#Headers],0))/$C84,"ERROR"))</f>
        <v>0.21052631578947367</v>
      </c>
      <c r="F84" s="154">
        <f>IF($B84=" ","",IFERROR(INDEX(MMWR_RATING_STATE_ROLLUP_BDD[],MATCH($B84,MMWR_RATING_STATE_ROLLUP_BDD[MMWR_RATING_STATE_ROLLUP_BDD],0),MATCH(F$9,MMWR_RATING_STATE_ROLLUP_BDD[#Headers],0)),"ERROR"))</f>
        <v>13</v>
      </c>
      <c r="G84" s="154">
        <f>IF($B84=" ","",IFERROR(INDEX(MMWR_RATING_STATE_ROLLUP_BDD[],MATCH($B84,MMWR_RATING_STATE_ROLLUP_BDD[MMWR_RATING_STATE_ROLLUP_BDD],0),MATCH(G$9,MMWR_RATING_STATE_ROLLUP_BDD[#Headers],0)),"ERROR"))</f>
        <v>61</v>
      </c>
      <c r="H84" s="155">
        <f>IF($B84=" ","",IFERROR(INDEX(MMWR_RATING_STATE_ROLLUP_BDD[],MATCH($B84,MMWR_RATING_STATE_ROLLUP_BDD[MMWR_RATING_STATE_ROLLUP_BDD],0),MATCH(H$9,MMWR_RATING_STATE_ROLLUP_BDD[#Headers],0)),"ERROR"))</f>
        <v>113.9230769231</v>
      </c>
      <c r="I84" s="155">
        <f>IF($B84=" ","",IFERROR(INDEX(MMWR_RATING_STATE_ROLLUP_BDD[],MATCH($B84,MMWR_RATING_STATE_ROLLUP_BDD[MMWR_RATING_STATE_ROLLUP_BDD],0),MATCH(I$9,MMWR_RATING_STATE_ROLLUP_BDD[#Headers],0)),"ERROR"))</f>
        <v>139.96721311479999</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296</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311</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May 28, 2016</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239</v>
      </c>
      <c r="C5" s="429"/>
      <c r="D5" s="429"/>
      <c r="E5" s="429"/>
      <c r="F5" s="429"/>
      <c r="G5" s="429"/>
      <c r="H5" s="430"/>
      <c r="I5" s="55"/>
      <c r="J5" s="428" t="s">
        <v>236</v>
      </c>
      <c r="K5" s="429"/>
      <c r="L5" s="429"/>
      <c r="M5" s="429"/>
      <c r="N5" s="430"/>
      <c r="O5" s="56"/>
      <c r="P5" s="431" t="s">
        <v>11</v>
      </c>
      <c r="Q5" s="432"/>
      <c r="R5" s="432"/>
      <c r="S5" s="432"/>
      <c r="T5" s="432"/>
      <c r="U5" s="433"/>
      <c r="V5" s="25"/>
    </row>
    <row r="6" spans="1:22" s="1" customFormat="1" ht="65.25" customHeight="1" thickBot="1" x14ac:dyDescent="0.25">
      <c r="A6" s="25"/>
      <c r="B6" s="418" t="s">
        <v>279</v>
      </c>
      <c r="C6" s="419"/>
      <c r="D6" s="419"/>
      <c r="E6" s="420"/>
      <c r="F6" s="57" t="s">
        <v>12</v>
      </c>
      <c r="G6" s="58" t="s">
        <v>3</v>
      </c>
      <c r="H6" s="59" t="s">
        <v>4</v>
      </c>
      <c r="I6" s="25"/>
      <c r="J6" s="407" t="s">
        <v>279</v>
      </c>
      <c r="K6" s="408"/>
      <c r="L6" s="60" t="s">
        <v>12</v>
      </c>
      <c r="M6" s="61" t="s">
        <v>3</v>
      </c>
      <c r="N6" s="62" t="s">
        <v>4</v>
      </c>
      <c r="O6" s="63"/>
      <c r="P6" s="434" t="s">
        <v>279</v>
      </c>
      <c r="Q6" s="435"/>
      <c r="R6" s="64" t="s">
        <v>488</v>
      </c>
      <c r="S6" s="436" t="s">
        <v>279</v>
      </c>
      <c r="T6" s="437"/>
      <c r="U6" s="65" t="s">
        <v>134</v>
      </c>
      <c r="V6" s="25"/>
    </row>
    <row r="7" spans="1:22" s="1" customFormat="1" ht="32.25" customHeight="1" thickBot="1" x14ac:dyDescent="0.25">
      <c r="A7" s="25"/>
      <c r="B7" s="401" t="s">
        <v>298</v>
      </c>
      <c r="C7" s="402"/>
      <c r="D7" s="402"/>
      <c r="E7" s="402"/>
      <c r="F7" s="166">
        <f>SUM(F8:F10)</f>
        <v>112833</v>
      </c>
      <c r="G7" s="167">
        <f>SUM(G8:G10)</f>
        <v>29189</v>
      </c>
      <c r="H7" s="168">
        <f t="shared" ref="H7:H44" si="0">IF(G7="--", 0, G7/F7)</f>
        <v>0.25869204931181483</v>
      </c>
      <c r="I7" s="25"/>
      <c r="J7" s="401" t="s">
        <v>264</v>
      </c>
      <c r="K7" s="402"/>
      <c r="L7" s="167">
        <f>SUM(L8:L10)</f>
        <v>32514</v>
      </c>
      <c r="M7" s="167">
        <f>SUM(M8:M10)</f>
        <v>4308</v>
      </c>
      <c r="N7" s="178">
        <f>IF(M7="--", 0, M7/L7)</f>
        <v>0.13249677062188595</v>
      </c>
      <c r="O7" s="66"/>
      <c r="P7" s="401" t="s">
        <v>966</v>
      </c>
      <c r="Q7" s="402"/>
      <c r="R7" s="179">
        <f>R8+R9+R10+R11+R12</f>
        <v>324264</v>
      </c>
      <c r="S7" s="401"/>
      <c r="T7" s="402"/>
      <c r="U7" s="67"/>
      <c r="V7" s="25"/>
    </row>
    <row r="8" spans="1:22" s="1" customFormat="1" ht="51" customHeight="1" x14ac:dyDescent="0.2">
      <c r="A8" s="25"/>
      <c r="B8" s="285" t="s">
        <v>249</v>
      </c>
      <c r="C8" s="286"/>
      <c r="D8" s="286"/>
      <c r="E8" s="427"/>
      <c r="F8" s="169">
        <f>IFERROR(VLOOKUP(MID(B8,4,3),MMWR_TRAD_AGG_NATIONAL[],2,0),"--")</f>
        <v>302</v>
      </c>
      <c r="G8" s="170">
        <f>IFERROR(VLOOKUP(MID(B8,4,3),MMWR_TRAD_AGG_NATIONAL[],3,0),"--")</f>
        <v>135</v>
      </c>
      <c r="H8" s="171">
        <f t="shared" si="0"/>
        <v>0.44701986754966888</v>
      </c>
      <c r="I8" s="25"/>
      <c r="J8" s="403" t="s">
        <v>266</v>
      </c>
      <c r="K8" s="404"/>
      <c r="L8" s="169">
        <f>IFERROR(VLOOKUP(MID(J8,4,3),MMWR_TRAD_AGG_NATIONAL[],2,0),"--")</f>
        <v>7621</v>
      </c>
      <c r="M8" s="170">
        <f>IFERROR(VLOOKUP(MID(J8,4,3),MMWR_TRAD_AGG_NATIONAL[],3,0),"--")</f>
        <v>544</v>
      </c>
      <c r="N8" s="171">
        <f>IF(M8="--", 0, M8/L8)</f>
        <v>7.1381708437212962E-2</v>
      </c>
      <c r="O8" s="68" t="s">
        <v>310</v>
      </c>
      <c r="P8" s="438" t="s">
        <v>240</v>
      </c>
      <c r="Q8" s="439"/>
      <c r="R8" s="180">
        <f>VLOOKUP(P8,MMWR_APP_NATIONAL[],2,0)</f>
        <v>236806</v>
      </c>
      <c r="S8" s="406" t="s">
        <v>229</v>
      </c>
      <c r="T8" s="405"/>
      <c r="U8" s="181">
        <f>VLOOKUP(P8,MMWR_APP_NATIONAL[],3,0)</f>
        <v>403.48837199479999</v>
      </c>
      <c r="V8" s="25"/>
    </row>
    <row r="9" spans="1:22" s="1" customFormat="1" ht="45" customHeight="1" x14ac:dyDescent="0.2">
      <c r="A9" s="25"/>
      <c r="B9" s="285" t="s">
        <v>247</v>
      </c>
      <c r="C9" s="286"/>
      <c r="D9" s="286"/>
      <c r="E9" s="427"/>
      <c r="F9" s="169">
        <f>IFERROR(VLOOKUP(MID(B9,4,3),MMWR_TRAD_AGG_NATIONAL[],2,0),"--")</f>
        <v>33798</v>
      </c>
      <c r="G9" s="170">
        <f>IFERROR(VLOOKUP(MID(B9,4,3),MMWR_TRAD_AGG_NATIONAL[],3,0),"--")</f>
        <v>10706</v>
      </c>
      <c r="H9" s="171">
        <f t="shared" si="0"/>
        <v>0.31676430558021185</v>
      </c>
      <c r="I9" s="68" t="s">
        <v>310</v>
      </c>
      <c r="J9" s="285" t="s">
        <v>265</v>
      </c>
      <c r="K9" s="286"/>
      <c r="L9" s="169">
        <f>IFERROR(VLOOKUP(MID(J9,4,3),MMWR_TRAD_AGG_NATIONAL[],2,0),"--")</f>
        <v>8698</v>
      </c>
      <c r="M9" s="170">
        <f>IFERROR(VLOOKUP(MID(J9,4,3),MMWR_TRAD_AGG_NATIONAL[],3,0),"--")</f>
        <v>461</v>
      </c>
      <c r="N9" s="171">
        <f>IF(M9="--", 0, M9/L9)</f>
        <v>5.3000689813750286E-2</v>
      </c>
      <c r="O9" s="68" t="s">
        <v>310</v>
      </c>
      <c r="P9" s="449" t="s">
        <v>241</v>
      </c>
      <c r="Q9" s="450"/>
      <c r="R9" s="182">
        <f>VLOOKUP(P9,MMWR_APP_NATIONAL[],2,0)</f>
        <v>52800</v>
      </c>
      <c r="S9" s="451" t="s">
        <v>230</v>
      </c>
      <c r="T9" s="396"/>
      <c r="U9" s="183">
        <f>VLOOKUP(P9,MMWR_APP_NATIONAL[],3,0)</f>
        <v>555.74043560610005</v>
      </c>
      <c r="V9" s="25"/>
    </row>
    <row r="10" spans="1:22" s="1" customFormat="1" ht="63" customHeight="1" thickBot="1" x14ac:dyDescent="0.25">
      <c r="A10" s="25"/>
      <c r="B10" s="285" t="s">
        <v>248</v>
      </c>
      <c r="C10" s="286"/>
      <c r="D10" s="286"/>
      <c r="E10" s="427"/>
      <c r="F10" s="169">
        <f>IFERROR(VLOOKUP(MID(B10,4,3),MMWR_TRAD_AGG_NATIONAL[],2,0),"--")</f>
        <v>78733</v>
      </c>
      <c r="G10" s="170">
        <f>IFERROR(VLOOKUP(MID(B10,4,3),MMWR_TRAD_AGG_NATIONAL[],3,0),"--")</f>
        <v>18348</v>
      </c>
      <c r="H10" s="171">
        <f t="shared" si="0"/>
        <v>0.23304078340721171</v>
      </c>
      <c r="I10" s="68" t="s">
        <v>310</v>
      </c>
      <c r="J10" s="287" t="s">
        <v>267</v>
      </c>
      <c r="K10" s="288"/>
      <c r="L10" s="169">
        <f>IFERROR(VLOOKUP(MID(J10,4,3),MMWR_TRAD_AGG_NATIONAL[],2,0),"--")</f>
        <v>16195</v>
      </c>
      <c r="M10" s="170">
        <f>IFERROR(VLOOKUP(MID(J10,4,3),MMWR_TRAD_AGG_NATIONAL[],3,0),"--")</f>
        <v>3303</v>
      </c>
      <c r="N10" s="171">
        <f>IF(M10="--", 0, M10/L10)</f>
        <v>0.20395183698672431</v>
      </c>
      <c r="O10" s="69"/>
      <c r="P10" s="449" t="s">
        <v>242</v>
      </c>
      <c r="Q10" s="450"/>
      <c r="R10" s="182">
        <f>VLOOKUP(P10,MMWR_APP_NATIONAL[],2,0)</f>
        <v>23526</v>
      </c>
      <c r="S10" s="451" t="s">
        <v>231</v>
      </c>
      <c r="T10" s="396"/>
      <c r="U10" s="183">
        <f>VLOOKUP(P10,MMWR_APP_NATIONAL[],3,0)</f>
        <v>510.44228561710003</v>
      </c>
      <c r="V10" s="25"/>
    </row>
    <row r="11" spans="1:22" s="1" customFormat="1" ht="45" customHeight="1" thickBot="1" x14ac:dyDescent="0.25">
      <c r="A11" s="25"/>
      <c r="B11" s="401" t="s">
        <v>299</v>
      </c>
      <c r="C11" s="402"/>
      <c r="D11" s="402"/>
      <c r="E11" s="402"/>
      <c r="F11" s="166">
        <f>SUM(F12:F13)</f>
        <v>11561</v>
      </c>
      <c r="G11" s="167">
        <f>SUM(G12:G13)</f>
        <v>2506</v>
      </c>
      <c r="H11" s="168">
        <f t="shared" si="0"/>
        <v>0.21676325577372199</v>
      </c>
      <c r="I11" s="25"/>
      <c r="J11" s="401" t="s">
        <v>237</v>
      </c>
      <c r="K11" s="402"/>
      <c r="L11" s="166">
        <f>SUM(L12:L17)</f>
        <v>34932</v>
      </c>
      <c r="M11" s="166">
        <f>SUM(M12:M17)</f>
        <v>7919</v>
      </c>
      <c r="N11" s="159">
        <f>IF(M11="--", 0, M11/L11)</f>
        <v>0.22669758387724723</v>
      </c>
      <c r="O11" s="69"/>
      <c r="P11" s="449" t="s">
        <v>967</v>
      </c>
      <c r="Q11" s="450"/>
      <c r="R11" s="182">
        <f>VLOOKUP(P11,MMWR_APP_NATIONAL[],2,0)</f>
        <v>10505</v>
      </c>
      <c r="S11" s="451" t="s">
        <v>232</v>
      </c>
      <c r="T11" s="396"/>
      <c r="U11" s="183">
        <f>VLOOKUP(P11,MMWR_APP_NATIONAL[],3,0)</f>
        <v>175.5334666286</v>
      </c>
      <c r="V11" s="25"/>
    </row>
    <row r="12" spans="1:22" s="1" customFormat="1" ht="46.5" customHeight="1" thickBot="1" x14ac:dyDescent="0.25">
      <c r="A12" s="25"/>
      <c r="B12" s="397" t="s">
        <v>269</v>
      </c>
      <c r="C12" s="398"/>
      <c r="D12" s="398"/>
      <c r="E12" s="399"/>
      <c r="F12" s="169">
        <f>IFERROR(VLOOKUP(MID(B12,4,3),MMWR_TRAD_AGG_NATIONAL[],2,0),"--")</f>
        <v>10379</v>
      </c>
      <c r="G12" s="170">
        <f>IFERROR(VLOOKUP(MID(B12,4,3),MMWR_TRAD_AGG_NATIONAL[],3,0),"--")</f>
        <v>1728</v>
      </c>
      <c r="H12" s="171">
        <f t="shared" si="0"/>
        <v>0.16649002794103479</v>
      </c>
      <c r="I12" s="68" t="s">
        <v>310</v>
      </c>
      <c r="J12" s="287" t="s">
        <v>259</v>
      </c>
      <c r="K12" s="396"/>
      <c r="L12" s="169">
        <f>IFERROR(VLOOKUP(MID(J12,4,3)&amp;"p",MMWR_TRAD_AGG_NATIONAL[],2,0),"--")</f>
        <v>931</v>
      </c>
      <c r="M12" s="170">
        <f>IFERROR(VLOOKUP(MID(J12,4,3)&amp;"p",MMWR_TRAD_AGG_NATIONAL[],3,0),"--")</f>
        <v>65</v>
      </c>
      <c r="N12" s="171">
        <f t="shared" ref="N12:N17" si="1">IF(L12="--", 0,M12/L12)</f>
        <v>6.9817400644468314E-2</v>
      </c>
      <c r="O12" s="69"/>
      <c r="P12" s="449" t="s">
        <v>948</v>
      </c>
      <c r="Q12" s="450"/>
      <c r="R12" s="182">
        <f>VLOOKUP(P12,MMWR_APP_NATIONAL[],2,0)</f>
        <v>627</v>
      </c>
      <c r="S12" s="452" t="s">
        <v>965</v>
      </c>
      <c r="T12" s="400"/>
      <c r="U12" s="183">
        <f>VLOOKUP(P12,MMWR_APP_NATIONAL[],3,0)</f>
        <v>441.09888357260002</v>
      </c>
      <c r="V12" s="25"/>
    </row>
    <row r="13" spans="1:22" s="1" customFormat="1" ht="49.5" customHeight="1" thickBot="1" x14ac:dyDescent="0.25">
      <c r="A13" s="25"/>
      <c r="B13" s="397" t="s">
        <v>1057</v>
      </c>
      <c r="C13" s="398"/>
      <c r="D13" s="398"/>
      <c r="E13" s="399"/>
      <c r="F13" s="169">
        <f>IFERROR(VLOOKUP(MID(B13,4,3),MMWR_TRAD_AGG_NATIONAL[],2,0),"--")</f>
        <v>1182</v>
      </c>
      <c r="G13" s="170">
        <f>IFERROR(VLOOKUP(MID(B13,4,3),MMWR_TRAD_AGG_NATIONAL[],3,0),"--")</f>
        <v>778</v>
      </c>
      <c r="H13" s="171">
        <f t="shared" si="0"/>
        <v>0.65820642978003385</v>
      </c>
      <c r="I13" s="25"/>
      <c r="J13" s="287" t="s">
        <v>268</v>
      </c>
      <c r="K13" s="396"/>
      <c r="L13" s="169">
        <f>IFERROR(VLOOKUP(MID(J13,4,3),MMWR_TRAD_AGG_NATIONAL[],2,0),"--")</f>
        <v>5484</v>
      </c>
      <c r="M13" s="170">
        <f>IFERROR(VLOOKUP(MID(J13,4,3),MMWR_TRAD_AGG_NATIONAL[],3,0),"--")</f>
        <v>1057</v>
      </c>
      <c r="N13" s="171">
        <f t="shared" si="1"/>
        <v>0.19274252370532458</v>
      </c>
      <c r="O13" s="69"/>
      <c r="P13" s="401" t="s">
        <v>976</v>
      </c>
      <c r="Q13" s="402"/>
      <c r="R13" s="445"/>
      <c r="S13" s="446">
        <f>VLOOKUP(P13,MMWR_APP_NATIONAL[],2,0)</f>
        <v>31718</v>
      </c>
      <c r="T13" s="447"/>
      <c r="U13" s="448"/>
      <c r="V13" s="25"/>
    </row>
    <row r="14" spans="1:22" s="1" customFormat="1" ht="45" customHeight="1" thickBot="1" x14ac:dyDescent="0.25">
      <c r="A14" s="25"/>
      <c r="B14" s="401" t="s">
        <v>1</v>
      </c>
      <c r="C14" s="402"/>
      <c r="D14" s="402"/>
      <c r="E14" s="402"/>
      <c r="F14" s="166">
        <f>SUM(F15:F21)</f>
        <v>203464</v>
      </c>
      <c r="G14" s="167">
        <f>SUM(G15:G21)</f>
        <v>38201</v>
      </c>
      <c r="H14" s="168">
        <f t="shared" si="0"/>
        <v>0.18775311603035427</v>
      </c>
      <c r="I14" s="25"/>
      <c r="J14" s="287" t="s">
        <v>270</v>
      </c>
      <c r="K14" s="396"/>
      <c r="L14" s="169">
        <f>IFERROR(VLOOKUP(MID(J14,4,3),MMWR_TRAD_AGG_NATIONAL[],2,0),"--")</f>
        <v>17582</v>
      </c>
      <c r="M14" s="170">
        <f>IFERROR(VLOOKUP(MID(J14,4,3),MMWR_TRAD_AGG_NATIONAL[],3,0),"--")</f>
        <v>4254</v>
      </c>
      <c r="N14" s="171">
        <f t="shared" si="1"/>
        <v>0.24195199635991355</v>
      </c>
      <c r="O14" s="69"/>
      <c r="P14" s="21"/>
      <c r="Q14" s="21"/>
      <c r="R14" s="21"/>
      <c r="S14" s="28"/>
      <c r="T14" s="28"/>
      <c r="U14" s="70"/>
      <c r="V14" s="25"/>
    </row>
    <row r="15" spans="1:22" s="1" customFormat="1" ht="44.25" customHeight="1" thickBot="1" x14ac:dyDescent="0.25">
      <c r="A15" s="25"/>
      <c r="B15" s="285" t="s">
        <v>250</v>
      </c>
      <c r="C15" s="286"/>
      <c r="D15" s="286"/>
      <c r="E15" s="427"/>
      <c r="F15" s="169">
        <f>IFERROR(VLOOKUP(MID(B15,4,3),MMWR_TRAD_AGG_NATIONAL[],2,0),"--")</f>
        <v>202702</v>
      </c>
      <c r="G15" s="170">
        <f>IFERROR(VLOOKUP(MID(B15,4,3),MMWR_TRAD_AGG_NATIONAL[],3,0),"--")</f>
        <v>37963</v>
      </c>
      <c r="H15" s="171">
        <f t="shared" si="0"/>
        <v>0.18728478258724629</v>
      </c>
      <c r="I15" s="68" t="s">
        <v>310</v>
      </c>
      <c r="J15" s="287" t="s">
        <v>271</v>
      </c>
      <c r="K15" s="396"/>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287" t="s">
        <v>251</v>
      </c>
      <c r="C16" s="288"/>
      <c r="D16" s="288"/>
      <c r="E16" s="396"/>
      <c r="F16" s="169">
        <f>IFERROR(VLOOKUP(MID(B16,4,3),MMWR_TRAD_AGG_NATIONAL[],2,0),"--")</f>
        <v>397</v>
      </c>
      <c r="G16" s="170">
        <f>IFERROR(VLOOKUP(MID(B16,4,3),MMWR_TRAD_AGG_NATIONAL[],3,0),"--")</f>
        <v>50</v>
      </c>
      <c r="H16" s="171">
        <f t="shared" si="0"/>
        <v>0.12594458438287154</v>
      </c>
      <c r="I16" s="68" t="s">
        <v>310</v>
      </c>
      <c r="J16" s="287" t="s">
        <v>272</v>
      </c>
      <c r="K16" s="396"/>
      <c r="L16" s="169">
        <f>IFERROR(VLOOKUP(MID(J16,4,3),MMWR_TRAD_AGG_NATIONAL[],2,0),"--")</f>
        <v>6156</v>
      </c>
      <c r="M16" s="170">
        <f>IFERROR(VLOOKUP(MID(J16,4,3),MMWR_TRAD_AGG_NATIONAL[],3,0),"--")</f>
        <v>1973</v>
      </c>
      <c r="N16" s="171">
        <f t="shared" si="1"/>
        <v>0.32050032488628982</v>
      </c>
      <c r="O16" s="69"/>
      <c r="P16" s="431" t="s">
        <v>949</v>
      </c>
      <c r="Q16" s="432"/>
      <c r="R16" s="432"/>
      <c r="S16" s="433"/>
      <c r="T16" s="28"/>
      <c r="U16" s="71"/>
      <c r="V16" s="25"/>
    </row>
    <row r="17" spans="1:22" s="1" customFormat="1" ht="31.5" customHeight="1" thickBot="1" x14ac:dyDescent="0.25">
      <c r="A17" s="25"/>
      <c r="B17" s="287" t="s">
        <v>252</v>
      </c>
      <c r="C17" s="288"/>
      <c r="D17" s="288"/>
      <c r="E17" s="396"/>
      <c r="F17" s="169">
        <f>IFERROR(VLOOKUP(MID(B17,4,3),MMWR_TRAD_AGG_NATIONAL[],2,0),"--")</f>
        <v>235</v>
      </c>
      <c r="G17" s="170">
        <f>IFERROR(VLOOKUP(MID(B17,4,3),MMWR_TRAD_AGG_NATIONAL[],3,0),"--")</f>
        <v>160</v>
      </c>
      <c r="H17" s="171">
        <f t="shared" si="0"/>
        <v>0.68085106382978722</v>
      </c>
      <c r="I17" s="25"/>
      <c r="J17" s="287" t="s">
        <v>273</v>
      </c>
      <c r="K17" s="396"/>
      <c r="L17" s="169">
        <f>IFERROR(VLOOKUP(MID(J17,4,3),MMWR_TRAD_AGG_NATIONAL[],2,0),"--")</f>
        <v>4778</v>
      </c>
      <c r="M17" s="170">
        <f>IFERROR(VLOOKUP(MID(J17,4,3),MMWR_TRAD_AGG_NATIONAL[],3,0),"--")</f>
        <v>569</v>
      </c>
      <c r="N17" s="171">
        <f t="shared" si="1"/>
        <v>0.11908748430305567</v>
      </c>
      <c r="O17" s="72"/>
      <c r="P17" s="440" t="s">
        <v>245</v>
      </c>
      <c r="Q17" s="441"/>
      <c r="R17" s="441"/>
      <c r="S17" s="184">
        <f>IFERROR(VLOOKUP("160",MMWR_TRAD_AGG_NATIONAL[],2,0),"--")</f>
        <v>35665</v>
      </c>
      <c r="T17" s="28"/>
      <c r="U17" s="71"/>
      <c r="V17" s="25"/>
    </row>
    <row r="18" spans="1:22" s="1" customFormat="1" ht="32.25" customHeight="1" thickBot="1" x14ac:dyDescent="0.25">
      <c r="A18" s="25"/>
      <c r="B18" s="287" t="s">
        <v>253</v>
      </c>
      <c r="C18" s="288"/>
      <c r="D18" s="288"/>
      <c r="E18" s="396"/>
      <c r="F18" s="169">
        <f>IFERROR(VLOOKUP(MID(B18,4,3),MMWR_TRAD_AGG_NATIONAL[],2,0),"--")</f>
        <v>9</v>
      </c>
      <c r="G18" s="170">
        <f>IFERROR(VLOOKUP(MID(B18,4,3),MMWR_TRAD_AGG_NATIONAL[],3,0),"--")</f>
        <v>2</v>
      </c>
      <c r="H18" s="171">
        <f t="shared" si="0"/>
        <v>0.22222222222222221</v>
      </c>
      <c r="I18" s="68" t="s">
        <v>310</v>
      </c>
      <c r="J18" s="401" t="s">
        <v>15</v>
      </c>
      <c r="K18" s="402"/>
      <c r="L18" s="166">
        <f>SUM(L19:L21)</f>
        <v>286</v>
      </c>
      <c r="M18" s="166">
        <f>SUM(M19:M21)</f>
        <v>265</v>
      </c>
      <c r="N18" s="159">
        <f t="shared" ref="N18:N26" si="2">IF(M18="--", 0, M18/L18)</f>
        <v>0.92657342657342656</v>
      </c>
      <c r="O18" s="73"/>
      <c r="P18" s="442" t="s">
        <v>246</v>
      </c>
      <c r="Q18" s="443"/>
      <c r="R18" s="443"/>
      <c r="S18" s="185">
        <f>IFERROR(VLOOKUP("165",MMWR_TRAD_AGG_NATIONAL[],2,0),"--")</f>
        <v>10328</v>
      </c>
      <c r="T18" s="28"/>
      <c r="U18" s="71"/>
      <c r="V18" s="25"/>
    </row>
    <row r="19" spans="1:22" s="1" customFormat="1" ht="41.25" customHeight="1" x14ac:dyDescent="0.4">
      <c r="A19" s="25"/>
      <c r="B19" s="287" t="s">
        <v>254</v>
      </c>
      <c r="C19" s="288"/>
      <c r="D19" s="288"/>
      <c r="E19" s="396"/>
      <c r="F19" s="169">
        <f>IFERROR(VLOOKUP(MID(B19,4,3),MMWR_TRAD_AGG_NATIONAL[],2,0),"--")</f>
        <v>1</v>
      </c>
      <c r="G19" s="170">
        <f>IFERROR(VLOOKUP(MID(B19,4,3),MMWR_TRAD_AGG_NATIONAL[],3,0),"--")</f>
        <v>0</v>
      </c>
      <c r="H19" s="171">
        <f t="shared" si="0"/>
        <v>0</v>
      </c>
      <c r="I19" s="68" t="s">
        <v>310</v>
      </c>
      <c r="J19" s="287" t="s">
        <v>274</v>
      </c>
      <c r="K19" s="396"/>
      <c r="L19" s="169">
        <f>IFERROR(VLOOKUP(MID(J19,4,3),MMWR_TRAD_AGG_NATIONAL[],2,0),"--")</f>
        <v>204</v>
      </c>
      <c r="M19" s="170">
        <f>IFERROR(VLOOKUP(MID(J19,4,3),MMWR_TRAD_AGG_NATIONAL[],3,0),"--")</f>
        <v>203</v>
      </c>
      <c r="N19" s="171">
        <f t="shared" si="2"/>
        <v>0.99509803921568629</v>
      </c>
      <c r="O19" s="56"/>
      <c r="P19" s="25"/>
      <c r="Q19" s="25"/>
      <c r="R19" s="25"/>
      <c r="S19" s="25"/>
      <c r="T19" s="28"/>
      <c r="U19" s="71"/>
      <c r="V19" s="25"/>
    </row>
    <row r="20" spans="1:22" s="1" customFormat="1" ht="40.5" customHeight="1" x14ac:dyDescent="0.4">
      <c r="A20" s="25"/>
      <c r="B20" s="287" t="s">
        <v>255</v>
      </c>
      <c r="C20" s="288"/>
      <c r="D20" s="288"/>
      <c r="E20" s="396"/>
      <c r="F20" s="169">
        <f>IFERROR(VLOOKUP(MID(B20,4,3),MMWR_TRAD_AGG_NATIONAL[],2,0),"--")</f>
        <v>11</v>
      </c>
      <c r="G20" s="170">
        <f>IFERROR(VLOOKUP(MID(B20,4,3),MMWR_TRAD_AGG_NATIONAL[],3,0),"--")</f>
        <v>0</v>
      </c>
      <c r="H20" s="171">
        <f t="shared" si="0"/>
        <v>0</v>
      </c>
      <c r="I20" s="68" t="s">
        <v>310</v>
      </c>
      <c r="J20" s="287" t="s">
        <v>297</v>
      </c>
      <c r="K20" s="396"/>
      <c r="L20" s="169">
        <f>IFERROR(VLOOKUP(MID(J20,4,3),MMWR_TRAD_AGG_NATIONAL[],2,0),"--")</f>
        <v>53</v>
      </c>
      <c r="M20" s="170">
        <f>IFERROR(VLOOKUP(MID(J20,4,3),MMWR_TRAD_AGG_NATIONAL[],3,0),"--")</f>
        <v>45</v>
      </c>
      <c r="N20" s="171">
        <f t="shared" si="2"/>
        <v>0.84905660377358494</v>
      </c>
      <c r="O20" s="56"/>
      <c r="P20" s="56"/>
      <c r="Q20" s="56"/>
      <c r="R20" s="56"/>
      <c r="S20" s="56"/>
      <c r="T20" s="56"/>
      <c r="U20" s="74"/>
      <c r="V20" s="25"/>
    </row>
    <row r="21" spans="1:22" s="1" customFormat="1" ht="39" customHeight="1" thickBot="1" x14ac:dyDescent="0.45">
      <c r="A21" s="25"/>
      <c r="B21" s="287" t="s">
        <v>256</v>
      </c>
      <c r="C21" s="288"/>
      <c r="D21" s="288"/>
      <c r="E21" s="396"/>
      <c r="F21" s="169">
        <f>IFERROR(VLOOKUP(MID(B21,4,3),MMWR_TRAD_AGG_NATIONAL[],2,0),"--")</f>
        <v>109</v>
      </c>
      <c r="G21" s="170">
        <f>IFERROR(VLOOKUP(MID(B21,4,3),MMWR_TRAD_AGG_NATIONAL[],3,0),"--")</f>
        <v>26</v>
      </c>
      <c r="H21" s="171">
        <f t="shared" si="0"/>
        <v>0.23853211009174313</v>
      </c>
      <c r="I21" s="68" t="s">
        <v>310</v>
      </c>
      <c r="J21" s="287" t="s">
        <v>275</v>
      </c>
      <c r="K21" s="396"/>
      <c r="L21" s="169">
        <f>IFERROR(VLOOKUP(MID(J21,4,3),MMWR_TRAD_AGG_NATIONAL[],2,0),"--")</f>
        <v>29</v>
      </c>
      <c r="M21" s="170">
        <f>IFERROR(VLOOKUP(MID(J21,4,3),MMWR_TRAD_AGG_NATIONAL[],3,0),"--")</f>
        <v>17</v>
      </c>
      <c r="N21" s="171">
        <f t="shared" si="2"/>
        <v>0.58620689655172409</v>
      </c>
      <c r="O21" s="56"/>
      <c r="P21" s="56"/>
      <c r="Q21" s="56"/>
      <c r="R21" s="56"/>
      <c r="S21" s="56"/>
      <c r="T21" s="56"/>
      <c r="U21" s="74"/>
      <c r="V21" s="25"/>
    </row>
    <row r="22" spans="1:22" s="1" customFormat="1" ht="32.25" customHeight="1" thickBot="1" x14ac:dyDescent="0.45">
      <c r="A22" s="25"/>
      <c r="B22" s="401" t="s">
        <v>13</v>
      </c>
      <c r="C22" s="402"/>
      <c r="D22" s="402"/>
      <c r="E22" s="402"/>
      <c r="F22" s="166">
        <f>SUM(F23:F29)</f>
        <v>378905</v>
      </c>
      <c r="G22" s="167">
        <f>SUM(G23:G29)</f>
        <v>251015</v>
      </c>
      <c r="H22" s="168">
        <f t="shared" si="0"/>
        <v>0.66247476280334117</v>
      </c>
      <c r="I22" s="25"/>
      <c r="J22" s="401" t="s">
        <v>224</v>
      </c>
      <c r="K22" s="402"/>
      <c r="L22" s="166">
        <f>SUM(L23:L26)</f>
        <v>1892</v>
      </c>
      <c r="M22" s="166">
        <f>SUM(M23:M26)</f>
        <v>501</v>
      </c>
      <c r="N22" s="159">
        <f t="shared" si="2"/>
        <v>0.26479915433403806</v>
      </c>
      <c r="O22" s="56"/>
      <c r="P22" s="25"/>
      <c r="Q22" s="25"/>
      <c r="R22" s="25"/>
      <c r="S22" s="25"/>
      <c r="T22" s="56"/>
      <c r="U22" s="74"/>
      <c r="V22" s="25"/>
    </row>
    <row r="23" spans="1:22" s="1" customFormat="1" ht="26.25" customHeight="1" x14ac:dyDescent="0.4">
      <c r="A23" s="25"/>
      <c r="B23" s="397" t="s">
        <v>257</v>
      </c>
      <c r="C23" s="398"/>
      <c r="D23" s="398"/>
      <c r="E23" s="399"/>
      <c r="F23" s="169">
        <f>IFERROR(VLOOKUP(MID(B23,4,3),MMWR_TRAD_AGG_NATIONAL[],2,0),"--")</f>
        <v>156620</v>
      </c>
      <c r="G23" s="170">
        <f>IFERROR(VLOOKUP(MID(B23,4,3),MMWR_TRAD_AGG_NATIONAL[],3,0),"--")</f>
        <v>103217</v>
      </c>
      <c r="H23" s="171">
        <f t="shared" si="0"/>
        <v>0.65902822117226412</v>
      </c>
      <c r="I23" s="25"/>
      <c r="J23" s="403" t="s">
        <v>278</v>
      </c>
      <c r="K23" s="405"/>
      <c r="L23" s="172">
        <f>IFERROR(VLOOKUP(MID(J23,4,3),MMWR_TRAD_AGG_NATIONAL[],2,0),"--")</f>
        <v>240</v>
      </c>
      <c r="M23" s="173">
        <f>IFERROR(VLOOKUP(MID(J23,4,3),MMWR_TRAD_AGG_NATIONAL[],3,0),"--")</f>
        <v>76</v>
      </c>
      <c r="N23" s="174">
        <f t="shared" si="2"/>
        <v>0.31666666666666665</v>
      </c>
      <c r="O23" s="56"/>
      <c r="P23" s="25"/>
      <c r="Q23" s="25"/>
      <c r="R23" s="25"/>
      <c r="S23" s="25"/>
      <c r="T23" s="56"/>
      <c r="U23" s="74"/>
      <c r="V23" s="25"/>
    </row>
    <row r="24" spans="1:22" s="1" customFormat="1" ht="39.75" customHeight="1" x14ac:dyDescent="0.4">
      <c r="A24" s="25"/>
      <c r="B24" s="397" t="s">
        <v>258</v>
      </c>
      <c r="C24" s="398"/>
      <c r="D24" s="398"/>
      <c r="E24" s="399"/>
      <c r="F24" s="169">
        <f>IFERROR(VLOOKUP(MID(B24,4,3),MMWR_TRAD_AGG_NATIONAL[],2,0),"--")</f>
        <v>149</v>
      </c>
      <c r="G24" s="170">
        <f>IFERROR(VLOOKUP(MID(B24,4,3),MMWR_TRAD_AGG_NATIONAL[],3,0),"--")</f>
        <v>91</v>
      </c>
      <c r="H24" s="171">
        <f t="shared" si="0"/>
        <v>0.61073825503355705</v>
      </c>
      <c r="I24" s="25"/>
      <c r="J24" s="287" t="s">
        <v>277</v>
      </c>
      <c r="K24" s="396"/>
      <c r="L24" s="169">
        <f>IFERROR(VLOOKUP(MID(J24,4,3),MMWR_TRAD_AGG_NATIONAL[],2,0),"--")</f>
        <v>713</v>
      </c>
      <c r="M24" s="170">
        <f>IFERROR(VLOOKUP(MID(J24,4,3),MMWR_TRAD_AGG_NATIONAL[],3,0),"--")</f>
        <v>22</v>
      </c>
      <c r="N24" s="171">
        <f t="shared" si="2"/>
        <v>3.0855539971949508E-2</v>
      </c>
      <c r="O24" s="56"/>
      <c r="P24" s="25"/>
      <c r="Q24" s="25"/>
      <c r="R24" s="25"/>
      <c r="S24" s="25"/>
      <c r="T24" s="56"/>
      <c r="U24" s="74"/>
      <c r="V24" s="25"/>
    </row>
    <row r="25" spans="1:22" s="1" customFormat="1" ht="37.5" customHeight="1" x14ac:dyDescent="0.4">
      <c r="A25" s="25"/>
      <c r="B25" s="397" t="s">
        <v>259</v>
      </c>
      <c r="C25" s="398"/>
      <c r="D25" s="398"/>
      <c r="E25" s="399"/>
      <c r="F25" s="169">
        <f>IFERROR(VLOOKUP(MID(B25,4,3),MMWR_TRAD_AGG_NATIONAL[],2,0),"--")</f>
        <v>305</v>
      </c>
      <c r="G25" s="170">
        <f>IFERROR(VLOOKUP(MID(B25,4,3),MMWR_TRAD_AGG_NATIONAL[],3,0),"--")</f>
        <v>243</v>
      </c>
      <c r="H25" s="171">
        <f t="shared" si="0"/>
        <v>0.79672131147540981</v>
      </c>
      <c r="I25" s="25"/>
      <c r="J25" s="287" t="s">
        <v>276</v>
      </c>
      <c r="K25" s="396"/>
      <c r="L25" s="169">
        <f>IFERROR(VLOOKUP(MID(J25,4,3),MMWR_TRAD_AGG_NATIONAL[],2,0),"--")</f>
        <v>888</v>
      </c>
      <c r="M25" s="170">
        <f>IFERROR(VLOOKUP(MID(J25,4,3),MMWR_TRAD_AGG_NATIONAL[],3,0),"--")</f>
        <v>371</v>
      </c>
      <c r="N25" s="171">
        <f t="shared" si="2"/>
        <v>0.4177927927927928</v>
      </c>
      <c r="O25" s="56"/>
      <c r="P25" s="56"/>
      <c r="Q25" s="56"/>
      <c r="R25" s="56"/>
      <c r="S25" s="56"/>
      <c r="T25" s="56"/>
      <c r="U25" s="74"/>
      <c r="V25" s="25"/>
    </row>
    <row r="26" spans="1:22" s="1" customFormat="1" ht="37.5" customHeight="1" thickBot="1" x14ac:dyDescent="0.45">
      <c r="A26" s="25"/>
      <c r="B26" s="397" t="s">
        <v>260</v>
      </c>
      <c r="C26" s="398"/>
      <c r="D26" s="398"/>
      <c r="E26" s="399"/>
      <c r="F26" s="169">
        <f>IFERROR(VLOOKUP(MID(B26,4,3),MMWR_TRAD_AGG_NATIONAL[],2,0),"--")</f>
        <v>99202</v>
      </c>
      <c r="G26" s="170">
        <f>IFERROR(VLOOKUP(MID(B26,4,3),MMWR_TRAD_AGG_NATIONAL[],3,0),"--")</f>
        <v>77536</v>
      </c>
      <c r="H26" s="171">
        <f t="shared" si="0"/>
        <v>0.78159714521884638</v>
      </c>
      <c r="I26" s="56"/>
      <c r="J26" s="292" t="s">
        <v>313</v>
      </c>
      <c r="K26" s="400"/>
      <c r="L26" s="175">
        <f>IFERROR(VLOOKUP(MID(J26,4,3),MMWR_TRAD_AGG_NATIONAL[],2,0),"--")</f>
        <v>51</v>
      </c>
      <c r="M26" s="176">
        <f>IFERROR(VLOOKUP(MID(J26,4,3),MMWR_TRAD_AGG_NATIONAL[],3,0),"--")</f>
        <v>32</v>
      </c>
      <c r="N26" s="177">
        <f t="shared" si="2"/>
        <v>0.62745098039215685</v>
      </c>
      <c r="O26" s="56"/>
      <c r="P26" s="56"/>
      <c r="Q26" s="56"/>
      <c r="R26" s="56"/>
      <c r="S26" s="56"/>
      <c r="T26" s="56"/>
      <c r="U26" s="74"/>
      <c r="V26" s="25"/>
    </row>
    <row r="27" spans="1:22" s="1" customFormat="1" ht="26.25" customHeight="1" thickBot="1" x14ac:dyDescent="0.45">
      <c r="A27" s="25"/>
      <c r="B27" s="397" t="s">
        <v>261</v>
      </c>
      <c r="C27" s="398"/>
      <c r="D27" s="398"/>
      <c r="E27" s="399"/>
      <c r="F27" s="169">
        <f>IFERROR(VLOOKUP(MID(B27,4,3),MMWR_TRAD_AGG_NATIONAL[],2,0),"--")</f>
        <v>227</v>
      </c>
      <c r="G27" s="170">
        <f>IFERROR(VLOOKUP(MID(B27,4,3),MMWR_TRAD_AGG_NATIONAL[],3,0),"--")</f>
        <v>46</v>
      </c>
      <c r="H27" s="171">
        <f t="shared" si="0"/>
        <v>0.20264317180616739</v>
      </c>
      <c r="I27" s="56"/>
      <c r="J27" s="56"/>
      <c r="K27" s="56"/>
      <c r="L27" s="56"/>
      <c r="M27" s="56"/>
      <c r="N27" s="56"/>
      <c r="O27" s="56"/>
      <c r="P27" s="56"/>
      <c r="Q27" s="56"/>
      <c r="R27" s="56"/>
      <c r="S27" s="56"/>
      <c r="T27" s="56"/>
      <c r="U27" s="74"/>
      <c r="V27" s="25"/>
    </row>
    <row r="28" spans="1:22" s="1" customFormat="1" ht="32.25" customHeight="1" x14ac:dyDescent="0.4">
      <c r="A28" s="25"/>
      <c r="B28" s="397" t="s">
        <v>262</v>
      </c>
      <c r="C28" s="398"/>
      <c r="D28" s="398"/>
      <c r="E28" s="399"/>
      <c r="F28" s="169">
        <f>IFERROR(VLOOKUP(MID(B28,4,3),MMWR_TRAD_AGG_NATIONAL[],2,0),"--")</f>
        <v>14420</v>
      </c>
      <c r="G28" s="170">
        <f>IFERROR(VLOOKUP(MID(B28,4,3),MMWR_TRAD_AGG_NATIONAL[],3,0),"--")</f>
        <v>3221</v>
      </c>
      <c r="H28" s="171">
        <f t="shared" si="0"/>
        <v>0.22337031900138696</v>
      </c>
      <c r="I28" s="68" t="s">
        <v>310</v>
      </c>
      <c r="J28" s="409" t="s">
        <v>312</v>
      </c>
      <c r="K28" s="410"/>
      <c r="L28" s="410"/>
      <c r="M28" s="410"/>
      <c r="N28" s="411"/>
      <c r="O28" s="444" t="s">
        <v>310</v>
      </c>
      <c r="P28" s="75"/>
      <c r="Q28" s="56"/>
      <c r="R28" s="56"/>
      <c r="S28" s="56"/>
      <c r="T28" s="56"/>
      <c r="U28" s="74"/>
      <c r="V28" s="25"/>
    </row>
    <row r="29" spans="1:22" s="1" customFormat="1" ht="27" customHeight="1" thickBot="1" x14ac:dyDescent="0.45">
      <c r="A29" s="25"/>
      <c r="B29" s="397" t="s">
        <v>263</v>
      </c>
      <c r="C29" s="398"/>
      <c r="D29" s="398"/>
      <c r="E29" s="399"/>
      <c r="F29" s="169">
        <f>IFERROR(VLOOKUP(MID(B29,4,3),MMWR_TRAD_AGG_NATIONAL[],2,0),"--")</f>
        <v>107982</v>
      </c>
      <c r="G29" s="170">
        <f>IFERROR(VLOOKUP(MID(B29,4,3),MMWR_TRAD_AGG_NATIONAL[],3,0),"--")</f>
        <v>66661</v>
      </c>
      <c r="H29" s="171">
        <f t="shared" si="0"/>
        <v>0.6173343705432387</v>
      </c>
      <c r="I29" s="56"/>
      <c r="J29" s="412"/>
      <c r="K29" s="413"/>
      <c r="L29" s="413"/>
      <c r="M29" s="413"/>
      <c r="N29" s="414"/>
      <c r="O29" s="444"/>
      <c r="P29" s="76"/>
      <c r="Q29" s="56"/>
      <c r="R29" s="56"/>
      <c r="S29" s="56"/>
      <c r="T29" s="56"/>
      <c r="U29" s="74"/>
      <c r="V29" s="25"/>
    </row>
    <row r="30" spans="1:22" s="1" customFormat="1" ht="32.25" customHeight="1" thickBot="1" x14ac:dyDescent="0.45">
      <c r="A30" s="25"/>
      <c r="B30" s="401" t="s">
        <v>29</v>
      </c>
      <c r="C30" s="402"/>
      <c r="D30" s="402"/>
      <c r="E30" s="402"/>
      <c r="F30" s="167">
        <f>SUM(F31:F37)</f>
        <v>122493</v>
      </c>
      <c r="G30" s="167">
        <f>SUM(G31:G37)</f>
        <v>95368</v>
      </c>
      <c r="H30" s="159">
        <f t="shared" si="0"/>
        <v>0.77855877478713065</v>
      </c>
      <c r="I30" s="56"/>
      <c r="J30" s="28"/>
      <c r="K30" s="28"/>
      <c r="L30" s="28"/>
      <c r="M30" s="28"/>
      <c r="N30" s="28"/>
      <c r="O30" s="28"/>
      <c r="P30" s="56"/>
      <c r="Q30" s="56"/>
      <c r="R30" s="56"/>
      <c r="S30" s="56"/>
      <c r="T30" s="56"/>
      <c r="U30" s="74"/>
      <c r="V30" s="25"/>
    </row>
    <row r="31" spans="1:22" s="1" customFormat="1" ht="33.75" customHeight="1" x14ac:dyDescent="0.4">
      <c r="A31" s="25"/>
      <c r="B31" s="287" t="s">
        <v>280</v>
      </c>
      <c r="C31" s="288"/>
      <c r="D31" s="288"/>
      <c r="E31" s="396"/>
      <c r="F31" s="169">
        <f>IFERROR(VLOOKUP(MID(B31,4,3),MMWR_TRAD_AGG_NATIONAL[],2,0),"--")</f>
        <v>35</v>
      </c>
      <c r="G31" s="170">
        <f>IFERROR(VLOOKUP(MID(B31,4,3),MMWR_TRAD_AGG_NATIONAL[],3,0),"--")</f>
        <v>34</v>
      </c>
      <c r="H31" s="171">
        <f t="shared" si="0"/>
        <v>0.97142857142857142</v>
      </c>
      <c r="I31" s="56"/>
      <c r="J31" s="56"/>
      <c r="K31" s="56"/>
      <c r="L31" s="56"/>
      <c r="M31" s="56"/>
      <c r="N31" s="56"/>
      <c r="O31" s="56"/>
      <c r="P31" s="56"/>
      <c r="Q31" s="56"/>
      <c r="R31" s="56"/>
      <c r="S31" s="56"/>
      <c r="T31" s="56"/>
      <c r="U31" s="74"/>
      <c r="V31" s="25"/>
    </row>
    <row r="32" spans="1:22" s="1" customFormat="1" ht="32.25" customHeight="1" x14ac:dyDescent="0.4">
      <c r="A32" s="25"/>
      <c r="B32" s="287" t="s">
        <v>281</v>
      </c>
      <c r="C32" s="288"/>
      <c r="D32" s="288"/>
      <c r="E32" s="396"/>
      <c r="F32" s="169">
        <f>IFERROR(VLOOKUP(MID(B32,4,3),MMWR_TRAD_AGG_NATIONAL[],2,0),"--")</f>
        <v>35591</v>
      </c>
      <c r="G32" s="170">
        <f>IFERROR(VLOOKUP(MID(B32,4,3),MMWR_TRAD_AGG_NATIONAL[],3,0),"--")</f>
        <v>24413</v>
      </c>
      <c r="H32" s="171">
        <f t="shared" si="0"/>
        <v>0.68593183670028934</v>
      </c>
      <c r="I32" s="56"/>
      <c r="J32" s="56"/>
      <c r="K32" s="56"/>
      <c r="L32" s="56"/>
      <c r="M32" s="56"/>
      <c r="N32" s="56"/>
      <c r="O32" s="56"/>
      <c r="P32" s="56"/>
      <c r="Q32" s="56"/>
      <c r="R32" s="56"/>
      <c r="S32" s="56"/>
      <c r="T32" s="56"/>
      <c r="U32" s="74"/>
      <c r="V32" s="25"/>
    </row>
    <row r="33" spans="1:22" s="1" customFormat="1" ht="32.25" customHeight="1" x14ac:dyDescent="0.4">
      <c r="A33" s="25"/>
      <c r="B33" s="287" t="s">
        <v>282</v>
      </c>
      <c r="C33" s="288"/>
      <c r="D33" s="288"/>
      <c r="E33" s="396"/>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7" t="s">
        <v>283</v>
      </c>
      <c r="C34" s="288"/>
      <c r="D34" s="288"/>
      <c r="E34" s="396"/>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7" t="s">
        <v>284</v>
      </c>
      <c r="C35" s="288"/>
      <c r="D35" s="288"/>
      <c r="E35" s="396"/>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7" t="s">
        <v>285</v>
      </c>
      <c r="C36" s="288"/>
      <c r="D36" s="288"/>
      <c r="E36" s="396"/>
      <c r="F36" s="169">
        <f>IFERROR(VLOOKUP(MID(B36,4,3),MMWR_TRAD_AGG_NATIONAL[],2,0),"--")</f>
        <v>22358</v>
      </c>
      <c r="G36" s="170">
        <f>IFERROR(VLOOKUP(MID(B36,4,3),MMWR_TRAD_AGG_NATIONAL[],3,0),"--")</f>
        <v>15679</v>
      </c>
      <c r="H36" s="171">
        <f t="shared" si="0"/>
        <v>0.7012702388406834</v>
      </c>
      <c r="I36" s="56"/>
      <c r="J36" s="56"/>
      <c r="K36" s="56"/>
      <c r="L36" s="56"/>
      <c r="M36" s="56"/>
      <c r="N36" s="56"/>
      <c r="O36" s="56"/>
      <c r="P36" s="56"/>
      <c r="Q36" s="56"/>
      <c r="R36" s="56"/>
      <c r="S36" s="56"/>
      <c r="T36" s="56"/>
      <c r="U36" s="74"/>
      <c r="V36" s="25"/>
    </row>
    <row r="37" spans="1:22" s="1" customFormat="1" ht="27" customHeight="1" thickBot="1" x14ac:dyDescent="0.45">
      <c r="A37" s="25"/>
      <c r="B37" s="287" t="s">
        <v>286</v>
      </c>
      <c r="C37" s="288"/>
      <c r="D37" s="288"/>
      <c r="E37" s="396"/>
      <c r="F37" s="169">
        <f>IFERROR(VLOOKUP(MID(B37,4,3)&amp;"G",MMWR_TRAD_AGG_NATIONAL[],2,0),"--")</f>
        <v>64509</v>
      </c>
      <c r="G37" s="170">
        <f>IFERROR(VLOOKUP(MID(B37,4,3)&amp;"G",MMWR_TRAD_AGG_NATIONAL[],3,0),"--")</f>
        <v>55242</v>
      </c>
      <c r="H37" s="171">
        <f t="shared" si="0"/>
        <v>0.85634562619169419</v>
      </c>
      <c r="I37" s="56"/>
      <c r="J37" s="56"/>
      <c r="K37" s="56"/>
      <c r="L37" s="56"/>
      <c r="M37" s="56"/>
      <c r="N37" s="56"/>
      <c r="O37" s="56"/>
      <c r="P37" s="56"/>
      <c r="Q37" s="56"/>
      <c r="R37" s="56"/>
      <c r="S37" s="56"/>
      <c r="T37" s="56"/>
      <c r="U37" s="74"/>
      <c r="V37" s="25"/>
    </row>
    <row r="38" spans="1:22" s="1" customFormat="1" ht="32.25" customHeight="1" thickBot="1" x14ac:dyDescent="0.45">
      <c r="A38" s="25"/>
      <c r="B38" s="401" t="s">
        <v>238</v>
      </c>
      <c r="C38" s="402"/>
      <c r="D38" s="402"/>
      <c r="E38" s="402"/>
      <c r="F38" s="166">
        <f>SUM(F39:F44)</f>
        <v>174100</v>
      </c>
      <c r="G38" s="167">
        <f>SUM(G39:G44)</f>
        <v>114091</v>
      </c>
      <c r="H38" s="168">
        <f t="shared" si="0"/>
        <v>0.65531878230901786</v>
      </c>
      <c r="I38" s="56"/>
      <c r="J38" s="56"/>
      <c r="K38" s="75"/>
      <c r="L38" s="75"/>
      <c r="M38" s="75"/>
      <c r="N38" s="75"/>
      <c r="O38" s="75"/>
      <c r="P38" s="56"/>
      <c r="Q38" s="56"/>
      <c r="R38" s="56"/>
      <c r="S38" s="56"/>
      <c r="T38" s="56"/>
      <c r="U38" s="74"/>
      <c r="V38" s="25"/>
    </row>
    <row r="39" spans="1:22" s="1" customFormat="1" ht="26.25" customHeight="1" x14ac:dyDescent="0.4">
      <c r="A39" s="25"/>
      <c r="B39" s="403" t="s">
        <v>287</v>
      </c>
      <c r="C39" s="404"/>
      <c r="D39" s="404"/>
      <c r="E39" s="405"/>
      <c r="F39" s="172">
        <f>IFERROR(VLOOKUP(MID(B39,4,3),MMWR_TRAD_AGG_NATIONAL[],2,0),"--")</f>
        <v>7954</v>
      </c>
      <c r="G39" s="173">
        <f>IFERROR(VLOOKUP(MID(B39,4,3),MMWR_TRAD_AGG_NATIONAL[],3,0),"--")</f>
        <v>6005</v>
      </c>
      <c r="H39" s="174">
        <f t="shared" si="0"/>
        <v>0.7549660548151873</v>
      </c>
      <c r="I39" s="56"/>
      <c r="J39" s="56"/>
      <c r="K39" s="75"/>
      <c r="L39" s="75"/>
      <c r="M39" s="75"/>
      <c r="N39" s="75"/>
      <c r="O39" s="75"/>
      <c r="P39" s="56"/>
      <c r="Q39" s="56"/>
      <c r="R39" s="56"/>
      <c r="S39" s="56"/>
      <c r="T39" s="56"/>
      <c r="U39" s="74"/>
      <c r="V39" s="25"/>
    </row>
    <row r="40" spans="1:22" s="1" customFormat="1" ht="26.25" customHeight="1" x14ac:dyDescent="0.4">
      <c r="A40" s="25"/>
      <c r="B40" s="287" t="s">
        <v>288</v>
      </c>
      <c r="C40" s="288"/>
      <c r="D40" s="288"/>
      <c r="E40" s="396"/>
      <c r="F40" s="169">
        <f>IFERROR(VLOOKUP(MID(B40,4,3),MMWR_TRAD_AGG_NATIONAL[],2,0),"--")</f>
        <v>67389</v>
      </c>
      <c r="G40" s="170">
        <f>IFERROR(VLOOKUP(MID(B40,4,3),MMWR_TRAD_AGG_NATIONAL[],3,0),"--")</f>
        <v>49610</v>
      </c>
      <c r="H40" s="171">
        <f t="shared" si="0"/>
        <v>0.73617355948300167</v>
      </c>
      <c r="I40" s="56"/>
      <c r="J40" s="56"/>
      <c r="K40" s="56"/>
      <c r="L40" s="56"/>
      <c r="M40" s="56"/>
      <c r="N40" s="56"/>
      <c r="O40" s="56"/>
      <c r="P40" s="56"/>
      <c r="Q40" s="56"/>
      <c r="R40" s="56"/>
      <c r="S40" s="56"/>
      <c r="T40" s="56"/>
      <c r="U40" s="74"/>
      <c r="V40" s="25"/>
    </row>
    <row r="41" spans="1:22" s="1" customFormat="1" ht="26.25" customHeight="1" x14ac:dyDescent="0.4">
      <c r="A41" s="25"/>
      <c r="B41" s="287" t="s">
        <v>289</v>
      </c>
      <c r="C41" s="288"/>
      <c r="D41" s="288"/>
      <c r="E41" s="396"/>
      <c r="F41" s="169">
        <f>IFERROR(VLOOKUP(MID(B41,4,3),MMWR_TRAD_AGG_NATIONAL[],2,0),"--")</f>
        <v>1189</v>
      </c>
      <c r="G41" s="170">
        <f>IFERROR(VLOOKUP(MID(B41,4,3),MMWR_TRAD_AGG_NATIONAL[],3,0),"--")</f>
        <v>321</v>
      </c>
      <c r="H41" s="171">
        <f t="shared" si="0"/>
        <v>0.26997476871320436</v>
      </c>
      <c r="I41" s="56"/>
      <c r="J41" s="56"/>
      <c r="K41" s="56"/>
      <c r="L41" s="56"/>
      <c r="M41" s="56"/>
      <c r="N41" s="56"/>
      <c r="O41" s="56"/>
      <c r="P41" s="56"/>
      <c r="Q41" s="56"/>
      <c r="R41" s="56"/>
      <c r="S41" s="56"/>
      <c r="T41" s="56"/>
      <c r="U41" s="74"/>
      <c r="V41" s="25"/>
    </row>
    <row r="42" spans="1:22" s="1" customFormat="1" ht="36" customHeight="1" x14ac:dyDescent="0.4">
      <c r="A42" s="25"/>
      <c r="B42" s="287" t="s">
        <v>290</v>
      </c>
      <c r="C42" s="288"/>
      <c r="D42" s="288"/>
      <c r="E42" s="396"/>
      <c r="F42" s="169">
        <f>IFERROR(VLOOKUP(MID(B42,4,3),MMWR_TRAD_AGG_NATIONAL[],2,0),"--")</f>
        <v>79144</v>
      </c>
      <c r="G42" s="170">
        <f>IFERROR(VLOOKUP(MID(B42,4,3),MMWR_TRAD_AGG_NATIONAL[],3,0),"--")</f>
        <v>43033</v>
      </c>
      <c r="H42" s="171">
        <f t="shared" si="0"/>
        <v>0.54373041544526435</v>
      </c>
      <c r="I42" s="56"/>
      <c r="J42" s="56"/>
      <c r="K42" s="56"/>
      <c r="L42" s="56"/>
      <c r="M42" s="56"/>
      <c r="N42" s="56"/>
      <c r="O42" s="56"/>
      <c r="P42" s="56"/>
      <c r="Q42" s="56"/>
      <c r="R42" s="56"/>
      <c r="S42" s="56"/>
      <c r="T42" s="56"/>
      <c r="U42" s="74"/>
      <c r="V42" s="25"/>
    </row>
    <row r="43" spans="1:22" s="1" customFormat="1" ht="33" customHeight="1" x14ac:dyDescent="0.4">
      <c r="A43" s="25"/>
      <c r="B43" s="287" t="s">
        <v>291</v>
      </c>
      <c r="C43" s="288"/>
      <c r="D43" s="288"/>
      <c r="E43" s="396"/>
      <c r="F43" s="169">
        <f>IFERROR(VLOOKUP(MID(B43,4,3),MMWR_TRAD_AGG_NATIONAL[],2,0),"--")</f>
        <v>17955</v>
      </c>
      <c r="G43" s="170">
        <f>IFERROR(VLOOKUP(MID(B43,4,3),MMWR_TRAD_AGG_NATIONAL[],3,0),"--")</f>
        <v>14744</v>
      </c>
      <c r="H43" s="171">
        <f t="shared" si="0"/>
        <v>0.82116402116402121</v>
      </c>
      <c r="I43" s="56"/>
      <c r="J43" s="56"/>
      <c r="K43" s="56"/>
      <c r="L43" s="56"/>
      <c r="M43" s="56"/>
      <c r="N43" s="56"/>
      <c r="O43" s="56"/>
      <c r="P43" s="56"/>
      <c r="Q43" s="56"/>
      <c r="R43" s="56"/>
      <c r="S43" s="56"/>
      <c r="T43" s="56"/>
      <c r="U43" s="74"/>
      <c r="V43" s="25"/>
    </row>
    <row r="44" spans="1:22" s="1" customFormat="1" ht="27" customHeight="1" thickBot="1" x14ac:dyDescent="0.45">
      <c r="A44" s="25"/>
      <c r="B44" s="292" t="s">
        <v>292</v>
      </c>
      <c r="C44" s="293"/>
      <c r="D44" s="293"/>
      <c r="E44" s="400"/>
      <c r="F44" s="175">
        <f>IFERROR(VLOOKUP(MID(B44,4,3),MMWR_TRAD_AGG_NATIONAL[],2,0),"--")</f>
        <v>469</v>
      </c>
      <c r="G44" s="176">
        <f>IFERROR(VLOOKUP(MID(B44,4,3),MMWR_TRAD_AGG_NATIONAL[],3,0),"--")</f>
        <v>378</v>
      </c>
      <c r="H44" s="177">
        <f t="shared" si="0"/>
        <v>0.80597014925373134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MAY 28,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53" t="s">
        <v>486</v>
      </c>
      <c r="D5" s="454"/>
      <c r="E5" s="454"/>
      <c r="F5" s="454"/>
      <c r="G5" s="454"/>
      <c r="H5" s="454"/>
      <c r="I5" s="454"/>
      <c r="J5" s="454"/>
      <c r="K5" s="454"/>
      <c r="L5" s="454"/>
      <c r="M5" s="454"/>
      <c r="N5" s="454"/>
      <c r="O5" s="454"/>
      <c r="P5" s="454"/>
      <c r="Q5" s="454"/>
      <c r="R5" s="454"/>
      <c r="S5" s="455"/>
      <c r="T5" s="25"/>
    </row>
    <row r="6" spans="1:20" x14ac:dyDescent="0.2">
      <c r="A6" s="92"/>
      <c r="B6" s="93" t="s">
        <v>461</v>
      </c>
      <c r="C6" s="208">
        <f>IFERROR(VLOOKUP($B6,MMWR_TRAD_AGG_DISTRICT_COMP[],C$1,0),"ERROR")</f>
        <v>258430</v>
      </c>
      <c r="D6" s="186">
        <f>IFERROR(VLOOKUP($B6,MMWR_TRAD_AGG_DISTRICT_COMP[],D$1,0),"ERROR")</f>
        <v>390.17839260149998</v>
      </c>
      <c r="E6" s="194">
        <f>IFERROR(VLOOKUP($B6,MMWR_TRAD_AGG_DISTRICT_COMP[],E$1,0),"ERROR")</f>
        <v>327858</v>
      </c>
      <c r="F6" s="188">
        <f>IFERROR(VLOOKUP($B6,MMWR_TRAD_AGG_DISTRICT_COMP[],F$1,0),"ERROR")</f>
        <v>69896</v>
      </c>
      <c r="G6" s="211">
        <f t="shared" ref="G6:G69" si="0">IFERROR(F6/E6,"0%")</f>
        <v>0.21318985658425293</v>
      </c>
      <c r="H6" s="187">
        <f>IFERROR(VLOOKUP($B6,MMWR_TRAD_AGG_DISTRICT_COMP[],H$1,0),"ERROR")</f>
        <v>378905</v>
      </c>
      <c r="I6" s="188">
        <f>IFERROR(VLOOKUP($B6,MMWR_TRAD_AGG_DISTRICT_COMP[],I$1,0),"ERROR")</f>
        <v>251015</v>
      </c>
      <c r="J6" s="211">
        <f t="shared" ref="J6:J69" si="1">IFERROR(I6/H6,"0%")</f>
        <v>0.66247476280334117</v>
      </c>
      <c r="K6" s="187">
        <f>IFERROR(VLOOKUP($B6,MMWR_TRAD_AGG_DISTRICT_COMP[],K$1,0),"ERROR")</f>
        <v>126219</v>
      </c>
      <c r="L6" s="188">
        <f>IFERROR(VLOOKUP($B6,MMWR_TRAD_AGG_DISTRICT_COMP[],L$1,0),"ERROR")</f>
        <v>98948</v>
      </c>
      <c r="M6" s="211">
        <f t="shared" ref="M6:M69" si="2">IFERROR(L6/K6,"0%")</f>
        <v>0.78393902661247516</v>
      </c>
      <c r="N6" s="187">
        <f>IFERROR(VLOOKUP($B6,MMWR_TRAD_AGG_DISTRICT_COMP[],N$1,0),"ERROR")</f>
        <v>175281</v>
      </c>
      <c r="O6" s="188">
        <f>IFERROR(VLOOKUP($B6,MMWR_TRAD_AGG_DISTRICT_COMP[],O$1,0),"ERROR")</f>
        <v>114754</v>
      </c>
      <c r="P6" s="211">
        <f t="shared" ref="P6:P69" si="3">IFERROR(O6/N6,"0%")</f>
        <v>0.65468590434787566</v>
      </c>
      <c r="Q6" s="200">
        <f>IFERROR(VLOOKUP($B6,MMWR_TRAD_AGG_DISTRICT_COMP[],Q$1,0),"ERROR")</f>
        <v>23806</v>
      </c>
      <c r="R6" s="200">
        <f>IFERROR(VLOOKUP($B6,MMWR_TRAD_AGG_DISTRICT_COMP[],R$1,0),"ERROR")</f>
        <v>4372</v>
      </c>
      <c r="S6" s="203">
        <f>S7+S25+S38+S49+S62+S70</f>
        <v>318523</v>
      </c>
      <c r="T6" s="25"/>
    </row>
    <row r="7" spans="1:20" x14ac:dyDescent="0.2">
      <c r="A7" s="92"/>
      <c r="B7" s="101" t="s">
        <v>369</v>
      </c>
      <c r="C7" s="212">
        <f>IFERROR(VLOOKUP($B7,MMWR_TRAD_AGG_DISTRICT_COMP[],C$1,0),"ERROR")</f>
        <v>72531</v>
      </c>
      <c r="D7" s="197">
        <f>IFERROR(VLOOKUP($B7,MMWR_TRAD_AGG_DISTRICT_COMP[],D$1,0),"ERROR")</f>
        <v>432.7495002137</v>
      </c>
      <c r="E7" s="213">
        <f>IFERROR(VLOOKUP($B7,MMWR_TRAD_AGG_DISTRICT_COMP[],E$1,0),"ERROR")</f>
        <v>78077</v>
      </c>
      <c r="F7" s="212">
        <f>IFERROR(VLOOKUP($B7,MMWR_TRAD_AGG_DISTRICT_COMP[],F$1,0),"ERROR")</f>
        <v>18447</v>
      </c>
      <c r="G7" s="214">
        <f t="shared" si="0"/>
        <v>0.23626676229875634</v>
      </c>
      <c r="H7" s="212">
        <f>IFERROR(VLOOKUP($B7,MMWR_TRAD_AGG_DISTRICT_COMP[],H$1,0),"ERROR")</f>
        <v>101147</v>
      </c>
      <c r="I7" s="212">
        <f>IFERROR(VLOOKUP($B7,MMWR_TRAD_AGG_DISTRICT_COMP[],I$1,0),"ERROR")</f>
        <v>70974</v>
      </c>
      <c r="J7" s="214">
        <f t="shared" si="1"/>
        <v>0.70169159737807352</v>
      </c>
      <c r="K7" s="212">
        <f>IFERROR(VLOOKUP($B7,MMWR_TRAD_AGG_DISTRICT_COMP[],K$1,0),"ERROR")</f>
        <v>39184</v>
      </c>
      <c r="L7" s="212">
        <f>IFERROR(VLOOKUP($B7,MMWR_TRAD_AGG_DISTRICT_COMP[],L$1,0),"ERROR")</f>
        <v>31350</v>
      </c>
      <c r="M7" s="214">
        <f t="shared" si="2"/>
        <v>0.80007145773785215</v>
      </c>
      <c r="N7" s="212">
        <f>IFERROR(VLOOKUP($B7,MMWR_TRAD_AGG_DISTRICT_COMP[],N$1,0),"ERROR")</f>
        <v>29095</v>
      </c>
      <c r="O7" s="212">
        <f>IFERROR(VLOOKUP($B7,MMWR_TRAD_AGG_DISTRICT_COMP[],O$1,0),"ERROR")</f>
        <v>22074</v>
      </c>
      <c r="P7" s="214">
        <f t="shared" si="3"/>
        <v>0.75868705963223926</v>
      </c>
      <c r="Q7" s="212">
        <f>IFERROR(VLOOKUP($B7,MMWR_TRAD_AGG_DISTRICT_COMP[],Q$1,0),"ERROR")</f>
        <v>14537</v>
      </c>
      <c r="R7" s="215">
        <f>IFERROR(VLOOKUP($B7,MMWR_TRAD_AGG_DISTRICT_COMP[],R$1,0),"ERROR")</f>
        <v>56</v>
      </c>
      <c r="S7" s="215">
        <f>IFERROR(VLOOKUP($B7,MMWR_APP_RO[],S$1,0),"ERROR")</f>
        <v>57636</v>
      </c>
      <c r="T7" s="25"/>
    </row>
    <row r="8" spans="1:20" x14ac:dyDescent="0.2">
      <c r="A8" s="107"/>
      <c r="B8" s="108" t="s">
        <v>33</v>
      </c>
      <c r="C8" s="209">
        <f>IFERROR(VLOOKUP($B8,MMWR_TRAD_AGG_RO_COMP[],C$1,0),"ERROR")</f>
        <v>9028</v>
      </c>
      <c r="D8" s="198">
        <f>IFERROR(VLOOKUP($B8,MMWR_TRAD_AGG_RO_COMP[],D$1,0),"ERROR")</f>
        <v>719.56956136459996</v>
      </c>
      <c r="E8" s="195">
        <f>IFERROR(VLOOKUP($B8,MMWR_TRAD_AGG_RO_COMP[],E$1,0),"ERROR")</f>
        <v>4781</v>
      </c>
      <c r="F8" s="191">
        <f>IFERROR(VLOOKUP($B8,MMWR_TRAD_AGG_RO_COMP[],F$1,0),"ERROR")</f>
        <v>1174</v>
      </c>
      <c r="G8" s="216">
        <f t="shared" si="0"/>
        <v>0.24555532315415185</v>
      </c>
      <c r="H8" s="190">
        <f>IFERROR(VLOOKUP($B8,MMWR_TRAD_AGG_RO_COMP[],H$1,0),"ERROR")</f>
        <v>10432</v>
      </c>
      <c r="I8" s="191">
        <f>IFERROR(VLOOKUP($B8,MMWR_TRAD_AGG_RO_COMP[],I$1,0),"ERROR")</f>
        <v>8705</v>
      </c>
      <c r="J8" s="216">
        <f t="shared" si="1"/>
        <v>0.83445168711656437</v>
      </c>
      <c r="K8" s="204">
        <f>IFERROR(VLOOKUP($B8,MMWR_TRAD_AGG_RO_COMP[],K$1,0),"ERROR")</f>
        <v>3505</v>
      </c>
      <c r="L8" s="205">
        <f>IFERROR(VLOOKUP($B8,MMWR_TRAD_AGG_RO_COMP[],L$1,0),"ERROR")</f>
        <v>3066</v>
      </c>
      <c r="M8" s="216">
        <f t="shared" si="2"/>
        <v>0.87475035663338085</v>
      </c>
      <c r="N8" s="204">
        <f>IFERROR(VLOOKUP($B8,MMWR_TRAD_AGG_RO_COMP[],N$1,0),"ERROR")</f>
        <v>1498</v>
      </c>
      <c r="O8" s="205">
        <f>IFERROR(VLOOKUP($B8,MMWR_TRAD_AGG_RO_COMP[],O$1,0),"ERROR")</f>
        <v>1163</v>
      </c>
      <c r="P8" s="216">
        <f t="shared" si="3"/>
        <v>0.77636849132176233</v>
      </c>
      <c r="Q8" s="201">
        <f>IFERROR(VLOOKUP($B8,MMWR_TRAD_AGG_RO_COMP[],Q$1,0),"ERROR")</f>
        <v>0</v>
      </c>
      <c r="R8" s="201">
        <f>IFERROR(VLOOKUP($B8,MMWR_TRAD_AGG_RO_COMP[],R$1,0),"ERROR")</f>
        <v>6</v>
      </c>
      <c r="S8" s="201">
        <f>IFERROR(VLOOKUP($B8,MMWR_APP_RO[],S$1,0),"ERROR")</f>
        <v>5445</v>
      </c>
      <c r="T8" s="25"/>
    </row>
    <row r="9" spans="1:20" x14ac:dyDescent="0.2">
      <c r="A9" s="107"/>
      <c r="B9" s="108" t="s">
        <v>35</v>
      </c>
      <c r="C9" s="209">
        <f>IFERROR(VLOOKUP($B9,MMWR_TRAD_AGG_RO_COMP[],C$1,0),"ERROR")</f>
        <v>3838</v>
      </c>
      <c r="D9" s="198">
        <f>IFERROR(VLOOKUP($B9,MMWR_TRAD_AGG_RO_COMP[],D$1,0),"ERROR")</f>
        <v>636.20635747790004</v>
      </c>
      <c r="E9" s="195">
        <f>IFERROR(VLOOKUP($B9,MMWR_TRAD_AGG_RO_COMP[],E$1,0),"ERROR")</f>
        <v>3275</v>
      </c>
      <c r="F9" s="191">
        <f>IFERROR(VLOOKUP($B9,MMWR_TRAD_AGG_RO_COMP[],F$1,0),"ERROR")</f>
        <v>726</v>
      </c>
      <c r="G9" s="216">
        <f t="shared" si="0"/>
        <v>0.22167938931297709</v>
      </c>
      <c r="H9" s="190">
        <f>IFERROR(VLOOKUP($B9,MMWR_TRAD_AGG_RO_COMP[],H$1,0),"ERROR")</f>
        <v>5343</v>
      </c>
      <c r="I9" s="191">
        <f>IFERROR(VLOOKUP($B9,MMWR_TRAD_AGG_RO_COMP[],I$1,0),"ERROR")</f>
        <v>4113</v>
      </c>
      <c r="J9" s="216">
        <f t="shared" si="1"/>
        <v>0.76979225154407638</v>
      </c>
      <c r="K9" s="204">
        <f>IFERROR(VLOOKUP($B9,MMWR_TRAD_AGG_RO_COMP[],K$1,0),"ERROR")</f>
        <v>2691</v>
      </c>
      <c r="L9" s="205">
        <f>IFERROR(VLOOKUP($B9,MMWR_TRAD_AGG_RO_COMP[],L$1,0),"ERROR")</f>
        <v>2199</v>
      </c>
      <c r="M9" s="216">
        <f t="shared" si="2"/>
        <v>0.81716833890746932</v>
      </c>
      <c r="N9" s="204">
        <f>IFERROR(VLOOKUP($B9,MMWR_TRAD_AGG_RO_COMP[],N$1,0),"ERROR")</f>
        <v>644</v>
      </c>
      <c r="O9" s="205">
        <f>IFERROR(VLOOKUP($B9,MMWR_TRAD_AGG_RO_COMP[],O$1,0),"ERROR")</f>
        <v>573</v>
      </c>
      <c r="P9" s="216">
        <f t="shared" si="3"/>
        <v>0.88975155279503104</v>
      </c>
      <c r="Q9" s="201">
        <f>IFERROR(VLOOKUP($B9,MMWR_TRAD_AGG_RO_COMP[],Q$1,0),"ERROR")</f>
        <v>0</v>
      </c>
      <c r="R9" s="201">
        <f>IFERROR(VLOOKUP($B9,MMWR_TRAD_AGG_RO_COMP[],R$1,0),"ERROR")</f>
        <v>2</v>
      </c>
      <c r="S9" s="201">
        <f>IFERROR(VLOOKUP($B9,MMWR_APP_RO[],S$1,0),"ERROR")</f>
        <v>3227</v>
      </c>
      <c r="T9" s="25"/>
    </row>
    <row r="10" spans="1:20" x14ac:dyDescent="0.2">
      <c r="A10" s="107"/>
      <c r="B10" s="108" t="s">
        <v>24</v>
      </c>
      <c r="C10" s="209">
        <f>IFERROR(VLOOKUP($B10,MMWR_TRAD_AGG_RO_COMP[],C$1,0),"ERROR")</f>
        <v>597</v>
      </c>
      <c r="D10" s="198">
        <f>IFERROR(VLOOKUP($B10,MMWR_TRAD_AGG_RO_COMP[],D$1,0),"ERROR")</f>
        <v>218.1373534338</v>
      </c>
      <c r="E10" s="195">
        <f>IFERROR(VLOOKUP($B10,MMWR_TRAD_AGG_RO_COMP[],E$1,0),"ERROR")</f>
        <v>3822</v>
      </c>
      <c r="F10" s="191">
        <f>IFERROR(VLOOKUP($B10,MMWR_TRAD_AGG_RO_COMP[],F$1,0),"ERROR")</f>
        <v>788</v>
      </c>
      <c r="G10" s="216">
        <f t="shared" si="0"/>
        <v>0.20617477760334904</v>
      </c>
      <c r="H10" s="190">
        <f>IFERROR(VLOOKUP($B10,MMWR_TRAD_AGG_RO_COMP[],H$1,0),"ERROR")</f>
        <v>1712</v>
      </c>
      <c r="I10" s="191">
        <f>IFERROR(VLOOKUP($B10,MMWR_TRAD_AGG_RO_COMP[],I$1,0),"ERROR")</f>
        <v>870</v>
      </c>
      <c r="J10" s="216">
        <f t="shared" si="1"/>
        <v>0.50817757009345799</v>
      </c>
      <c r="K10" s="204">
        <f>IFERROR(VLOOKUP($B10,MMWR_TRAD_AGG_RO_COMP[],K$1,0),"ERROR")</f>
        <v>973</v>
      </c>
      <c r="L10" s="205">
        <f>IFERROR(VLOOKUP($B10,MMWR_TRAD_AGG_RO_COMP[],L$1,0),"ERROR")</f>
        <v>642</v>
      </c>
      <c r="M10" s="216">
        <f t="shared" si="2"/>
        <v>0.65981500513874614</v>
      </c>
      <c r="N10" s="204">
        <f>IFERROR(VLOOKUP($B10,MMWR_TRAD_AGG_RO_COMP[],N$1,0),"ERROR")</f>
        <v>311</v>
      </c>
      <c r="O10" s="205">
        <f>IFERROR(VLOOKUP($B10,MMWR_TRAD_AGG_RO_COMP[],O$1,0),"ERROR")</f>
        <v>158</v>
      </c>
      <c r="P10" s="216">
        <f t="shared" si="3"/>
        <v>0.50803858520900325</v>
      </c>
      <c r="Q10" s="201">
        <f>IFERROR(VLOOKUP($B10,MMWR_TRAD_AGG_RO_COMP[],Q$1,0),"ERROR")</f>
        <v>0</v>
      </c>
      <c r="R10" s="201">
        <f>IFERROR(VLOOKUP($B10,MMWR_TRAD_AGG_RO_COMP[],R$1,0),"ERROR")</f>
        <v>0</v>
      </c>
      <c r="S10" s="201">
        <f>IFERROR(VLOOKUP($B10,MMWR_APP_RO[],S$1,0),"ERROR")</f>
        <v>2107</v>
      </c>
      <c r="T10" s="25"/>
    </row>
    <row r="11" spans="1:20" x14ac:dyDescent="0.2">
      <c r="A11" s="107"/>
      <c r="B11" s="108" t="s">
        <v>44</v>
      </c>
      <c r="C11" s="209">
        <f>IFERROR(VLOOKUP($B11,MMWR_TRAD_AGG_RO_COMP[],C$1,0),"ERROR")</f>
        <v>632</v>
      </c>
      <c r="D11" s="198">
        <f>IFERROR(VLOOKUP($B11,MMWR_TRAD_AGG_RO_COMP[],D$1,0),"ERROR")</f>
        <v>293.60759493670002</v>
      </c>
      <c r="E11" s="195">
        <f>IFERROR(VLOOKUP($B11,MMWR_TRAD_AGG_RO_COMP[],E$1,0),"ERROR")</f>
        <v>1676</v>
      </c>
      <c r="F11" s="191">
        <f>IFERROR(VLOOKUP($B11,MMWR_TRAD_AGG_RO_COMP[],F$1,0),"ERROR")</f>
        <v>335</v>
      </c>
      <c r="G11" s="216">
        <f t="shared" si="0"/>
        <v>0.19988066825775655</v>
      </c>
      <c r="H11" s="190">
        <f>IFERROR(VLOOKUP($B11,MMWR_TRAD_AGG_RO_COMP[],H$1,0),"ERROR")</f>
        <v>1793</v>
      </c>
      <c r="I11" s="191">
        <f>IFERROR(VLOOKUP($B11,MMWR_TRAD_AGG_RO_COMP[],I$1,0),"ERROR")</f>
        <v>895</v>
      </c>
      <c r="J11" s="216">
        <f t="shared" si="1"/>
        <v>0.49916341327384273</v>
      </c>
      <c r="K11" s="204">
        <f>IFERROR(VLOOKUP($B11,MMWR_TRAD_AGG_RO_COMP[],K$1,0),"ERROR")</f>
        <v>460</v>
      </c>
      <c r="L11" s="205">
        <f>IFERROR(VLOOKUP($B11,MMWR_TRAD_AGG_RO_COMP[],L$1,0),"ERROR")</f>
        <v>247</v>
      </c>
      <c r="M11" s="216">
        <f t="shared" si="2"/>
        <v>0.53695652173913044</v>
      </c>
      <c r="N11" s="204">
        <f>IFERROR(VLOOKUP($B11,MMWR_TRAD_AGG_RO_COMP[],N$1,0),"ERROR")</f>
        <v>807</v>
      </c>
      <c r="O11" s="205">
        <f>IFERROR(VLOOKUP($B11,MMWR_TRAD_AGG_RO_COMP[],O$1,0),"ERROR")</f>
        <v>665</v>
      </c>
      <c r="P11" s="216">
        <f t="shared" si="3"/>
        <v>0.82403965303593552</v>
      </c>
      <c r="Q11" s="201">
        <f>IFERROR(VLOOKUP($B11,MMWR_TRAD_AGG_RO_COMP[],Q$1,0),"ERROR")</f>
        <v>0</v>
      </c>
      <c r="R11" s="201">
        <f>IFERROR(VLOOKUP($B11,MMWR_TRAD_AGG_RO_COMP[],R$1,0),"ERROR")</f>
        <v>5</v>
      </c>
      <c r="S11" s="201">
        <f>IFERROR(VLOOKUP($B11,MMWR_APP_RO[],S$1,0),"ERROR")</f>
        <v>1264</v>
      </c>
      <c r="T11" s="25"/>
    </row>
    <row r="12" spans="1:20" x14ac:dyDescent="0.2">
      <c r="A12" s="107"/>
      <c r="B12" s="108" t="s">
        <v>47</v>
      </c>
      <c r="C12" s="209">
        <f>IFERROR(VLOOKUP($B12,MMWR_TRAD_AGG_RO_COMP[],C$1,0),"ERROR")</f>
        <v>1930</v>
      </c>
      <c r="D12" s="198">
        <f>IFERROR(VLOOKUP($B12,MMWR_TRAD_AGG_RO_COMP[],D$1,0),"ERROR")</f>
        <v>282.75181347149999</v>
      </c>
      <c r="E12" s="195">
        <f>IFERROR(VLOOKUP($B12,MMWR_TRAD_AGG_RO_COMP[],E$1,0),"ERROR")</f>
        <v>2482</v>
      </c>
      <c r="F12" s="191">
        <f>IFERROR(VLOOKUP($B12,MMWR_TRAD_AGG_RO_COMP[],F$1,0),"ERROR")</f>
        <v>472</v>
      </c>
      <c r="G12" s="216">
        <f t="shared" si="0"/>
        <v>0.19016921837228043</v>
      </c>
      <c r="H12" s="190">
        <f>IFERROR(VLOOKUP($B12,MMWR_TRAD_AGG_RO_COMP[],H$1,0),"ERROR")</f>
        <v>3087</v>
      </c>
      <c r="I12" s="191">
        <f>IFERROR(VLOOKUP($B12,MMWR_TRAD_AGG_RO_COMP[],I$1,0),"ERROR")</f>
        <v>2115</v>
      </c>
      <c r="J12" s="216">
        <f t="shared" si="1"/>
        <v>0.685131195335277</v>
      </c>
      <c r="K12" s="204">
        <f>IFERROR(VLOOKUP($B12,MMWR_TRAD_AGG_RO_COMP[],K$1,0),"ERROR")</f>
        <v>443</v>
      </c>
      <c r="L12" s="205">
        <f>IFERROR(VLOOKUP($B12,MMWR_TRAD_AGG_RO_COMP[],L$1,0),"ERROR")</f>
        <v>358</v>
      </c>
      <c r="M12" s="216">
        <f t="shared" si="2"/>
        <v>0.80812641083521441</v>
      </c>
      <c r="N12" s="204">
        <f>IFERROR(VLOOKUP($B12,MMWR_TRAD_AGG_RO_COMP[],N$1,0),"ERROR")</f>
        <v>1238</v>
      </c>
      <c r="O12" s="205">
        <f>IFERROR(VLOOKUP($B12,MMWR_TRAD_AGG_RO_COMP[],O$1,0),"ERROR")</f>
        <v>910</v>
      </c>
      <c r="P12" s="216">
        <f t="shared" si="3"/>
        <v>0.73505654281098542</v>
      </c>
      <c r="Q12" s="201">
        <f>IFERROR(VLOOKUP($B12,MMWR_TRAD_AGG_RO_COMP[],Q$1,0),"ERROR")</f>
        <v>0</v>
      </c>
      <c r="R12" s="201">
        <f>IFERROR(VLOOKUP($B12,MMWR_TRAD_AGG_RO_COMP[],R$1,0),"ERROR")</f>
        <v>10</v>
      </c>
      <c r="S12" s="201">
        <f>IFERROR(VLOOKUP($B12,MMWR_APP_RO[],S$1,0),"ERROR")</f>
        <v>2299</v>
      </c>
      <c r="T12" s="25"/>
    </row>
    <row r="13" spans="1:20" x14ac:dyDescent="0.2">
      <c r="A13" s="107"/>
      <c r="B13" s="108" t="s">
        <v>54</v>
      </c>
      <c r="C13" s="209">
        <f>IFERROR(VLOOKUP($B13,MMWR_TRAD_AGG_RO_COMP[],C$1,0),"ERROR")</f>
        <v>1035</v>
      </c>
      <c r="D13" s="198">
        <f>IFERROR(VLOOKUP($B13,MMWR_TRAD_AGG_RO_COMP[],D$1,0),"ERROR")</f>
        <v>287.1246376812</v>
      </c>
      <c r="E13" s="195">
        <f>IFERROR(VLOOKUP($B13,MMWR_TRAD_AGG_RO_COMP[],E$1,0),"ERROR")</f>
        <v>1076</v>
      </c>
      <c r="F13" s="191">
        <f>IFERROR(VLOOKUP($B13,MMWR_TRAD_AGG_RO_COMP[],F$1,0),"ERROR")</f>
        <v>150</v>
      </c>
      <c r="G13" s="216">
        <f t="shared" si="0"/>
        <v>0.13940520446096655</v>
      </c>
      <c r="H13" s="190">
        <f>IFERROR(VLOOKUP($B13,MMWR_TRAD_AGG_RO_COMP[],H$1,0),"ERROR")</f>
        <v>1467</v>
      </c>
      <c r="I13" s="191">
        <f>IFERROR(VLOOKUP($B13,MMWR_TRAD_AGG_RO_COMP[],I$1,0),"ERROR")</f>
        <v>935</v>
      </c>
      <c r="J13" s="216">
        <f t="shared" si="1"/>
        <v>0.6373551465576005</v>
      </c>
      <c r="K13" s="204">
        <f>IFERROR(VLOOKUP($B13,MMWR_TRAD_AGG_RO_COMP[],K$1,0),"ERROR")</f>
        <v>210</v>
      </c>
      <c r="L13" s="205">
        <f>IFERROR(VLOOKUP($B13,MMWR_TRAD_AGG_RO_COMP[],L$1,0),"ERROR")</f>
        <v>165</v>
      </c>
      <c r="M13" s="216">
        <f t="shared" si="2"/>
        <v>0.7857142857142857</v>
      </c>
      <c r="N13" s="204">
        <f>IFERROR(VLOOKUP($B13,MMWR_TRAD_AGG_RO_COMP[],N$1,0),"ERROR")</f>
        <v>120</v>
      </c>
      <c r="O13" s="205">
        <f>IFERROR(VLOOKUP($B13,MMWR_TRAD_AGG_RO_COMP[],O$1,0),"ERROR")</f>
        <v>47</v>
      </c>
      <c r="P13" s="216">
        <f t="shared" si="3"/>
        <v>0.39166666666666666</v>
      </c>
      <c r="Q13" s="201">
        <f>IFERROR(VLOOKUP($B13,MMWR_TRAD_AGG_RO_COMP[],Q$1,0),"ERROR")</f>
        <v>0</v>
      </c>
      <c r="R13" s="201">
        <f>IFERROR(VLOOKUP($B13,MMWR_TRAD_AGG_RO_COMP[],R$1,0),"ERROR")</f>
        <v>1</v>
      </c>
      <c r="S13" s="201">
        <f>IFERROR(VLOOKUP($B13,MMWR_APP_RO[],S$1,0),"ERROR")</f>
        <v>627</v>
      </c>
      <c r="T13" s="25"/>
    </row>
    <row r="14" spans="1:20" x14ac:dyDescent="0.2">
      <c r="A14" s="107"/>
      <c r="B14" s="108" t="s">
        <v>60</v>
      </c>
      <c r="C14" s="209">
        <f>IFERROR(VLOOKUP($B14,MMWR_TRAD_AGG_RO_COMP[],C$1,0),"ERROR")</f>
        <v>2722</v>
      </c>
      <c r="D14" s="198">
        <f>IFERROR(VLOOKUP($B14,MMWR_TRAD_AGG_RO_COMP[],D$1,0),"ERROR")</f>
        <v>313.82072005880002</v>
      </c>
      <c r="E14" s="195">
        <f>IFERROR(VLOOKUP($B14,MMWR_TRAD_AGG_RO_COMP[],E$1,0),"ERROR")</f>
        <v>5034</v>
      </c>
      <c r="F14" s="191">
        <f>IFERROR(VLOOKUP($B14,MMWR_TRAD_AGG_RO_COMP[],F$1,0),"ERROR")</f>
        <v>1295</v>
      </c>
      <c r="G14" s="216">
        <f t="shared" si="0"/>
        <v>0.25725069527214939</v>
      </c>
      <c r="H14" s="190">
        <f>IFERROR(VLOOKUP($B14,MMWR_TRAD_AGG_RO_COMP[],H$1,0),"ERROR")</f>
        <v>3918</v>
      </c>
      <c r="I14" s="191">
        <f>IFERROR(VLOOKUP($B14,MMWR_TRAD_AGG_RO_COMP[],I$1,0),"ERROR")</f>
        <v>2382</v>
      </c>
      <c r="J14" s="216">
        <f t="shared" si="1"/>
        <v>0.60796324655436451</v>
      </c>
      <c r="K14" s="204">
        <f>IFERROR(VLOOKUP($B14,MMWR_TRAD_AGG_RO_COMP[],K$1,0),"ERROR")</f>
        <v>2537</v>
      </c>
      <c r="L14" s="205">
        <f>IFERROR(VLOOKUP($B14,MMWR_TRAD_AGG_RO_COMP[],L$1,0),"ERROR")</f>
        <v>2213</v>
      </c>
      <c r="M14" s="216">
        <f t="shared" si="2"/>
        <v>0.87229010642491134</v>
      </c>
      <c r="N14" s="204">
        <f>IFERROR(VLOOKUP($B14,MMWR_TRAD_AGG_RO_COMP[],N$1,0),"ERROR")</f>
        <v>3986</v>
      </c>
      <c r="O14" s="205">
        <f>IFERROR(VLOOKUP($B14,MMWR_TRAD_AGG_RO_COMP[],O$1,0),"ERROR")</f>
        <v>1480</v>
      </c>
      <c r="P14" s="216">
        <f t="shared" si="3"/>
        <v>0.37129954841946816</v>
      </c>
      <c r="Q14" s="201">
        <f>IFERROR(VLOOKUP($B14,MMWR_TRAD_AGG_RO_COMP[],Q$1,0),"ERROR")</f>
        <v>0</v>
      </c>
      <c r="R14" s="201">
        <f>IFERROR(VLOOKUP($B14,MMWR_TRAD_AGG_RO_COMP[],R$1,0),"ERROR")</f>
        <v>3</v>
      </c>
      <c r="S14" s="201">
        <f>IFERROR(VLOOKUP($B14,MMWR_APP_RO[],S$1,0),"ERROR")</f>
        <v>3374</v>
      </c>
      <c r="T14" s="25"/>
    </row>
    <row r="15" spans="1:20" x14ac:dyDescent="0.2">
      <c r="A15" s="107"/>
      <c r="B15" s="108" t="s">
        <v>61</v>
      </c>
      <c r="C15" s="209">
        <f>IFERROR(VLOOKUP($B15,MMWR_TRAD_AGG_RO_COMP[],C$1,0),"ERROR")</f>
        <v>497</v>
      </c>
      <c r="D15" s="198">
        <f>IFERROR(VLOOKUP($B15,MMWR_TRAD_AGG_RO_COMP[],D$1,0),"ERROR")</f>
        <v>266.32193158950002</v>
      </c>
      <c r="E15" s="195">
        <f>IFERROR(VLOOKUP($B15,MMWR_TRAD_AGG_RO_COMP[],E$1,0),"ERROR")</f>
        <v>2767</v>
      </c>
      <c r="F15" s="191">
        <f>IFERROR(VLOOKUP($B15,MMWR_TRAD_AGG_RO_COMP[],F$1,0),"ERROR")</f>
        <v>663</v>
      </c>
      <c r="G15" s="216">
        <f t="shared" si="0"/>
        <v>0.23960968558005061</v>
      </c>
      <c r="H15" s="190">
        <f>IFERROR(VLOOKUP($B15,MMWR_TRAD_AGG_RO_COMP[],H$1,0),"ERROR")</f>
        <v>1046</v>
      </c>
      <c r="I15" s="191">
        <f>IFERROR(VLOOKUP($B15,MMWR_TRAD_AGG_RO_COMP[],I$1,0),"ERROR")</f>
        <v>452</v>
      </c>
      <c r="J15" s="216">
        <f t="shared" si="1"/>
        <v>0.43212237093690248</v>
      </c>
      <c r="K15" s="204">
        <f>IFERROR(VLOOKUP($B15,MMWR_TRAD_AGG_RO_COMP[],K$1,0),"ERROR")</f>
        <v>660</v>
      </c>
      <c r="L15" s="205">
        <f>IFERROR(VLOOKUP($B15,MMWR_TRAD_AGG_RO_COMP[],L$1,0),"ERROR")</f>
        <v>611</v>
      </c>
      <c r="M15" s="216">
        <f t="shared" si="2"/>
        <v>0.92575757575757578</v>
      </c>
      <c r="N15" s="204">
        <f>IFERROR(VLOOKUP($B15,MMWR_TRAD_AGG_RO_COMP[],N$1,0),"ERROR")</f>
        <v>1513</v>
      </c>
      <c r="O15" s="205">
        <f>IFERROR(VLOOKUP($B15,MMWR_TRAD_AGG_RO_COMP[],O$1,0),"ERROR")</f>
        <v>1197</v>
      </c>
      <c r="P15" s="216">
        <f t="shared" si="3"/>
        <v>0.79114342366159951</v>
      </c>
      <c r="Q15" s="201">
        <f>IFERROR(VLOOKUP($B15,MMWR_TRAD_AGG_RO_COMP[],Q$1,0),"ERROR")</f>
        <v>0</v>
      </c>
      <c r="R15" s="201">
        <f>IFERROR(VLOOKUP($B15,MMWR_TRAD_AGG_RO_COMP[],R$1,0),"ERROR")</f>
        <v>1</v>
      </c>
      <c r="S15" s="201">
        <f>IFERROR(VLOOKUP($B15,MMWR_APP_RO[],S$1,0),"ERROR")</f>
        <v>2648</v>
      </c>
      <c r="T15" s="25"/>
    </row>
    <row r="16" spans="1:20" x14ac:dyDescent="0.2">
      <c r="A16" s="107"/>
      <c r="B16" s="108" t="s">
        <v>63</v>
      </c>
      <c r="C16" s="209">
        <f>IFERROR(VLOOKUP($B16,MMWR_TRAD_AGG_RO_COMP[],C$1,0),"ERROR")</f>
        <v>5393</v>
      </c>
      <c r="D16" s="198">
        <f>IFERROR(VLOOKUP($B16,MMWR_TRAD_AGG_RO_COMP[],D$1,0),"ERROR")</f>
        <v>511.17448544410001</v>
      </c>
      <c r="E16" s="195">
        <f>IFERROR(VLOOKUP($B16,MMWR_TRAD_AGG_RO_COMP[],E$1,0),"ERROR")</f>
        <v>14178</v>
      </c>
      <c r="F16" s="191">
        <f>IFERROR(VLOOKUP($B16,MMWR_TRAD_AGG_RO_COMP[],F$1,0),"ERROR")</f>
        <v>3262</v>
      </c>
      <c r="G16" s="216">
        <f t="shared" si="0"/>
        <v>0.23007476371843702</v>
      </c>
      <c r="H16" s="190">
        <f>IFERROR(VLOOKUP($B16,MMWR_TRAD_AGG_RO_COMP[],H$1,0),"ERROR")</f>
        <v>8097</v>
      </c>
      <c r="I16" s="191">
        <f>IFERROR(VLOOKUP($B16,MMWR_TRAD_AGG_RO_COMP[],I$1,0),"ERROR")</f>
        <v>6224</v>
      </c>
      <c r="J16" s="216">
        <f t="shared" si="1"/>
        <v>0.76867975793503762</v>
      </c>
      <c r="K16" s="204">
        <f>IFERROR(VLOOKUP($B16,MMWR_TRAD_AGG_RO_COMP[],K$1,0),"ERROR")</f>
        <v>2509</v>
      </c>
      <c r="L16" s="205">
        <f>IFERROR(VLOOKUP($B16,MMWR_TRAD_AGG_RO_COMP[],L$1,0),"ERROR")</f>
        <v>1483</v>
      </c>
      <c r="M16" s="216">
        <f t="shared" si="2"/>
        <v>0.59107214029493826</v>
      </c>
      <c r="N16" s="204">
        <f>IFERROR(VLOOKUP($B16,MMWR_TRAD_AGG_RO_COMP[],N$1,0),"ERROR")</f>
        <v>7202</v>
      </c>
      <c r="O16" s="205">
        <f>IFERROR(VLOOKUP($B16,MMWR_TRAD_AGG_RO_COMP[],O$1,0),"ERROR")</f>
        <v>6446</v>
      </c>
      <c r="P16" s="216">
        <f t="shared" si="3"/>
        <v>0.89502915856706466</v>
      </c>
      <c r="Q16" s="201">
        <f>IFERROR(VLOOKUP($B16,MMWR_TRAD_AGG_RO_COMP[],Q$1,0),"ERROR")</f>
        <v>14530</v>
      </c>
      <c r="R16" s="201">
        <f>IFERROR(VLOOKUP($B16,MMWR_TRAD_AGG_RO_COMP[],R$1,0),"ERROR")</f>
        <v>0</v>
      </c>
      <c r="S16" s="201">
        <f>IFERROR(VLOOKUP($B16,MMWR_APP_RO[],S$1,0),"ERROR")</f>
        <v>5869</v>
      </c>
      <c r="T16" s="25"/>
    </row>
    <row r="17" spans="1:20" x14ac:dyDescent="0.2">
      <c r="A17" s="107"/>
      <c r="B17" s="108" t="s">
        <v>65</v>
      </c>
      <c r="C17" s="209">
        <f>IFERROR(VLOOKUP($B17,MMWR_TRAD_AGG_RO_COMP[],C$1,0),"ERROR")</f>
        <v>3637</v>
      </c>
      <c r="D17" s="198">
        <f>IFERROR(VLOOKUP($B17,MMWR_TRAD_AGG_RO_COMP[],D$1,0),"ERROR")</f>
        <v>428.39015672260001</v>
      </c>
      <c r="E17" s="195">
        <f>IFERROR(VLOOKUP($B17,MMWR_TRAD_AGG_RO_COMP[],E$1,0),"ERROR")</f>
        <v>5193</v>
      </c>
      <c r="F17" s="191">
        <f>IFERROR(VLOOKUP($B17,MMWR_TRAD_AGG_RO_COMP[],F$1,0),"ERROR")</f>
        <v>1635</v>
      </c>
      <c r="G17" s="216">
        <f t="shared" si="0"/>
        <v>0.31484690930098208</v>
      </c>
      <c r="H17" s="190">
        <f>IFERROR(VLOOKUP($B17,MMWR_TRAD_AGG_RO_COMP[],H$1,0),"ERROR")</f>
        <v>5128</v>
      </c>
      <c r="I17" s="191">
        <f>IFERROR(VLOOKUP($B17,MMWR_TRAD_AGG_RO_COMP[],I$1,0),"ERROR")</f>
        <v>3563</v>
      </c>
      <c r="J17" s="216">
        <f t="shared" si="1"/>
        <v>0.69481279251170047</v>
      </c>
      <c r="K17" s="204">
        <f>IFERROR(VLOOKUP($B17,MMWR_TRAD_AGG_RO_COMP[],K$1,0),"ERROR")</f>
        <v>466</v>
      </c>
      <c r="L17" s="205">
        <f>IFERROR(VLOOKUP($B17,MMWR_TRAD_AGG_RO_COMP[],L$1,0),"ERROR")</f>
        <v>341</v>
      </c>
      <c r="M17" s="216">
        <f t="shared" si="2"/>
        <v>0.73175965665236054</v>
      </c>
      <c r="N17" s="204">
        <f>IFERROR(VLOOKUP($B17,MMWR_TRAD_AGG_RO_COMP[],N$1,0),"ERROR")</f>
        <v>819</v>
      </c>
      <c r="O17" s="205">
        <f>IFERROR(VLOOKUP($B17,MMWR_TRAD_AGG_RO_COMP[],O$1,0),"ERROR")</f>
        <v>590</v>
      </c>
      <c r="P17" s="216">
        <f t="shared" si="3"/>
        <v>0.72039072039072038</v>
      </c>
      <c r="Q17" s="201">
        <f>IFERROR(VLOOKUP($B17,MMWR_TRAD_AGG_RO_COMP[],Q$1,0),"ERROR")</f>
        <v>0</v>
      </c>
      <c r="R17" s="201">
        <f>IFERROR(VLOOKUP($B17,MMWR_TRAD_AGG_RO_COMP[],R$1,0),"ERROR")</f>
        <v>2</v>
      </c>
      <c r="S17" s="201">
        <f>IFERROR(VLOOKUP($B17,MMWR_APP_RO[],S$1,0),"ERROR")</f>
        <v>5155</v>
      </c>
      <c r="T17" s="25"/>
    </row>
    <row r="18" spans="1:20" x14ac:dyDescent="0.2">
      <c r="A18" s="107"/>
      <c r="B18" s="108" t="s">
        <v>67</v>
      </c>
      <c r="C18" s="209">
        <f>IFERROR(VLOOKUP($B18,MMWR_TRAD_AGG_RO_COMP[],C$1,0),"ERROR")</f>
        <v>707</v>
      </c>
      <c r="D18" s="198">
        <f>IFERROR(VLOOKUP($B18,MMWR_TRAD_AGG_RO_COMP[],D$1,0),"ERROR")</f>
        <v>233.090523338</v>
      </c>
      <c r="E18" s="195">
        <f>IFERROR(VLOOKUP($B18,MMWR_TRAD_AGG_RO_COMP[],E$1,0),"ERROR")</f>
        <v>2049</v>
      </c>
      <c r="F18" s="191">
        <f>IFERROR(VLOOKUP($B18,MMWR_TRAD_AGG_RO_COMP[],F$1,0),"ERROR")</f>
        <v>396</v>
      </c>
      <c r="G18" s="216">
        <f t="shared" si="0"/>
        <v>0.19326500732064422</v>
      </c>
      <c r="H18" s="190">
        <f>IFERROR(VLOOKUP($B18,MMWR_TRAD_AGG_RO_COMP[],H$1,0),"ERROR")</f>
        <v>2474</v>
      </c>
      <c r="I18" s="191">
        <f>IFERROR(VLOOKUP($B18,MMWR_TRAD_AGG_RO_COMP[],I$1,0),"ERROR")</f>
        <v>792</v>
      </c>
      <c r="J18" s="216">
        <f t="shared" si="1"/>
        <v>0.32012934518997577</v>
      </c>
      <c r="K18" s="204">
        <f>IFERROR(VLOOKUP($B18,MMWR_TRAD_AGG_RO_COMP[],K$1,0),"ERROR")</f>
        <v>1562</v>
      </c>
      <c r="L18" s="205">
        <f>IFERROR(VLOOKUP($B18,MMWR_TRAD_AGG_RO_COMP[],L$1,0),"ERROR")</f>
        <v>1490</v>
      </c>
      <c r="M18" s="216">
        <f t="shared" si="2"/>
        <v>0.95390524967989754</v>
      </c>
      <c r="N18" s="204">
        <f>IFERROR(VLOOKUP($B18,MMWR_TRAD_AGG_RO_COMP[],N$1,0),"ERROR")</f>
        <v>422</v>
      </c>
      <c r="O18" s="205">
        <f>IFERROR(VLOOKUP($B18,MMWR_TRAD_AGG_RO_COMP[],O$1,0),"ERROR")</f>
        <v>254</v>
      </c>
      <c r="P18" s="216">
        <f t="shared" si="3"/>
        <v>0.6018957345971564</v>
      </c>
      <c r="Q18" s="201">
        <f>IFERROR(VLOOKUP($B18,MMWR_TRAD_AGG_RO_COMP[],Q$1,0),"ERROR")</f>
        <v>0</v>
      </c>
      <c r="R18" s="201">
        <f>IFERROR(VLOOKUP($B18,MMWR_TRAD_AGG_RO_COMP[],R$1,0),"ERROR")</f>
        <v>0</v>
      </c>
      <c r="S18" s="201">
        <f>IFERROR(VLOOKUP($B18,MMWR_APP_RO[],S$1,0),"ERROR")</f>
        <v>637</v>
      </c>
      <c r="T18" s="25"/>
    </row>
    <row r="19" spans="1:20" x14ac:dyDescent="0.2">
      <c r="A19" s="107"/>
      <c r="B19" s="108" t="s">
        <v>69</v>
      </c>
      <c r="C19" s="209">
        <f>IFERROR(VLOOKUP($B19,MMWR_TRAD_AGG_RO_COMP[],C$1,0),"ERROR")</f>
        <v>17024</v>
      </c>
      <c r="D19" s="198">
        <f>IFERROR(VLOOKUP($B19,MMWR_TRAD_AGG_RO_COMP[],D$1,0),"ERROR")</f>
        <v>394.41647086469999</v>
      </c>
      <c r="E19" s="195">
        <f>IFERROR(VLOOKUP($B19,MMWR_TRAD_AGG_RO_COMP[],E$1,0),"ERROR")</f>
        <v>10897</v>
      </c>
      <c r="F19" s="191">
        <f>IFERROR(VLOOKUP($B19,MMWR_TRAD_AGG_RO_COMP[],F$1,0),"ERROR")</f>
        <v>2207</v>
      </c>
      <c r="G19" s="216">
        <f t="shared" si="0"/>
        <v>0.20253280719464073</v>
      </c>
      <c r="H19" s="190">
        <f>IFERROR(VLOOKUP($B19,MMWR_TRAD_AGG_RO_COMP[],H$1,0),"ERROR")</f>
        <v>20520</v>
      </c>
      <c r="I19" s="191">
        <f>IFERROR(VLOOKUP($B19,MMWR_TRAD_AGG_RO_COMP[],I$1,0),"ERROR")</f>
        <v>13448</v>
      </c>
      <c r="J19" s="216">
        <f t="shared" si="1"/>
        <v>0.65536062378167637</v>
      </c>
      <c r="K19" s="204">
        <f>IFERROR(VLOOKUP($B19,MMWR_TRAD_AGG_RO_COMP[],K$1,0),"ERROR")</f>
        <v>8580</v>
      </c>
      <c r="L19" s="205">
        <f>IFERROR(VLOOKUP($B19,MMWR_TRAD_AGG_RO_COMP[],L$1,0),"ERROR")</f>
        <v>7517</v>
      </c>
      <c r="M19" s="216">
        <f t="shared" si="2"/>
        <v>0.87610722610722613</v>
      </c>
      <c r="N19" s="204">
        <f>IFERROR(VLOOKUP($B19,MMWR_TRAD_AGG_RO_COMP[],N$1,0),"ERROR")</f>
        <v>4510</v>
      </c>
      <c r="O19" s="205">
        <f>IFERROR(VLOOKUP($B19,MMWR_TRAD_AGG_RO_COMP[],O$1,0),"ERROR")</f>
        <v>3929</v>
      </c>
      <c r="P19" s="216">
        <f t="shared" si="3"/>
        <v>0.87117516629711755</v>
      </c>
      <c r="Q19" s="201">
        <f>IFERROR(VLOOKUP($B19,MMWR_TRAD_AGG_RO_COMP[],Q$1,0),"ERROR")</f>
        <v>5</v>
      </c>
      <c r="R19" s="201">
        <f>IFERROR(VLOOKUP($B19,MMWR_TRAD_AGG_RO_COMP[],R$1,0),"ERROR")</f>
        <v>9</v>
      </c>
      <c r="S19" s="201">
        <f>IFERROR(VLOOKUP($B19,MMWR_APP_RO[],S$1,0),"ERROR")</f>
        <v>15161</v>
      </c>
      <c r="T19" s="25"/>
    </row>
    <row r="20" spans="1:20" x14ac:dyDescent="0.2">
      <c r="A20" s="107"/>
      <c r="B20" s="108" t="s">
        <v>78</v>
      </c>
      <c r="C20" s="209">
        <f>IFERROR(VLOOKUP($B20,MMWR_TRAD_AGG_RO_COMP[],C$1,0),"ERROR")</f>
        <v>1194</v>
      </c>
      <c r="D20" s="198">
        <f>IFERROR(VLOOKUP($B20,MMWR_TRAD_AGG_RO_COMP[],D$1,0),"ERROR")</f>
        <v>297.57286432159998</v>
      </c>
      <c r="E20" s="195">
        <f>IFERROR(VLOOKUP($B20,MMWR_TRAD_AGG_RO_COMP[],E$1,0),"ERROR")</f>
        <v>1095</v>
      </c>
      <c r="F20" s="191">
        <f>IFERROR(VLOOKUP($B20,MMWR_TRAD_AGG_RO_COMP[],F$1,0),"ERROR")</f>
        <v>157</v>
      </c>
      <c r="G20" s="216">
        <f t="shared" si="0"/>
        <v>0.14337899543378996</v>
      </c>
      <c r="H20" s="190">
        <f>IFERROR(VLOOKUP($B20,MMWR_TRAD_AGG_RO_COMP[],H$1,0),"ERROR")</f>
        <v>1864</v>
      </c>
      <c r="I20" s="191">
        <f>IFERROR(VLOOKUP($B20,MMWR_TRAD_AGG_RO_COMP[],I$1,0),"ERROR")</f>
        <v>1089</v>
      </c>
      <c r="J20" s="216">
        <f t="shared" si="1"/>
        <v>0.58422746781115875</v>
      </c>
      <c r="K20" s="204">
        <f>IFERROR(VLOOKUP($B20,MMWR_TRAD_AGG_RO_COMP[],K$1,0),"ERROR")</f>
        <v>941</v>
      </c>
      <c r="L20" s="205">
        <f>IFERROR(VLOOKUP($B20,MMWR_TRAD_AGG_RO_COMP[],L$1,0),"ERROR")</f>
        <v>740</v>
      </c>
      <c r="M20" s="216">
        <f t="shared" si="2"/>
        <v>0.78639744952178536</v>
      </c>
      <c r="N20" s="204">
        <f>IFERROR(VLOOKUP($B20,MMWR_TRAD_AGG_RO_COMP[],N$1,0),"ERROR")</f>
        <v>242</v>
      </c>
      <c r="O20" s="205">
        <f>IFERROR(VLOOKUP($B20,MMWR_TRAD_AGG_RO_COMP[],O$1,0),"ERROR")</f>
        <v>190</v>
      </c>
      <c r="P20" s="216">
        <f t="shared" si="3"/>
        <v>0.78512396694214881</v>
      </c>
      <c r="Q20" s="201">
        <f>IFERROR(VLOOKUP($B20,MMWR_TRAD_AGG_RO_COMP[],Q$1,0),"ERROR")</f>
        <v>1</v>
      </c>
      <c r="R20" s="201">
        <f>IFERROR(VLOOKUP($B20,MMWR_TRAD_AGG_RO_COMP[],R$1,0),"ERROR")</f>
        <v>0</v>
      </c>
      <c r="S20" s="201">
        <f>IFERROR(VLOOKUP($B20,MMWR_APP_RO[],S$1,0),"ERROR")</f>
        <v>789</v>
      </c>
      <c r="T20" s="25"/>
    </row>
    <row r="21" spans="1:20" x14ac:dyDescent="0.2">
      <c r="A21" s="107"/>
      <c r="B21" s="108" t="s">
        <v>430</v>
      </c>
      <c r="C21" s="209">
        <f>IFERROR(VLOOKUP($B21,MMWR_TRAD_AGG_RO_COMP[],C$1,0),"ERROR")</f>
        <v>5527</v>
      </c>
      <c r="D21" s="198">
        <f>IFERROR(VLOOKUP($B21,MMWR_TRAD_AGG_RO_COMP[],D$1,0),"ERROR")</f>
        <v>481.90573548039998</v>
      </c>
      <c r="E21" s="195">
        <f>IFERROR(VLOOKUP($B21,MMWR_TRAD_AGG_RO_COMP[],E$1,0),"ERROR")</f>
        <v>723</v>
      </c>
      <c r="F21" s="191">
        <f>IFERROR(VLOOKUP($B21,MMWR_TRAD_AGG_RO_COMP[],F$1,0),"ERROR")</f>
        <v>274</v>
      </c>
      <c r="G21" s="216">
        <f t="shared" si="0"/>
        <v>0.37897648686030427</v>
      </c>
      <c r="H21" s="190">
        <f>IFERROR(VLOOKUP($B21,MMWR_TRAD_AGG_RO_COMP[],H$1,0),"ERROR")</f>
        <v>5878</v>
      </c>
      <c r="I21" s="191">
        <f>IFERROR(VLOOKUP($B21,MMWR_TRAD_AGG_RO_COMP[],I$1,0),"ERROR")</f>
        <v>4839</v>
      </c>
      <c r="J21" s="216">
        <f t="shared" si="1"/>
        <v>0.8232391970057843</v>
      </c>
      <c r="K21" s="204">
        <f>IFERROR(VLOOKUP($B21,MMWR_TRAD_AGG_RO_COMP[],K$1,0),"ERROR")</f>
        <v>1141</v>
      </c>
      <c r="L21" s="205">
        <f>IFERROR(VLOOKUP($B21,MMWR_TRAD_AGG_RO_COMP[],L$1,0),"ERROR")</f>
        <v>759</v>
      </c>
      <c r="M21" s="216">
        <f t="shared" si="2"/>
        <v>0.66520595968448726</v>
      </c>
      <c r="N21" s="204">
        <f>IFERROR(VLOOKUP($B21,MMWR_TRAD_AGG_RO_COMP[],N$1,0),"ERROR")</f>
        <v>1267</v>
      </c>
      <c r="O21" s="205">
        <f>IFERROR(VLOOKUP($B21,MMWR_TRAD_AGG_RO_COMP[],O$1,0),"ERROR")</f>
        <v>1234</v>
      </c>
      <c r="P21" s="216">
        <f t="shared" si="3"/>
        <v>0.97395422257300712</v>
      </c>
      <c r="Q21" s="201">
        <f>IFERROR(VLOOKUP($B21,MMWR_TRAD_AGG_RO_COMP[],Q$1,0),"ERROR")</f>
        <v>0</v>
      </c>
      <c r="R21" s="201">
        <f>IFERROR(VLOOKUP($B21,MMWR_TRAD_AGG_RO_COMP[],R$1,0),"ERROR")</f>
        <v>0</v>
      </c>
      <c r="S21" s="201">
        <f>IFERROR(VLOOKUP($B21,MMWR_APP_RO[],S$1,0),"ERROR")</f>
        <v>29</v>
      </c>
      <c r="T21" s="25"/>
    </row>
    <row r="22" spans="1:20" x14ac:dyDescent="0.2">
      <c r="A22" s="107"/>
      <c r="B22" s="108" t="s">
        <v>135</v>
      </c>
      <c r="C22" s="209">
        <f>IFERROR(VLOOKUP($B22,MMWR_TRAD_AGG_RO_COMP[],C$1,0),"ERROR")</f>
        <v>567</v>
      </c>
      <c r="D22" s="198">
        <f>IFERROR(VLOOKUP($B22,MMWR_TRAD_AGG_RO_COMP[],D$1,0),"ERROR")</f>
        <v>356.5255731922</v>
      </c>
      <c r="E22" s="195">
        <f>IFERROR(VLOOKUP($B22,MMWR_TRAD_AGG_RO_COMP[],E$1,0),"ERROR")</f>
        <v>482</v>
      </c>
      <c r="F22" s="191">
        <f>IFERROR(VLOOKUP($B22,MMWR_TRAD_AGG_RO_COMP[],F$1,0),"ERROR")</f>
        <v>145</v>
      </c>
      <c r="G22" s="216">
        <f t="shared" si="0"/>
        <v>0.30082987551867219</v>
      </c>
      <c r="H22" s="190">
        <f>IFERROR(VLOOKUP($B22,MMWR_TRAD_AGG_RO_COMP[],H$1,0),"ERROR")</f>
        <v>820</v>
      </c>
      <c r="I22" s="191">
        <f>IFERROR(VLOOKUP($B22,MMWR_TRAD_AGG_RO_COMP[],I$1,0),"ERROR")</f>
        <v>476</v>
      </c>
      <c r="J22" s="216">
        <f t="shared" si="1"/>
        <v>0.58048780487804874</v>
      </c>
      <c r="K22" s="204">
        <f>IFERROR(VLOOKUP($B22,MMWR_TRAD_AGG_RO_COMP[],K$1,0),"ERROR")</f>
        <v>152</v>
      </c>
      <c r="L22" s="205">
        <f>IFERROR(VLOOKUP($B22,MMWR_TRAD_AGG_RO_COMP[],L$1,0),"ERROR")</f>
        <v>81</v>
      </c>
      <c r="M22" s="216">
        <f t="shared" si="2"/>
        <v>0.53289473684210531</v>
      </c>
      <c r="N22" s="204">
        <f>IFERROR(VLOOKUP($B22,MMWR_TRAD_AGG_RO_COMP[],N$1,0),"ERROR")</f>
        <v>175</v>
      </c>
      <c r="O22" s="205">
        <f>IFERROR(VLOOKUP($B22,MMWR_TRAD_AGG_RO_COMP[],O$1,0),"ERROR")</f>
        <v>80</v>
      </c>
      <c r="P22" s="216">
        <f t="shared" si="3"/>
        <v>0.45714285714285713</v>
      </c>
      <c r="Q22" s="201">
        <f>IFERROR(VLOOKUP($B22,MMWR_TRAD_AGG_RO_COMP[],Q$1,0),"ERROR")</f>
        <v>0</v>
      </c>
      <c r="R22" s="201">
        <f>IFERROR(VLOOKUP($B22,MMWR_TRAD_AGG_RO_COMP[],R$1,0),"ERROR")</f>
        <v>1</v>
      </c>
      <c r="S22" s="201">
        <f>IFERROR(VLOOKUP($B22,MMWR_APP_RO[],S$1,0),"ERROR")</f>
        <v>206</v>
      </c>
      <c r="T22" s="25"/>
    </row>
    <row r="23" spans="1:20" x14ac:dyDescent="0.2">
      <c r="A23" s="107"/>
      <c r="B23" s="108" t="s">
        <v>82</v>
      </c>
      <c r="C23" s="209">
        <f>IFERROR(VLOOKUP($B23,MMWR_TRAD_AGG_RO_COMP[],C$1,0),"ERROR")</f>
        <v>608</v>
      </c>
      <c r="D23" s="198">
        <f>IFERROR(VLOOKUP($B23,MMWR_TRAD_AGG_RO_COMP[],D$1,0),"ERROR")</f>
        <v>424.86513157889999</v>
      </c>
      <c r="E23" s="195">
        <f>IFERROR(VLOOKUP($B23,MMWR_TRAD_AGG_RO_COMP[],E$1,0),"ERROR")</f>
        <v>719</v>
      </c>
      <c r="F23" s="191">
        <f>IFERROR(VLOOKUP($B23,MMWR_TRAD_AGG_RO_COMP[],F$1,0),"ERROR")</f>
        <v>149</v>
      </c>
      <c r="G23" s="216">
        <f t="shared" si="0"/>
        <v>0.20723226703755215</v>
      </c>
      <c r="H23" s="190">
        <f>IFERROR(VLOOKUP($B23,MMWR_TRAD_AGG_RO_COMP[],H$1,0),"ERROR")</f>
        <v>689</v>
      </c>
      <c r="I23" s="191">
        <f>IFERROR(VLOOKUP($B23,MMWR_TRAD_AGG_RO_COMP[],I$1,0),"ERROR")</f>
        <v>507</v>
      </c>
      <c r="J23" s="216">
        <f t="shared" si="1"/>
        <v>0.73584905660377353</v>
      </c>
      <c r="K23" s="204">
        <f>IFERROR(VLOOKUP($B23,MMWR_TRAD_AGG_RO_COMP[],K$1,0),"ERROR")</f>
        <v>49</v>
      </c>
      <c r="L23" s="205">
        <f>IFERROR(VLOOKUP($B23,MMWR_TRAD_AGG_RO_COMP[],L$1,0),"ERROR")</f>
        <v>47</v>
      </c>
      <c r="M23" s="216">
        <f t="shared" si="2"/>
        <v>0.95918367346938771</v>
      </c>
      <c r="N23" s="204">
        <f>IFERROR(VLOOKUP($B23,MMWR_TRAD_AGG_RO_COMP[],N$1,0),"ERROR")</f>
        <v>83</v>
      </c>
      <c r="O23" s="205">
        <f>IFERROR(VLOOKUP($B23,MMWR_TRAD_AGG_RO_COMP[],O$1,0),"ERROR")</f>
        <v>48</v>
      </c>
      <c r="P23" s="216">
        <f t="shared" si="3"/>
        <v>0.57831325301204817</v>
      </c>
      <c r="Q23" s="201">
        <f>IFERROR(VLOOKUP($B23,MMWR_TRAD_AGG_RO_COMP[],Q$1,0),"ERROR")</f>
        <v>0</v>
      </c>
      <c r="R23" s="201">
        <f>IFERROR(VLOOKUP($B23,MMWR_TRAD_AGG_RO_COMP[],R$1,0),"ERROR")</f>
        <v>0</v>
      </c>
      <c r="S23" s="201">
        <f>IFERROR(VLOOKUP($B23,MMWR_APP_RO[],S$1,0),"ERROR")</f>
        <v>170</v>
      </c>
      <c r="T23" s="25"/>
    </row>
    <row r="24" spans="1:20" x14ac:dyDescent="0.2">
      <c r="A24" s="92"/>
      <c r="B24" s="116" t="s">
        <v>83</v>
      </c>
      <c r="C24" s="210">
        <f>IFERROR(VLOOKUP($B24,MMWR_TRAD_AGG_RO_COMP[],C$1,0),"ERROR")</f>
        <v>17595</v>
      </c>
      <c r="D24" s="199">
        <f>IFERROR(VLOOKUP($B24,MMWR_TRAD_AGG_RO_COMP[],D$1,0),"ERROR")</f>
        <v>320.03648763849998</v>
      </c>
      <c r="E24" s="196">
        <f>IFERROR(VLOOKUP($B24,MMWR_TRAD_AGG_RO_COMP[],E$1,0),"ERROR")</f>
        <v>17828</v>
      </c>
      <c r="F24" s="193">
        <f>IFERROR(VLOOKUP($B24,MMWR_TRAD_AGG_RO_COMP[],F$1,0),"ERROR")</f>
        <v>4619</v>
      </c>
      <c r="G24" s="217">
        <f t="shared" si="0"/>
        <v>0.25908682970608032</v>
      </c>
      <c r="H24" s="192">
        <f>IFERROR(VLOOKUP($B24,MMWR_TRAD_AGG_RO_COMP[],H$1,0),"ERROR")</f>
        <v>26879</v>
      </c>
      <c r="I24" s="193">
        <f>IFERROR(VLOOKUP($B24,MMWR_TRAD_AGG_RO_COMP[],I$1,0),"ERROR")</f>
        <v>19569</v>
      </c>
      <c r="J24" s="217">
        <f t="shared" si="1"/>
        <v>0.72804047769634284</v>
      </c>
      <c r="K24" s="206">
        <f>IFERROR(VLOOKUP($B24,MMWR_TRAD_AGG_RO_COMP[],K$1,0),"ERROR")</f>
        <v>12305</v>
      </c>
      <c r="L24" s="207">
        <f>IFERROR(VLOOKUP($B24,MMWR_TRAD_AGG_RO_COMP[],L$1,0),"ERROR")</f>
        <v>9391</v>
      </c>
      <c r="M24" s="217">
        <f t="shared" si="2"/>
        <v>0.76318569687119053</v>
      </c>
      <c r="N24" s="206">
        <f>IFERROR(VLOOKUP($B24,MMWR_TRAD_AGG_RO_COMP[],N$1,0),"ERROR")</f>
        <v>4258</v>
      </c>
      <c r="O24" s="207">
        <f>IFERROR(VLOOKUP($B24,MMWR_TRAD_AGG_RO_COMP[],O$1,0),"ERROR")</f>
        <v>3110</v>
      </c>
      <c r="P24" s="217">
        <f t="shared" si="3"/>
        <v>0.73038985439173321</v>
      </c>
      <c r="Q24" s="202">
        <f>IFERROR(VLOOKUP($B24,MMWR_TRAD_AGG_RO_COMP[],Q$1,0),"ERROR")</f>
        <v>1</v>
      </c>
      <c r="R24" s="202">
        <f>IFERROR(VLOOKUP($B24,MMWR_TRAD_AGG_RO_COMP[],R$1,0),"ERROR")</f>
        <v>16</v>
      </c>
      <c r="S24" s="201">
        <f>IFERROR(VLOOKUP($B24,MMWR_APP_RO[],S$1,0),"ERROR")</f>
        <v>8629</v>
      </c>
      <c r="T24" s="25"/>
    </row>
    <row r="25" spans="1:20" x14ac:dyDescent="0.2">
      <c r="A25" s="107"/>
      <c r="B25" s="101" t="s">
        <v>390</v>
      </c>
      <c r="C25" s="212">
        <f>IFERROR(VLOOKUP($B25,MMWR_TRAD_AGG_DISTRICT_COMP[],C$1,0),"ERROR")</f>
        <v>34101</v>
      </c>
      <c r="D25" s="197">
        <f>IFERROR(VLOOKUP($B25,MMWR_TRAD_AGG_DISTRICT_COMP[],D$1,0),"ERROR")</f>
        <v>351.66745843230001</v>
      </c>
      <c r="E25" s="213">
        <f>IFERROR(VLOOKUP($B25,MMWR_TRAD_AGG_DISTRICT_COMP[],E$1,0),"ERROR")</f>
        <v>55816</v>
      </c>
      <c r="F25" s="218">
        <f>IFERROR(VLOOKUP($B25,MMWR_TRAD_AGG_DISTRICT_COMP[],F$1,0),"ERROR")</f>
        <v>10062</v>
      </c>
      <c r="G25" s="214">
        <f t="shared" si="0"/>
        <v>0.18027089006736419</v>
      </c>
      <c r="H25" s="218">
        <f>IFERROR(VLOOKUP($B25,MMWR_TRAD_AGG_DISTRICT_COMP[],H$1,0),"ERROR")</f>
        <v>57102</v>
      </c>
      <c r="I25" s="218">
        <f>IFERROR(VLOOKUP($B25,MMWR_TRAD_AGG_DISTRICT_COMP[],I$1,0),"ERROR")</f>
        <v>32037</v>
      </c>
      <c r="J25" s="214">
        <f t="shared" si="1"/>
        <v>0.56104864978459601</v>
      </c>
      <c r="K25" s="212">
        <f>IFERROR(VLOOKUP($B25,MMWR_TRAD_AGG_DISTRICT_COMP[],K$1,0),"ERROR")</f>
        <v>16670</v>
      </c>
      <c r="L25" s="212">
        <f>IFERROR(VLOOKUP($B25,MMWR_TRAD_AGG_DISTRICT_COMP[],L$1,0),"ERROR")</f>
        <v>12706</v>
      </c>
      <c r="M25" s="214">
        <f t="shared" si="2"/>
        <v>0.76220755848830235</v>
      </c>
      <c r="N25" s="212">
        <f>IFERROR(VLOOKUP($B25,MMWR_TRAD_AGG_DISTRICT_COMP[],N$1,0),"ERROR")</f>
        <v>12888</v>
      </c>
      <c r="O25" s="212">
        <f>IFERROR(VLOOKUP($B25,MMWR_TRAD_AGG_DISTRICT_COMP[],O$1,0),"ERROR")</f>
        <v>8291</v>
      </c>
      <c r="P25" s="214">
        <f t="shared" si="3"/>
        <v>0.64331160769708251</v>
      </c>
      <c r="Q25" s="212">
        <f>IFERROR(VLOOKUP($B25,MMWR_TRAD_AGG_DISTRICT_COMP[],Q$1,0),"ERROR")</f>
        <v>8585</v>
      </c>
      <c r="R25" s="215">
        <f>IFERROR(VLOOKUP($B25,MMWR_TRAD_AGG_DISTRICT_COMP[],R$1,0),"ERROR")</f>
        <v>1062</v>
      </c>
      <c r="S25" s="215">
        <f>IFERROR(VLOOKUP($B25,MMWR_APP_RO[],S$1,0),"ERROR")</f>
        <v>52884</v>
      </c>
      <c r="T25" s="25"/>
    </row>
    <row r="26" spans="1:20" x14ac:dyDescent="0.2">
      <c r="A26" s="107"/>
      <c r="B26" s="108" t="s">
        <v>37</v>
      </c>
      <c r="C26" s="209">
        <f>IFERROR(VLOOKUP($B26,MMWR_TRAD_AGG_RO_COMP[],C$1,0),"ERROR")</f>
        <v>4970</v>
      </c>
      <c r="D26" s="198">
        <f>IFERROR(VLOOKUP($B26,MMWR_TRAD_AGG_RO_COMP[],D$1,0),"ERROR")</f>
        <v>510.2219315895</v>
      </c>
      <c r="E26" s="195">
        <f>IFERROR(VLOOKUP($B26,MMWR_TRAD_AGG_RO_COMP[],E$1,0),"ERROR")</f>
        <v>6525</v>
      </c>
      <c r="F26" s="191">
        <f>IFERROR(VLOOKUP($B26,MMWR_TRAD_AGG_RO_COMP[],F$1,0),"ERROR")</f>
        <v>1390</v>
      </c>
      <c r="G26" s="216">
        <f t="shared" si="0"/>
        <v>0.21302681992337164</v>
      </c>
      <c r="H26" s="190">
        <f>IFERROR(VLOOKUP($B26,MMWR_TRAD_AGG_RO_COMP[],H$1,0),"ERROR")</f>
        <v>6449</v>
      </c>
      <c r="I26" s="191">
        <f>IFERROR(VLOOKUP($B26,MMWR_TRAD_AGG_RO_COMP[],I$1,0),"ERROR")</f>
        <v>4638</v>
      </c>
      <c r="J26" s="216">
        <f t="shared" si="1"/>
        <v>0.71918126841370755</v>
      </c>
      <c r="K26" s="204">
        <f>IFERROR(VLOOKUP($B26,MMWR_TRAD_AGG_RO_COMP[],K$1,0),"ERROR")</f>
        <v>1764</v>
      </c>
      <c r="L26" s="205">
        <f>IFERROR(VLOOKUP($B26,MMWR_TRAD_AGG_RO_COMP[],L$1,0),"ERROR")</f>
        <v>1639</v>
      </c>
      <c r="M26" s="216">
        <f t="shared" si="2"/>
        <v>0.92913832199546487</v>
      </c>
      <c r="N26" s="204">
        <f>IFERROR(VLOOKUP($B26,MMWR_TRAD_AGG_RO_COMP[],N$1,0),"ERROR")</f>
        <v>1451</v>
      </c>
      <c r="O26" s="205">
        <f>IFERROR(VLOOKUP($B26,MMWR_TRAD_AGG_RO_COMP[],O$1,0),"ERROR")</f>
        <v>850</v>
      </c>
      <c r="P26" s="216">
        <f t="shared" si="3"/>
        <v>0.58580289455547896</v>
      </c>
      <c r="Q26" s="201">
        <f>IFERROR(VLOOKUP($B26,MMWR_TRAD_AGG_RO_COMP[],Q$1,0),"ERROR")</f>
        <v>0</v>
      </c>
      <c r="R26" s="201">
        <f>IFERROR(VLOOKUP($B26,MMWR_TRAD_AGG_RO_COMP[],R$1,0),"ERROR")</f>
        <v>215</v>
      </c>
      <c r="S26" s="201">
        <f>IFERROR(VLOOKUP($B26,MMWR_APP_RO[],S$1,0),"ERROR")</f>
        <v>8295</v>
      </c>
      <c r="T26" s="25"/>
    </row>
    <row r="27" spans="1:20" x14ac:dyDescent="0.2">
      <c r="A27" s="107"/>
      <c r="B27" s="108" t="s">
        <v>38</v>
      </c>
      <c r="C27" s="209">
        <f>IFERROR(VLOOKUP($B27,MMWR_TRAD_AGG_RO_COMP[],C$1,0),"ERROR")</f>
        <v>4194</v>
      </c>
      <c r="D27" s="198">
        <f>IFERROR(VLOOKUP($B27,MMWR_TRAD_AGG_RO_COMP[],D$1,0),"ERROR")</f>
        <v>431.05340963280003</v>
      </c>
      <c r="E27" s="195">
        <f>IFERROR(VLOOKUP($B27,MMWR_TRAD_AGG_RO_COMP[],E$1,0),"ERROR")</f>
        <v>7438</v>
      </c>
      <c r="F27" s="191">
        <f>IFERROR(VLOOKUP($B27,MMWR_TRAD_AGG_RO_COMP[],F$1,0),"ERROR")</f>
        <v>1301</v>
      </c>
      <c r="G27" s="216">
        <f t="shared" si="0"/>
        <v>0.17491261091691315</v>
      </c>
      <c r="H27" s="190">
        <f>IFERROR(VLOOKUP($B27,MMWR_TRAD_AGG_RO_COMP[],H$1,0),"ERROR")</f>
        <v>6142</v>
      </c>
      <c r="I27" s="191">
        <f>IFERROR(VLOOKUP($B27,MMWR_TRAD_AGG_RO_COMP[],I$1,0),"ERROR")</f>
        <v>3585</v>
      </c>
      <c r="J27" s="216">
        <f t="shared" si="1"/>
        <v>0.58368609573428853</v>
      </c>
      <c r="K27" s="204">
        <f>IFERROR(VLOOKUP($B27,MMWR_TRAD_AGG_RO_COMP[],K$1,0),"ERROR")</f>
        <v>1702</v>
      </c>
      <c r="L27" s="205">
        <f>IFERROR(VLOOKUP($B27,MMWR_TRAD_AGG_RO_COMP[],L$1,0),"ERROR")</f>
        <v>1493</v>
      </c>
      <c r="M27" s="216">
        <f t="shared" si="2"/>
        <v>0.87720329024676846</v>
      </c>
      <c r="N27" s="204">
        <f>IFERROR(VLOOKUP($B27,MMWR_TRAD_AGG_RO_COMP[],N$1,0),"ERROR")</f>
        <v>2803</v>
      </c>
      <c r="O27" s="205">
        <f>IFERROR(VLOOKUP($B27,MMWR_TRAD_AGG_RO_COMP[],O$1,0),"ERROR")</f>
        <v>2202</v>
      </c>
      <c r="P27" s="216">
        <f t="shared" si="3"/>
        <v>0.7855868712094185</v>
      </c>
      <c r="Q27" s="201">
        <f>IFERROR(VLOOKUP($B27,MMWR_TRAD_AGG_RO_COMP[],Q$1,0),"ERROR")</f>
        <v>1</v>
      </c>
      <c r="R27" s="201">
        <f>IFERROR(VLOOKUP($B27,MMWR_TRAD_AGG_RO_COMP[],R$1,0),"ERROR")</f>
        <v>328</v>
      </c>
      <c r="S27" s="201">
        <f>IFERROR(VLOOKUP($B27,MMWR_APP_RO[],S$1,0),"ERROR")</f>
        <v>12777</v>
      </c>
      <c r="T27" s="25"/>
    </row>
    <row r="28" spans="1:20" x14ac:dyDescent="0.2">
      <c r="A28" s="107"/>
      <c r="B28" s="108" t="s">
        <v>41</v>
      </c>
      <c r="C28" s="209">
        <f>IFERROR(VLOOKUP($B28,MMWR_TRAD_AGG_RO_COMP[],C$1,0),"ERROR")</f>
        <v>671</v>
      </c>
      <c r="D28" s="198">
        <f>IFERROR(VLOOKUP($B28,MMWR_TRAD_AGG_RO_COMP[],D$1,0),"ERROR")</f>
        <v>120.3323397914</v>
      </c>
      <c r="E28" s="195">
        <f>IFERROR(VLOOKUP($B28,MMWR_TRAD_AGG_RO_COMP[],E$1,0),"ERROR")</f>
        <v>2254</v>
      </c>
      <c r="F28" s="191">
        <f>IFERROR(VLOOKUP($B28,MMWR_TRAD_AGG_RO_COMP[],F$1,0),"ERROR")</f>
        <v>341</v>
      </c>
      <c r="G28" s="216">
        <f t="shared" si="0"/>
        <v>0.15128660159716059</v>
      </c>
      <c r="H28" s="190">
        <f>IFERROR(VLOOKUP($B28,MMWR_TRAD_AGG_RO_COMP[],H$1,0),"ERROR")</f>
        <v>972</v>
      </c>
      <c r="I28" s="191">
        <f>IFERROR(VLOOKUP($B28,MMWR_TRAD_AGG_RO_COMP[],I$1,0),"ERROR")</f>
        <v>267</v>
      </c>
      <c r="J28" s="216">
        <f t="shared" si="1"/>
        <v>0.27469135802469136</v>
      </c>
      <c r="K28" s="204">
        <f>IFERROR(VLOOKUP($B28,MMWR_TRAD_AGG_RO_COMP[],K$1,0),"ERROR")</f>
        <v>154</v>
      </c>
      <c r="L28" s="205">
        <f>IFERROR(VLOOKUP($B28,MMWR_TRAD_AGG_RO_COMP[],L$1,0),"ERROR")</f>
        <v>81</v>
      </c>
      <c r="M28" s="216">
        <f t="shared" si="2"/>
        <v>0.52597402597402598</v>
      </c>
      <c r="N28" s="204">
        <f>IFERROR(VLOOKUP($B28,MMWR_TRAD_AGG_RO_COMP[],N$1,0),"ERROR")</f>
        <v>178</v>
      </c>
      <c r="O28" s="205">
        <f>IFERROR(VLOOKUP($B28,MMWR_TRAD_AGG_RO_COMP[],O$1,0),"ERROR")</f>
        <v>108</v>
      </c>
      <c r="P28" s="216">
        <f t="shared" si="3"/>
        <v>0.6067415730337079</v>
      </c>
      <c r="Q28" s="201">
        <f>IFERROR(VLOOKUP($B28,MMWR_TRAD_AGG_RO_COMP[],Q$1,0),"ERROR")</f>
        <v>0</v>
      </c>
      <c r="R28" s="201">
        <f>IFERROR(VLOOKUP($B28,MMWR_TRAD_AGG_RO_COMP[],R$1,0),"ERROR")</f>
        <v>8</v>
      </c>
      <c r="S28" s="201">
        <f>IFERROR(VLOOKUP($B28,MMWR_APP_RO[],S$1,0),"ERROR")</f>
        <v>1490</v>
      </c>
      <c r="T28" s="25"/>
    </row>
    <row r="29" spans="1:20" x14ac:dyDescent="0.2">
      <c r="A29" s="107"/>
      <c r="B29" s="108" t="s">
        <v>42</v>
      </c>
      <c r="C29" s="209">
        <f>IFERROR(VLOOKUP($B29,MMWR_TRAD_AGG_RO_COMP[],C$1,0),"ERROR")</f>
        <v>3065</v>
      </c>
      <c r="D29" s="198">
        <f>IFERROR(VLOOKUP($B29,MMWR_TRAD_AGG_RO_COMP[],D$1,0),"ERROR")</f>
        <v>342.29298531810002</v>
      </c>
      <c r="E29" s="195">
        <f>IFERROR(VLOOKUP($B29,MMWR_TRAD_AGG_RO_COMP[],E$1,0),"ERROR")</f>
        <v>7322</v>
      </c>
      <c r="F29" s="191">
        <f>IFERROR(VLOOKUP($B29,MMWR_TRAD_AGG_RO_COMP[],F$1,0),"ERROR")</f>
        <v>1911</v>
      </c>
      <c r="G29" s="216">
        <f t="shared" si="0"/>
        <v>0.26099426386233271</v>
      </c>
      <c r="H29" s="190">
        <f>IFERROR(VLOOKUP($B29,MMWR_TRAD_AGG_RO_COMP[],H$1,0),"ERROR")</f>
        <v>8547</v>
      </c>
      <c r="I29" s="191">
        <f>IFERROR(VLOOKUP($B29,MMWR_TRAD_AGG_RO_COMP[],I$1,0),"ERROR")</f>
        <v>4223</v>
      </c>
      <c r="J29" s="216">
        <f t="shared" si="1"/>
        <v>0.49409149409149411</v>
      </c>
      <c r="K29" s="204">
        <f>IFERROR(VLOOKUP($B29,MMWR_TRAD_AGG_RO_COMP[],K$1,0),"ERROR")</f>
        <v>2574</v>
      </c>
      <c r="L29" s="205">
        <f>IFERROR(VLOOKUP($B29,MMWR_TRAD_AGG_RO_COMP[],L$1,0),"ERROR")</f>
        <v>2156</v>
      </c>
      <c r="M29" s="216">
        <f t="shared" si="2"/>
        <v>0.83760683760683763</v>
      </c>
      <c r="N29" s="204">
        <f>IFERROR(VLOOKUP($B29,MMWR_TRAD_AGG_RO_COMP[],N$1,0),"ERROR")</f>
        <v>1820</v>
      </c>
      <c r="O29" s="205">
        <f>IFERROR(VLOOKUP($B29,MMWR_TRAD_AGG_RO_COMP[],O$1,0),"ERROR")</f>
        <v>498</v>
      </c>
      <c r="P29" s="216">
        <f t="shared" si="3"/>
        <v>0.27362637362637365</v>
      </c>
      <c r="Q29" s="201">
        <f>IFERROR(VLOOKUP($B29,MMWR_TRAD_AGG_RO_COMP[],Q$1,0),"ERROR")</f>
        <v>2</v>
      </c>
      <c r="R29" s="201">
        <f>IFERROR(VLOOKUP($B29,MMWR_TRAD_AGG_RO_COMP[],R$1,0),"ERROR")</f>
        <v>216</v>
      </c>
      <c r="S29" s="201">
        <f>IFERROR(VLOOKUP($B29,MMWR_APP_RO[],S$1,0),"ERROR")</f>
        <v>5546</v>
      </c>
      <c r="T29" s="25"/>
    </row>
    <row r="30" spans="1:20" x14ac:dyDescent="0.2">
      <c r="A30" s="107"/>
      <c r="B30" s="108" t="s">
        <v>43</v>
      </c>
      <c r="C30" s="209">
        <f>IFERROR(VLOOKUP($B30,MMWR_TRAD_AGG_RO_COMP[],C$1,0),"ERROR")</f>
        <v>144</v>
      </c>
      <c r="D30" s="198">
        <f>IFERROR(VLOOKUP($B30,MMWR_TRAD_AGG_RO_COMP[],D$1,0),"ERROR")</f>
        <v>104.80555555559999</v>
      </c>
      <c r="E30" s="195">
        <f>IFERROR(VLOOKUP($B30,MMWR_TRAD_AGG_RO_COMP[],E$1,0),"ERROR")</f>
        <v>773</v>
      </c>
      <c r="F30" s="191">
        <f>IFERROR(VLOOKUP($B30,MMWR_TRAD_AGG_RO_COMP[],F$1,0),"ERROR")</f>
        <v>132</v>
      </c>
      <c r="G30" s="216">
        <f t="shared" si="0"/>
        <v>0.17076326002587322</v>
      </c>
      <c r="H30" s="190">
        <f>IFERROR(VLOOKUP($B30,MMWR_TRAD_AGG_RO_COMP[],H$1,0),"ERROR")</f>
        <v>287</v>
      </c>
      <c r="I30" s="191">
        <f>IFERROR(VLOOKUP($B30,MMWR_TRAD_AGG_RO_COMP[],I$1,0),"ERROR")</f>
        <v>18</v>
      </c>
      <c r="J30" s="216">
        <f t="shared" si="1"/>
        <v>6.2717770034843204E-2</v>
      </c>
      <c r="K30" s="204">
        <f>IFERROR(VLOOKUP($B30,MMWR_TRAD_AGG_RO_COMP[],K$1,0),"ERROR")</f>
        <v>117</v>
      </c>
      <c r="L30" s="205">
        <f>IFERROR(VLOOKUP($B30,MMWR_TRAD_AGG_RO_COMP[],L$1,0),"ERROR")</f>
        <v>40</v>
      </c>
      <c r="M30" s="216">
        <f t="shared" si="2"/>
        <v>0.34188034188034189</v>
      </c>
      <c r="N30" s="204">
        <f>IFERROR(VLOOKUP($B30,MMWR_TRAD_AGG_RO_COMP[],N$1,0),"ERROR")</f>
        <v>78</v>
      </c>
      <c r="O30" s="205">
        <f>IFERROR(VLOOKUP($B30,MMWR_TRAD_AGG_RO_COMP[],O$1,0),"ERROR")</f>
        <v>44</v>
      </c>
      <c r="P30" s="216">
        <f t="shared" si="3"/>
        <v>0.5641025641025641</v>
      </c>
      <c r="Q30" s="201">
        <f>IFERROR(VLOOKUP($B30,MMWR_TRAD_AGG_RO_COMP[],Q$1,0),"ERROR")</f>
        <v>0</v>
      </c>
      <c r="R30" s="201">
        <f>IFERROR(VLOOKUP($B30,MMWR_TRAD_AGG_RO_COMP[],R$1,0),"ERROR")</f>
        <v>0</v>
      </c>
      <c r="S30" s="201">
        <f>IFERROR(VLOOKUP($B30,MMWR_APP_RO[],S$1,0),"ERROR")</f>
        <v>593</v>
      </c>
      <c r="T30" s="25"/>
    </row>
    <row r="31" spans="1:20" x14ac:dyDescent="0.2">
      <c r="A31" s="107"/>
      <c r="B31" s="108" t="s">
        <v>48</v>
      </c>
      <c r="C31" s="209">
        <f>IFERROR(VLOOKUP($B31,MMWR_TRAD_AGG_RO_COMP[],C$1,0),"ERROR")</f>
        <v>6273</v>
      </c>
      <c r="D31" s="198">
        <f>IFERROR(VLOOKUP($B31,MMWR_TRAD_AGG_RO_COMP[],D$1,0),"ERROR")</f>
        <v>572.99888410649999</v>
      </c>
      <c r="E31" s="195">
        <f>IFERROR(VLOOKUP($B31,MMWR_TRAD_AGG_RO_COMP[],E$1,0),"ERROR")</f>
        <v>4385</v>
      </c>
      <c r="F31" s="191">
        <f>IFERROR(VLOOKUP($B31,MMWR_TRAD_AGG_RO_COMP[],F$1,0),"ERROR")</f>
        <v>797</v>
      </c>
      <c r="G31" s="216">
        <f t="shared" si="0"/>
        <v>0.18175598631698975</v>
      </c>
      <c r="H31" s="190">
        <f>IFERROR(VLOOKUP($B31,MMWR_TRAD_AGG_RO_COMP[],H$1,0),"ERROR")</f>
        <v>9985</v>
      </c>
      <c r="I31" s="191">
        <f>IFERROR(VLOOKUP($B31,MMWR_TRAD_AGG_RO_COMP[],I$1,0),"ERROR")</f>
        <v>7777</v>
      </c>
      <c r="J31" s="216">
        <f t="shared" si="1"/>
        <v>0.77886830245368055</v>
      </c>
      <c r="K31" s="204">
        <f>IFERROR(VLOOKUP($B31,MMWR_TRAD_AGG_RO_COMP[],K$1,0),"ERROR")</f>
        <v>2155</v>
      </c>
      <c r="L31" s="205">
        <f>IFERROR(VLOOKUP($B31,MMWR_TRAD_AGG_RO_COMP[],L$1,0),"ERROR")</f>
        <v>1594</v>
      </c>
      <c r="M31" s="216">
        <f t="shared" si="2"/>
        <v>0.73967517401392113</v>
      </c>
      <c r="N31" s="204">
        <f>IFERROR(VLOOKUP($B31,MMWR_TRAD_AGG_RO_COMP[],N$1,0),"ERROR")</f>
        <v>2307</v>
      </c>
      <c r="O31" s="205">
        <f>IFERROR(VLOOKUP($B31,MMWR_TRAD_AGG_RO_COMP[],O$1,0),"ERROR")</f>
        <v>1655</v>
      </c>
      <c r="P31" s="216">
        <f t="shared" si="3"/>
        <v>0.71738188123103597</v>
      </c>
      <c r="Q31" s="201">
        <f>IFERROR(VLOOKUP($B31,MMWR_TRAD_AGG_RO_COMP[],Q$1,0),"ERROR")</f>
        <v>1</v>
      </c>
      <c r="R31" s="201">
        <f>IFERROR(VLOOKUP($B31,MMWR_TRAD_AGG_RO_COMP[],R$1,0),"ERROR")</f>
        <v>231</v>
      </c>
      <c r="S31" s="201">
        <f>IFERROR(VLOOKUP($B31,MMWR_APP_RO[],S$1,0),"ERROR")</f>
        <v>8074</v>
      </c>
      <c r="T31" s="25"/>
    </row>
    <row r="32" spans="1:20" x14ac:dyDescent="0.2">
      <c r="A32" s="107"/>
      <c r="B32" s="108" t="s">
        <v>50</v>
      </c>
      <c r="C32" s="209">
        <f>IFERROR(VLOOKUP($B32,MMWR_TRAD_AGG_RO_COMP[],C$1,0),"ERROR")</f>
        <v>1791</v>
      </c>
      <c r="D32" s="198">
        <f>IFERROR(VLOOKUP($B32,MMWR_TRAD_AGG_RO_COMP[],D$1,0),"ERROR")</f>
        <v>136.55164712449999</v>
      </c>
      <c r="E32" s="195">
        <f>IFERROR(VLOOKUP($B32,MMWR_TRAD_AGG_RO_COMP[],E$1,0),"ERROR")</f>
        <v>1717</v>
      </c>
      <c r="F32" s="191">
        <f>IFERROR(VLOOKUP($B32,MMWR_TRAD_AGG_RO_COMP[],F$1,0),"ERROR")</f>
        <v>211</v>
      </c>
      <c r="G32" s="216">
        <f t="shared" si="0"/>
        <v>0.12288875946418171</v>
      </c>
      <c r="H32" s="190">
        <f>IFERROR(VLOOKUP($B32,MMWR_TRAD_AGG_RO_COMP[],H$1,0),"ERROR")</f>
        <v>2756</v>
      </c>
      <c r="I32" s="191">
        <f>IFERROR(VLOOKUP($B32,MMWR_TRAD_AGG_RO_COMP[],I$1,0),"ERROR")</f>
        <v>1128</v>
      </c>
      <c r="J32" s="216">
        <f t="shared" si="1"/>
        <v>0.409288824383164</v>
      </c>
      <c r="K32" s="204">
        <f>IFERROR(VLOOKUP($B32,MMWR_TRAD_AGG_RO_COMP[],K$1,0),"ERROR")</f>
        <v>823</v>
      </c>
      <c r="L32" s="205">
        <f>IFERROR(VLOOKUP($B32,MMWR_TRAD_AGG_RO_COMP[],L$1,0),"ERROR")</f>
        <v>563</v>
      </c>
      <c r="M32" s="216">
        <f t="shared" si="2"/>
        <v>0.68408262454434998</v>
      </c>
      <c r="N32" s="204">
        <f>IFERROR(VLOOKUP($B32,MMWR_TRAD_AGG_RO_COMP[],N$1,0),"ERROR")</f>
        <v>575</v>
      </c>
      <c r="O32" s="205">
        <f>IFERROR(VLOOKUP($B32,MMWR_TRAD_AGG_RO_COMP[],O$1,0),"ERROR")</f>
        <v>377</v>
      </c>
      <c r="P32" s="216">
        <f t="shared" si="3"/>
        <v>0.65565217391304342</v>
      </c>
      <c r="Q32" s="201">
        <f>IFERROR(VLOOKUP($B32,MMWR_TRAD_AGG_RO_COMP[],Q$1,0),"ERROR")</f>
        <v>1</v>
      </c>
      <c r="R32" s="201">
        <f>IFERROR(VLOOKUP($B32,MMWR_TRAD_AGG_RO_COMP[],R$1,0),"ERROR")</f>
        <v>18</v>
      </c>
      <c r="S32" s="201">
        <f>IFERROR(VLOOKUP($B32,MMWR_APP_RO[],S$1,0),"ERROR")</f>
        <v>1133</v>
      </c>
      <c r="T32" s="25"/>
    </row>
    <row r="33" spans="1:20" x14ac:dyDescent="0.2">
      <c r="A33" s="107"/>
      <c r="B33" s="108" t="s">
        <v>56</v>
      </c>
      <c r="C33" s="209">
        <f>IFERROR(VLOOKUP($B33,MMWR_TRAD_AGG_RO_COMP[],C$1,0),"ERROR")</f>
        <v>4354</v>
      </c>
      <c r="D33" s="198">
        <f>IFERROR(VLOOKUP($B33,MMWR_TRAD_AGG_RO_COMP[],D$1,0),"ERROR")</f>
        <v>191.94970142400001</v>
      </c>
      <c r="E33" s="195">
        <f>IFERROR(VLOOKUP($B33,MMWR_TRAD_AGG_RO_COMP[],E$1,0),"ERROR")</f>
        <v>6246</v>
      </c>
      <c r="F33" s="191">
        <f>IFERROR(VLOOKUP($B33,MMWR_TRAD_AGG_RO_COMP[],F$1,0),"ERROR")</f>
        <v>873</v>
      </c>
      <c r="G33" s="216">
        <f t="shared" si="0"/>
        <v>0.13976945244956773</v>
      </c>
      <c r="H33" s="190">
        <f>IFERROR(VLOOKUP($B33,MMWR_TRAD_AGG_RO_COMP[],H$1,0),"ERROR")</f>
        <v>5729</v>
      </c>
      <c r="I33" s="191">
        <f>IFERROR(VLOOKUP($B33,MMWR_TRAD_AGG_RO_COMP[],I$1,0),"ERROR")</f>
        <v>2533</v>
      </c>
      <c r="J33" s="216">
        <f t="shared" si="1"/>
        <v>0.44213649851632048</v>
      </c>
      <c r="K33" s="204">
        <f>IFERROR(VLOOKUP($B33,MMWR_TRAD_AGG_RO_COMP[],K$1,0),"ERROR")</f>
        <v>712</v>
      </c>
      <c r="L33" s="205">
        <f>IFERROR(VLOOKUP($B33,MMWR_TRAD_AGG_RO_COMP[],L$1,0),"ERROR")</f>
        <v>515</v>
      </c>
      <c r="M33" s="216">
        <f t="shared" si="2"/>
        <v>0.723314606741573</v>
      </c>
      <c r="N33" s="204">
        <f>IFERROR(VLOOKUP($B33,MMWR_TRAD_AGG_RO_COMP[],N$1,0),"ERROR")</f>
        <v>654</v>
      </c>
      <c r="O33" s="205">
        <f>IFERROR(VLOOKUP($B33,MMWR_TRAD_AGG_RO_COMP[],O$1,0),"ERROR")</f>
        <v>348</v>
      </c>
      <c r="P33" s="216">
        <f t="shared" si="3"/>
        <v>0.5321100917431193</v>
      </c>
      <c r="Q33" s="201">
        <f>IFERROR(VLOOKUP($B33,MMWR_TRAD_AGG_RO_COMP[],Q$1,0),"ERROR")</f>
        <v>8541</v>
      </c>
      <c r="R33" s="201">
        <f>IFERROR(VLOOKUP($B33,MMWR_TRAD_AGG_RO_COMP[],R$1,0),"ERROR")</f>
        <v>0</v>
      </c>
      <c r="S33" s="201">
        <f>IFERROR(VLOOKUP($B33,MMWR_APP_RO[],S$1,0),"ERROR")</f>
        <v>3179</v>
      </c>
      <c r="T33" s="25"/>
    </row>
    <row r="34" spans="1:20" x14ac:dyDescent="0.2">
      <c r="A34" s="107"/>
      <c r="B34" s="108" t="s">
        <v>74</v>
      </c>
      <c r="C34" s="209">
        <f>IFERROR(VLOOKUP($B34,MMWR_TRAD_AGG_RO_COMP[],C$1,0),"ERROR")</f>
        <v>236</v>
      </c>
      <c r="D34" s="198">
        <f>IFERROR(VLOOKUP($B34,MMWR_TRAD_AGG_RO_COMP[],D$1,0),"ERROR")</f>
        <v>162.7838983051</v>
      </c>
      <c r="E34" s="195">
        <f>IFERROR(VLOOKUP($B34,MMWR_TRAD_AGG_RO_COMP[],E$1,0),"ERROR")</f>
        <v>965</v>
      </c>
      <c r="F34" s="191">
        <f>IFERROR(VLOOKUP($B34,MMWR_TRAD_AGG_RO_COMP[],F$1,0),"ERROR")</f>
        <v>231</v>
      </c>
      <c r="G34" s="216">
        <f t="shared" si="0"/>
        <v>0.23937823834196892</v>
      </c>
      <c r="H34" s="190">
        <f>IFERROR(VLOOKUP($B34,MMWR_TRAD_AGG_RO_COMP[],H$1,0),"ERROR")</f>
        <v>437</v>
      </c>
      <c r="I34" s="191">
        <f>IFERROR(VLOOKUP($B34,MMWR_TRAD_AGG_RO_COMP[],I$1,0),"ERROR")</f>
        <v>97</v>
      </c>
      <c r="J34" s="216">
        <f t="shared" si="1"/>
        <v>0.2219679633867277</v>
      </c>
      <c r="K34" s="204">
        <f>IFERROR(VLOOKUP($B34,MMWR_TRAD_AGG_RO_COMP[],K$1,0),"ERROR")</f>
        <v>295</v>
      </c>
      <c r="L34" s="205">
        <f>IFERROR(VLOOKUP($B34,MMWR_TRAD_AGG_RO_COMP[],L$1,0),"ERROR")</f>
        <v>115</v>
      </c>
      <c r="M34" s="216">
        <f t="shared" si="2"/>
        <v>0.38983050847457629</v>
      </c>
      <c r="N34" s="204">
        <f>IFERROR(VLOOKUP($B34,MMWR_TRAD_AGG_RO_COMP[],N$1,0),"ERROR")</f>
        <v>32</v>
      </c>
      <c r="O34" s="205">
        <f>IFERROR(VLOOKUP($B34,MMWR_TRAD_AGG_RO_COMP[],O$1,0),"ERROR")</f>
        <v>22</v>
      </c>
      <c r="P34" s="216">
        <f t="shared" si="3"/>
        <v>0.6875</v>
      </c>
      <c r="Q34" s="201">
        <f>IFERROR(VLOOKUP($B34,MMWR_TRAD_AGG_RO_COMP[],Q$1,0),"ERROR")</f>
        <v>0</v>
      </c>
      <c r="R34" s="201">
        <f>IFERROR(VLOOKUP($B34,MMWR_TRAD_AGG_RO_COMP[],R$1,0),"ERROR")</f>
        <v>0</v>
      </c>
      <c r="S34" s="201">
        <f>IFERROR(VLOOKUP($B34,MMWR_APP_RO[],S$1,0),"ERROR")</f>
        <v>264</v>
      </c>
      <c r="T34" s="25"/>
    </row>
    <row r="35" spans="1:20" x14ac:dyDescent="0.2">
      <c r="A35" s="107"/>
      <c r="B35" s="108" t="s">
        <v>75</v>
      </c>
      <c r="C35" s="209">
        <f>IFERROR(VLOOKUP($B35,MMWR_TRAD_AGG_RO_COMP[],C$1,0),"ERROR")</f>
        <v>3545</v>
      </c>
      <c r="D35" s="198">
        <f>IFERROR(VLOOKUP($B35,MMWR_TRAD_AGG_RO_COMP[],D$1,0),"ERROR")</f>
        <v>217.56953455569999</v>
      </c>
      <c r="E35" s="195">
        <f>IFERROR(VLOOKUP($B35,MMWR_TRAD_AGG_RO_COMP[],E$1,0),"ERROR")</f>
        <v>5587</v>
      </c>
      <c r="F35" s="191">
        <f>IFERROR(VLOOKUP($B35,MMWR_TRAD_AGG_RO_COMP[],F$1,0),"ERROR")</f>
        <v>1046</v>
      </c>
      <c r="G35" s="216">
        <f t="shared" si="0"/>
        <v>0.18722033291569715</v>
      </c>
      <c r="H35" s="190">
        <f>IFERROR(VLOOKUP($B35,MMWR_TRAD_AGG_RO_COMP[],H$1,0),"ERROR")</f>
        <v>5200</v>
      </c>
      <c r="I35" s="191">
        <f>IFERROR(VLOOKUP($B35,MMWR_TRAD_AGG_RO_COMP[],I$1,0),"ERROR")</f>
        <v>2595</v>
      </c>
      <c r="J35" s="216">
        <f t="shared" si="1"/>
        <v>0.49903846153846154</v>
      </c>
      <c r="K35" s="204">
        <f>IFERROR(VLOOKUP($B35,MMWR_TRAD_AGG_RO_COMP[],K$1,0),"ERROR")</f>
        <v>2053</v>
      </c>
      <c r="L35" s="205">
        <f>IFERROR(VLOOKUP($B35,MMWR_TRAD_AGG_RO_COMP[],L$1,0),"ERROR")</f>
        <v>1738</v>
      </c>
      <c r="M35" s="216">
        <f t="shared" si="2"/>
        <v>0.84656600097418411</v>
      </c>
      <c r="N35" s="204">
        <f>IFERROR(VLOOKUP($B35,MMWR_TRAD_AGG_RO_COMP[],N$1,0),"ERROR")</f>
        <v>1626</v>
      </c>
      <c r="O35" s="205">
        <f>IFERROR(VLOOKUP($B35,MMWR_TRAD_AGG_RO_COMP[],O$1,0),"ERROR")</f>
        <v>1380</v>
      </c>
      <c r="P35" s="216">
        <f t="shared" si="3"/>
        <v>0.8487084870848709</v>
      </c>
      <c r="Q35" s="201">
        <f>IFERROR(VLOOKUP($B35,MMWR_TRAD_AGG_RO_COMP[],Q$1,0),"ERROR")</f>
        <v>1</v>
      </c>
      <c r="R35" s="201">
        <f>IFERROR(VLOOKUP($B35,MMWR_TRAD_AGG_RO_COMP[],R$1,0),"ERROR")</f>
        <v>40</v>
      </c>
      <c r="S35" s="201">
        <f>IFERROR(VLOOKUP($B35,MMWR_APP_RO[],S$1,0),"ERROR")</f>
        <v>6120</v>
      </c>
      <c r="T35" s="25"/>
    </row>
    <row r="36" spans="1:20" x14ac:dyDescent="0.2">
      <c r="A36" s="28"/>
      <c r="B36" s="108" t="s">
        <v>76</v>
      </c>
      <c r="C36" s="219">
        <f>IFERROR(VLOOKUP($B36,MMWR_TRAD_AGG_RO_COMP[],C$1,0),"ERROR")</f>
        <v>3275</v>
      </c>
      <c r="D36" s="220">
        <f>IFERROR(VLOOKUP($B36,MMWR_TRAD_AGG_RO_COMP[],D$1,0),"ERROR")</f>
        <v>208.66473282440001</v>
      </c>
      <c r="E36" s="221">
        <f>IFERROR(VLOOKUP($B36,MMWR_TRAD_AGG_RO_COMP[],E$1,0),"ERROR")</f>
        <v>10493</v>
      </c>
      <c r="F36" s="222">
        <f>IFERROR(VLOOKUP($B36,MMWR_TRAD_AGG_RO_COMP[],F$1,0),"ERROR")</f>
        <v>1489</v>
      </c>
      <c r="G36" s="223">
        <f t="shared" si="0"/>
        <v>0.1419041265605642</v>
      </c>
      <c r="H36" s="224">
        <f>IFERROR(VLOOKUP($B36,MMWR_TRAD_AGG_RO_COMP[],H$1,0),"ERROR")</f>
        <v>8377</v>
      </c>
      <c r="I36" s="222">
        <f>IFERROR(VLOOKUP($B36,MMWR_TRAD_AGG_RO_COMP[],I$1,0),"ERROR")</f>
        <v>4067</v>
      </c>
      <c r="J36" s="223">
        <f t="shared" si="1"/>
        <v>0.48549600095499584</v>
      </c>
      <c r="K36" s="225">
        <f>IFERROR(VLOOKUP($B36,MMWR_TRAD_AGG_RO_COMP[],K$1,0),"ERROR")</f>
        <v>3329</v>
      </c>
      <c r="L36" s="226">
        <f>IFERROR(VLOOKUP($B36,MMWR_TRAD_AGG_RO_COMP[],L$1,0),"ERROR")</f>
        <v>2255</v>
      </c>
      <c r="M36" s="223">
        <f t="shared" si="2"/>
        <v>0.67738059477320511</v>
      </c>
      <c r="N36" s="225">
        <f>IFERROR(VLOOKUP($B36,MMWR_TRAD_AGG_RO_COMP[],N$1,0),"ERROR")</f>
        <v>1119</v>
      </c>
      <c r="O36" s="226">
        <f>IFERROR(VLOOKUP($B36,MMWR_TRAD_AGG_RO_COMP[],O$1,0),"ERROR")</f>
        <v>670</v>
      </c>
      <c r="P36" s="223">
        <f t="shared" si="3"/>
        <v>0.59874888293118855</v>
      </c>
      <c r="Q36" s="227">
        <f>IFERROR(VLOOKUP($B36,MMWR_TRAD_AGG_RO_COMP[],Q$1,0),"ERROR")</f>
        <v>38</v>
      </c>
      <c r="R36" s="227">
        <f>IFERROR(VLOOKUP($B36,MMWR_TRAD_AGG_RO_COMP[],R$1,0),"ERROR")</f>
        <v>0</v>
      </c>
      <c r="S36" s="201">
        <f>IFERROR(VLOOKUP($B36,MMWR_APP_RO[],S$1,0),"ERROR")</f>
        <v>4021</v>
      </c>
      <c r="T36" s="28"/>
    </row>
    <row r="37" spans="1:20" x14ac:dyDescent="0.2">
      <c r="A37" s="28"/>
      <c r="B37" s="116" t="s">
        <v>81</v>
      </c>
      <c r="C37" s="228">
        <f>IFERROR(VLOOKUP($B37,MMWR_TRAD_AGG_RO_COMP[],C$1,0),"ERROR")</f>
        <v>1583</v>
      </c>
      <c r="D37" s="229">
        <f>IFERROR(VLOOKUP($B37,MMWR_TRAD_AGG_RO_COMP[],D$1,0),"ERROR")</f>
        <v>212.1257106759</v>
      </c>
      <c r="E37" s="230">
        <f>IFERROR(VLOOKUP($B37,MMWR_TRAD_AGG_RO_COMP[],E$1,0),"ERROR")</f>
        <v>2111</v>
      </c>
      <c r="F37" s="231">
        <f>IFERROR(VLOOKUP($B37,MMWR_TRAD_AGG_RO_COMP[],F$1,0),"ERROR")</f>
        <v>340</v>
      </c>
      <c r="G37" s="232">
        <f t="shared" si="0"/>
        <v>0.16106110847939364</v>
      </c>
      <c r="H37" s="233">
        <f>IFERROR(VLOOKUP($B37,MMWR_TRAD_AGG_RO_COMP[],H$1,0),"ERROR")</f>
        <v>2221</v>
      </c>
      <c r="I37" s="231">
        <f>IFERROR(VLOOKUP($B37,MMWR_TRAD_AGG_RO_COMP[],I$1,0),"ERROR")</f>
        <v>1109</v>
      </c>
      <c r="J37" s="232">
        <f t="shared" si="1"/>
        <v>0.49932462854570014</v>
      </c>
      <c r="K37" s="234">
        <f>IFERROR(VLOOKUP($B37,MMWR_TRAD_AGG_RO_COMP[],K$1,0),"ERROR")</f>
        <v>992</v>
      </c>
      <c r="L37" s="235">
        <f>IFERROR(VLOOKUP($B37,MMWR_TRAD_AGG_RO_COMP[],L$1,0),"ERROR")</f>
        <v>517</v>
      </c>
      <c r="M37" s="232">
        <f t="shared" si="2"/>
        <v>0.52116935483870963</v>
      </c>
      <c r="N37" s="234">
        <f>IFERROR(VLOOKUP($B37,MMWR_TRAD_AGG_RO_COMP[],N$1,0),"ERROR")</f>
        <v>245</v>
      </c>
      <c r="O37" s="235">
        <f>IFERROR(VLOOKUP($B37,MMWR_TRAD_AGG_RO_COMP[],O$1,0),"ERROR")</f>
        <v>137</v>
      </c>
      <c r="P37" s="232">
        <f t="shared" si="3"/>
        <v>0.5591836734693878</v>
      </c>
      <c r="Q37" s="236">
        <f>IFERROR(VLOOKUP($B37,MMWR_TRAD_AGG_RO_COMP[],Q$1,0),"ERROR")</f>
        <v>0</v>
      </c>
      <c r="R37" s="236">
        <f>IFERROR(VLOOKUP($B37,MMWR_TRAD_AGG_RO_COMP[],R$1,0),"ERROR")</f>
        <v>6</v>
      </c>
      <c r="S37" s="201">
        <f>IFERROR(VLOOKUP($B37,MMWR_APP_RO[],S$1,0),"ERROR")</f>
        <v>1392</v>
      </c>
      <c r="T37" s="28"/>
    </row>
    <row r="38" spans="1:20" x14ac:dyDescent="0.2">
      <c r="A38" s="28"/>
      <c r="B38" s="101" t="s">
        <v>385</v>
      </c>
      <c r="C38" s="212">
        <f>IFERROR(VLOOKUP($B38,MMWR_TRAD_AGG_DISTRICT_COMP[],C$1,0),"ERROR")</f>
        <v>43430</v>
      </c>
      <c r="D38" s="197">
        <f>IFERROR(VLOOKUP($B38,MMWR_TRAD_AGG_DISTRICT_COMP[],D$1,0),"ERROR")</f>
        <v>380.258761225</v>
      </c>
      <c r="E38" s="213">
        <f>IFERROR(VLOOKUP($B38,MMWR_TRAD_AGG_DISTRICT_COMP[],E$1,0),"ERROR")</f>
        <v>62148</v>
      </c>
      <c r="F38" s="218">
        <f>IFERROR(VLOOKUP($B38,MMWR_TRAD_AGG_DISTRICT_COMP[],F$1,0),"ERROR")</f>
        <v>13315</v>
      </c>
      <c r="G38" s="214">
        <f t="shared" si="0"/>
        <v>0.21424663705992147</v>
      </c>
      <c r="H38" s="218">
        <f>IFERROR(VLOOKUP($B38,MMWR_TRAD_AGG_DISTRICT_COMP[],H$1,0),"ERROR")</f>
        <v>66468</v>
      </c>
      <c r="I38" s="218">
        <f>IFERROR(VLOOKUP($B38,MMWR_TRAD_AGG_DISTRICT_COMP[],I$1,0),"ERROR")</f>
        <v>42468</v>
      </c>
      <c r="J38" s="214">
        <f t="shared" si="1"/>
        <v>0.63892399350063189</v>
      </c>
      <c r="K38" s="212">
        <f>IFERROR(VLOOKUP($B38,MMWR_TRAD_AGG_DISTRICT_COMP[],K$1,0),"ERROR")</f>
        <v>20195</v>
      </c>
      <c r="L38" s="212">
        <f>IFERROR(VLOOKUP($B38,MMWR_TRAD_AGG_DISTRICT_COMP[],L$1,0),"ERROR")</f>
        <v>14411</v>
      </c>
      <c r="M38" s="214">
        <f t="shared" si="2"/>
        <v>0.71359247338450116</v>
      </c>
      <c r="N38" s="212">
        <f>IFERROR(VLOOKUP($B38,MMWR_TRAD_AGG_DISTRICT_COMP[],N$1,0),"ERROR")</f>
        <v>17169</v>
      </c>
      <c r="O38" s="212">
        <f>IFERROR(VLOOKUP($B38,MMWR_TRAD_AGG_DISTRICT_COMP[],O$1,0),"ERROR")</f>
        <v>9775</v>
      </c>
      <c r="P38" s="214">
        <f t="shared" si="3"/>
        <v>0.56934008969654615</v>
      </c>
      <c r="Q38" s="212">
        <f>IFERROR(VLOOKUP($B38,MMWR_TRAD_AGG_DISTRICT_COMP[],Q$1,0),"ERROR")</f>
        <v>53</v>
      </c>
      <c r="R38" s="215">
        <f>IFERROR(VLOOKUP($B38,MMWR_TRAD_AGG_DISTRICT_COMP[],R$1,0),"ERROR")</f>
        <v>1155</v>
      </c>
      <c r="S38" s="215">
        <f>IFERROR(VLOOKUP($B38,MMWR_APP_RO[],S$1,0),"ERROR")</f>
        <v>68044</v>
      </c>
      <c r="T38" s="28"/>
    </row>
    <row r="39" spans="1:20" x14ac:dyDescent="0.2">
      <c r="A39" s="28"/>
      <c r="B39" s="108" t="s">
        <v>36</v>
      </c>
      <c r="C39" s="219">
        <f>IFERROR(VLOOKUP($B39,MMWR_TRAD_AGG_RO_COMP[],C$1,0),"ERROR")</f>
        <v>247</v>
      </c>
      <c r="D39" s="220">
        <f>IFERROR(VLOOKUP($B39,MMWR_TRAD_AGG_RO_COMP[],D$1,0),"ERROR")</f>
        <v>330.52631578950002</v>
      </c>
      <c r="E39" s="221">
        <f>IFERROR(VLOOKUP($B39,MMWR_TRAD_AGG_RO_COMP[],E$1,0),"ERROR")</f>
        <v>631</v>
      </c>
      <c r="F39" s="222">
        <f>IFERROR(VLOOKUP($B39,MMWR_TRAD_AGG_RO_COMP[],F$1,0),"ERROR")</f>
        <v>87</v>
      </c>
      <c r="G39" s="223">
        <f t="shared" si="0"/>
        <v>0.13787638668779714</v>
      </c>
      <c r="H39" s="224">
        <f>IFERROR(VLOOKUP($B39,MMWR_TRAD_AGG_RO_COMP[],H$1,0),"ERROR")</f>
        <v>454</v>
      </c>
      <c r="I39" s="222">
        <f>IFERROR(VLOOKUP($B39,MMWR_TRAD_AGG_RO_COMP[],I$1,0),"ERROR")</f>
        <v>247</v>
      </c>
      <c r="J39" s="223">
        <f t="shared" si="1"/>
        <v>0.54405286343612336</v>
      </c>
      <c r="K39" s="225">
        <f>IFERROR(VLOOKUP($B39,MMWR_TRAD_AGG_RO_COMP[],K$1,0),"ERROR")</f>
        <v>156</v>
      </c>
      <c r="L39" s="226">
        <f>IFERROR(VLOOKUP($B39,MMWR_TRAD_AGG_RO_COMP[],L$1,0),"ERROR")</f>
        <v>81</v>
      </c>
      <c r="M39" s="223">
        <f t="shared" si="2"/>
        <v>0.51923076923076927</v>
      </c>
      <c r="N39" s="225">
        <f>IFERROR(VLOOKUP($B39,MMWR_TRAD_AGG_RO_COMP[],N$1,0),"ERROR")</f>
        <v>109</v>
      </c>
      <c r="O39" s="226">
        <f>IFERROR(VLOOKUP($B39,MMWR_TRAD_AGG_RO_COMP[],O$1,0),"ERROR")</f>
        <v>50</v>
      </c>
      <c r="P39" s="223">
        <f t="shared" si="3"/>
        <v>0.45871559633027525</v>
      </c>
      <c r="Q39" s="227">
        <f>IFERROR(VLOOKUP($B39,MMWR_TRAD_AGG_RO_COMP[],Q$1,0),"ERROR")</f>
        <v>2</v>
      </c>
      <c r="R39" s="227">
        <f>IFERROR(VLOOKUP($B39,MMWR_TRAD_AGG_RO_COMP[],R$1,0),"ERROR")</f>
        <v>4</v>
      </c>
      <c r="S39" s="201">
        <f>IFERROR(VLOOKUP($B39,MMWR_APP_RO[],S$1,0),"ERROR")</f>
        <v>229</v>
      </c>
      <c r="T39" s="28"/>
    </row>
    <row r="40" spans="1:20" x14ac:dyDescent="0.2">
      <c r="A40" s="28"/>
      <c r="B40" s="108" t="s">
        <v>40</v>
      </c>
      <c r="C40" s="219">
        <f>IFERROR(VLOOKUP($B40,MMWR_TRAD_AGG_RO_COMP[],C$1,0),"ERROR")</f>
        <v>6049</v>
      </c>
      <c r="D40" s="220">
        <f>IFERROR(VLOOKUP($B40,MMWR_TRAD_AGG_RO_COMP[],D$1,0),"ERROR")</f>
        <v>441.87948421229999</v>
      </c>
      <c r="E40" s="221">
        <f>IFERROR(VLOOKUP($B40,MMWR_TRAD_AGG_RO_COMP[],E$1,0),"ERROR")</f>
        <v>7115</v>
      </c>
      <c r="F40" s="222">
        <f>IFERROR(VLOOKUP($B40,MMWR_TRAD_AGG_RO_COMP[],F$1,0),"ERROR")</f>
        <v>2304</v>
      </c>
      <c r="G40" s="223">
        <f t="shared" si="0"/>
        <v>0.32382290934645114</v>
      </c>
      <c r="H40" s="224">
        <f>IFERROR(VLOOKUP($B40,MMWR_TRAD_AGG_RO_COMP[],H$1,0),"ERROR")</f>
        <v>8356</v>
      </c>
      <c r="I40" s="222">
        <f>IFERROR(VLOOKUP($B40,MMWR_TRAD_AGG_RO_COMP[],I$1,0),"ERROR")</f>
        <v>5658</v>
      </c>
      <c r="J40" s="223">
        <f t="shared" si="1"/>
        <v>0.67711823839157492</v>
      </c>
      <c r="K40" s="225">
        <f>IFERROR(VLOOKUP($B40,MMWR_TRAD_AGG_RO_COMP[],K$1,0),"ERROR")</f>
        <v>3531</v>
      </c>
      <c r="L40" s="226">
        <f>IFERROR(VLOOKUP($B40,MMWR_TRAD_AGG_RO_COMP[],L$1,0),"ERROR")</f>
        <v>2854</v>
      </c>
      <c r="M40" s="223">
        <f t="shared" si="2"/>
        <v>0.80826961200792979</v>
      </c>
      <c r="N40" s="225">
        <f>IFERROR(VLOOKUP($B40,MMWR_TRAD_AGG_RO_COMP[],N$1,0),"ERROR")</f>
        <v>713</v>
      </c>
      <c r="O40" s="226">
        <f>IFERROR(VLOOKUP($B40,MMWR_TRAD_AGG_RO_COMP[],O$1,0),"ERROR")</f>
        <v>454</v>
      </c>
      <c r="P40" s="223">
        <f t="shared" si="3"/>
        <v>0.63674614305750354</v>
      </c>
      <c r="Q40" s="227">
        <f>IFERROR(VLOOKUP($B40,MMWR_TRAD_AGG_RO_COMP[],Q$1,0),"ERROR")</f>
        <v>0</v>
      </c>
      <c r="R40" s="227">
        <f>IFERROR(VLOOKUP($B40,MMWR_TRAD_AGG_RO_COMP[],R$1,0),"ERROR")</f>
        <v>54</v>
      </c>
      <c r="S40" s="201">
        <f>IFERROR(VLOOKUP($B40,MMWR_APP_RO[],S$1,0),"ERROR")</f>
        <v>6575</v>
      </c>
      <c r="T40" s="28"/>
    </row>
    <row r="41" spans="1:20" x14ac:dyDescent="0.2">
      <c r="A41" s="28"/>
      <c r="B41" s="108" t="s">
        <v>181</v>
      </c>
      <c r="C41" s="219">
        <f>IFERROR(VLOOKUP($B41,MMWR_TRAD_AGG_RO_COMP[],C$1,0),"ERROR")</f>
        <v>297</v>
      </c>
      <c r="D41" s="220">
        <f>IFERROR(VLOOKUP($B41,MMWR_TRAD_AGG_RO_COMP[],D$1,0),"ERROR")</f>
        <v>215.23569023569999</v>
      </c>
      <c r="E41" s="221">
        <f>IFERROR(VLOOKUP($B41,MMWR_TRAD_AGG_RO_COMP[],E$1,0),"ERROR")</f>
        <v>604</v>
      </c>
      <c r="F41" s="222">
        <f>IFERROR(VLOOKUP($B41,MMWR_TRAD_AGG_RO_COMP[],F$1,0),"ERROR")</f>
        <v>35</v>
      </c>
      <c r="G41" s="223">
        <f t="shared" si="0"/>
        <v>5.7947019867549666E-2</v>
      </c>
      <c r="H41" s="224">
        <f>IFERROR(VLOOKUP($B41,MMWR_TRAD_AGG_RO_COMP[],H$1,0),"ERROR")</f>
        <v>538</v>
      </c>
      <c r="I41" s="222">
        <f>IFERROR(VLOOKUP($B41,MMWR_TRAD_AGG_RO_COMP[],I$1,0),"ERROR")</f>
        <v>107</v>
      </c>
      <c r="J41" s="223">
        <f t="shared" si="1"/>
        <v>0.19888475836431227</v>
      </c>
      <c r="K41" s="225">
        <f>IFERROR(VLOOKUP($B41,MMWR_TRAD_AGG_RO_COMP[],K$1,0),"ERROR")</f>
        <v>423</v>
      </c>
      <c r="L41" s="226">
        <f>IFERROR(VLOOKUP($B41,MMWR_TRAD_AGG_RO_COMP[],L$1,0),"ERROR")</f>
        <v>244</v>
      </c>
      <c r="M41" s="223">
        <f t="shared" si="2"/>
        <v>0.57683215130023646</v>
      </c>
      <c r="N41" s="225">
        <f>IFERROR(VLOOKUP($B41,MMWR_TRAD_AGG_RO_COMP[],N$1,0),"ERROR")</f>
        <v>207</v>
      </c>
      <c r="O41" s="226">
        <f>IFERROR(VLOOKUP($B41,MMWR_TRAD_AGG_RO_COMP[],O$1,0),"ERROR")</f>
        <v>113</v>
      </c>
      <c r="P41" s="223">
        <f t="shared" si="3"/>
        <v>0.54589371980676327</v>
      </c>
      <c r="Q41" s="227">
        <f>IFERROR(VLOOKUP($B41,MMWR_TRAD_AGG_RO_COMP[],Q$1,0),"ERROR")</f>
        <v>0</v>
      </c>
      <c r="R41" s="227">
        <f>IFERROR(VLOOKUP($B41,MMWR_TRAD_AGG_RO_COMP[],R$1,0),"ERROR")</f>
        <v>3</v>
      </c>
      <c r="S41" s="201">
        <f>IFERROR(VLOOKUP($B41,MMWR_APP_RO[],S$1,0),"ERROR")</f>
        <v>379</v>
      </c>
      <c r="T41" s="28"/>
    </row>
    <row r="42" spans="1:20" x14ac:dyDescent="0.2">
      <c r="A42" s="28"/>
      <c r="B42" s="108" t="s">
        <v>46</v>
      </c>
      <c r="C42" s="219">
        <f>IFERROR(VLOOKUP($B42,MMWR_TRAD_AGG_RO_COMP[],C$1,0),"ERROR")</f>
        <v>11651</v>
      </c>
      <c r="D42" s="220">
        <f>IFERROR(VLOOKUP($B42,MMWR_TRAD_AGG_RO_COMP[],D$1,0),"ERROR")</f>
        <v>388.41026521330002</v>
      </c>
      <c r="E42" s="221">
        <f>IFERROR(VLOOKUP($B42,MMWR_TRAD_AGG_RO_COMP[],E$1,0),"ERROR")</f>
        <v>16773</v>
      </c>
      <c r="F42" s="222">
        <f>IFERROR(VLOOKUP($B42,MMWR_TRAD_AGG_RO_COMP[],F$1,0),"ERROR")</f>
        <v>4110</v>
      </c>
      <c r="G42" s="223">
        <f t="shared" si="0"/>
        <v>0.24503666607047039</v>
      </c>
      <c r="H42" s="224">
        <f>IFERROR(VLOOKUP($B42,MMWR_TRAD_AGG_RO_COMP[],H$1,0),"ERROR")</f>
        <v>15528</v>
      </c>
      <c r="I42" s="222">
        <f>IFERROR(VLOOKUP($B42,MMWR_TRAD_AGG_RO_COMP[],I$1,0),"ERROR")</f>
        <v>11245</v>
      </c>
      <c r="J42" s="223">
        <f t="shared" si="1"/>
        <v>0.72417568263781551</v>
      </c>
      <c r="K42" s="225">
        <f>IFERROR(VLOOKUP($B42,MMWR_TRAD_AGG_RO_COMP[],K$1,0),"ERROR")</f>
        <v>3500</v>
      </c>
      <c r="L42" s="226">
        <f>IFERROR(VLOOKUP($B42,MMWR_TRAD_AGG_RO_COMP[],L$1,0),"ERROR")</f>
        <v>2760</v>
      </c>
      <c r="M42" s="223">
        <f t="shared" si="2"/>
        <v>0.78857142857142859</v>
      </c>
      <c r="N42" s="225">
        <f>IFERROR(VLOOKUP($B42,MMWR_TRAD_AGG_RO_COMP[],N$1,0),"ERROR")</f>
        <v>3444</v>
      </c>
      <c r="O42" s="226">
        <f>IFERROR(VLOOKUP($B42,MMWR_TRAD_AGG_RO_COMP[],O$1,0),"ERROR")</f>
        <v>2797</v>
      </c>
      <c r="P42" s="223">
        <f t="shared" si="3"/>
        <v>0.81213704994192804</v>
      </c>
      <c r="Q42" s="227">
        <f>IFERROR(VLOOKUP($B42,MMWR_TRAD_AGG_RO_COMP[],Q$1,0),"ERROR")</f>
        <v>1</v>
      </c>
      <c r="R42" s="227">
        <f>IFERROR(VLOOKUP($B42,MMWR_TRAD_AGG_RO_COMP[],R$1,0),"ERROR")</f>
        <v>240</v>
      </c>
      <c r="S42" s="201">
        <f>IFERROR(VLOOKUP($B42,MMWR_APP_RO[],S$1,0),"ERROR")</f>
        <v>19631</v>
      </c>
      <c r="T42" s="28"/>
    </row>
    <row r="43" spans="1:20" x14ac:dyDescent="0.2">
      <c r="A43" s="28"/>
      <c r="B43" s="108" t="s">
        <v>49</v>
      </c>
      <c r="C43" s="219">
        <f>IFERROR(VLOOKUP($B43,MMWR_TRAD_AGG_RO_COMP[],C$1,0),"ERROR")</f>
        <v>3527</v>
      </c>
      <c r="D43" s="220">
        <f>IFERROR(VLOOKUP($B43,MMWR_TRAD_AGG_RO_COMP[],D$1,0),"ERROR")</f>
        <v>424.92117947259999</v>
      </c>
      <c r="E43" s="221">
        <f>IFERROR(VLOOKUP($B43,MMWR_TRAD_AGG_RO_COMP[],E$1,0),"ERROR")</f>
        <v>4502</v>
      </c>
      <c r="F43" s="222">
        <f>IFERROR(VLOOKUP($B43,MMWR_TRAD_AGG_RO_COMP[],F$1,0),"ERROR")</f>
        <v>1398</v>
      </c>
      <c r="G43" s="223">
        <f t="shared" si="0"/>
        <v>0.31052865393158596</v>
      </c>
      <c r="H43" s="224">
        <f>IFERROR(VLOOKUP($B43,MMWR_TRAD_AGG_RO_COMP[],H$1,0),"ERROR")</f>
        <v>5950</v>
      </c>
      <c r="I43" s="222">
        <f>IFERROR(VLOOKUP($B43,MMWR_TRAD_AGG_RO_COMP[],I$1,0),"ERROR")</f>
        <v>4687</v>
      </c>
      <c r="J43" s="223">
        <f t="shared" si="1"/>
        <v>0.78773109243697481</v>
      </c>
      <c r="K43" s="225">
        <f>IFERROR(VLOOKUP($B43,MMWR_TRAD_AGG_RO_COMP[],K$1,0),"ERROR")</f>
        <v>2414</v>
      </c>
      <c r="L43" s="226">
        <f>IFERROR(VLOOKUP($B43,MMWR_TRAD_AGG_RO_COMP[],L$1,0),"ERROR")</f>
        <v>1881</v>
      </c>
      <c r="M43" s="223">
        <f t="shared" si="2"/>
        <v>0.77920463960231978</v>
      </c>
      <c r="N43" s="225">
        <f>IFERROR(VLOOKUP($B43,MMWR_TRAD_AGG_RO_COMP[],N$1,0),"ERROR")</f>
        <v>787</v>
      </c>
      <c r="O43" s="226">
        <f>IFERROR(VLOOKUP($B43,MMWR_TRAD_AGG_RO_COMP[],O$1,0),"ERROR")</f>
        <v>626</v>
      </c>
      <c r="P43" s="223">
        <f t="shared" si="3"/>
        <v>0.795425667090216</v>
      </c>
      <c r="Q43" s="227">
        <f>IFERROR(VLOOKUP($B43,MMWR_TRAD_AGG_RO_COMP[],Q$1,0),"ERROR")</f>
        <v>45</v>
      </c>
      <c r="R43" s="227">
        <f>IFERROR(VLOOKUP($B43,MMWR_TRAD_AGG_RO_COMP[],R$1,0),"ERROR")</f>
        <v>254</v>
      </c>
      <c r="S43" s="201">
        <f>IFERROR(VLOOKUP($B43,MMWR_APP_RO[],S$1,0),"ERROR")</f>
        <v>4644</v>
      </c>
      <c r="T43" s="28"/>
    </row>
    <row r="44" spans="1:20" x14ac:dyDescent="0.2">
      <c r="A44" s="28"/>
      <c r="B44" s="108" t="s">
        <v>51</v>
      </c>
      <c r="C44" s="219">
        <f>IFERROR(VLOOKUP($B44,MMWR_TRAD_AGG_RO_COMP[],C$1,0),"ERROR")</f>
        <v>3483</v>
      </c>
      <c r="D44" s="220">
        <f>IFERROR(VLOOKUP($B44,MMWR_TRAD_AGG_RO_COMP[],D$1,0),"ERROR")</f>
        <v>329.27734711459999</v>
      </c>
      <c r="E44" s="221">
        <f>IFERROR(VLOOKUP($B44,MMWR_TRAD_AGG_RO_COMP[],E$1,0),"ERROR")</f>
        <v>3065</v>
      </c>
      <c r="F44" s="222">
        <f>IFERROR(VLOOKUP($B44,MMWR_TRAD_AGG_RO_COMP[],F$1,0),"ERROR")</f>
        <v>476</v>
      </c>
      <c r="G44" s="223">
        <f t="shared" si="0"/>
        <v>0.15530179445350734</v>
      </c>
      <c r="H44" s="224">
        <f>IFERROR(VLOOKUP($B44,MMWR_TRAD_AGG_RO_COMP[],H$1,0),"ERROR")</f>
        <v>6810</v>
      </c>
      <c r="I44" s="222">
        <f>IFERROR(VLOOKUP($B44,MMWR_TRAD_AGG_RO_COMP[],I$1,0),"ERROR")</f>
        <v>3406</v>
      </c>
      <c r="J44" s="223">
        <f t="shared" si="1"/>
        <v>0.50014684287812039</v>
      </c>
      <c r="K44" s="225">
        <f>IFERROR(VLOOKUP($B44,MMWR_TRAD_AGG_RO_COMP[],K$1,0),"ERROR")</f>
        <v>3421</v>
      </c>
      <c r="L44" s="226">
        <f>IFERROR(VLOOKUP($B44,MMWR_TRAD_AGG_RO_COMP[],L$1,0),"ERROR")</f>
        <v>2679</v>
      </c>
      <c r="M44" s="223">
        <f t="shared" si="2"/>
        <v>0.78310435545162238</v>
      </c>
      <c r="N44" s="225">
        <f>IFERROR(VLOOKUP($B44,MMWR_TRAD_AGG_RO_COMP[],N$1,0),"ERROR")</f>
        <v>1492</v>
      </c>
      <c r="O44" s="226">
        <f>IFERROR(VLOOKUP($B44,MMWR_TRAD_AGG_RO_COMP[],O$1,0),"ERROR")</f>
        <v>968</v>
      </c>
      <c r="P44" s="223">
        <f t="shared" si="3"/>
        <v>0.6487935656836461</v>
      </c>
      <c r="Q44" s="227">
        <f>IFERROR(VLOOKUP($B44,MMWR_TRAD_AGG_RO_COMP[],Q$1,0),"ERROR")</f>
        <v>0</v>
      </c>
      <c r="R44" s="227">
        <f>IFERROR(VLOOKUP($B44,MMWR_TRAD_AGG_RO_COMP[],R$1,0),"ERROR")</f>
        <v>95</v>
      </c>
      <c r="S44" s="201">
        <f>IFERROR(VLOOKUP($B44,MMWR_APP_RO[],S$1,0),"ERROR")</f>
        <v>5306</v>
      </c>
      <c r="T44" s="28"/>
    </row>
    <row r="45" spans="1:20" x14ac:dyDescent="0.2">
      <c r="A45" s="28"/>
      <c r="B45" s="108" t="s">
        <v>27</v>
      </c>
      <c r="C45" s="219">
        <f>IFERROR(VLOOKUP($B45,MMWR_TRAD_AGG_RO_COMP[],C$1,0),"ERROR")</f>
        <v>1344</v>
      </c>
      <c r="D45" s="220">
        <f>IFERROR(VLOOKUP($B45,MMWR_TRAD_AGG_RO_COMP[],D$1,0),"ERROR")</f>
        <v>78.252232142899999</v>
      </c>
      <c r="E45" s="221">
        <f>IFERROR(VLOOKUP($B45,MMWR_TRAD_AGG_RO_COMP[],E$1,0),"ERROR")</f>
        <v>5326</v>
      </c>
      <c r="F45" s="222">
        <f>IFERROR(VLOOKUP($B45,MMWR_TRAD_AGG_RO_COMP[],F$1,0),"ERROR")</f>
        <v>567</v>
      </c>
      <c r="G45" s="223">
        <f t="shared" si="0"/>
        <v>0.10645888096132182</v>
      </c>
      <c r="H45" s="224">
        <f>IFERROR(VLOOKUP($B45,MMWR_TRAD_AGG_RO_COMP[],H$1,0),"ERROR")</f>
        <v>4720</v>
      </c>
      <c r="I45" s="222">
        <f>IFERROR(VLOOKUP($B45,MMWR_TRAD_AGG_RO_COMP[],I$1,0),"ERROR")</f>
        <v>1726</v>
      </c>
      <c r="J45" s="223">
        <f t="shared" si="1"/>
        <v>0.3656779661016949</v>
      </c>
      <c r="K45" s="225">
        <f>IFERROR(VLOOKUP($B45,MMWR_TRAD_AGG_RO_COMP[],K$1,0),"ERROR")</f>
        <v>1122</v>
      </c>
      <c r="L45" s="226">
        <f>IFERROR(VLOOKUP($B45,MMWR_TRAD_AGG_RO_COMP[],L$1,0),"ERROR")</f>
        <v>390</v>
      </c>
      <c r="M45" s="223">
        <f t="shared" si="2"/>
        <v>0.34759358288770054</v>
      </c>
      <c r="N45" s="225">
        <f>IFERROR(VLOOKUP($B45,MMWR_TRAD_AGG_RO_COMP[],N$1,0),"ERROR")</f>
        <v>1491</v>
      </c>
      <c r="O45" s="226">
        <f>IFERROR(VLOOKUP($B45,MMWR_TRAD_AGG_RO_COMP[],O$1,0),"ERROR")</f>
        <v>860</v>
      </c>
      <c r="P45" s="223">
        <f t="shared" si="3"/>
        <v>0.57679409792085845</v>
      </c>
      <c r="Q45" s="227">
        <f>IFERROR(VLOOKUP($B45,MMWR_TRAD_AGG_RO_COMP[],Q$1,0),"ERROR")</f>
        <v>0</v>
      </c>
      <c r="R45" s="227">
        <f>IFERROR(VLOOKUP($B45,MMWR_TRAD_AGG_RO_COMP[],R$1,0),"ERROR")</f>
        <v>28</v>
      </c>
      <c r="S45" s="201">
        <f>IFERROR(VLOOKUP($B45,MMWR_APP_RO[],S$1,0),"ERROR")</f>
        <v>4103</v>
      </c>
      <c r="T45" s="28"/>
    </row>
    <row r="46" spans="1:20" x14ac:dyDescent="0.2">
      <c r="A46" s="28"/>
      <c r="B46" s="108" t="s">
        <v>59</v>
      </c>
      <c r="C46" s="219">
        <f>IFERROR(VLOOKUP($B46,MMWR_TRAD_AGG_RO_COMP[],C$1,0),"ERROR")</f>
        <v>3934</v>
      </c>
      <c r="D46" s="220">
        <f>IFERROR(VLOOKUP($B46,MMWR_TRAD_AGG_RO_COMP[],D$1,0),"ERROR")</f>
        <v>462.72928317229997</v>
      </c>
      <c r="E46" s="221">
        <f>IFERROR(VLOOKUP($B46,MMWR_TRAD_AGG_RO_COMP[],E$1,0),"ERROR")</f>
        <v>5313</v>
      </c>
      <c r="F46" s="222">
        <f>IFERROR(VLOOKUP($B46,MMWR_TRAD_AGG_RO_COMP[],F$1,0),"ERROR")</f>
        <v>1108</v>
      </c>
      <c r="G46" s="223">
        <f t="shared" si="0"/>
        <v>0.20854507811029549</v>
      </c>
      <c r="H46" s="224">
        <f>IFERROR(VLOOKUP($B46,MMWR_TRAD_AGG_RO_COMP[],H$1,0),"ERROR")</f>
        <v>5283</v>
      </c>
      <c r="I46" s="222">
        <f>IFERROR(VLOOKUP($B46,MMWR_TRAD_AGG_RO_COMP[],I$1,0),"ERROR")</f>
        <v>3645</v>
      </c>
      <c r="J46" s="223">
        <f t="shared" si="1"/>
        <v>0.68994889267461668</v>
      </c>
      <c r="K46" s="225">
        <f>IFERROR(VLOOKUP($B46,MMWR_TRAD_AGG_RO_COMP[],K$1,0),"ERROR")</f>
        <v>1050</v>
      </c>
      <c r="L46" s="226">
        <f>IFERROR(VLOOKUP($B46,MMWR_TRAD_AGG_RO_COMP[],L$1,0),"ERROR")</f>
        <v>709</v>
      </c>
      <c r="M46" s="223">
        <f t="shared" si="2"/>
        <v>0.67523809523809519</v>
      </c>
      <c r="N46" s="225">
        <f>IFERROR(VLOOKUP($B46,MMWR_TRAD_AGG_RO_COMP[],N$1,0),"ERROR")</f>
        <v>1710</v>
      </c>
      <c r="O46" s="226">
        <f>IFERROR(VLOOKUP($B46,MMWR_TRAD_AGG_RO_COMP[],O$1,0),"ERROR")</f>
        <v>1186</v>
      </c>
      <c r="P46" s="223">
        <f t="shared" si="3"/>
        <v>0.69356725146198828</v>
      </c>
      <c r="Q46" s="227">
        <f>IFERROR(VLOOKUP($B46,MMWR_TRAD_AGG_RO_COMP[],Q$1,0),"ERROR")</f>
        <v>2</v>
      </c>
      <c r="R46" s="227">
        <f>IFERROR(VLOOKUP($B46,MMWR_TRAD_AGG_RO_COMP[],R$1,0),"ERROR")</f>
        <v>270</v>
      </c>
      <c r="S46" s="201">
        <f>IFERROR(VLOOKUP($B46,MMWR_APP_RO[],S$1,0),"ERROR")</f>
        <v>5891</v>
      </c>
      <c r="T46" s="28"/>
    </row>
    <row r="47" spans="1:20" x14ac:dyDescent="0.2">
      <c r="A47" s="28"/>
      <c r="B47" s="108" t="s">
        <v>70</v>
      </c>
      <c r="C47" s="219">
        <f>IFERROR(VLOOKUP($B47,MMWR_TRAD_AGG_RO_COMP[],C$1,0),"ERROR")</f>
        <v>3225</v>
      </c>
      <c r="D47" s="220">
        <f>IFERROR(VLOOKUP($B47,MMWR_TRAD_AGG_RO_COMP[],D$1,0),"ERROR")</f>
        <v>380.73705426359999</v>
      </c>
      <c r="E47" s="221">
        <f>IFERROR(VLOOKUP($B47,MMWR_TRAD_AGG_RO_COMP[],E$1,0),"ERROR")</f>
        <v>2659</v>
      </c>
      <c r="F47" s="222">
        <f>IFERROR(VLOOKUP($B47,MMWR_TRAD_AGG_RO_COMP[],F$1,0),"ERROR")</f>
        <v>521</v>
      </c>
      <c r="G47" s="223">
        <f t="shared" si="0"/>
        <v>0.1959383226776984</v>
      </c>
      <c r="H47" s="224">
        <f>IFERROR(VLOOKUP($B47,MMWR_TRAD_AGG_RO_COMP[],H$1,0),"ERROR")</f>
        <v>6852</v>
      </c>
      <c r="I47" s="222">
        <f>IFERROR(VLOOKUP($B47,MMWR_TRAD_AGG_RO_COMP[],I$1,0),"ERROR")</f>
        <v>4863</v>
      </c>
      <c r="J47" s="223">
        <f t="shared" si="1"/>
        <v>0.70971978984238182</v>
      </c>
      <c r="K47" s="225">
        <f>IFERROR(VLOOKUP($B47,MMWR_TRAD_AGG_RO_COMP[],K$1,0),"ERROR")</f>
        <v>1034</v>
      </c>
      <c r="L47" s="226">
        <f>IFERROR(VLOOKUP($B47,MMWR_TRAD_AGG_RO_COMP[],L$1,0),"ERROR")</f>
        <v>730</v>
      </c>
      <c r="M47" s="223">
        <f t="shared" si="2"/>
        <v>0.70599613152804641</v>
      </c>
      <c r="N47" s="225">
        <f>IFERROR(VLOOKUP($B47,MMWR_TRAD_AGG_RO_COMP[],N$1,0),"ERROR")</f>
        <v>361</v>
      </c>
      <c r="O47" s="226">
        <f>IFERROR(VLOOKUP($B47,MMWR_TRAD_AGG_RO_COMP[],O$1,0),"ERROR")</f>
        <v>199</v>
      </c>
      <c r="P47" s="223">
        <f t="shared" si="3"/>
        <v>0.55124653739612184</v>
      </c>
      <c r="Q47" s="227">
        <f>IFERROR(VLOOKUP($B47,MMWR_TRAD_AGG_RO_COMP[],Q$1,0),"ERROR")</f>
        <v>0</v>
      </c>
      <c r="R47" s="227">
        <f>IFERROR(VLOOKUP($B47,MMWR_TRAD_AGG_RO_COMP[],R$1,0),"ERROR")</f>
        <v>2</v>
      </c>
      <c r="S47" s="201">
        <f>IFERROR(VLOOKUP($B47,MMWR_APP_RO[],S$1,0),"ERROR")</f>
        <v>1082</v>
      </c>
      <c r="T47" s="28"/>
    </row>
    <row r="48" spans="1:20" x14ac:dyDescent="0.2">
      <c r="A48" s="28"/>
      <c r="B48" s="116" t="s">
        <v>79</v>
      </c>
      <c r="C48" s="228">
        <f>IFERROR(VLOOKUP($B48,MMWR_TRAD_AGG_RO_COMP[],C$1,0),"ERROR")</f>
        <v>9673</v>
      </c>
      <c r="D48" s="229">
        <f>IFERROR(VLOOKUP($B48,MMWR_TRAD_AGG_RO_COMP[],D$1,0),"ERROR")</f>
        <v>348.5765532927</v>
      </c>
      <c r="E48" s="230">
        <f>IFERROR(VLOOKUP($B48,MMWR_TRAD_AGG_RO_COMP[],E$1,0),"ERROR")</f>
        <v>16160</v>
      </c>
      <c r="F48" s="231">
        <f>IFERROR(VLOOKUP($B48,MMWR_TRAD_AGG_RO_COMP[],F$1,0),"ERROR")</f>
        <v>2709</v>
      </c>
      <c r="G48" s="232">
        <f t="shared" si="0"/>
        <v>0.1676361386138614</v>
      </c>
      <c r="H48" s="233">
        <f>IFERROR(VLOOKUP($B48,MMWR_TRAD_AGG_RO_COMP[],H$1,0),"ERROR")</f>
        <v>11977</v>
      </c>
      <c r="I48" s="231">
        <f>IFERROR(VLOOKUP($B48,MMWR_TRAD_AGG_RO_COMP[],I$1,0),"ERROR")</f>
        <v>6884</v>
      </c>
      <c r="J48" s="232">
        <f t="shared" si="1"/>
        <v>0.57476830591967942</v>
      </c>
      <c r="K48" s="234">
        <f>IFERROR(VLOOKUP($B48,MMWR_TRAD_AGG_RO_COMP[],K$1,0),"ERROR")</f>
        <v>3544</v>
      </c>
      <c r="L48" s="235">
        <f>IFERROR(VLOOKUP($B48,MMWR_TRAD_AGG_RO_COMP[],L$1,0),"ERROR")</f>
        <v>2083</v>
      </c>
      <c r="M48" s="232">
        <f t="shared" si="2"/>
        <v>0.58775395033860045</v>
      </c>
      <c r="N48" s="234">
        <f>IFERROR(VLOOKUP($B48,MMWR_TRAD_AGG_RO_COMP[],N$1,0),"ERROR")</f>
        <v>6855</v>
      </c>
      <c r="O48" s="235">
        <f>IFERROR(VLOOKUP($B48,MMWR_TRAD_AGG_RO_COMP[],O$1,0),"ERROR")</f>
        <v>2522</v>
      </c>
      <c r="P48" s="232">
        <f t="shared" si="3"/>
        <v>0.36790663749088259</v>
      </c>
      <c r="Q48" s="236">
        <f>IFERROR(VLOOKUP($B48,MMWR_TRAD_AGG_RO_COMP[],Q$1,0),"ERROR")</f>
        <v>3</v>
      </c>
      <c r="R48" s="236">
        <f>IFERROR(VLOOKUP($B48,MMWR_TRAD_AGG_RO_COMP[],R$1,0),"ERROR")</f>
        <v>205</v>
      </c>
      <c r="S48" s="201">
        <f>IFERROR(VLOOKUP($B48,MMWR_APP_RO[],S$1,0),"ERROR")</f>
        <v>20204</v>
      </c>
      <c r="T48" s="28"/>
    </row>
    <row r="49" spans="1:20" x14ac:dyDescent="0.2">
      <c r="A49" s="28"/>
      <c r="B49" s="101" t="s">
        <v>404</v>
      </c>
      <c r="C49" s="212">
        <f>IFERROR(VLOOKUP($B49,MMWR_TRAD_AGG_DISTRICT_COMP[],C$1,0),"ERROR")</f>
        <v>48860</v>
      </c>
      <c r="D49" s="197">
        <f>IFERROR(VLOOKUP($B49,MMWR_TRAD_AGG_DISTRICT_COMP[],D$1,0),"ERROR")</f>
        <v>400.11692591079998</v>
      </c>
      <c r="E49" s="213">
        <f>IFERROR(VLOOKUP($B49,MMWR_TRAD_AGG_DISTRICT_COMP[],E$1,0),"ERROR")</f>
        <v>60539</v>
      </c>
      <c r="F49" s="218">
        <f>IFERROR(VLOOKUP($B49,MMWR_TRAD_AGG_DISTRICT_COMP[],F$1,0),"ERROR")</f>
        <v>11281</v>
      </c>
      <c r="G49" s="214">
        <f t="shared" si="0"/>
        <v>0.18634268818447614</v>
      </c>
      <c r="H49" s="218">
        <f>IFERROR(VLOOKUP($B49,MMWR_TRAD_AGG_DISTRICT_COMP[],H$1,0),"ERROR")</f>
        <v>73379</v>
      </c>
      <c r="I49" s="218">
        <f>IFERROR(VLOOKUP($B49,MMWR_TRAD_AGG_DISTRICT_COMP[],I$1,0),"ERROR")</f>
        <v>51069</v>
      </c>
      <c r="J49" s="214">
        <f t="shared" si="1"/>
        <v>0.69596205998991534</v>
      </c>
      <c r="K49" s="212">
        <f>IFERROR(VLOOKUP($B49,MMWR_TRAD_AGG_DISTRICT_COMP[],K$1,0),"ERROR")</f>
        <v>23561</v>
      </c>
      <c r="L49" s="212">
        <f>IFERROR(VLOOKUP($B49,MMWR_TRAD_AGG_DISTRICT_COMP[],L$1,0),"ERROR")</f>
        <v>18418</v>
      </c>
      <c r="M49" s="214">
        <f t="shared" si="2"/>
        <v>0.7817155468783159</v>
      </c>
      <c r="N49" s="212">
        <f>IFERROR(VLOOKUP($B49,MMWR_TRAD_AGG_DISTRICT_COMP[],N$1,0),"ERROR")</f>
        <v>19482</v>
      </c>
      <c r="O49" s="212">
        <f>IFERROR(VLOOKUP($B49,MMWR_TRAD_AGG_DISTRICT_COMP[],O$1,0),"ERROR")</f>
        <v>14650</v>
      </c>
      <c r="P49" s="214">
        <f t="shared" si="3"/>
        <v>0.75197618314341441</v>
      </c>
      <c r="Q49" s="212">
        <f>IFERROR(VLOOKUP($B49,MMWR_TRAD_AGG_DISTRICT_COMP[],Q$1,0),"ERROR")</f>
        <v>466</v>
      </c>
      <c r="R49" s="215">
        <f>IFERROR(VLOOKUP($B49,MMWR_TRAD_AGG_DISTRICT_COMP[],R$1,0),"ERROR")</f>
        <v>763</v>
      </c>
      <c r="S49" s="215">
        <f>IFERROR(VLOOKUP($B49,MMWR_APP_RO[],S$1,0),"ERROR")</f>
        <v>42187</v>
      </c>
      <c r="T49" s="28"/>
    </row>
    <row r="50" spans="1:20" x14ac:dyDescent="0.2">
      <c r="A50" s="28"/>
      <c r="B50" s="108" t="s">
        <v>31</v>
      </c>
      <c r="C50" s="219">
        <f>IFERROR(VLOOKUP($B50,MMWR_TRAD_AGG_RO_COMP[],C$1,0),"ERROR")</f>
        <v>771</v>
      </c>
      <c r="D50" s="220">
        <f>IFERROR(VLOOKUP($B50,MMWR_TRAD_AGG_RO_COMP[],D$1,0),"ERROR")</f>
        <v>151.02204928660001</v>
      </c>
      <c r="E50" s="221">
        <f>IFERROR(VLOOKUP($B50,MMWR_TRAD_AGG_RO_COMP[],E$1,0),"ERROR")</f>
        <v>2749</v>
      </c>
      <c r="F50" s="222">
        <f>IFERROR(VLOOKUP($B50,MMWR_TRAD_AGG_RO_COMP[],F$1,0),"ERROR")</f>
        <v>496</v>
      </c>
      <c r="G50" s="223">
        <f t="shared" si="0"/>
        <v>0.18042924699890869</v>
      </c>
      <c r="H50" s="224">
        <f>IFERROR(VLOOKUP($B50,MMWR_TRAD_AGG_RO_COMP[],H$1,0),"ERROR")</f>
        <v>1209</v>
      </c>
      <c r="I50" s="222">
        <f>IFERROR(VLOOKUP($B50,MMWR_TRAD_AGG_RO_COMP[],I$1,0),"ERROR")</f>
        <v>432</v>
      </c>
      <c r="J50" s="223">
        <f t="shared" si="1"/>
        <v>0.35732009925558311</v>
      </c>
      <c r="K50" s="225">
        <f>IFERROR(VLOOKUP($B50,MMWR_TRAD_AGG_RO_COMP[],K$1,0),"ERROR")</f>
        <v>289</v>
      </c>
      <c r="L50" s="226">
        <f>IFERROR(VLOOKUP($B50,MMWR_TRAD_AGG_RO_COMP[],L$1,0),"ERROR")</f>
        <v>116</v>
      </c>
      <c r="M50" s="223">
        <f t="shared" si="2"/>
        <v>0.40138408304498269</v>
      </c>
      <c r="N50" s="225">
        <f>IFERROR(VLOOKUP($B50,MMWR_TRAD_AGG_RO_COMP[],N$1,0),"ERROR")</f>
        <v>409</v>
      </c>
      <c r="O50" s="226">
        <f>IFERROR(VLOOKUP($B50,MMWR_TRAD_AGG_RO_COMP[],O$1,0),"ERROR")</f>
        <v>256</v>
      </c>
      <c r="P50" s="223">
        <f t="shared" si="3"/>
        <v>0.62591687041564792</v>
      </c>
      <c r="Q50" s="227">
        <f>IFERROR(VLOOKUP($B50,MMWR_TRAD_AGG_RO_COMP[],Q$1,0),"ERROR")</f>
        <v>0</v>
      </c>
      <c r="R50" s="227">
        <f>IFERROR(VLOOKUP($B50,MMWR_TRAD_AGG_RO_COMP[],R$1,0),"ERROR")</f>
        <v>8</v>
      </c>
      <c r="S50" s="201">
        <f>IFERROR(VLOOKUP($B50,MMWR_APP_RO[],S$1,0),"ERROR")</f>
        <v>1690</v>
      </c>
      <c r="T50" s="28"/>
    </row>
    <row r="51" spans="1:20" x14ac:dyDescent="0.2">
      <c r="A51" s="28"/>
      <c r="B51" s="108" t="s">
        <v>32</v>
      </c>
      <c r="C51" s="219">
        <f>IFERROR(VLOOKUP($B51,MMWR_TRAD_AGG_RO_COMP[],C$1,0),"ERROR")</f>
        <v>1933</v>
      </c>
      <c r="D51" s="220">
        <f>IFERROR(VLOOKUP($B51,MMWR_TRAD_AGG_RO_COMP[],D$1,0),"ERROR")</f>
        <v>486.86394205900001</v>
      </c>
      <c r="E51" s="221">
        <f>IFERROR(VLOOKUP($B51,MMWR_TRAD_AGG_RO_COMP[],E$1,0),"ERROR")</f>
        <v>1083</v>
      </c>
      <c r="F51" s="222">
        <f>IFERROR(VLOOKUP($B51,MMWR_TRAD_AGG_RO_COMP[],F$1,0),"ERROR")</f>
        <v>272</v>
      </c>
      <c r="G51" s="223">
        <f t="shared" si="0"/>
        <v>0.25115420129270544</v>
      </c>
      <c r="H51" s="224">
        <f>IFERROR(VLOOKUP($B51,MMWR_TRAD_AGG_RO_COMP[],H$1,0),"ERROR")</f>
        <v>2606</v>
      </c>
      <c r="I51" s="222">
        <f>IFERROR(VLOOKUP($B51,MMWR_TRAD_AGG_RO_COMP[],I$1,0),"ERROR")</f>
        <v>2112</v>
      </c>
      <c r="J51" s="223">
        <f t="shared" si="1"/>
        <v>0.81043745203376827</v>
      </c>
      <c r="K51" s="225">
        <f>IFERROR(VLOOKUP($B51,MMWR_TRAD_AGG_RO_COMP[],K$1,0),"ERROR")</f>
        <v>2139</v>
      </c>
      <c r="L51" s="226">
        <f>IFERROR(VLOOKUP($B51,MMWR_TRAD_AGG_RO_COMP[],L$1,0),"ERROR")</f>
        <v>1839</v>
      </c>
      <c r="M51" s="223">
        <f t="shared" si="2"/>
        <v>0.85974754558204769</v>
      </c>
      <c r="N51" s="225">
        <f>IFERROR(VLOOKUP($B51,MMWR_TRAD_AGG_RO_COMP[],N$1,0),"ERROR")</f>
        <v>492</v>
      </c>
      <c r="O51" s="226">
        <f>IFERROR(VLOOKUP($B51,MMWR_TRAD_AGG_RO_COMP[],O$1,0),"ERROR")</f>
        <v>318</v>
      </c>
      <c r="P51" s="223">
        <f t="shared" si="3"/>
        <v>0.64634146341463417</v>
      </c>
      <c r="Q51" s="227">
        <f>IFERROR(VLOOKUP($B51,MMWR_TRAD_AGG_RO_COMP[],Q$1,0),"ERROR")</f>
        <v>0</v>
      </c>
      <c r="R51" s="227">
        <f>IFERROR(VLOOKUP($B51,MMWR_TRAD_AGG_RO_COMP[],R$1,0),"ERROR")</f>
        <v>4</v>
      </c>
      <c r="S51" s="201">
        <f>IFERROR(VLOOKUP($B51,MMWR_APP_RO[],S$1,0),"ERROR")</f>
        <v>234</v>
      </c>
      <c r="T51" s="28"/>
    </row>
    <row r="52" spans="1:20" x14ac:dyDescent="0.2">
      <c r="A52" s="28"/>
      <c r="B52" s="108" t="s">
        <v>34</v>
      </c>
      <c r="C52" s="219">
        <f>IFERROR(VLOOKUP($B52,MMWR_TRAD_AGG_RO_COMP[],C$1,0),"ERROR")</f>
        <v>334</v>
      </c>
      <c r="D52" s="220">
        <f>IFERROR(VLOOKUP($B52,MMWR_TRAD_AGG_RO_COMP[],D$1,0),"ERROR")</f>
        <v>72.254491017999996</v>
      </c>
      <c r="E52" s="221">
        <f>IFERROR(VLOOKUP($B52,MMWR_TRAD_AGG_RO_COMP[],E$1,0),"ERROR")</f>
        <v>1546</v>
      </c>
      <c r="F52" s="222">
        <f>IFERROR(VLOOKUP($B52,MMWR_TRAD_AGG_RO_COMP[],F$1,0),"ERROR")</f>
        <v>339</v>
      </c>
      <c r="G52" s="223">
        <f t="shared" si="0"/>
        <v>0.21927554980595085</v>
      </c>
      <c r="H52" s="224">
        <f>IFERROR(VLOOKUP($B52,MMWR_TRAD_AGG_RO_COMP[],H$1,0),"ERROR")</f>
        <v>497</v>
      </c>
      <c r="I52" s="222">
        <f>IFERROR(VLOOKUP($B52,MMWR_TRAD_AGG_RO_COMP[],I$1,0),"ERROR")</f>
        <v>57</v>
      </c>
      <c r="J52" s="223">
        <f t="shared" si="1"/>
        <v>0.11468812877263582</v>
      </c>
      <c r="K52" s="225">
        <f>IFERROR(VLOOKUP($B52,MMWR_TRAD_AGG_RO_COMP[],K$1,0),"ERROR")</f>
        <v>78</v>
      </c>
      <c r="L52" s="226">
        <f>IFERROR(VLOOKUP($B52,MMWR_TRAD_AGG_RO_COMP[],L$1,0),"ERROR")</f>
        <v>24</v>
      </c>
      <c r="M52" s="223">
        <f t="shared" si="2"/>
        <v>0.30769230769230771</v>
      </c>
      <c r="N52" s="225">
        <f>IFERROR(VLOOKUP($B52,MMWR_TRAD_AGG_RO_COMP[],N$1,0),"ERROR")</f>
        <v>160</v>
      </c>
      <c r="O52" s="226">
        <f>IFERROR(VLOOKUP($B52,MMWR_TRAD_AGG_RO_COMP[],O$1,0),"ERROR")</f>
        <v>79</v>
      </c>
      <c r="P52" s="223">
        <f t="shared" si="3"/>
        <v>0.49375000000000002</v>
      </c>
      <c r="Q52" s="227">
        <f>IFERROR(VLOOKUP($B52,MMWR_TRAD_AGG_RO_COMP[],Q$1,0),"ERROR")</f>
        <v>0</v>
      </c>
      <c r="R52" s="227">
        <f>IFERROR(VLOOKUP($B52,MMWR_TRAD_AGG_RO_COMP[],R$1,0),"ERROR")</f>
        <v>4</v>
      </c>
      <c r="S52" s="201">
        <f>IFERROR(VLOOKUP($B52,MMWR_APP_RO[],S$1,0),"ERROR")</f>
        <v>868</v>
      </c>
      <c r="T52" s="28"/>
    </row>
    <row r="53" spans="1:20" x14ac:dyDescent="0.2">
      <c r="A53" s="28"/>
      <c r="B53" s="108" t="s">
        <v>45</v>
      </c>
      <c r="C53" s="219">
        <f>IFERROR(VLOOKUP($B53,MMWR_TRAD_AGG_RO_COMP[],C$1,0),"ERROR")</f>
        <v>1509</v>
      </c>
      <c r="D53" s="220">
        <f>IFERROR(VLOOKUP($B53,MMWR_TRAD_AGG_RO_COMP[],D$1,0),"ERROR")</f>
        <v>263.43472498339997</v>
      </c>
      <c r="E53" s="221">
        <f>IFERROR(VLOOKUP($B53,MMWR_TRAD_AGG_RO_COMP[],E$1,0),"ERROR")</f>
        <v>2051</v>
      </c>
      <c r="F53" s="222">
        <f>IFERROR(VLOOKUP($B53,MMWR_TRAD_AGG_RO_COMP[],F$1,0),"ERROR")</f>
        <v>314</v>
      </c>
      <c r="G53" s="223">
        <f t="shared" si="0"/>
        <v>0.15309605070697221</v>
      </c>
      <c r="H53" s="224">
        <f>IFERROR(VLOOKUP($B53,MMWR_TRAD_AGG_RO_COMP[],H$1,0),"ERROR")</f>
        <v>1910</v>
      </c>
      <c r="I53" s="222">
        <f>IFERROR(VLOOKUP($B53,MMWR_TRAD_AGG_RO_COMP[],I$1,0),"ERROR")</f>
        <v>1092</v>
      </c>
      <c r="J53" s="223">
        <f t="shared" si="1"/>
        <v>0.57172774869109944</v>
      </c>
      <c r="K53" s="225">
        <f>IFERROR(VLOOKUP($B53,MMWR_TRAD_AGG_RO_COMP[],K$1,0),"ERROR")</f>
        <v>999</v>
      </c>
      <c r="L53" s="226">
        <f>IFERROR(VLOOKUP($B53,MMWR_TRAD_AGG_RO_COMP[],L$1,0),"ERROR")</f>
        <v>587</v>
      </c>
      <c r="M53" s="223">
        <f t="shared" si="2"/>
        <v>0.58758758758758756</v>
      </c>
      <c r="N53" s="225">
        <f>IFERROR(VLOOKUP($B53,MMWR_TRAD_AGG_RO_COMP[],N$1,0),"ERROR")</f>
        <v>188</v>
      </c>
      <c r="O53" s="226">
        <f>IFERROR(VLOOKUP($B53,MMWR_TRAD_AGG_RO_COMP[],O$1,0),"ERROR")</f>
        <v>109</v>
      </c>
      <c r="P53" s="223">
        <f t="shared" si="3"/>
        <v>0.57978723404255317</v>
      </c>
      <c r="Q53" s="227">
        <f>IFERROR(VLOOKUP($B53,MMWR_TRAD_AGG_RO_COMP[],Q$1,0),"ERROR")</f>
        <v>0</v>
      </c>
      <c r="R53" s="227">
        <f>IFERROR(VLOOKUP($B53,MMWR_TRAD_AGG_RO_COMP[],R$1,0),"ERROR")</f>
        <v>1</v>
      </c>
      <c r="S53" s="201">
        <f>IFERROR(VLOOKUP($B53,MMWR_APP_RO[],S$1,0),"ERROR")</f>
        <v>1314</v>
      </c>
      <c r="T53" s="28"/>
    </row>
    <row r="54" spans="1:20" x14ac:dyDescent="0.2">
      <c r="A54" s="28"/>
      <c r="B54" s="108" t="s">
        <v>52</v>
      </c>
      <c r="C54" s="219">
        <f>IFERROR(VLOOKUP($B54,MMWR_TRAD_AGG_RO_COMP[],C$1,0),"ERROR")</f>
        <v>7082</v>
      </c>
      <c r="D54" s="220">
        <f>IFERROR(VLOOKUP($B54,MMWR_TRAD_AGG_RO_COMP[],D$1,0),"ERROR")</f>
        <v>423.5987009319</v>
      </c>
      <c r="E54" s="221">
        <f>IFERROR(VLOOKUP($B54,MMWR_TRAD_AGG_RO_COMP[],E$1,0),"ERROR")</f>
        <v>10083</v>
      </c>
      <c r="F54" s="222">
        <f>IFERROR(VLOOKUP($B54,MMWR_TRAD_AGG_RO_COMP[],F$1,0),"ERROR")</f>
        <v>1839</v>
      </c>
      <c r="G54" s="223">
        <f t="shared" si="0"/>
        <v>0.18238619458494496</v>
      </c>
      <c r="H54" s="224">
        <f>IFERROR(VLOOKUP($B54,MMWR_TRAD_AGG_RO_COMP[],H$1,0),"ERROR")</f>
        <v>8827</v>
      </c>
      <c r="I54" s="222">
        <f>IFERROR(VLOOKUP($B54,MMWR_TRAD_AGG_RO_COMP[],I$1,0),"ERROR")</f>
        <v>6534</v>
      </c>
      <c r="J54" s="223">
        <f t="shared" si="1"/>
        <v>0.74022884332162686</v>
      </c>
      <c r="K54" s="225">
        <f>IFERROR(VLOOKUP($B54,MMWR_TRAD_AGG_RO_COMP[],K$1,0),"ERROR")</f>
        <v>1058</v>
      </c>
      <c r="L54" s="226">
        <f>IFERROR(VLOOKUP($B54,MMWR_TRAD_AGG_RO_COMP[],L$1,0),"ERROR")</f>
        <v>908</v>
      </c>
      <c r="M54" s="223">
        <f t="shared" si="2"/>
        <v>0.85822306238185253</v>
      </c>
      <c r="N54" s="225">
        <f>IFERROR(VLOOKUP($B54,MMWR_TRAD_AGG_RO_COMP[],N$1,0),"ERROR")</f>
        <v>4052</v>
      </c>
      <c r="O54" s="226">
        <f>IFERROR(VLOOKUP($B54,MMWR_TRAD_AGG_RO_COMP[],O$1,0),"ERROR")</f>
        <v>3331</v>
      </c>
      <c r="P54" s="223">
        <f t="shared" si="3"/>
        <v>0.82206317867719647</v>
      </c>
      <c r="Q54" s="227">
        <f>IFERROR(VLOOKUP($B54,MMWR_TRAD_AGG_RO_COMP[],Q$1,0),"ERROR")</f>
        <v>5</v>
      </c>
      <c r="R54" s="227">
        <f>IFERROR(VLOOKUP($B54,MMWR_TRAD_AGG_RO_COMP[],R$1,0),"ERROR")</f>
        <v>34</v>
      </c>
      <c r="S54" s="201">
        <f>IFERROR(VLOOKUP($B54,MMWR_APP_RO[],S$1,0),"ERROR")</f>
        <v>4857</v>
      </c>
      <c r="T54" s="28"/>
    </row>
    <row r="55" spans="1:20" x14ac:dyDescent="0.2">
      <c r="A55" s="28"/>
      <c r="B55" s="108" t="s">
        <v>55</v>
      </c>
      <c r="C55" s="219">
        <f>IFERROR(VLOOKUP($B55,MMWR_TRAD_AGG_RO_COMP[],C$1,0),"ERROR")</f>
        <v>625</v>
      </c>
      <c r="D55" s="220">
        <f>IFERROR(VLOOKUP($B55,MMWR_TRAD_AGG_RO_COMP[],D$1,0),"ERROR")</f>
        <v>196.32480000000001</v>
      </c>
      <c r="E55" s="221">
        <f>IFERROR(VLOOKUP($B55,MMWR_TRAD_AGG_RO_COMP[],E$1,0),"ERROR")</f>
        <v>820</v>
      </c>
      <c r="F55" s="222">
        <f>IFERROR(VLOOKUP($B55,MMWR_TRAD_AGG_RO_COMP[],F$1,0),"ERROR")</f>
        <v>220</v>
      </c>
      <c r="G55" s="223">
        <f t="shared" si="0"/>
        <v>0.26829268292682928</v>
      </c>
      <c r="H55" s="224">
        <f>IFERROR(VLOOKUP($B55,MMWR_TRAD_AGG_RO_COMP[],H$1,0),"ERROR")</f>
        <v>742</v>
      </c>
      <c r="I55" s="222">
        <f>IFERROR(VLOOKUP($B55,MMWR_TRAD_AGG_RO_COMP[],I$1,0),"ERROR")</f>
        <v>378</v>
      </c>
      <c r="J55" s="223">
        <f t="shared" si="1"/>
        <v>0.50943396226415094</v>
      </c>
      <c r="K55" s="225">
        <f>IFERROR(VLOOKUP($B55,MMWR_TRAD_AGG_RO_COMP[],K$1,0),"ERROR")</f>
        <v>267</v>
      </c>
      <c r="L55" s="226">
        <f>IFERROR(VLOOKUP($B55,MMWR_TRAD_AGG_RO_COMP[],L$1,0),"ERROR")</f>
        <v>231</v>
      </c>
      <c r="M55" s="223">
        <f t="shared" si="2"/>
        <v>0.8651685393258427</v>
      </c>
      <c r="N55" s="225">
        <f>IFERROR(VLOOKUP($B55,MMWR_TRAD_AGG_RO_COMP[],N$1,0),"ERROR")</f>
        <v>262</v>
      </c>
      <c r="O55" s="226">
        <f>IFERROR(VLOOKUP($B55,MMWR_TRAD_AGG_RO_COMP[],O$1,0),"ERROR")</f>
        <v>184</v>
      </c>
      <c r="P55" s="223">
        <f t="shared" si="3"/>
        <v>0.70229007633587781</v>
      </c>
      <c r="Q55" s="227">
        <f>IFERROR(VLOOKUP($B55,MMWR_TRAD_AGG_RO_COMP[],Q$1,0),"ERROR")</f>
        <v>458</v>
      </c>
      <c r="R55" s="227">
        <f>IFERROR(VLOOKUP($B55,MMWR_TRAD_AGG_RO_COMP[],R$1,0),"ERROR")</f>
        <v>167</v>
      </c>
      <c r="S55" s="201">
        <f>IFERROR(VLOOKUP($B55,MMWR_APP_RO[],S$1,0),"ERROR")</f>
        <v>934</v>
      </c>
      <c r="T55" s="28"/>
    </row>
    <row r="56" spans="1:20" x14ac:dyDescent="0.2">
      <c r="A56" s="28"/>
      <c r="B56" s="108" t="s">
        <v>62</v>
      </c>
      <c r="C56" s="219">
        <f>IFERROR(VLOOKUP($B56,MMWR_TRAD_AGG_RO_COMP[],C$1,0),"ERROR")</f>
        <v>9394</v>
      </c>
      <c r="D56" s="220">
        <f>IFERROR(VLOOKUP($B56,MMWR_TRAD_AGG_RO_COMP[],D$1,0),"ERROR")</f>
        <v>461.71162444110001</v>
      </c>
      <c r="E56" s="221">
        <f>IFERROR(VLOOKUP($B56,MMWR_TRAD_AGG_RO_COMP[],E$1,0),"ERROR")</f>
        <v>11659</v>
      </c>
      <c r="F56" s="222">
        <f>IFERROR(VLOOKUP($B56,MMWR_TRAD_AGG_RO_COMP[],F$1,0),"ERROR")</f>
        <v>2472</v>
      </c>
      <c r="G56" s="223">
        <f t="shared" si="0"/>
        <v>0.21202504502959088</v>
      </c>
      <c r="H56" s="224">
        <f>IFERROR(VLOOKUP($B56,MMWR_TRAD_AGG_RO_COMP[],H$1,0),"ERROR")</f>
        <v>12549</v>
      </c>
      <c r="I56" s="222">
        <f>IFERROR(VLOOKUP($B56,MMWR_TRAD_AGG_RO_COMP[],I$1,0),"ERROR")</f>
        <v>9803</v>
      </c>
      <c r="J56" s="223">
        <f t="shared" si="1"/>
        <v>0.78117778309028607</v>
      </c>
      <c r="K56" s="225">
        <f>IFERROR(VLOOKUP($B56,MMWR_TRAD_AGG_RO_COMP[],K$1,0),"ERROR")</f>
        <v>3802</v>
      </c>
      <c r="L56" s="226">
        <f>IFERROR(VLOOKUP($B56,MMWR_TRAD_AGG_RO_COMP[],L$1,0),"ERROR")</f>
        <v>3439</v>
      </c>
      <c r="M56" s="223">
        <f t="shared" si="2"/>
        <v>0.9045239347711731</v>
      </c>
      <c r="N56" s="225">
        <f>IFERROR(VLOOKUP($B56,MMWR_TRAD_AGG_RO_COMP[],N$1,0),"ERROR")</f>
        <v>2620</v>
      </c>
      <c r="O56" s="226">
        <f>IFERROR(VLOOKUP($B56,MMWR_TRAD_AGG_RO_COMP[],O$1,0),"ERROR")</f>
        <v>2100</v>
      </c>
      <c r="P56" s="223">
        <f t="shared" si="3"/>
        <v>0.80152671755725191</v>
      </c>
      <c r="Q56" s="227">
        <f>IFERROR(VLOOKUP($B56,MMWR_TRAD_AGG_RO_COMP[],Q$1,0),"ERROR")</f>
        <v>0</v>
      </c>
      <c r="R56" s="227">
        <f>IFERROR(VLOOKUP($B56,MMWR_TRAD_AGG_RO_COMP[],R$1,0),"ERROR")</f>
        <v>42</v>
      </c>
      <c r="S56" s="201">
        <f>IFERROR(VLOOKUP($B56,MMWR_APP_RO[],S$1,0),"ERROR")</f>
        <v>8511</v>
      </c>
      <c r="T56" s="28"/>
    </row>
    <row r="57" spans="1:20" x14ac:dyDescent="0.2">
      <c r="A57" s="28"/>
      <c r="B57" s="108" t="s">
        <v>64</v>
      </c>
      <c r="C57" s="219">
        <f>IFERROR(VLOOKUP($B57,MMWR_TRAD_AGG_RO_COMP[],C$1,0),"ERROR")</f>
        <v>3210</v>
      </c>
      <c r="D57" s="220">
        <f>IFERROR(VLOOKUP($B57,MMWR_TRAD_AGG_RO_COMP[],D$1,0),"ERROR")</f>
        <v>241.7074766355</v>
      </c>
      <c r="E57" s="221">
        <f>IFERROR(VLOOKUP($B57,MMWR_TRAD_AGG_RO_COMP[],E$1,0),"ERROR")</f>
        <v>3977</v>
      </c>
      <c r="F57" s="222">
        <f>IFERROR(VLOOKUP($B57,MMWR_TRAD_AGG_RO_COMP[],F$1,0),"ERROR")</f>
        <v>687</v>
      </c>
      <c r="G57" s="223">
        <f t="shared" si="0"/>
        <v>0.17274327382449081</v>
      </c>
      <c r="H57" s="224">
        <f>IFERROR(VLOOKUP($B57,MMWR_TRAD_AGG_RO_COMP[],H$1,0),"ERROR")</f>
        <v>4124</v>
      </c>
      <c r="I57" s="222">
        <f>IFERROR(VLOOKUP($B57,MMWR_TRAD_AGG_RO_COMP[],I$1,0),"ERROR")</f>
        <v>2077</v>
      </c>
      <c r="J57" s="223">
        <f t="shared" si="1"/>
        <v>0.50363724539282251</v>
      </c>
      <c r="K57" s="225">
        <f>IFERROR(VLOOKUP($B57,MMWR_TRAD_AGG_RO_COMP[],K$1,0),"ERROR")</f>
        <v>853</v>
      </c>
      <c r="L57" s="226">
        <f>IFERROR(VLOOKUP($B57,MMWR_TRAD_AGG_RO_COMP[],L$1,0),"ERROR")</f>
        <v>593</v>
      </c>
      <c r="M57" s="223">
        <f t="shared" si="2"/>
        <v>0.69519343493552166</v>
      </c>
      <c r="N57" s="225">
        <f>IFERROR(VLOOKUP($B57,MMWR_TRAD_AGG_RO_COMP[],N$1,0),"ERROR")</f>
        <v>1252</v>
      </c>
      <c r="O57" s="226">
        <f>IFERROR(VLOOKUP($B57,MMWR_TRAD_AGG_RO_COMP[],O$1,0),"ERROR")</f>
        <v>676</v>
      </c>
      <c r="P57" s="223">
        <f t="shared" si="3"/>
        <v>0.53993610223642174</v>
      </c>
      <c r="Q57" s="227">
        <f>IFERROR(VLOOKUP($B57,MMWR_TRAD_AGG_RO_COMP[],Q$1,0),"ERROR")</f>
        <v>0</v>
      </c>
      <c r="R57" s="227">
        <f>IFERROR(VLOOKUP($B57,MMWR_TRAD_AGG_RO_COMP[],R$1,0),"ERROR")</f>
        <v>71</v>
      </c>
      <c r="S57" s="201">
        <f>IFERROR(VLOOKUP($B57,MMWR_APP_RO[],S$1,0),"ERROR")</f>
        <v>6885</v>
      </c>
      <c r="T57" s="28"/>
    </row>
    <row r="58" spans="1:20" x14ac:dyDescent="0.2">
      <c r="A58" s="28"/>
      <c r="B58" s="108" t="s">
        <v>66</v>
      </c>
      <c r="C58" s="219">
        <f>IFERROR(VLOOKUP($B58,MMWR_TRAD_AGG_RO_COMP[],C$1,0),"ERROR")</f>
        <v>5831</v>
      </c>
      <c r="D58" s="220">
        <f>IFERROR(VLOOKUP($B58,MMWR_TRAD_AGG_RO_COMP[],D$1,0),"ERROR")</f>
        <v>476.31744126220002</v>
      </c>
      <c r="E58" s="221">
        <f>IFERROR(VLOOKUP($B58,MMWR_TRAD_AGG_RO_COMP[],E$1,0),"ERROR")</f>
        <v>4602</v>
      </c>
      <c r="F58" s="222">
        <f>IFERROR(VLOOKUP($B58,MMWR_TRAD_AGG_RO_COMP[],F$1,0),"ERROR")</f>
        <v>829</v>
      </c>
      <c r="G58" s="223">
        <f t="shared" si="0"/>
        <v>0.18013906996957843</v>
      </c>
      <c r="H58" s="224">
        <f>IFERROR(VLOOKUP($B58,MMWR_TRAD_AGG_RO_COMP[],H$1,0),"ERROR")</f>
        <v>7175</v>
      </c>
      <c r="I58" s="222">
        <f>IFERROR(VLOOKUP($B58,MMWR_TRAD_AGG_RO_COMP[],I$1,0),"ERROR")</f>
        <v>5434</v>
      </c>
      <c r="J58" s="223">
        <f t="shared" si="1"/>
        <v>0.75735191637630661</v>
      </c>
      <c r="K58" s="225">
        <f>IFERROR(VLOOKUP($B58,MMWR_TRAD_AGG_RO_COMP[],K$1,0),"ERROR")</f>
        <v>2899</v>
      </c>
      <c r="L58" s="226">
        <f>IFERROR(VLOOKUP($B58,MMWR_TRAD_AGG_RO_COMP[],L$1,0),"ERROR")</f>
        <v>2721</v>
      </c>
      <c r="M58" s="223">
        <f t="shared" si="2"/>
        <v>0.93859951707485345</v>
      </c>
      <c r="N58" s="225">
        <f>IFERROR(VLOOKUP($B58,MMWR_TRAD_AGG_RO_COMP[],N$1,0),"ERROR")</f>
        <v>2156</v>
      </c>
      <c r="O58" s="226">
        <f>IFERROR(VLOOKUP($B58,MMWR_TRAD_AGG_RO_COMP[],O$1,0),"ERROR")</f>
        <v>1443</v>
      </c>
      <c r="P58" s="223">
        <f t="shared" si="3"/>
        <v>0.66929499072356213</v>
      </c>
      <c r="Q58" s="227">
        <f>IFERROR(VLOOKUP($B58,MMWR_TRAD_AGG_RO_COMP[],Q$1,0),"ERROR")</f>
        <v>0</v>
      </c>
      <c r="R58" s="227">
        <f>IFERROR(VLOOKUP($B58,MMWR_TRAD_AGG_RO_COMP[],R$1,0),"ERROR")</f>
        <v>94</v>
      </c>
      <c r="S58" s="201">
        <f>IFERROR(VLOOKUP($B58,MMWR_APP_RO[],S$1,0),"ERROR")</f>
        <v>5026</v>
      </c>
      <c r="T58" s="28"/>
    </row>
    <row r="59" spans="1:20" x14ac:dyDescent="0.2">
      <c r="A59" s="28"/>
      <c r="B59" s="108" t="s">
        <v>68</v>
      </c>
      <c r="C59" s="219">
        <f>IFERROR(VLOOKUP($B59,MMWR_TRAD_AGG_RO_COMP[],C$1,0),"ERROR")</f>
        <v>2803</v>
      </c>
      <c r="D59" s="220">
        <f>IFERROR(VLOOKUP($B59,MMWR_TRAD_AGG_RO_COMP[],D$1,0),"ERROR")</f>
        <v>443.89618266140002</v>
      </c>
      <c r="E59" s="221">
        <f>IFERROR(VLOOKUP($B59,MMWR_TRAD_AGG_RO_COMP[],E$1,0),"ERROR")</f>
        <v>3887</v>
      </c>
      <c r="F59" s="222">
        <f>IFERROR(VLOOKUP($B59,MMWR_TRAD_AGG_RO_COMP[],F$1,0),"ERROR")</f>
        <v>948</v>
      </c>
      <c r="G59" s="223">
        <f t="shared" si="0"/>
        <v>0.24388988937483921</v>
      </c>
      <c r="H59" s="224">
        <f>IFERROR(VLOOKUP($B59,MMWR_TRAD_AGG_RO_COMP[],H$1,0),"ERROR")</f>
        <v>3479</v>
      </c>
      <c r="I59" s="222">
        <f>IFERROR(VLOOKUP($B59,MMWR_TRAD_AGG_RO_COMP[],I$1,0),"ERROR")</f>
        <v>2487</v>
      </c>
      <c r="J59" s="223">
        <f t="shared" si="1"/>
        <v>0.71486059212417363</v>
      </c>
      <c r="K59" s="225">
        <f>IFERROR(VLOOKUP($B59,MMWR_TRAD_AGG_RO_COMP[],K$1,0),"ERROR")</f>
        <v>642</v>
      </c>
      <c r="L59" s="226">
        <f>IFERROR(VLOOKUP($B59,MMWR_TRAD_AGG_RO_COMP[],L$1,0),"ERROR")</f>
        <v>515</v>
      </c>
      <c r="M59" s="223">
        <f t="shared" si="2"/>
        <v>0.80218068535825549</v>
      </c>
      <c r="N59" s="225">
        <f>IFERROR(VLOOKUP($B59,MMWR_TRAD_AGG_RO_COMP[],N$1,0),"ERROR")</f>
        <v>1208</v>
      </c>
      <c r="O59" s="226">
        <f>IFERROR(VLOOKUP($B59,MMWR_TRAD_AGG_RO_COMP[],O$1,0),"ERROR")</f>
        <v>966</v>
      </c>
      <c r="P59" s="223">
        <f t="shared" si="3"/>
        <v>0.79966887417218546</v>
      </c>
      <c r="Q59" s="227">
        <f>IFERROR(VLOOKUP($B59,MMWR_TRAD_AGG_RO_COMP[],Q$1,0),"ERROR")</f>
        <v>0</v>
      </c>
      <c r="R59" s="227">
        <f>IFERROR(VLOOKUP($B59,MMWR_TRAD_AGG_RO_COMP[],R$1,0),"ERROR")</f>
        <v>124</v>
      </c>
      <c r="S59" s="201">
        <f>IFERROR(VLOOKUP($B59,MMWR_APP_RO[],S$1,0),"ERROR")</f>
        <v>3109</v>
      </c>
      <c r="T59" s="28"/>
    </row>
    <row r="60" spans="1:20" x14ac:dyDescent="0.2">
      <c r="A60" s="28"/>
      <c r="B60" s="108" t="s">
        <v>71</v>
      </c>
      <c r="C60" s="219">
        <f>IFERROR(VLOOKUP($B60,MMWR_TRAD_AGG_RO_COMP[],C$1,0),"ERROR")</f>
        <v>5411</v>
      </c>
      <c r="D60" s="220">
        <f>IFERROR(VLOOKUP($B60,MMWR_TRAD_AGG_RO_COMP[],D$1,0),"ERROR")</f>
        <v>349.50785437069999</v>
      </c>
      <c r="E60" s="221">
        <f>IFERROR(VLOOKUP($B60,MMWR_TRAD_AGG_RO_COMP[],E$1,0),"ERROR")</f>
        <v>10643</v>
      </c>
      <c r="F60" s="222">
        <f>IFERROR(VLOOKUP($B60,MMWR_TRAD_AGG_RO_COMP[],F$1,0),"ERROR")</f>
        <v>1802</v>
      </c>
      <c r="G60" s="223">
        <f t="shared" si="0"/>
        <v>0.1693131635816969</v>
      </c>
      <c r="H60" s="224">
        <f>IFERROR(VLOOKUP($B60,MMWR_TRAD_AGG_RO_COMP[],H$1,0),"ERROR")</f>
        <v>15479</v>
      </c>
      <c r="I60" s="222">
        <f>IFERROR(VLOOKUP($B60,MMWR_TRAD_AGG_RO_COMP[],I$1,0),"ERROR")</f>
        <v>10450</v>
      </c>
      <c r="J60" s="223">
        <f t="shared" si="1"/>
        <v>0.67510821112474961</v>
      </c>
      <c r="K60" s="225">
        <f>IFERROR(VLOOKUP($B60,MMWR_TRAD_AGG_RO_COMP[],K$1,0),"ERROR")</f>
        <v>6376</v>
      </c>
      <c r="L60" s="226">
        <f>IFERROR(VLOOKUP($B60,MMWR_TRAD_AGG_RO_COMP[],L$1,0),"ERROR")</f>
        <v>4414</v>
      </c>
      <c r="M60" s="223">
        <f t="shared" si="2"/>
        <v>0.69228356336260977</v>
      </c>
      <c r="N60" s="225">
        <f>IFERROR(VLOOKUP($B60,MMWR_TRAD_AGG_RO_COMP[],N$1,0),"ERROR")</f>
        <v>2453</v>
      </c>
      <c r="O60" s="226">
        <f>IFERROR(VLOOKUP($B60,MMWR_TRAD_AGG_RO_COMP[],O$1,0),"ERROR")</f>
        <v>1733</v>
      </c>
      <c r="P60" s="223">
        <f t="shared" si="3"/>
        <v>0.70648185894822668</v>
      </c>
      <c r="Q60" s="227">
        <f>IFERROR(VLOOKUP($B60,MMWR_TRAD_AGG_RO_COMP[],Q$1,0),"ERROR")</f>
        <v>0</v>
      </c>
      <c r="R60" s="227">
        <f>IFERROR(VLOOKUP($B60,MMWR_TRAD_AGG_RO_COMP[],R$1,0),"ERROR")</f>
        <v>62</v>
      </c>
      <c r="S60" s="201">
        <f>IFERROR(VLOOKUP($B60,MMWR_APP_RO[],S$1,0),"ERROR")</f>
        <v>3962</v>
      </c>
      <c r="T60" s="28"/>
    </row>
    <row r="61" spans="1:20" x14ac:dyDescent="0.2">
      <c r="A61" s="28"/>
      <c r="B61" s="116" t="s">
        <v>73</v>
      </c>
      <c r="C61" s="228">
        <f>IFERROR(VLOOKUP($B61,MMWR_TRAD_AGG_RO_COMP[],C$1,0),"ERROR")</f>
        <v>9957</v>
      </c>
      <c r="D61" s="229">
        <f>IFERROR(VLOOKUP($B61,MMWR_TRAD_AGG_RO_COMP[],D$1,0),"ERROR")</f>
        <v>393.87837702119998</v>
      </c>
      <c r="E61" s="230">
        <f>IFERROR(VLOOKUP($B61,MMWR_TRAD_AGG_RO_COMP[],E$1,0),"ERROR")</f>
        <v>7439</v>
      </c>
      <c r="F61" s="231">
        <f>IFERROR(VLOOKUP($B61,MMWR_TRAD_AGG_RO_COMP[],F$1,0),"ERROR")</f>
        <v>1063</v>
      </c>
      <c r="G61" s="232">
        <f t="shared" si="0"/>
        <v>0.14289555047721467</v>
      </c>
      <c r="H61" s="233">
        <f>IFERROR(VLOOKUP($B61,MMWR_TRAD_AGG_RO_COMP[],H$1,0),"ERROR")</f>
        <v>14782</v>
      </c>
      <c r="I61" s="231">
        <f>IFERROR(VLOOKUP($B61,MMWR_TRAD_AGG_RO_COMP[],I$1,0),"ERROR")</f>
        <v>10213</v>
      </c>
      <c r="J61" s="232">
        <f t="shared" si="1"/>
        <v>0.69090786091191991</v>
      </c>
      <c r="K61" s="234">
        <f>IFERROR(VLOOKUP($B61,MMWR_TRAD_AGG_RO_COMP[],K$1,0),"ERROR")</f>
        <v>4159</v>
      </c>
      <c r="L61" s="235">
        <f>IFERROR(VLOOKUP($B61,MMWR_TRAD_AGG_RO_COMP[],L$1,0),"ERROR")</f>
        <v>3031</v>
      </c>
      <c r="M61" s="232">
        <f t="shared" si="2"/>
        <v>0.72878095696080791</v>
      </c>
      <c r="N61" s="234">
        <f>IFERROR(VLOOKUP($B61,MMWR_TRAD_AGG_RO_COMP[],N$1,0),"ERROR")</f>
        <v>4230</v>
      </c>
      <c r="O61" s="235">
        <f>IFERROR(VLOOKUP($B61,MMWR_TRAD_AGG_RO_COMP[],O$1,0),"ERROR")</f>
        <v>3455</v>
      </c>
      <c r="P61" s="232">
        <f t="shared" si="3"/>
        <v>0.81678486997635935</v>
      </c>
      <c r="Q61" s="236">
        <f>IFERROR(VLOOKUP($B61,MMWR_TRAD_AGG_RO_COMP[],Q$1,0),"ERROR")</f>
        <v>3</v>
      </c>
      <c r="R61" s="236">
        <f>IFERROR(VLOOKUP($B61,MMWR_TRAD_AGG_RO_COMP[],R$1,0),"ERROR")</f>
        <v>152</v>
      </c>
      <c r="S61" s="201">
        <f>IFERROR(VLOOKUP($B61,MMWR_APP_RO[],S$1,0),"ERROR")</f>
        <v>4797</v>
      </c>
      <c r="T61" s="28"/>
    </row>
    <row r="62" spans="1:20" x14ac:dyDescent="0.2">
      <c r="A62" s="28"/>
      <c r="B62" s="101" t="s">
        <v>380</v>
      </c>
      <c r="C62" s="212">
        <f>IFERROR(VLOOKUP($B62,MMWR_TRAD_AGG_DISTRICT_COMP[],C$1,0),"ERROR")</f>
        <v>59364</v>
      </c>
      <c r="D62" s="197">
        <f>IFERROR(VLOOKUP($B62,MMWR_TRAD_AGG_DISTRICT_COMP[],D$1,0),"ERROR")</f>
        <v>359.5127855266</v>
      </c>
      <c r="E62" s="213">
        <f>IFERROR(VLOOKUP($B62,MMWR_TRAD_AGG_DISTRICT_COMP[],E$1,0),"ERROR")</f>
        <v>70926</v>
      </c>
      <c r="F62" s="218">
        <f>IFERROR(VLOOKUP($B62,MMWR_TRAD_AGG_DISTRICT_COMP[],F$1,0),"ERROR")</f>
        <v>16781</v>
      </c>
      <c r="G62" s="214">
        <f t="shared" si="0"/>
        <v>0.23659870851309817</v>
      </c>
      <c r="H62" s="218">
        <f>IFERROR(VLOOKUP($B62,MMWR_TRAD_AGG_DISTRICT_COMP[],H$1,0),"ERROR")</f>
        <v>80592</v>
      </c>
      <c r="I62" s="218">
        <f>IFERROR(VLOOKUP($B62,MMWR_TRAD_AGG_DISTRICT_COMP[],I$1,0),"ERROR")</f>
        <v>54335</v>
      </c>
      <c r="J62" s="214">
        <f t="shared" si="1"/>
        <v>0.6741984316061147</v>
      </c>
      <c r="K62" s="212">
        <f>IFERROR(VLOOKUP($B62,MMWR_TRAD_AGG_DISTRICT_COMP[],K$1,0),"ERROR")</f>
        <v>26543</v>
      </c>
      <c r="L62" s="212">
        <f>IFERROR(VLOOKUP($B62,MMWR_TRAD_AGG_DISTRICT_COMP[],L$1,0),"ERROR")</f>
        <v>22031</v>
      </c>
      <c r="M62" s="214">
        <f t="shared" si="2"/>
        <v>0.83001167916211427</v>
      </c>
      <c r="N62" s="212">
        <f>IFERROR(VLOOKUP($B62,MMWR_TRAD_AGG_DISTRICT_COMP[],N$1,0),"ERROR")</f>
        <v>30318</v>
      </c>
      <c r="O62" s="212">
        <f>IFERROR(VLOOKUP($B62,MMWR_TRAD_AGG_DISTRICT_COMP[],O$1,0),"ERROR")</f>
        <v>23202</v>
      </c>
      <c r="P62" s="214">
        <f t="shared" si="3"/>
        <v>0.76528794775380959</v>
      </c>
      <c r="Q62" s="212">
        <f>IFERROR(VLOOKUP($B62,MMWR_TRAD_AGG_DISTRICT_COMP[],Q$1,0),"ERROR")</f>
        <v>165</v>
      </c>
      <c r="R62" s="215">
        <f>IFERROR(VLOOKUP($B62,MMWR_TRAD_AGG_DISTRICT_COMP[],R$1,0),"ERROR")</f>
        <v>1335</v>
      </c>
      <c r="S62" s="215">
        <f>IFERROR(VLOOKUP($B62,MMWR_APP_RO[],S$1,0),"ERROR")</f>
        <v>87267</v>
      </c>
      <c r="T62" s="28"/>
    </row>
    <row r="63" spans="1:20" x14ac:dyDescent="0.2">
      <c r="A63" s="28"/>
      <c r="B63" s="108" t="s">
        <v>25</v>
      </c>
      <c r="C63" s="219">
        <f>IFERROR(VLOOKUP($B63,MMWR_TRAD_AGG_RO_COMP[],C$1,0),"ERROR")</f>
        <v>11831</v>
      </c>
      <c r="D63" s="220">
        <f>IFERROR(VLOOKUP($B63,MMWR_TRAD_AGG_RO_COMP[],D$1,0),"ERROR")</f>
        <v>369.9333107937</v>
      </c>
      <c r="E63" s="221">
        <f>IFERROR(VLOOKUP($B63,MMWR_TRAD_AGG_RO_COMP[],E$1,0),"ERROR")</f>
        <v>17401</v>
      </c>
      <c r="F63" s="222">
        <f>IFERROR(VLOOKUP($B63,MMWR_TRAD_AGG_RO_COMP[],F$1,0),"ERROR")</f>
        <v>4662</v>
      </c>
      <c r="G63" s="223">
        <f t="shared" si="0"/>
        <v>0.26791563703235444</v>
      </c>
      <c r="H63" s="224">
        <f>IFERROR(VLOOKUP($B63,MMWR_TRAD_AGG_RO_COMP[],H$1,0),"ERROR")</f>
        <v>17396</v>
      </c>
      <c r="I63" s="222">
        <f>IFERROR(VLOOKUP($B63,MMWR_TRAD_AGG_RO_COMP[],I$1,0),"ERROR")</f>
        <v>12069</v>
      </c>
      <c r="J63" s="223">
        <f t="shared" si="1"/>
        <v>0.6937801793515751</v>
      </c>
      <c r="K63" s="225">
        <f>IFERROR(VLOOKUP($B63,MMWR_TRAD_AGG_RO_COMP[],K$1,0),"ERROR")</f>
        <v>7610</v>
      </c>
      <c r="L63" s="226">
        <f>IFERROR(VLOOKUP($B63,MMWR_TRAD_AGG_RO_COMP[],L$1,0),"ERROR")</f>
        <v>5976</v>
      </c>
      <c r="M63" s="223">
        <f t="shared" si="2"/>
        <v>0.78528252299605783</v>
      </c>
      <c r="N63" s="225">
        <f>IFERROR(VLOOKUP($B63,MMWR_TRAD_AGG_RO_COMP[],N$1,0),"ERROR")</f>
        <v>10302</v>
      </c>
      <c r="O63" s="226">
        <f>IFERROR(VLOOKUP($B63,MMWR_TRAD_AGG_RO_COMP[],O$1,0),"ERROR")</f>
        <v>9262</v>
      </c>
      <c r="P63" s="223">
        <f t="shared" si="3"/>
        <v>0.89904872840225203</v>
      </c>
      <c r="Q63" s="227">
        <f>IFERROR(VLOOKUP($B63,MMWR_TRAD_AGG_RO_COMP[],Q$1,0),"ERROR")</f>
        <v>72</v>
      </c>
      <c r="R63" s="227">
        <f>IFERROR(VLOOKUP($B63,MMWR_TRAD_AGG_RO_COMP[],R$1,0),"ERROR")</f>
        <v>18</v>
      </c>
      <c r="S63" s="201">
        <f>IFERROR(VLOOKUP($B63,MMWR_APP_RO[],S$1,0),"ERROR")</f>
        <v>18094</v>
      </c>
      <c r="T63" s="28"/>
    </row>
    <row r="64" spans="1:20" x14ac:dyDescent="0.2">
      <c r="A64" s="28"/>
      <c r="B64" s="108" t="s">
        <v>39</v>
      </c>
      <c r="C64" s="219">
        <f>IFERROR(VLOOKUP($B64,MMWR_TRAD_AGG_RO_COMP[],C$1,0),"ERROR")</f>
        <v>8588</v>
      </c>
      <c r="D64" s="220">
        <f>IFERROR(VLOOKUP($B64,MMWR_TRAD_AGG_RO_COMP[],D$1,0),"ERROR")</f>
        <v>294.39066138800001</v>
      </c>
      <c r="E64" s="221">
        <f>IFERROR(VLOOKUP($B64,MMWR_TRAD_AGG_RO_COMP[],E$1,0),"ERROR")</f>
        <v>9028</v>
      </c>
      <c r="F64" s="222">
        <f>IFERROR(VLOOKUP($B64,MMWR_TRAD_AGG_RO_COMP[],F$1,0),"ERROR")</f>
        <v>2418</v>
      </c>
      <c r="G64" s="223">
        <f t="shared" si="0"/>
        <v>0.26783340717766946</v>
      </c>
      <c r="H64" s="224">
        <f>IFERROR(VLOOKUP($B64,MMWR_TRAD_AGG_RO_COMP[],H$1,0),"ERROR")</f>
        <v>12474</v>
      </c>
      <c r="I64" s="222">
        <f>IFERROR(VLOOKUP($B64,MMWR_TRAD_AGG_RO_COMP[],I$1,0),"ERROR")</f>
        <v>8181</v>
      </c>
      <c r="J64" s="223">
        <f t="shared" si="1"/>
        <v>0.6558441558441559</v>
      </c>
      <c r="K64" s="225">
        <f>IFERROR(VLOOKUP($B64,MMWR_TRAD_AGG_RO_COMP[],K$1,0),"ERROR")</f>
        <v>2744</v>
      </c>
      <c r="L64" s="226">
        <f>IFERROR(VLOOKUP($B64,MMWR_TRAD_AGG_RO_COMP[],L$1,0),"ERROR")</f>
        <v>2158</v>
      </c>
      <c r="M64" s="223">
        <f t="shared" si="2"/>
        <v>0.78644314868804666</v>
      </c>
      <c r="N64" s="225">
        <f>IFERROR(VLOOKUP($B64,MMWR_TRAD_AGG_RO_COMP[],N$1,0),"ERROR")</f>
        <v>1513</v>
      </c>
      <c r="O64" s="226">
        <f>IFERROR(VLOOKUP($B64,MMWR_TRAD_AGG_RO_COMP[],O$1,0),"ERROR")</f>
        <v>964</v>
      </c>
      <c r="P64" s="223">
        <f t="shared" si="3"/>
        <v>0.63714474553866496</v>
      </c>
      <c r="Q64" s="227">
        <f>IFERROR(VLOOKUP($B64,MMWR_TRAD_AGG_RO_COMP[],Q$1,0),"ERROR")</f>
        <v>0</v>
      </c>
      <c r="R64" s="227">
        <f>IFERROR(VLOOKUP($B64,MMWR_TRAD_AGG_RO_COMP[],R$1,0),"ERROR")</f>
        <v>55</v>
      </c>
      <c r="S64" s="201">
        <f>IFERROR(VLOOKUP($B64,MMWR_APP_RO[],S$1,0),"ERROR")</f>
        <v>13072</v>
      </c>
      <c r="T64" s="28"/>
    </row>
    <row r="65" spans="1:20" x14ac:dyDescent="0.2">
      <c r="A65" s="28"/>
      <c r="B65" s="108" t="s">
        <v>53</v>
      </c>
      <c r="C65" s="219">
        <f>IFERROR(VLOOKUP($B65,MMWR_TRAD_AGG_RO_COMP[],C$1,0),"ERROR")</f>
        <v>7904</v>
      </c>
      <c r="D65" s="220">
        <f>IFERROR(VLOOKUP($B65,MMWR_TRAD_AGG_RO_COMP[],D$1,0),"ERROR")</f>
        <v>505.13246457489998</v>
      </c>
      <c r="E65" s="221">
        <f>IFERROR(VLOOKUP($B65,MMWR_TRAD_AGG_RO_COMP[],E$1,0),"ERROR")</f>
        <v>3997</v>
      </c>
      <c r="F65" s="222">
        <f>IFERROR(VLOOKUP($B65,MMWR_TRAD_AGG_RO_COMP[],F$1,0),"ERROR")</f>
        <v>842</v>
      </c>
      <c r="G65" s="223">
        <f t="shared" si="0"/>
        <v>0.21065799349512135</v>
      </c>
      <c r="H65" s="224">
        <f>IFERROR(VLOOKUP($B65,MMWR_TRAD_AGG_RO_COMP[],H$1,0),"ERROR")</f>
        <v>10485</v>
      </c>
      <c r="I65" s="222">
        <f>IFERROR(VLOOKUP($B65,MMWR_TRAD_AGG_RO_COMP[],I$1,0),"ERROR")</f>
        <v>8067</v>
      </c>
      <c r="J65" s="223">
        <f t="shared" si="1"/>
        <v>0.76938483547925607</v>
      </c>
      <c r="K65" s="225">
        <f>IFERROR(VLOOKUP($B65,MMWR_TRAD_AGG_RO_COMP[],K$1,0),"ERROR")</f>
        <v>3235</v>
      </c>
      <c r="L65" s="226">
        <f>IFERROR(VLOOKUP($B65,MMWR_TRAD_AGG_RO_COMP[],L$1,0),"ERROR")</f>
        <v>3035</v>
      </c>
      <c r="M65" s="223">
        <f t="shared" si="2"/>
        <v>0.9381761978361669</v>
      </c>
      <c r="N65" s="225">
        <f>IFERROR(VLOOKUP($B65,MMWR_TRAD_AGG_RO_COMP[],N$1,0),"ERROR")</f>
        <v>1579</v>
      </c>
      <c r="O65" s="226">
        <f>IFERROR(VLOOKUP($B65,MMWR_TRAD_AGG_RO_COMP[],O$1,0),"ERROR")</f>
        <v>978</v>
      </c>
      <c r="P65" s="223">
        <f t="shared" si="3"/>
        <v>0.61937935402153266</v>
      </c>
      <c r="Q65" s="227">
        <f>IFERROR(VLOOKUP($B65,MMWR_TRAD_AGG_RO_COMP[],Q$1,0),"ERROR")</f>
        <v>86</v>
      </c>
      <c r="R65" s="227">
        <f>IFERROR(VLOOKUP($B65,MMWR_TRAD_AGG_RO_COMP[],R$1,0),"ERROR")</f>
        <v>297</v>
      </c>
      <c r="S65" s="201">
        <f>IFERROR(VLOOKUP($B65,MMWR_APP_RO[],S$1,0),"ERROR")</f>
        <v>4629</v>
      </c>
      <c r="T65" s="28"/>
    </row>
    <row r="66" spans="1:20" x14ac:dyDescent="0.2">
      <c r="A66" s="28"/>
      <c r="B66" s="108" t="s">
        <v>57</v>
      </c>
      <c r="C66" s="219">
        <f>IFERROR(VLOOKUP($B66,MMWR_TRAD_AGG_RO_COMP[],C$1,0),"ERROR")</f>
        <v>11125</v>
      </c>
      <c r="D66" s="220">
        <f>IFERROR(VLOOKUP($B66,MMWR_TRAD_AGG_RO_COMP[],D$1,0),"ERROR")</f>
        <v>366.57582022470001</v>
      </c>
      <c r="E66" s="221">
        <f>IFERROR(VLOOKUP($B66,MMWR_TRAD_AGG_RO_COMP[],E$1,0),"ERROR")</f>
        <v>7397</v>
      </c>
      <c r="F66" s="222">
        <f>IFERROR(VLOOKUP($B66,MMWR_TRAD_AGG_RO_COMP[],F$1,0),"ERROR")</f>
        <v>1769</v>
      </c>
      <c r="G66" s="223">
        <f t="shared" si="0"/>
        <v>0.23915100716506693</v>
      </c>
      <c r="H66" s="224">
        <f>IFERROR(VLOOKUP($B66,MMWR_TRAD_AGG_RO_COMP[],H$1,0),"ERROR")</f>
        <v>13273</v>
      </c>
      <c r="I66" s="222">
        <f>IFERROR(VLOOKUP($B66,MMWR_TRAD_AGG_RO_COMP[],I$1,0),"ERROR")</f>
        <v>9366</v>
      </c>
      <c r="J66" s="223">
        <f t="shared" si="1"/>
        <v>0.70564303473216305</v>
      </c>
      <c r="K66" s="225">
        <f>IFERROR(VLOOKUP($B66,MMWR_TRAD_AGG_RO_COMP[],K$1,0),"ERROR")</f>
        <v>4297</v>
      </c>
      <c r="L66" s="226">
        <f>IFERROR(VLOOKUP($B66,MMWR_TRAD_AGG_RO_COMP[],L$1,0),"ERROR")</f>
        <v>3928</v>
      </c>
      <c r="M66" s="223">
        <f t="shared" si="2"/>
        <v>0.91412613451245051</v>
      </c>
      <c r="N66" s="225">
        <f>IFERROR(VLOOKUP($B66,MMWR_TRAD_AGG_RO_COMP[],N$1,0),"ERROR")</f>
        <v>1275</v>
      </c>
      <c r="O66" s="226">
        <f>IFERROR(VLOOKUP($B66,MMWR_TRAD_AGG_RO_COMP[],O$1,0),"ERROR")</f>
        <v>576</v>
      </c>
      <c r="P66" s="223">
        <f t="shared" si="3"/>
        <v>0.45176470588235296</v>
      </c>
      <c r="Q66" s="227">
        <f>IFERROR(VLOOKUP($B66,MMWR_TRAD_AGG_RO_COMP[],Q$1,0),"ERROR")</f>
        <v>0</v>
      </c>
      <c r="R66" s="227">
        <f>IFERROR(VLOOKUP($B66,MMWR_TRAD_AGG_RO_COMP[],R$1,0),"ERROR")</f>
        <v>403</v>
      </c>
      <c r="S66" s="201">
        <f>IFERROR(VLOOKUP($B66,MMWR_APP_RO[],S$1,0),"ERROR")</f>
        <v>9629</v>
      </c>
      <c r="T66" s="28"/>
    </row>
    <row r="67" spans="1:20" x14ac:dyDescent="0.2">
      <c r="A67" s="28"/>
      <c r="B67" s="108" t="s">
        <v>58</v>
      </c>
      <c r="C67" s="219">
        <f>IFERROR(VLOOKUP($B67,MMWR_TRAD_AGG_RO_COMP[],C$1,0),"ERROR")</f>
        <v>3003</v>
      </c>
      <c r="D67" s="220">
        <f>IFERROR(VLOOKUP($B67,MMWR_TRAD_AGG_RO_COMP[],D$1,0),"ERROR")</f>
        <v>285.0636030636</v>
      </c>
      <c r="E67" s="221">
        <f>IFERROR(VLOOKUP($B67,MMWR_TRAD_AGG_RO_COMP[],E$1,0),"ERROR")</f>
        <v>8653</v>
      </c>
      <c r="F67" s="222">
        <f>IFERROR(VLOOKUP($B67,MMWR_TRAD_AGG_RO_COMP[],F$1,0),"ERROR")</f>
        <v>1559</v>
      </c>
      <c r="G67" s="223">
        <f t="shared" si="0"/>
        <v>0.18016872760892177</v>
      </c>
      <c r="H67" s="224">
        <f>IFERROR(VLOOKUP($B67,MMWR_TRAD_AGG_RO_COMP[],H$1,0),"ERROR")</f>
        <v>5642</v>
      </c>
      <c r="I67" s="222">
        <f>IFERROR(VLOOKUP($B67,MMWR_TRAD_AGG_RO_COMP[],I$1,0),"ERROR")</f>
        <v>2700</v>
      </c>
      <c r="J67" s="223">
        <f t="shared" si="1"/>
        <v>0.47855370436015598</v>
      </c>
      <c r="K67" s="225">
        <f>IFERROR(VLOOKUP($B67,MMWR_TRAD_AGG_RO_COMP[],K$1,0),"ERROR")</f>
        <v>2912</v>
      </c>
      <c r="L67" s="226">
        <f>IFERROR(VLOOKUP($B67,MMWR_TRAD_AGG_RO_COMP[],L$1,0),"ERROR")</f>
        <v>2289</v>
      </c>
      <c r="M67" s="223">
        <f t="shared" si="2"/>
        <v>0.78605769230769229</v>
      </c>
      <c r="N67" s="225">
        <f>IFERROR(VLOOKUP($B67,MMWR_TRAD_AGG_RO_COMP[],N$1,0),"ERROR")</f>
        <v>1532</v>
      </c>
      <c r="O67" s="226">
        <f>IFERROR(VLOOKUP($B67,MMWR_TRAD_AGG_RO_COMP[],O$1,0),"ERROR")</f>
        <v>1155</v>
      </c>
      <c r="P67" s="223">
        <f t="shared" si="3"/>
        <v>0.75391644908616184</v>
      </c>
      <c r="Q67" s="227">
        <f>IFERROR(VLOOKUP($B67,MMWR_TRAD_AGG_RO_COMP[],Q$1,0),"ERROR")</f>
        <v>0</v>
      </c>
      <c r="R67" s="227">
        <f>IFERROR(VLOOKUP($B67,MMWR_TRAD_AGG_RO_COMP[],R$1,0),"ERROR")</f>
        <v>277</v>
      </c>
      <c r="S67" s="201">
        <f>IFERROR(VLOOKUP($B67,MMWR_APP_RO[],S$1,0),"ERROR")</f>
        <v>6825</v>
      </c>
      <c r="T67" s="28"/>
    </row>
    <row r="68" spans="1:20" x14ac:dyDescent="0.2">
      <c r="A68" s="28"/>
      <c r="B68" s="108" t="s">
        <v>72</v>
      </c>
      <c r="C68" s="219">
        <f>IFERROR(VLOOKUP($B68,MMWR_TRAD_AGG_RO_COMP[],C$1,0),"ERROR")</f>
        <v>884</v>
      </c>
      <c r="D68" s="220">
        <f>IFERROR(VLOOKUP($B68,MMWR_TRAD_AGG_RO_COMP[],D$1,0),"ERROR")</f>
        <v>284.94457013570002</v>
      </c>
      <c r="E68" s="221">
        <f>IFERROR(VLOOKUP($B68,MMWR_TRAD_AGG_RO_COMP[],E$1,0),"ERROR")</f>
        <v>2010</v>
      </c>
      <c r="F68" s="222">
        <f>IFERROR(VLOOKUP($B68,MMWR_TRAD_AGG_RO_COMP[],F$1,0),"ERROR")</f>
        <v>523</v>
      </c>
      <c r="G68" s="223">
        <f t="shared" si="0"/>
        <v>0.26019900497512438</v>
      </c>
      <c r="H68" s="224">
        <f>IFERROR(VLOOKUP($B68,MMWR_TRAD_AGG_RO_COMP[],H$1,0),"ERROR")</f>
        <v>1963</v>
      </c>
      <c r="I68" s="222">
        <f>IFERROR(VLOOKUP($B68,MMWR_TRAD_AGG_RO_COMP[],I$1,0),"ERROR")</f>
        <v>1291</v>
      </c>
      <c r="J68" s="223">
        <f t="shared" si="1"/>
        <v>0.65766683647478352</v>
      </c>
      <c r="K68" s="225">
        <f>IFERROR(VLOOKUP($B68,MMWR_TRAD_AGG_RO_COMP[],K$1,0),"ERROR")</f>
        <v>868</v>
      </c>
      <c r="L68" s="226">
        <f>IFERROR(VLOOKUP($B68,MMWR_TRAD_AGG_RO_COMP[],L$1,0),"ERROR")</f>
        <v>795</v>
      </c>
      <c r="M68" s="223">
        <f t="shared" si="2"/>
        <v>0.91589861751152069</v>
      </c>
      <c r="N68" s="225">
        <f>IFERROR(VLOOKUP($B68,MMWR_TRAD_AGG_RO_COMP[],N$1,0),"ERROR")</f>
        <v>1261</v>
      </c>
      <c r="O68" s="226">
        <f>IFERROR(VLOOKUP($B68,MMWR_TRAD_AGG_RO_COMP[],O$1,0),"ERROR")</f>
        <v>992</v>
      </c>
      <c r="P68" s="223">
        <f t="shared" si="3"/>
        <v>0.78667724028548769</v>
      </c>
      <c r="Q68" s="227">
        <f>IFERROR(VLOOKUP($B68,MMWR_TRAD_AGG_RO_COMP[],Q$1,0),"ERROR")</f>
        <v>0</v>
      </c>
      <c r="R68" s="227">
        <f>IFERROR(VLOOKUP($B68,MMWR_TRAD_AGG_RO_COMP[],R$1,0),"ERROR")</f>
        <v>2</v>
      </c>
      <c r="S68" s="201">
        <f>IFERROR(VLOOKUP($B68,MMWR_APP_RO[],S$1,0),"ERROR")</f>
        <v>4954</v>
      </c>
      <c r="T68" s="28"/>
    </row>
    <row r="69" spans="1:20" x14ac:dyDescent="0.2">
      <c r="A69" s="28"/>
      <c r="B69" s="116" t="s">
        <v>77</v>
      </c>
      <c r="C69" s="228">
        <f>IFERROR(VLOOKUP($B69,MMWR_TRAD_AGG_RO_COMP[],C$1,0),"ERROR")</f>
        <v>16029</v>
      </c>
      <c r="D69" s="229">
        <f>IFERROR(VLOOKUP($B69,MMWR_TRAD_AGG_RO_COMP[],D$1,0),"ERROR")</f>
        <v>328.0646952399</v>
      </c>
      <c r="E69" s="230">
        <f>IFERROR(VLOOKUP($B69,MMWR_TRAD_AGG_RO_COMP[],E$1,0),"ERROR")</f>
        <v>22440</v>
      </c>
      <c r="F69" s="231">
        <f>IFERROR(VLOOKUP($B69,MMWR_TRAD_AGG_RO_COMP[],F$1,0),"ERROR")</f>
        <v>5008</v>
      </c>
      <c r="G69" s="232">
        <f t="shared" si="0"/>
        <v>0.2231729055258467</v>
      </c>
      <c r="H69" s="233">
        <f>IFERROR(VLOOKUP($B69,MMWR_TRAD_AGG_RO_COMP[],H$1,0),"ERROR")</f>
        <v>19359</v>
      </c>
      <c r="I69" s="231">
        <f>IFERROR(VLOOKUP($B69,MMWR_TRAD_AGG_RO_COMP[],I$1,0),"ERROR")</f>
        <v>12661</v>
      </c>
      <c r="J69" s="232">
        <f t="shared" si="1"/>
        <v>0.65401105428999429</v>
      </c>
      <c r="K69" s="234">
        <f>IFERROR(VLOOKUP($B69,MMWR_TRAD_AGG_RO_COMP[],K$1,0),"ERROR")</f>
        <v>4877</v>
      </c>
      <c r="L69" s="235">
        <f>IFERROR(VLOOKUP($B69,MMWR_TRAD_AGG_RO_COMP[],L$1,0),"ERROR")</f>
        <v>3850</v>
      </c>
      <c r="M69" s="232">
        <f t="shared" si="2"/>
        <v>0.78941972524092685</v>
      </c>
      <c r="N69" s="234">
        <f>IFERROR(VLOOKUP($B69,MMWR_TRAD_AGG_RO_COMP[],N$1,0),"ERROR")</f>
        <v>12856</v>
      </c>
      <c r="O69" s="235">
        <f>IFERROR(VLOOKUP($B69,MMWR_TRAD_AGG_RO_COMP[],O$1,0),"ERROR")</f>
        <v>9275</v>
      </c>
      <c r="P69" s="232">
        <f t="shared" si="3"/>
        <v>0.72145301804604856</v>
      </c>
      <c r="Q69" s="236">
        <f>IFERROR(VLOOKUP($B69,MMWR_TRAD_AGG_RO_COMP[],Q$1,0),"ERROR")</f>
        <v>7</v>
      </c>
      <c r="R69" s="236">
        <f>IFERROR(VLOOKUP($B69,MMWR_TRAD_AGG_RO_COMP[],R$1,0),"ERROR")</f>
        <v>283</v>
      </c>
      <c r="S69" s="201">
        <f>IFERROR(VLOOKUP($B69,MMWR_APP_RO[],S$1,0),"ERROR")</f>
        <v>30064</v>
      </c>
      <c r="T69" s="28"/>
    </row>
    <row r="70" spans="1:20" x14ac:dyDescent="0.2">
      <c r="A70" s="28"/>
      <c r="B70" s="101" t="s">
        <v>8</v>
      </c>
      <c r="C70" s="212">
        <f>IFERROR(VLOOKUP($B70,MMWR_TRAD_AGG_RO_COMP[],C$1,0),"ERROR")</f>
        <v>144</v>
      </c>
      <c r="D70" s="197">
        <f>IFERROR(VLOOKUP($B70,MMWR_TRAD_AGG_RO_COMP[],D$1,0),"ERROR")</f>
        <v>328.94444444440001</v>
      </c>
      <c r="E70" s="213">
        <f>IFERROR(VLOOKUP($B70,MMWR_TRAD_AGG_RO_COMP[],E$1,0),"ERROR")</f>
        <v>352</v>
      </c>
      <c r="F70" s="218">
        <f>IFERROR(VLOOKUP($B70,MMWR_TRAD_AGG_RO_COMP[],F$1,0),"ERROR")</f>
        <v>10</v>
      </c>
      <c r="G70" s="214">
        <f>IFERROR(F70/E70,"0%")</f>
        <v>2.8409090909090908E-2</v>
      </c>
      <c r="H70" s="218">
        <f>IFERROR(VLOOKUP($B70,MMWR_TRAD_AGG_RO_COMP[],H$1,0),"ERROR")</f>
        <v>217</v>
      </c>
      <c r="I70" s="218">
        <f>IFERROR(VLOOKUP($B70,MMWR_TRAD_AGG_RO_COMP[],I$1,0),"ERROR")</f>
        <v>132</v>
      </c>
      <c r="J70" s="214">
        <f>IFERROR(I70/H70,"0%")</f>
        <v>0.60829493087557607</v>
      </c>
      <c r="K70" s="212">
        <f>IFERROR(VLOOKUP($B70,MMWR_TRAD_AGG_RO_COMP[],K$1,0),"ERROR")</f>
        <v>66</v>
      </c>
      <c r="L70" s="212">
        <f>IFERROR(VLOOKUP($B70,MMWR_TRAD_AGG_RO_COMP[],L$1,0),"ERROR")</f>
        <v>32</v>
      </c>
      <c r="M70" s="214">
        <f>IFERROR(L70/K70,"0%")</f>
        <v>0.48484848484848486</v>
      </c>
      <c r="N70" s="212">
        <f>IFERROR(VLOOKUP($B70,MMWR_TRAD_AGG_RO_COMP[],N$1,0),"ERROR")</f>
        <v>66329</v>
      </c>
      <c r="O70" s="212">
        <f>IFERROR(VLOOKUP($B70,MMWR_TRAD_AGG_RO_COMP[],O$1,0),"ERROR")</f>
        <v>36762</v>
      </c>
      <c r="P70" s="214">
        <f>IFERROR(O70/N70,"0%")</f>
        <v>0.55423721147612659</v>
      </c>
      <c r="Q70" s="212">
        <f>IFERROR(VLOOKUP($B70,MMWR_TRAD_AGG_RO_COMP[],Q$1,0),"ERROR")</f>
        <v>0</v>
      </c>
      <c r="R70" s="215">
        <f>IFERROR(VLOOKUP($B70,MMWR_TRAD_AGG_RO_COMP[],R$1,0),"ERROR")</f>
        <v>1</v>
      </c>
      <c r="S70" s="215">
        <f>IFERROR(VLOOKUP($B70,MMWR_APP_RO[],S$1,0),"ERROR")</f>
        <v>10505</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487</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7">
        <f>IFERROR(VLOOKUP($B75,MMWR_TRAD_AGG_RO_PEN[],C$1,0),"ERROR")</f>
        <v>26419</v>
      </c>
      <c r="D75" s="238">
        <f>IFERROR(VLOOKUP($B75,MMWR_TRAD_AGG_RO_PEN[],D$1,0),"ERROR")</f>
        <v>94.084408948100005</v>
      </c>
      <c r="E75" s="237">
        <f>IFERROR(VLOOKUP($B75,MMWR_TRAD_AGG_RO_PEN[],E$1,0),"ERROR")</f>
        <v>32514</v>
      </c>
      <c r="F75" s="237">
        <f>IFERROR(VLOOKUP($B75,MMWR_TRAD_AGG_RO_PEN[],F$1,0),"ERROR")</f>
        <v>4308</v>
      </c>
      <c r="G75" s="239">
        <f>IFERROR(F75/E75,"0%")</f>
        <v>0.13249677062188595</v>
      </c>
      <c r="H75" s="237">
        <f>IFERROR(VLOOKUP($B75,MMWR_TRAD_AGG_RO_PEN[],H$1,0),"ERROR")</f>
        <v>34932</v>
      </c>
      <c r="I75" s="237">
        <f>IFERROR(VLOOKUP($B75,MMWR_TRAD_AGG_RO_PEN[],I$1,0),"ERROR")</f>
        <v>7919</v>
      </c>
      <c r="J75" s="239">
        <f>IFERROR(I75/H75,"0%")</f>
        <v>0.22669758387724723</v>
      </c>
      <c r="K75" s="237">
        <f>IFERROR(VLOOKUP($B75,MMWR_TRAD_AGG_RO_PEN[],K$1,0),"ERROR")</f>
        <v>286</v>
      </c>
      <c r="L75" s="237">
        <f>IFERROR(VLOOKUP($B75,MMWR_TRAD_AGG_RO_PEN[],L$1,0),"ERROR")</f>
        <v>265</v>
      </c>
      <c r="M75" s="239">
        <f>IFERROR(L75/K75,"0%")</f>
        <v>0.92657342657342656</v>
      </c>
      <c r="N75" s="237">
        <f>IFERROR(VLOOKUP($B75,MMWR_TRAD_AGG_RO_PEN[],N$1,0),"ERROR")</f>
        <v>1892</v>
      </c>
      <c r="O75" s="237">
        <f>IFERROR(VLOOKUP($B75,MMWR_TRAD_AGG_RO_PEN[],O$1,0),"ERROR")</f>
        <v>501</v>
      </c>
      <c r="P75" s="239">
        <f>IFERROR(O75/N75,"0%")</f>
        <v>0.26479915433403806</v>
      </c>
      <c r="Q75" s="237">
        <f>IFERROR(VLOOKUP($B75,MMWR_TRAD_AGG_RO_PEN[],Q$1,0),"ERROR")</f>
        <v>11859</v>
      </c>
      <c r="R75" s="240">
        <f>IFERROR(VLOOKUP($B75,MMWR_TRAD_AGG_RO_PEN[],R$1,0),"ERROR")</f>
        <v>5956</v>
      </c>
      <c r="S75" s="240">
        <f>IFERROR(VLOOKUP($B75,MMWR_APP_RO[],S$1,0),"ERROR")</f>
        <v>5741</v>
      </c>
      <c r="T75" s="28"/>
    </row>
    <row r="76" spans="1:20" x14ac:dyDescent="0.2">
      <c r="A76" s="107"/>
      <c r="B76" s="122" t="s">
        <v>210</v>
      </c>
      <c r="C76" s="241">
        <f>IFERROR(VLOOKUP($B76,MMWR_TRAD_AGG_RO_PEN[],C$1,0),"ERROR")</f>
        <v>14683</v>
      </c>
      <c r="D76" s="242">
        <f>IFERROR(VLOOKUP($B76,MMWR_TRAD_AGG_RO_PEN[],D$1,0),"ERROR")</f>
        <v>106.0258802697</v>
      </c>
      <c r="E76" s="241">
        <f>IFERROR(VLOOKUP($B76,MMWR_TRAD_AGG_RO_PEN[],E$1,0),"ERROR")</f>
        <v>18213</v>
      </c>
      <c r="F76" s="241">
        <f>IFERROR(VLOOKUP($B76,MMWR_TRAD_AGG_RO_PEN[],F$1,0),"ERROR")</f>
        <v>3302</v>
      </c>
      <c r="G76" s="223">
        <f>IFERROR(F76/E76,"0%")</f>
        <v>0.18129907209136331</v>
      </c>
      <c r="H76" s="241">
        <f>IFERROR(VLOOKUP($B76,MMWR_TRAD_AGG_RO_PEN[],H$1,0),"ERROR")</f>
        <v>17274</v>
      </c>
      <c r="I76" s="241">
        <f>IFERROR(VLOOKUP($B76,MMWR_TRAD_AGG_RO_PEN[],I$1,0),"ERROR")</f>
        <v>5447</v>
      </c>
      <c r="J76" s="223">
        <f>IFERROR(I76/H76,"0%")</f>
        <v>0.31532939678128979</v>
      </c>
      <c r="K76" s="241">
        <f>IFERROR(VLOOKUP($B76,MMWR_TRAD_AGG_RO_PEN[],K$1,0),"ERROR")</f>
        <v>28</v>
      </c>
      <c r="L76" s="241">
        <f>IFERROR(VLOOKUP($B76,MMWR_TRAD_AGG_RO_PEN[],L$1,0),"ERROR")</f>
        <v>28</v>
      </c>
      <c r="M76" s="223">
        <f>IFERROR(L76/K76,"0%")</f>
        <v>1</v>
      </c>
      <c r="N76" s="241">
        <f>IFERROR(VLOOKUP($B76,MMWR_TRAD_AGG_RO_PEN[],N$1,0),"ERROR")</f>
        <v>815</v>
      </c>
      <c r="O76" s="241">
        <f>IFERROR(VLOOKUP($B76,MMWR_TRAD_AGG_RO_PEN[],O$1,0),"ERROR")</f>
        <v>184</v>
      </c>
      <c r="P76" s="223">
        <f>IFERROR(O76/N76,"0%")</f>
        <v>0.22576687116564417</v>
      </c>
      <c r="Q76" s="241">
        <f>IFERROR(VLOOKUP($B76,MMWR_TRAD_AGG_RO_PEN[],Q$1,0),"ERROR")</f>
        <v>2118</v>
      </c>
      <c r="R76" s="241">
        <f>IFERROR(VLOOKUP($B76,MMWR_TRAD_AGG_RO_PEN[],R$1,0),"ERROR")</f>
        <v>3568</v>
      </c>
      <c r="S76" s="243">
        <f>IFERROR(VLOOKUP($B76,MMWR_APP_RO[],S$1,0),"ERROR")</f>
        <v>2094</v>
      </c>
      <c r="T76" s="28"/>
    </row>
    <row r="77" spans="1:20" x14ac:dyDescent="0.2">
      <c r="A77" s="107"/>
      <c r="B77" s="122" t="s">
        <v>209</v>
      </c>
      <c r="C77" s="241">
        <f>IFERROR(VLOOKUP($B77,MMWR_TRAD_AGG_RO_PEN[],C$1,0),"ERROR")</f>
        <v>6082</v>
      </c>
      <c r="D77" s="242">
        <f>IFERROR(VLOOKUP($B77,MMWR_TRAD_AGG_RO_PEN[],D$1,0),"ERROR")</f>
        <v>69.6448536666</v>
      </c>
      <c r="E77" s="241">
        <f>IFERROR(VLOOKUP($B77,MMWR_TRAD_AGG_RO_PEN[],E$1,0),"ERROR")</f>
        <v>7372</v>
      </c>
      <c r="F77" s="241">
        <f>IFERROR(VLOOKUP($B77,MMWR_TRAD_AGG_RO_PEN[],F$1,0),"ERROR")</f>
        <v>686</v>
      </c>
      <c r="G77" s="223">
        <f>IFERROR(F77/E77,"0%")</f>
        <v>9.3054801953336957E-2</v>
      </c>
      <c r="H77" s="241">
        <f>IFERROR(VLOOKUP($B77,MMWR_TRAD_AGG_RO_PEN[],H$1,0),"ERROR")</f>
        <v>7744</v>
      </c>
      <c r="I77" s="241">
        <f>IFERROR(VLOOKUP($B77,MMWR_TRAD_AGG_RO_PEN[],I$1,0),"ERROR")</f>
        <v>678</v>
      </c>
      <c r="J77" s="223">
        <f>IFERROR(I77/H77,"0%")</f>
        <v>8.755165289256199E-2</v>
      </c>
      <c r="K77" s="241">
        <f>IFERROR(VLOOKUP($B77,MMWR_TRAD_AGG_RO_PEN[],K$1,0),"ERROR")</f>
        <v>4</v>
      </c>
      <c r="L77" s="241">
        <f>IFERROR(VLOOKUP($B77,MMWR_TRAD_AGG_RO_PEN[],L$1,0),"ERROR")</f>
        <v>3</v>
      </c>
      <c r="M77" s="223">
        <f>IFERROR(L77/K77,"0%")</f>
        <v>0.75</v>
      </c>
      <c r="N77" s="241">
        <f>IFERROR(VLOOKUP($B77,MMWR_TRAD_AGG_RO_PEN[],N$1,0),"ERROR")</f>
        <v>639</v>
      </c>
      <c r="O77" s="241">
        <f>IFERROR(VLOOKUP($B77,MMWR_TRAD_AGG_RO_PEN[],O$1,0),"ERROR")</f>
        <v>120</v>
      </c>
      <c r="P77" s="223">
        <f>IFERROR(O77/N77,"0%")</f>
        <v>0.18779342723004694</v>
      </c>
      <c r="Q77" s="241">
        <f>IFERROR(VLOOKUP($B77,MMWR_TRAD_AGG_RO_PEN[],Q$1,0),"ERROR")</f>
        <v>1162</v>
      </c>
      <c r="R77" s="241">
        <f>IFERROR(VLOOKUP($B77,MMWR_TRAD_AGG_RO_PEN[],R$1,0),"ERROR")</f>
        <v>866</v>
      </c>
      <c r="S77" s="243">
        <f>IFERROR(VLOOKUP($B77,MMWR_APP_RO[],S$1,0),"ERROR")</f>
        <v>2431</v>
      </c>
      <c r="T77" s="28"/>
    </row>
    <row r="78" spans="1:20" x14ac:dyDescent="0.2">
      <c r="A78" s="107"/>
      <c r="B78" s="122" t="s">
        <v>212</v>
      </c>
      <c r="C78" s="241">
        <f>IFERROR(VLOOKUP($B78,MMWR_TRAD_AGG_RO_PEN[],C$1,0),"ERROR")</f>
        <v>5654</v>
      </c>
      <c r="D78" s="242">
        <f>IFERROR(VLOOKUP($B78,MMWR_TRAD_AGG_RO_PEN[],D$1,0),"ERROR")</f>
        <v>89.362928899899998</v>
      </c>
      <c r="E78" s="241">
        <f>IFERROR(VLOOKUP($B78,MMWR_TRAD_AGG_RO_PEN[],E$1,0),"ERROR")</f>
        <v>6548</v>
      </c>
      <c r="F78" s="241">
        <f>IFERROR(VLOOKUP($B78,MMWR_TRAD_AGG_RO_PEN[],F$1,0),"ERROR")</f>
        <v>185</v>
      </c>
      <c r="G78" s="223">
        <f>IFERROR(F78/E78,"0%")</f>
        <v>2.8252901649358581E-2</v>
      </c>
      <c r="H78" s="241">
        <f>IFERROR(VLOOKUP($B78,MMWR_TRAD_AGG_RO_PEN[],H$1,0),"ERROR")</f>
        <v>6957</v>
      </c>
      <c r="I78" s="241">
        <f>IFERROR(VLOOKUP($B78,MMWR_TRAD_AGG_RO_PEN[],I$1,0),"ERROR")</f>
        <v>418</v>
      </c>
      <c r="J78" s="223">
        <f>IFERROR(I78/H78,"0%")</f>
        <v>6.0083369268362802E-2</v>
      </c>
      <c r="K78" s="241">
        <f>IFERROR(VLOOKUP($B78,MMWR_TRAD_AGG_RO_PEN[],K$1,0),"ERROR")</f>
        <v>45</v>
      </c>
      <c r="L78" s="241">
        <f>IFERROR(VLOOKUP($B78,MMWR_TRAD_AGG_RO_PEN[],L$1,0),"ERROR")</f>
        <v>26</v>
      </c>
      <c r="M78" s="223">
        <f>IFERROR(L78/K78,"0%")</f>
        <v>0.57777777777777772</v>
      </c>
      <c r="N78" s="241">
        <f>IFERROR(VLOOKUP($B78,MMWR_TRAD_AGG_RO_PEN[],N$1,0),"ERROR")</f>
        <v>262</v>
      </c>
      <c r="O78" s="241">
        <f>IFERROR(VLOOKUP($B78,MMWR_TRAD_AGG_RO_PEN[],O$1,0),"ERROR")</f>
        <v>91</v>
      </c>
      <c r="P78" s="223">
        <f>IFERROR(O78/N78,"0%")</f>
        <v>0.34732824427480918</v>
      </c>
      <c r="Q78" s="241">
        <f>IFERROR(VLOOKUP($B78,MMWR_TRAD_AGG_RO_PEN[],Q$1,0),"ERROR")</f>
        <v>8572</v>
      </c>
      <c r="R78" s="241">
        <f>IFERROR(VLOOKUP($B78,MMWR_TRAD_AGG_RO_PEN[],R$1,0),"ERROR")</f>
        <v>1522</v>
      </c>
      <c r="S78" s="243">
        <f>IFERROR(VLOOKUP($B78,MMWR_APP_RO[],S$1,0),"ERROR")</f>
        <v>1216</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381</v>
      </c>
      <c r="F79" s="218">
        <f>IFERROR(VLOOKUP($B79,MMWR_TRAD_AGG_RO_PEN[],F$1,0),"ERROR")</f>
        <v>135</v>
      </c>
      <c r="G79" s="214">
        <f>IFERROR(F79/E79,"0%")</f>
        <v>0.3543307086614173</v>
      </c>
      <c r="H79" s="218">
        <f>IFERROR(VLOOKUP($B79,MMWR_TRAD_AGG_RO_PEN[],H$1,0),"ERROR")</f>
        <v>2957</v>
      </c>
      <c r="I79" s="218">
        <f>IFERROR(VLOOKUP($B79,MMWR_TRAD_AGG_RO_PEN[],I$1,0),"ERROR")</f>
        <v>1376</v>
      </c>
      <c r="J79" s="214">
        <f>IFERROR(I79/H79,"0%")</f>
        <v>0.46533648968549207</v>
      </c>
      <c r="K79" s="218">
        <f>IFERROR(VLOOKUP($B79,MMWR_TRAD_AGG_RO_PEN[],K$1,0),"ERROR")</f>
        <v>209</v>
      </c>
      <c r="L79" s="218">
        <f>IFERROR(VLOOKUP($B79,MMWR_TRAD_AGG_RO_PEN[],L$1,0),"ERROR")</f>
        <v>208</v>
      </c>
      <c r="M79" s="214">
        <f>IFERROR(L79/K79,"0%")</f>
        <v>0.99521531100478466</v>
      </c>
      <c r="N79" s="218">
        <f>IFERROR(VLOOKUP($B79,MMWR_TRAD_AGG_RO_PEN[],N$1,0),"ERROR")</f>
        <v>176</v>
      </c>
      <c r="O79" s="218">
        <f>IFERROR(VLOOKUP($B79,MMWR_TRAD_AGG_RO_PEN[],O$1,0),"ERROR")</f>
        <v>106</v>
      </c>
      <c r="P79" s="214">
        <f>IFERROR(O79/N79,"0%")</f>
        <v>0.60227272727272729</v>
      </c>
      <c r="Q79" s="218">
        <f>IFERROR(VLOOKUP($B79,MMWR_TRAD_AGG_RO_PEN[],Q$1,0),"ERROR")</f>
        <v>7</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MAY 28,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53" t="s">
        <v>486</v>
      </c>
      <c r="D5" s="454"/>
      <c r="E5" s="454"/>
      <c r="F5" s="454"/>
      <c r="G5" s="454"/>
      <c r="H5" s="454"/>
      <c r="I5" s="454"/>
      <c r="J5" s="454"/>
      <c r="K5" s="454"/>
      <c r="L5" s="454"/>
      <c r="M5" s="454"/>
      <c r="N5" s="454"/>
      <c r="O5" s="454"/>
      <c r="P5" s="454"/>
      <c r="Q5" s="454"/>
      <c r="R5" s="454"/>
      <c r="S5" s="455"/>
      <c r="T5" s="28"/>
    </row>
    <row r="6" spans="1:20" s="123" customFormat="1" x14ac:dyDescent="0.2">
      <c r="A6" s="92"/>
      <c r="B6" s="125" t="s">
        <v>461</v>
      </c>
      <c r="C6" s="94">
        <f>IFERROR(VLOOKUP($B6,MMWR_TRAD_AGG_ST_DISTRICT_COMP[],C$1,0),"ERROR")</f>
        <v>258430</v>
      </c>
      <c r="D6" s="95">
        <f>IFERROR(VLOOKUP($B6,MMWR_TRAD_AGG_ST_DISTRICT_COMP[],D$1,0),"ERROR")</f>
        <v>390.17839260149998</v>
      </c>
      <c r="E6" s="96">
        <f>IFERROR(VLOOKUP($B6,MMWR_TRAD_AGG_ST_DISTRICT_COMP[],E$1,0),"ERROR")</f>
        <v>327858</v>
      </c>
      <c r="F6" s="97">
        <f>IFERROR(VLOOKUP($B6,MMWR_TRAD_AGG_ST_DISTRICT_COMP[],F$1,0),"ERROR")</f>
        <v>69896</v>
      </c>
      <c r="G6" s="98">
        <f t="shared" ref="G6:G37" si="0">IFERROR(F6/E6,"0%")</f>
        <v>0.21318985658425293</v>
      </c>
      <c r="H6" s="96">
        <f>IFERROR(VLOOKUP($B6,MMWR_TRAD_AGG_ST_DISTRICT_COMP[],H$1,0),"ERROR")</f>
        <v>378905</v>
      </c>
      <c r="I6" s="97">
        <f>IFERROR(VLOOKUP($B6,MMWR_TRAD_AGG_ST_DISTRICT_COMP[],I$1,0),"ERROR")</f>
        <v>251015</v>
      </c>
      <c r="J6" s="99">
        <f t="shared" ref="J6:J37" si="1">IFERROR(I6/H6,"0%")</f>
        <v>0.66247476280334117</v>
      </c>
      <c r="K6" s="96">
        <f>IFERROR(VLOOKUP($B6,MMWR_TRAD_AGG_ST_DISTRICT_COMP[],K$1,0),"ERROR")</f>
        <v>126219</v>
      </c>
      <c r="L6" s="97">
        <f>IFERROR(VLOOKUP($B6,MMWR_TRAD_AGG_ST_DISTRICT_COMP[],L$1,0),"ERROR")</f>
        <v>98948</v>
      </c>
      <c r="M6" s="99">
        <f t="shared" ref="M6:M37" si="2">IFERROR(L6/K6,"0%")</f>
        <v>0.78393902661247516</v>
      </c>
      <c r="N6" s="96">
        <f>IFERROR(VLOOKUP($B6,MMWR_TRAD_AGG_ST_DISTRICT_COMP[],N$1,0),"ERROR")</f>
        <v>175281</v>
      </c>
      <c r="O6" s="97">
        <f>IFERROR(VLOOKUP($B6,MMWR_TRAD_AGG_ST_DISTRICT_COMP[],O$1,0),"ERROR")</f>
        <v>114754</v>
      </c>
      <c r="P6" s="99">
        <f t="shared" ref="P6:P37" si="3">IFERROR(O6/N6,"0%")</f>
        <v>0.65468590434787566</v>
      </c>
      <c r="Q6" s="100">
        <f>IFERROR(VLOOKUP($B6,MMWR_TRAD_AGG_ST_DISTRICT_COMP[],Q$1,0),"ERROR")</f>
        <v>23806</v>
      </c>
      <c r="R6" s="100">
        <f>IFERROR(VLOOKUP($B6,MMWR_TRAD_AGG_ST_DISTRICT_COMP[],R$1,0),"ERROR")</f>
        <v>4372</v>
      </c>
      <c r="S6" s="100">
        <f>S7+S23+S36+S46+S56+S64</f>
        <v>314060</v>
      </c>
      <c r="T6" s="28"/>
    </row>
    <row r="7" spans="1:20" s="123" customFormat="1" x14ac:dyDescent="0.2">
      <c r="A7" s="92"/>
      <c r="B7" s="126" t="s">
        <v>369</v>
      </c>
      <c r="C7" s="102">
        <f>IF(SUM(C8:C22)&lt;&gt;VLOOKUP($B7,MMWR_TRAD_AGG_ST_DISTRICT_COMP[],C$1,0),"ERROR",
VLOOKUP($B7,MMWR_TRAD_AGG_ST_DISTRICT_COMP[],C$1,0))</f>
        <v>64040</v>
      </c>
      <c r="D7" s="103">
        <f>IFERROR(VLOOKUP($B7,MMWR_TRAD_AGG_ST_DISTRICT_COMP[],D$1,0),"ERROR")</f>
        <v>418.26948782009998</v>
      </c>
      <c r="E7" s="102">
        <f>IF(SUM(E8:E22)&lt;&gt;VLOOKUP($B7,MMWR_TRAD_AGG_ST_DISTRICT_COMP[],E$1,0),"ERROR",
VLOOKUP($B7,MMWR_TRAD_AGG_ST_DISTRICT_COMP[],E$1,0))</f>
        <v>72218</v>
      </c>
      <c r="F7" s="102">
        <f>IFERROR(VLOOKUP($B7,MMWR_TRAD_AGG_ST_DISTRICT_COMP[],F$1,0),"ERROR")</f>
        <v>16645</v>
      </c>
      <c r="G7" s="104">
        <f t="shared" si="0"/>
        <v>0.2304827051427622</v>
      </c>
      <c r="H7" s="102">
        <f>IF(SUM(H8:H22)&lt;&gt;VLOOKUP($B7,MMWR_TRAD_AGG_ST_DISTRICT_COMP[],H$1,0),"ERROR",
VLOOKUP($B7,MMWR_TRAD_AGG_ST_DISTRICT_COMP[],H$1,0))</f>
        <v>91209</v>
      </c>
      <c r="I7" s="102">
        <f>IF(SUM(I8:I22)&lt;&gt;VLOOKUP($B7,MMWR_TRAD_AGG_ST_DISTRICT_COMP[],I$1,0),"ERROR",
VLOOKUP($B7,MMWR_TRAD_AGG_ST_DISTRICT_COMP[],I$1,0))</f>
        <v>61196</v>
      </c>
      <c r="J7" s="105">
        <f t="shared" si="1"/>
        <v>0.67094256049293377</v>
      </c>
      <c r="K7" s="102">
        <f>IF(SUM(K8:K22)&lt;&gt;VLOOKUP($B7,MMWR_TRAD_AGG_ST_DISTRICT_COMP[],K$1,0),"ERROR",
VLOOKUP($B7,MMWR_TRAD_AGG_ST_DISTRICT_COMP[],K$1,0))</f>
        <v>35926</v>
      </c>
      <c r="L7" s="102">
        <f>IF(SUM(L8:L22)&lt;&gt;VLOOKUP($B7,MMWR_TRAD_AGG_ST_DISTRICT_COMP[],L$1,0),"ERROR",
VLOOKUP($B7,MMWR_TRAD_AGG_ST_DISTRICT_COMP[],L$1,0))</f>
        <v>28969</v>
      </c>
      <c r="M7" s="105">
        <f t="shared" si="2"/>
        <v>0.80635194566609136</v>
      </c>
      <c r="N7" s="102">
        <f>IF(SUM(N8:N22)&lt;&gt;VLOOKUP($B7,MMWR_TRAD_AGG_ST_DISTRICT_COMP[],N$1,0),"ERROR",
VLOOKUP($B7,MMWR_TRAD_AGG_ST_DISTRICT_COMP[],N$1,0))</f>
        <v>39800</v>
      </c>
      <c r="O7" s="102">
        <f>IF(SUM(O8:O22)&lt;&gt;VLOOKUP($B7,MMWR_TRAD_AGG_ST_DISTRICT_COMP[],O$1,0),"ERROR",
VLOOKUP($B7,MMWR_TRAD_AGG_ST_DISTRICT_COMP[],O$1,0))</f>
        <v>27035</v>
      </c>
      <c r="P7" s="105">
        <f t="shared" si="3"/>
        <v>0.67927135678391959</v>
      </c>
      <c r="Q7" s="102">
        <f>IF(SUM(Q8:Q22)&lt;&gt;VLOOKUP($B7,MMWR_TRAD_AGG_ST_DISTRICT_COMP[],Q$1,0),"ERROR",
VLOOKUP($B7,MMWR_TRAD_AGG_ST_DISTRICT_COMP[],Q$1,0))</f>
        <v>9720</v>
      </c>
      <c r="R7" s="106">
        <f>IFERROR(VLOOKUP($B7,MMWR_TRAD_AGG_ST_DISTRICT_COMP[],R$1,0),"ERROR")</f>
        <v>144</v>
      </c>
      <c r="S7" s="106">
        <f>SUM(S8:S22)</f>
        <v>57465</v>
      </c>
      <c r="T7" s="28"/>
    </row>
    <row r="8" spans="1:20" s="123" customFormat="1" x14ac:dyDescent="0.2">
      <c r="A8" s="107"/>
      <c r="B8" s="127" t="s">
        <v>373</v>
      </c>
      <c r="C8" s="109">
        <f>IFERROR(VLOOKUP($B8,MMWR_TRAD_AGG_STATE_COMP[],C$1,0),"ERROR")</f>
        <v>761</v>
      </c>
      <c r="D8" s="110">
        <f>IFERROR(VLOOKUP($B8,MMWR_TRAD_AGG_STATE_COMP[],D$1,0),"ERROR")</f>
        <v>311.98160315370001</v>
      </c>
      <c r="E8" s="111">
        <f>IFERROR(VLOOKUP($B8,MMWR_TRAD_AGG_STATE_COMP[],E$1,0),"ERROR")</f>
        <v>1712</v>
      </c>
      <c r="F8" s="112">
        <f>IFERROR(VLOOKUP($B8,MMWR_TRAD_AGG_STATE_COMP[],F$1,0),"ERROR")</f>
        <v>344</v>
      </c>
      <c r="G8" s="113">
        <f t="shared" si="0"/>
        <v>0.20093457943925233</v>
      </c>
      <c r="H8" s="111">
        <f>IFERROR(VLOOKUP($B8,MMWR_TRAD_AGG_STATE_COMP[],H$1,0),"ERROR")</f>
        <v>1950</v>
      </c>
      <c r="I8" s="112">
        <f>IFERROR(VLOOKUP($B8,MMWR_TRAD_AGG_STATE_COMP[],I$1,0),"ERROR")</f>
        <v>999</v>
      </c>
      <c r="J8" s="114">
        <f t="shared" si="1"/>
        <v>0.51230769230769235</v>
      </c>
      <c r="K8" s="111">
        <f>IFERROR(VLOOKUP($B8,MMWR_TRAD_AGG_STATE_COMP[],K$1,0),"ERROR")</f>
        <v>643</v>
      </c>
      <c r="L8" s="112">
        <f>IFERROR(VLOOKUP($B8,MMWR_TRAD_AGG_STATE_COMP[],L$1,0),"ERROR")</f>
        <v>389</v>
      </c>
      <c r="M8" s="114">
        <f t="shared" si="2"/>
        <v>0.60497667185069981</v>
      </c>
      <c r="N8" s="111">
        <f>IFERROR(VLOOKUP($B8,MMWR_TRAD_AGG_STATE_COMP[],N$1,0),"ERROR")</f>
        <v>1110</v>
      </c>
      <c r="O8" s="112">
        <f>IFERROR(VLOOKUP($B8,MMWR_TRAD_AGG_STATE_COMP[],O$1,0),"ERROR")</f>
        <v>806</v>
      </c>
      <c r="P8" s="114">
        <f t="shared" si="3"/>
        <v>0.72612612612612615</v>
      </c>
      <c r="Q8" s="115">
        <f>IFERROR(VLOOKUP($B8,MMWR_TRAD_AGG_STATE_COMP[],Q$1,0),"ERROR")</f>
        <v>331</v>
      </c>
      <c r="R8" s="115">
        <f>IFERROR(VLOOKUP($B8,MMWR_TRAD_AGG_STATE_COMP[],R$1,0),"ERROR")</f>
        <v>5</v>
      </c>
      <c r="S8" s="115">
        <f>IFERROR(VLOOKUP($B8,MMWR_APP_STATE_COMP[],S$1,0),"ERROR")</f>
        <v>1327</v>
      </c>
      <c r="T8" s="28"/>
    </row>
    <row r="9" spans="1:20" s="123" customFormat="1" x14ac:dyDescent="0.2">
      <c r="A9" s="107"/>
      <c r="B9" s="127" t="s">
        <v>423</v>
      </c>
      <c r="C9" s="109">
        <f>IFERROR(VLOOKUP($B9,MMWR_TRAD_AGG_STATE_COMP[],C$1,0),"ERROR")</f>
        <v>776</v>
      </c>
      <c r="D9" s="110">
        <f>IFERROR(VLOOKUP($B9,MMWR_TRAD_AGG_STATE_COMP[],D$1,0),"ERROR")</f>
        <v>429.58891752580001</v>
      </c>
      <c r="E9" s="111">
        <f>IFERROR(VLOOKUP($B9,MMWR_TRAD_AGG_STATE_COMP[],E$1,0),"ERROR")</f>
        <v>918</v>
      </c>
      <c r="F9" s="112">
        <f>IFERROR(VLOOKUP($B9,MMWR_TRAD_AGG_STATE_COMP[],F$1,0),"ERROR")</f>
        <v>205</v>
      </c>
      <c r="G9" s="113">
        <f t="shared" si="0"/>
        <v>0.22331154684095861</v>
      </c>
      <c r="H9" s="111">
        <f>IFERROR(VLOOKUP($B9,MMWR_TRAD_AGG_STATE_COMP[],H$1,0),"ERROR")</f>
        <v>1025</v>
      </c>
      <c r="I9" s="112">
        <f>IFERROR(VLOOKUP($B9,MMWR_TRAD_AGG_STATE_COMP[],I$1,0),"ERROR")</f>
        <v>728</v>
      </c>
      <c r="J9" s="114">
        <f t="shared" si="1"/>
        <v>0.71024390243902435</v>
      </c>
      <c r="K9" s="111">
        <f>IFERROR(VLOOKUP($B9,MMWR_TRAD_AGG_STATE_COMP[],K$1,0),"ERROR")</f>
        <v>224</v>
      </c>
      <c r="L9" s="112">
        <f>IFERROR(VLOOKUP($B9,MMWR_TRAD_AGG_STATE_COMP[],L$1,0),"ERROR")</f>
        <v>175</v>
      </c>
      <c r="M9" s="114">
        <f t="shared" si="2"/>
        <v>0.78125</v>
      </c>
      <c r="N9" s="111">
        <f>IFERROR(VLOOKUP($B9,MMWR_TRAD_AGG_STATE_COMP[],N$1,0),"ERROR")</f>
        <v>374</v>
      </c>
      <c r="O9" s="112">
        <f>IFERROR(VLOOKUP($B9,MMWR_TRAD_AGG_STATE_COMP[],O$1,0),"ERROR")</f>
        <v>225</v>
      </c>
      <c r="P9" s="114">
        <f t="shared" si="3"/>
        <v>0.60160427807486627</v>
      </c>
      <c r="Q9" s="115">
        <f>IFERROR(VLOOKUP($B9,MMWR_TRAD_AGG_STATE_COMP[],Q$1,0),"ERROR")</f>
        <v>89</v>
      </c>
      <c r="R9" s="115">
        <f>IFERROR(VLOOKUP($B9,MMWR_TRAD_AGG_STATE_COMP[],R$1,0),"ERROR")</f>
        <v>0</v>
      </c>
      <c r="S9" s="115">
        <f>IFERROR(VLOOKUP($B9,MMWR_APP_STATE_COMP[],S$1,0),"ERROR")</f>
        <v>634</v>
      </c>
      <c r="T9" s="28"/>
    </row>
    <row r="10" spans="1:20" s="123" customFormat="1" x14ac:dyDescent="0.2">
      <c r="A10" s="107"/>
      <c r="B10" s="127" t="s">
        <v>414</v>
      </c>
      <c r="C10" s="109">
        <f>IFERROR(VLOOKUP($B10,MMWR_TRAD_AGG_STATE_COMP[],C$1,0),"ERROR")</f>
        <v>473</v>
      </c>
      <c r="D10" s="110">
        <f>IFERROR(VLOOKUP($B10,MMWR_TRAD_AGG_STATE_COMP[],D$1,0),"ERROR")</f>
        <v>645.06342494709997</v>
      </c>
      <c r="E10" s="111">
        <f>IFERROR(VLOOKUP($B10,MMWR_TRAD_AGG_STATE_COMP[],E$1,0),"ERROR")</f>
        <v>438</v>
      </c>
      <c r="F10" s="112">
        <f>IFERROR(VLOOKUP($B10,MMWR_TRAD_AGG_STATE_COMP[],F$1,0),"ERROR")</f>
        <v>81</v>
      </c>
      <c r="G10" s="113">
        <f t="shared" si="0"/>
        <v>0.18493150684931506</v>
      </c>
      <c r="H10" s="111">
        <f>IFERROR(VLOOKUP($B10,MMWR_TRAD_AGG_STATE_COMP[],H$1,0),"ERROR")</f>
        <v>669</v>
      </c>
      <c r="I10" s="112">
        <f>IFERROR(VLOOKUP($B10,MMWR_TRAD_AGG_STATE_COMP[],I$1,0),"ERROR")</f>
        <v>475</v>
      </c>
      <c r="J10" s="114">
        <f t="shared" si="1"/>
        <v>0.71001494768310913</v>
      </c>
      <c r="K10" s="111">
        <f>IFERROR(VLOOKUP($B10,MMWR_TRAD_AGG_STATE_COMP[],K$1,0),"ERROR")</f>
        <v>215</v>
      </c>
      <c r="L10" s="112">
        <f>IFERROR(VLOOKUP($B10,MMWR_TRAD_AGG_STATE_COMP[],L$1,0),"ERROR")</f>
        <v>181</v>
      </c>
      <c r="M10" s="114">
        <f t="shared" si="2"/>
        <v>0.8418604651162791</v>
      </c>
      <c r="N10" s="111">
        <f>IFERROR(VLOOKUP($B10,MMWR_TRAD_AGG_STATE_COMP[],N$1,0),"ERROR")</f>
        <v>367</v>
      </c>
      <c r="O10" s="112">
        <f>IFERROR(VLOOKUP($B10,MMWR_TRAD_AGG_STATE_COMP[],O$1,0),"ERROR")</f>
        <v>272</v>
      </c>
      <c r="P10" s="114">
        <f t="shared" si="3"/>
        <v>0.74114441416893728</v>
      </c>
      <c r="Q10" s="115">
        <f>IFERROR(VLOOKUP($B10,MMWR_TRAD_AGG_STATE_COMP[],Q$1,0),"ERROR")</f>
        <v>37</v>
      </c>
      <c r="R10" s="115">
        <f>IFERROR(VLOOKUP($B10,MMWR_TRAD_AGG_STATE_COMP[],R$1,0),"ERROR")</f>
        <v>0</v>
      </c>
      <c r="S10" s="115">
        <f>IFERROR(VLOOKUP($B10,MMWR_APP_STATE_COMP[],S$1,0),"ERROR")</f>
        <v>593</v>
      </c>
      <c r="T10" s="28"/>
    </row>
    <row r="11" spans="1:20" s="123" customFormat="1" x14ac:dyDescent="0.2">
      <c r="A11" s="107"/>
      <c r="B11" s="127" t="s">
        <v>416</v>
      </c>
      <c r="C11" s="109">
        <f>IFERROR(VLOOKUP($B11,MMWR_TRAD_AGG_STATE_COMP[],C$1,0),"ERROR")</f>
        <v>1088</v>
      </c>
      <c r="D11" s="110">
        <f>IFERROR(VLOOKUP($B11,MMWR_TRAD_AGG_STATE_COMP[],D$1,0),"ERROR")</f>
        <v>324.8382352941</v>
      </c>
      <c r="E11" s="111">
        <f>IFERROR(VLOOKUP($B11,MMWR_TRAD_AGG_STATE_COMP[],E$1,0),"ERROR")</f>
        <v>1211</v>
      </c>
      <c r="F11" s="112">
        <f>IFERROR(VLOOKUP($B11,MMWR_TRAD_AGG_STATE_COMP[],F$1,0),"ERROR")</f>
        <v>179</v>
      </c>
      <c r="G11" s="113">
        <f t="shared" si="0"/>
        <v>0.14781172584640792</v>
      </c>
      <c r="H11" s="111">
        <f>IFERROR(VLOOKUP($B11,MMWR_TRAD_AGG_STATE_COMP[],H$1,0),"ERROR")</f>
        <v>1763</v>
      </c>
      <c r="I11" s="112">
        <f>IFERROR(VLOOKUP($B11,MMWR_TRAD_AGG_STATE_COMP[],I$1,0),"ERROR")</f>
        <v>948</v>
      </c>
      <c r="J11" s="114">
        <f t="shared" si="1"/>
        <v>0.5377197958026092</v>
      </c>
      <c r="K11" s="111">
        <f>IFERROR(VLOOKUP($B11,MMWR_TRAD_AGG_STATE_COMP[],K$1,0),"ERROR")</f>
        <v>977</v>
      </c>
      <c r="L11" s="112">
        <f>IFERROR(VLOOKUP($B11,MMWR_TRAD_AGG_STATE_COMP[],L$1,0),"ERROR")</f>
        <v>754</v>
      </c>
      <c r="M11" s="114">
        <f t="shared" si="2"/>
        <v>0.77175025588536339</v>
      </c>
      <c r="N11" s="111">
        <f>IFERROR(VLOOKUP($B11,MMWR_TRAD_AGG_STATE_COMP[],N$1,0),"ERROR")</f>
        <v>452</v>
      </c>
      <c r="O11" s="112">
        <f>IFERROR(VLOOKUP($B11,MMWR_TRAD_AGG_STATE_COMP[],O$1,0),"ERROR")</f>
        <v>265</v>
      </c>
      <c r="P11" s="114">
        <f t="shared" si="3"/>
        <v>0.58628318584070793</v>
      </c>
      <c r="Q11" s="115">
        <f>IFERROR(VLOOKUP($B11,MMWR_TRAD_AGG_STATE_COMP[],Q$1,0),"ERROR")</f>
        <v>385</v>
      </c>
      <c r="R11" s="115">
        <f>IFERROR(VLOOKUP($B11,MMWR_TRAD_AGG_STATE_COMP[],R$1,0),"ERROR")</f>
        <v>2</v>
      </c>
      <c r="S11" s="115">
        <f>IFERROR(VLOOKUP($B11,MMWR_APP_STATE_COMP[],S$1,0),"ERROR")</f>
        <v>457</v>
      </c>
      <c r="T11" s="28"/>
    </row>
    <row r="12" spans="1:20" s="123" customFormat="1" x14ac:dyDescent="0.2">
      <c r="A12" s="107"/>
      <c r="B12" s="127" t="s">
        <v>376</v>
      </c>
      <c r="C12" s="109">
        <f>IFERROR(VLOOKUP($B12,MMWR_TRAD_AGG_STATE_COMP[],C$1,0),"ERROR")</f>
        <v>8940</v>
      </c>
      <c r="D12" s="110">
        <f>IFERROR(VLOOKUP($B12,MMWR_TRAD_AGG_STATE_COMP[],D$1,0),"ERROR")</f>
        <v>663.74686800890004</v>
      </c>
      <c r="E12" s="111">
        <f>IFERROR(VLOOKUP($B12,MMWR_TRAD_AGG_STATE_COMP[],E$1,0),"ERROR")</f>
        <v>5693</v>
      </c>
      <c r="F12" s="112">
        <f>IFERROR(VLOOKUP($B12,MMWR_TRAD_AGG_STATE_COMP[],F$1,0),"ERROR")</f>
        <v>1415</v>
      </c>
      <c r="G12" s="113">
        <f t="shared" si="0"/>
        <v>0.24855085192341472</v>
      </c>
      <c r="H12" s="111">
        <f>IFERROR(VLOOKUP($B12,MMWR_TRAD_AGG_STATE_COMP[],H$1,0),"ERROR")</f>
        <v>11482</v>
      </c>
      <c r="I12" s="112">
        <f>IFERROR(VLOOKUP($B12,MMWR_TRAD_AGG_STATE_COMP[],I$1,0),"ERROR")</f>
        <v>8908</v>
      </c>
      <c r="J12" s="114">
        <f t="shared" si="1"/>
        <v>0.77582302734715203</v>
      </c>
      <c r="K12" s="111">
        <f>IFERROR(VLOOKUP($B12,MMWR_TRAD_AGG_STATE_COMP[],K$1,0),"ERROR")</f>
        <v>4330</v>
      </c>
      <c r="L12" s="112">
        <f>IFERROR(VLOOKUP($B12,MMWR_TRAD_AGG_STATE_COMP[],L$1,0),"ERROR")</f>
        <v>3690</v>
      </c>
      <c r="M12" s="114">
        <f t="shared" si="2"/>
        <v>0.85219399538106233</v>
      </c>
      <c r="N12" s="111">
        <f>IFERROR(VLOOKUP($B12,MMWR_TRAD_AGG_STATE_COMP[],N$1,0),"ERROR")</f>
        <v>3203</v>
      </c>
      <c r="O12" s="112">
        <f>IFERROR(VLOOKUP($B12,MMWR_TRAD_AGG_STATE_COMP[],O$1,0),"ERROR")</f>
        <v>2232</v>
      </c>
      <c r="P12" s="114">
        <f t="shared" si="3"/>
        <v>0.69684670621292544</v>
      </c>
      <c r="Q12" s="115">
        <f>IFERROR(VLOOKUP($B12,MMWR_TRAD_AGG_STATE_COMP[],Q$1,0),"ERROR")</f>
        <v>497</v>
      </c>
      <c r="R12" s="115">
        <f>IFERROR(VLOOKUP($B12,MMWR_TRAD_AGG_STATE_COMP[],R$1,0),"ERROR")</f>
        <v>6</v>
      </c>
      <c r="S12" s="115">
        <f>IFERROR(VLOOKUP($B12,MMWR_APP_STATE_COMP[],S$1,0),"ERROR")</f>
        <v>5797</v>
      </c>
      <c r="T12" s="28"/>
    </row>
    <row r="13" spans="1:20" s="123" customFormat="1" x14ac:dyDescent="0.2">
      <c r="A13" s="107"/>
      <c r="B13" s="127" t="s">
        <v>371</v>
      </c>
      <c r="C13" s="109">
        <f>IFERROR(VLOOKUP($B13,MMWR_TRAD_AGG_STATE_COMP[],C$1,0),"ERROR")</f>
        <v>3882</v>
      </c>
      <c r="D13" s="110">
        <f>IFERROR(VLOOKUP($B13,MMWR_TRAD_AGG_STATE_COMP[],D$1,0),"ERROR")</f>
        <v>589.30577022149998</v>
      </c>
      <c r="E13" s="111">
        <f>IFERROR(VLOOKUP($B13,MMWR_TRAD_AGG_STATE_COMP[],E$1,0),"ERROR")</f>
        <v>4320</v>
      </c>
      <c r="F13" s="112">
        <f>IFERROR(VLOOKUP($B13,MMWR_TRAD_AGG_STATE_COMP[],F$1,0),"ERROR")</f>
        <v>945</v>
      </c>
      <c r="G13" s="113">
        <f t="shared" si="0"/>
        <v>0.21875</v>
      </c>
      <c r="H13" s="111">
        <f>IFERROR(VLOOKUP($B13,MMWR_TRAD_AGG_STATE_COMP[],H$1,0),"ERROR")</f>
        <v>5774</v>
      </c>
      <c r="I13" s="112">
        <f>IFERROR(VLOOKUP($B13,MMWR_TRAD_AGG_STATE_COMP[],I$1,0),"ERROR")</f>
        <v>4240</v>
      </c>
      <c r="J13" s="114">
        <f t="shared" si="1"/>
        <v>0.73432629026671281</v>
      </c>
      <c r="K13" s="111">
        <f>IFERROR(VLOOKUP($B13,MMWR_TRAD_AGG_STATE_COMP[],K$1,0),"ERROR")</f>
        <v>2780</v>
      </c>
      <c r="L13" s="112">
        <f>IFERROR(VLOOKUP($B13,MMWR_TRAD_AGG_STATE_COMP[],L$1,0),"ERROR")</f>
        <v>2262</v>
      </c>
      <c r="M13" s="114">
        <f t="shared" si="2"/>
        <v>0.81366906474820144</v>
      </c>
      <c r="N13" s="111">
        <f>IFERROR(VLOOKUP($B13,MMWR_TRAD_AGG_STATE_COMP[],N$1,0),"ERROR")</f>
        <v>1386</v>
      </c>
      <c r="O13" s="112">
        <f>IFERROR(VLOOKUP($B13,MMWR_TRAD_AGG_STATE_COMP[],O$1,0),"ERROR")</f>
        <v>1042</v>
      </c>
      <c r="P13" s="114">
        <f t="shared" si="3"/>
        <v>0.75180375180375181</v>
      </c>
      <c r="Q13" s="115">
        <f>IFERROR(VLOOKUP($B13,MMWR_TRAD_AGG_STATE_COMP[],Q$1,0),"ERROR")</f>
        <v>826</v>
      </c>
      <c r="R13" s="115">
        <f>IFERROR(VLOOKUP($B13,MMWR_TRAD_AGG_STATE_COMP[],R$1,0),"ERROR")</f>
        <v>12</v>
      </c>
      <c r="S13" s="115">
        <f>IFERROR(VLOOKUP($B13,MMWR_APP_STATE_COMP[],S$1,0),"ERROR")</f>
        <v>3405</v>
      </c>
      <c r="T13" s="28"/>
    </row>
    <row r="14" spans="1:20" s="123" customFormat="1" x14ac:dyDescent="0.2">
      <c r="A14" s="107"/>
      <c r="B14" s="127" t="s">
        <v>415</v>
      </c>
      <c r="C14" s="109">
        <f>IFERROR(VLOOKUP($B14,MMWR_TRAD_AGG_STATE_COMP[],C$1,0),"ERROR")</f>
        <v>1099</v>
      </c>
      <c r="D14" s="110">
        <f>IFERROR(VLOOKUP($B14,MMWR_TRAD_AGG_STATE_COMP[],D$1,0),"ERROR")</f>
        <v>297.97179253870002</v>
      </c>
      <c r="E14" s="111">
        <f>IFERROR(VLOOKUP($B14,MMWR_TRAD_AGG_STATE_COMP[],E$1,0),"ERROR")</f>
        <v>1208</v>
      </c>
      <c r="F14" s="112">
        <f>IFERROR(VLOOKUP($B14,MMWR_TRAD_AGG_STATE_COMP[],F$1,0),"ERROR")</f>
        <v>188</v>
      </c>
      <c r="G14" s="113">
        <f t="shared" si="0"/>
        <v>0.15562913907284767</v>
      </c>
      <c r="H14" s="111">
        <f>IFERROR(VLOOKUP($B14,MMWR_TRAD_AGG_STATE_COMP[],H$1,0),"ERROR")</f>
        <v>1656</v>
      </c>
      <c r="I14" s="112">
        <f>IFERROR(VLOOKUP($B14,MMWR_TRAD_AGG_STATE_COMP[],I$1,0),"ERROR")</f>
        <v>1044</v>
      </c>
      <c r="J14" s="114">
        <f t="shared" si="1"/>
        <v>0.63043478260869568</v>
      </c>
      <c r="K14" s="111">
        <f>IFERROR(VLOOKUP($B14,MMWR_TRAD_AGG_STATE_COMP[],K$1,0),"ERROR")</f>
        <v>360</v>
      </c>
      <c r="L14" s="112">
        <f>IFERROR(VLOOKUP($B14,MMWR_TRAD_AGG_STATE_COMP[],L$1,0),"ERROR")</f>
        <v>269</v>
      </c>
      <c r="M14" s="114">
        <f t="shared" si="2"/>
        <v>0.74722222222222223</v>
      </c>
      <c r="N14" s="111">
        <f>IFERROR(VLOOKUP($B14,MMWR_TRAD_AGG_STATE_COMP[],N$1,0),"ERROR")</f>
        <v>309</v>
      </c>
      <c r="O14" s="112">
        <f>IFERROR(VLOOKUP($B14,MMWR_TRAD_AGG_STATE_COMP[],O$1,0),"ERROR")</f>
        <v>176</v>
      </c>
      <c r="P14" s="114">
        <f t="shared" si="3"/>
        <v>0.56957928802588997</v>
      </c>
      <c r="Q14" s="115">
        <f>IFERROR(VLOOKUP($B14,MMWR_TRAD_AGG_STATE_COMP[],Q$1,0),"ERROR")</f>
        <v>190</v>
      </c>
      <c r="R14" s="115">
        <f>IFERROR(VLOOKUP($B14,MMWR_TRAD_AGG_STATE_COMP[],R$1,0),"ERROR")</f>
        <v>4</v>
      </c>
      <c r="S14" s="115">
        <f>IFERROR(VLOOKUP($B14,MMWR_APP_STATE_COMP[],S$1,0),"ERROR")</f>
        <v>618</v>
      </c>
      <c r="T14" s="28"/>
    </row>
    <row r="15" spans="1:20" s="123" customFormat="1" x14ac:dyDescent="0.2">
      <c r="A15" s="107"/>
      <c r="B15" s="127" t="s">
        <v>374</v>
      </c>
      <c r="C15" s="109">
        <f>IFERROR(VLOOKUP($B15,MMWR_TRAD_AGG_STATE_COMP[],C$1,0),"ERROR")</f>
        <v>1831</v>
      </c>
      <c r="D15" s="110">
        <f>IFERROR(VLOOKUP($B15,MMWR_TRAD_AGG_STATE_COMP[],D$1,0),"ERROR")</f>
        <v>386.83014746039998</v>
      </c>
      <c r="E15" s="111">
        <f>IFERROR(VLOOKUP($B15,MMWR_TRAD_AGG_STATE_COMP[],E$1,0),"ERROR")</f>
        <v>4499</v>
      </c>
      <c r="F15" s="112">
        <f>IFERROR(VLOOKUP($B15,MMWR_TRAD_AGG_STATE_COMP[],F$1,0),"ERROR")</f>
        <v>1109</v>
      </c>
      <c r="G15" s="113">
        <f t="shared" si="0"/>
        <v>0.2464992220493443</v>
      </c>
      <c r="H15" s="111">
        <f>IFERROR(VLOOKUP($B15,MMWR_TRAD_AGG_STATE_COMP[],H$1,0),"ERROR")</f>
        <v>3477</v>
      </c>
      <c r="I15" s="112">
        <f>IFERROR(VLOOKUP($B15,MMWR_TRAD_AGG_STATE_COMP[],I$1,0),"ERROR")</f>
        <v>1988</v>
      </c>
      <c r="J15" s="114">
        <f t="shared" si="1"/>
        <v>0.57175726200747767</v>
      </c>
      <c r="K15" s="111">
        <f>IFERROR(VLOOKUP($B15,MMWR_TRAD_AGG_STATE_COMP[],K$1,0),"ERROR")</f>
        <v>1433</v>
      </c>
      <c r="L15" s="112">
        <f>IFERROR(VLOOKUP($B15,MMWR_TRAD_AGG_STATE_COMP[],L$1,0),"ERROR")</f>
        <v>1167</v>
      </c>
      <c r="M15" s="114">
        <f t="shared" si="2"/>
        <v>0.81437543614794139</v>
      </c>
      <c r="N15" s="111">
        <f>IFERROR(VLOOKUP($B15,MMWR_TRAD_AGG_STATE_COMP[],N$1,0),"ERROR")</f>
        <v>2515</v>
      </c>
      <c r="O15" s="112">
        <f>IFERROR(VLOOKUP($B15,MMWR_TRAD_AGG_STATE_COMP[],O$1,0),"ERROR")</f>
        <v>1721</v>
      </c>
      <c r="P15" s="114">
        <f t="shared" si="3"/>
        <v>0.68429423459244532</v>
      </c>
      <c r="Q15" s="115">
        <f>IFERROR(VLOOKUP($B15,MMWR_TRAD_AGG_STATE_COMP[],Q$1,0),"ERROR")</f>
        <v>824</v>
      </c>
      <c r="R15" s="115">
        <f>IFERROR(VLOOKUP($B15,MMWR_TRAD_AGG_STATE_COMP[],R$1,0),"ERROR")</f>
        <v>5</v>
      </c>
      <c r="S15" s="115">
        <f>IFERROR(VLOOKUP($B15,MMWR_APP_STATE_COMP[],S$1,0),"ERROR")</f>
        <v>3985</v>
      </c>
      <c r="T15" s="28"/>
    </row>
    <row r="16" spans="1:20" s="123" customFormat="1" x14ac:dyDescent="0.2">
      <c r="A16" s="107"/>
      <c r="B16" s="127" t="s">
        <v>60</v>
      </c>
      <c r="C16" s="109">
        <f>IFERROR(VLOOKUP($B16,MMWR_TRAD_AGG_STATE_COMP[],C$1,0),"ERROR")</f>
        <v>3774</v>
      </c>
      <c r="D16" s="110">
        <f>IFERROR(VLOOKUP($B16,MMWR_TRAD_AGG_STATE_COMP[],D$1,0),"ERROR")</f>
        <v>313.28961314259999</v>
      </c>
      <c r="E16" s="111">
        <f>IFERROR(VLOOKUP($B16,MMWR_TRAD_AGG_STATE_COMP[],E$1,0),"ERROR")</f>
        <v>9209</v>
      </c>
      <c r="F16" s="112">
        <f>IFERROR(VLOOKUP($B16,MMWR_TRAD_AGG_STATE_COMP[],F$1,0),"ERROR")</f>
        <v>2150</v>
      </c>
      <c r="G16" s="113">
        <f t="shared" si="0"/>
        <v>0.23346726028884787</v>
      </c>
      <c r="H16" s="111">
        <f>IFERROR(VLOOKUP($B16,MMWR_TRAD_AGG_STATE_COMP[],H$1,0),"ERROR")</f>
        <v>7298</v>
      </c>
      <c r="I16" s="112">
        <f>IFERROR(VLOOKUP($B16,MMWR_TRAD_AGG_STATE_COMP[],I$1,0),"ERROR")</f>
        <v>3981</v>
      </c>
      <c r="J16" s="114">
        <f t="shared" si="1"/>
        <v>0.54549191559331323</v>
      </c>
      <c r="K16" s="111">
        <f>IFERROR(VLOOKUP($B16,MMWR_TRAD_AGG_STATE_COMP[],K$1,0),"ERROR")</f>
        <v>3731</v>
      </c>
      <c r="L16" s="112">
        <f>IFERROR(VLOOKUP($B16,MMWR_TRAD_AGG_STATE_COMP[],L$1,0),"ERROR")</f>
        <v>2964</v>
      </c>
      <c r="M16" s="114">
        <f t="shared" si="2"/>
        <v>0.79442508710801396</v>
      </c>
      <c r="N16" s="111">
        <f>IFERROR(VLOOKUP($B16,MMWR_TRAD_AGG_STATE_COMP[],N$1,0),"ERROR")</f>
        <v>6064</v>
      </c>
      <c r="O16" s="112">
        <f>IFERROR(VLOOKUP($B16,MMWR_TRAD_AGG_STATE_COMP[],O$1,0),"ERROR")</f>
        <v>2854</v>
      </c>
      <c r="P16" s="114">
        <f t="shared" si="3"/>
        <v>0.47064643799472294</v>
      </c>
      <c r="Q16" s="115">
        <f>IFERROR(VLOOKUP($B16,MMWR_TRAD_AGG_STATE_COMP[],Q$1,0),"ERROR")</f>
        <v>1790</v>
      </c>
      <c r="R16" s="115">
        <f>IFERROR(VLOOKUP($B16,MMWR_TRAD_AGG_STATE_COMP[],R$1,0),"ERROR")</f>
        <v>12</v>
      </c>
      <c r="S16" s="115">
        <f>IFERROR(VLOOKUP($B16,MMWR_APP_STATE_COMP[],S$1,0),"ERROR")</f>
        <v>5406</v>
      </c>
      <c r="T16" s="28"/>
    </row>
    <row r="17" spans="1:20" s="123" customFormat="1" x14ac:dyDescent="0.2">
      <c r="A17" s="107"/>
      <c r="B17" s="127" t="s">
        <v>382</v>
      </c>
      <c r="C17" s="109">
        <f>IFERROR(VLOOKUP($B17,MMWR_TRAD_AGG_STATE_COMP[],C$1,0),"ERROR")</f>
        <v>14724</v>
      </c>
      <c r="D17" s="110">
        <f>IFERROR(VLOOKUP($B17,MMWR_TRAD_AGG_STATE_COMP[],D$1,0),"ERROR")</f>
        <v>306.77193697360002</v>
      </c>
      <c r="E17" s="111">
        <f>IFERROR(VLOOKUP($B17,MMWR_TRAD_AGG_STATE_COMP[],E$1,0),"ERROR")</f>
        <v>17266</v>
      </c>
      <c r="F17" s="112">
        <f>IFERROR(VLOOKUP($B17,MMWR_TRAD_AGG_STATE_COMP[],F$1,0),"ERROR")</f>
        <v>4391</v>
      </c>
      <c r="G17" s="113">
        <f t="shared" si="0"/>
        <v>0.25431483841074948</v>
      </c>
      <c r="H17" s="111">
        <f>IFERROR(VLOOKUP($B17,MMWR_TRAD_AGG_STATE_COMP[],H$1,0),"ERROR")</f>
        <v>19321</v>
      </c>
      <c r="I17" s="112">
        <f>IFERROR(VLOOKUP($B17,MMWR_TRAD_AGG_STATE_COMP[],I$1,0),"ERROR")</f>
        <v>13083</v>
      </c>
      <c r="J17" s="114">
        <f t="shared" si="1"/>
        <v>0.67713886444800997</v>
      </c>
      <c r="K17" s="111">
        <f>IFERROR(VLOOKUP($B17,MMWR_TRAD_AGG_STATE_COMP[],K$1,0),"ERROR")</f>
        <v>9299</v>
      </c>
      <c r="L17" s="112">
        <f>IFERROR(VLOOKUP($B17,MMWR_TRAD_AGG_STATE_COMP[],L$1,0),"ERROR")</f>
        <v>7349</v>
      </c>
      <c r="M17" s="114">
        <f t="shared" si="2"/>
        <v>0.79030003226153345</v>
      </c>
      <c r="N17" s="111">
        <f>IFERROR(VLOOKUP($B17,MMWR_TRAD_AGG_STATE_COMP[],N$1,0),"ERROR")</f>
        <v>7673</v>
      </c>
      <c r="O17" s="112">
        <f>IFERROR(VLOOKUP($B17,MMWR_TRAD_AGG_STATE_COMP[],O$1,0),"ERROR")</f>
        <v>5193</v>
      </c>
      <c r="P17" s="114">
        <f t="shared" si="3"/>
        <v>0.67678873973673925</v>
      </c>
      <c r="Q17" s="115">
        <f>IFERROR(VLOOKUP($B17,MMWR_TRAD_AGG_STATE_COMP[],Q$1,0),"ERROR")</f>
        <v>1301</v>
      </c>
      <c r="R17" s="115">
        <f>IFERROR(VLOOKUP($B17,MMWR_TRAD_AGG_STATE_COMP[],R$1,0),"ERROR")</f>
        <v>45</v>
      </c>
      <c r="S17" s="115">
        <f>IFERROR(VLOOKUP($B17,MMWR_APP_STATE_COMP[],S$1,0),"ERROR")</f>
        <v>9618</v>
      </c>
      <c r="T17" s="28"/>
    </row>
    <row r="18" spans="1:20" s="123" customFormat="1" x14ac:dyDescent="0.2">
      <c r="A18" s="107"/>
      <c r="B18" s="127" t="s">
        <v>375</v>
      </c>
      <c r="C18" s="109">
        <f>IFERROR(VLOOKUP($B18,MMWR_TRAD_AGG_STATE_COMP[],C$1,0),"ERROR")</f>
        <v>6283</v>
      </c>
      <c r="D18" s="110">
        <f>IFERROR(VLOOKUP($B18,MMWR_TRAD_AGG_STATE_COMP[],D$1,0),"ERROR")</f>
        <v>465.61769855159997</v>
      </c>
      <c r="E18" s="111">
        <f>IFERROR(VLOOKUP($B18,MMWR_TRAD_AGG_STATE_COMP[],E$1,0),"ERROR")</f>
        <v>10147</v>
      </c>
      <c r="F18" s="112">
        <f>IFERROR(VLOOKUP($B18,MMWR_TRAD_AGG_STATE_COMP[],F$1,0),"ERROR")</f>
        <v>2578</v>
      </c>
      <c r="G18" s="113">
        <f t="shared" si="0"/>
        <v>0.2540652409579186</v>
      </c>
      <c r="H18" s="111">
        <f>IFERROR(VLOOKUP($B18,MMWR_TRAD_AGG_STATE_COMP[],H$1,0),"ERROR")</f>
        <v>9937</v>
      </c>
      <c r="I18" s="112">
        <f>IFERROR(VLOOKUP($B18,MMWR_TRAD_AGG_STATE_COMP[],I$1,0),"ERROR")</f>
        <v>7324</v>
      </c>
      <c r="J18" s="114">
        <f t="shared" si="1"/>
        <v>0.73704337325148439</v>
      </c>
      <c r="K18" s="111">
        <f>IFERROR(VLOOKUP($B18,MMWR_TRAD_AGG_STATE_COMP[],K$1,0),"ERROR")</f>
        <v>1872</v>
      </c>
      <c r="L18" s="112">
        <f>IFERROR(VLOOKUP($B18,MMWR_TRAD_AGG_STATE_COMP[],L$1,0),"ERROR")</f>
        <v>1488</v>
      </c>
      <c r="M18" s="114">
        <f t="shared" si="2"/>
        <v>0.79487179487179482</v>
      </c>
      <c r="N18" s="111">
        <f>IFERROR(VLOOKUP($B18,MMWR_TRAD_AGG_STATE_COMP[],N$1,0),"ERROR")</f>
        <v>6610</v>
      </c>
      <c r="O18" s="112">
        <f>IFERROR(VLOOKUP($B18,MMWR_TRAD_AGG_STATE_COMP[],O$1,0),"ERROR")</f>
        <v>5270</v>
      </c>
      <c r="P18" s="114">
        <f t="shared" si="3"/>
        <v>0.79727685325264752</v>
      </c>
      <c r="Q18" s="115">
        <f>IFERROR(VLOOKUP($B18,MMWR_TRAD_AGG_STATE_COMP[],Q$1,0),"ERROR")</f>
        <v>1682</v>
      </c>
      <c r="R18" s="115">
        <f>IFERROR(VLOOKUP($B18,MMWR_TRAD_AGG_STATE_COMP[],R$1,0),"ERROR")</f>
        <v>15</v>
      </c>
      <c r="S18" s="115">
        <f>IFERROR(VLOOKUP($B18,MMWR_APP_STATE_COMP[],S$1,0),"ERROR")</f>
        <v>7452</v>
      </c>
      <c r="T18" s="28"/>
    </row>
    <row r="19" spans="1:20" s="123" customFormat="1" x14ac:dyDescent="0.2">
      <c r="A19" s="107"/>
      <c r="B19" s="127" t="s">
        <v>372</v>
      </c>
      <c r="C19" s="109">
        <f>IFERROR(VLOOKUP($B19,MMWR_TRAD_AGG_STATE_COMP[],C$1,0),"ERROR")</f>
        <v>273</v>
      </c>
      <c r="D19" s="110">
        <f>IFERROR(VLOOKUP($B19,MMWR_TRAD_AGG_STATE_COMP[],D$1,0),"ERROR")</f>
        <v>270.46153846150003</v>
      </c>
      <c r="E19" s="111">
        <f>IFERROR(VLOOKUP($B19,MMWR_TRAD_AGG_STATE_COMP[],E$1,0),"ERROR")</f>
        <v>893</v>
      </c>
      <c r="F19" s="112">
        <f>IFERROR(VLOOKUP($B19,MMWR_TRAD_AGG_STATE_COMP[],F$1,0),"ERROR")</f>
        <v>178</v>
      </c>
      <c r="G19" s="113">
        <f t="shared" si="0"/>
        <v>0.19932810750279956</v>
      </c>
      <c r="H19" s="111">
        <f>IFERROR(VLOOKUP($B19,MMWR_TRAD_AGG_STATE_COMP[],H$1,0),"ERROR")</f>
        <v>532</v>
      </c>
      <c r="I19" s="112">
        <f>IFERROR(VLOOKUP($B19,MMWR_TRAD_AGG_STATE_COMP[],I$1,0),"ERROR")</f>
        <v>240</v>
      </c>
      <c r="J19" s="114">
        <f t="shared" si="1"/>
        <v>0.45112781954887216</v>
      </c>
      <c r="K19" s="111">
        <f>IFERROR(VLOOKUP($B19,MMWR_TRAD_AGG_STATE_COMP[],K$1,0),"ERROR")</f>
        <v>226</v>
      </c>
      <c r="L19" s="112">
        <f>IFERROR(VLOOKUP($B19,MMWR_TRAD_AGG_STATE_COMP[],L$1,0),"ERROR")</f>
        <v>174</v>
      </c>
      <c r="M19" s="114">
        <f t="shared" si="2"/>
        <v>0.76991150442477874</v>
      </c>
      <c r="N19" s="111">
        <f>IFERROR(VLOOKUP($B19,MMWR_TRAD_AGG_STATE_COMP[],N$1,0),"ERROR")</f>
        <v>219</v>
      </c>
      <c r="O19" s="112">
        <f>IFERROR(VLOOKUP($B19,MMWR_TRAD_AGG_STATE_COMP[],O$1,0),"ERROR")</f>
        <v>118</v>
      </c>
      <c r="P19" s="114">
        <f t="shared" si="3"/>
        <v>0.53881278538812782</v>
      </c>
      <c r="Q19" s="115">
        <f>IFERROR(VLOOKUP($B19,MMWR_TRAD_AGG_STATE_COMP[],Q$1,0),"ERROR")</f>
        <v>208</v>
      </c>
      <c r="R19" s="115">
        <f>IFERROR(VLOOKUP($B19,MMWR_TRAD_AGG_STATE_COMP[],R$1,0),"ERROR")</f>
        <v>3</v>
      </c>
      <c r="S19" s="115">
        <f>IFERROR(VLOOKUP($B19,MMWR_APP_STATE_COMP[],S$1,0),"ERROR")</f>
        <v>288</v>
      </c>
      <c r="T19" s="28"/>
    </row>
    <row r="20" spans="1:20" s="123" customFormat="1" x14ac:dyDescent="0.2">
      <c r="A20" s="107"/>
      <c r="B20" s="127" t="s">
        <v>417</v>
      </c>
      <c r="C20" s="109">
        <f>IFERROR(VLOOKUP($B20,MMWR_TRAD_AGG_STATE_COMP[],C$1,0),"ERROR")</f>
        <v>489</v>
      </c>
      <c r="D20" s="110">
        <f>IFERROR(VLOOKUP($B20,MMWR_TRAD_AGG_STATE_COMP[],D$1,0),"ERROR")</f>
        <v>372.5766871166</v>
      </c>
      <c r="E20" s="111">
        <f>IFERROR(VLOOKUP($B20,MMWR_TRAD_AGG_STATE_COMP[],E$1,0),"ERROR")</f>
        <v>500</v>
      </c>
      <c r="F20" s="112">
        <f>IFERROR(VLOOKUP($B20,MMWR_TRAD_AGG_STATE_COMP[],F$1,0),"ERROR")</f>
        <v>144</v>
      </c>
      <c r="G20" s="113">
        <f t="shared" si="0"/>
        <v>0.28799999999999998</v>
      </c>
      <c r="H20" s="111">
        <f>IFERROR(VLOOKUP($B20,MMWR_TRAD_AGG_STATE_COMP[],H$1,0),"ERROR")</f>
        <v>855</v>
      </c>
      <c r="I20" s="112">
        <f>IFERROR(VLOOKUP($B20,MMWR_TRAD_AGG_STATE_COMP[],I$1,0),"ERROR")</f>
        <v>511</v>
      </c>
      <c r="J20" s="114">
        <f t="shared" si="1"/>
        <v>0.59766081871345034</v>
      </c>
      <c r="K20" s="111">
        <f>IFERROR(VLOOKUP($B20,MMWR_TRAD_AGG_STATE_COMP[],K$1,0),"ERROR")</f>
        <v>224</v>
      </c>
      <c r="L20" s="112">
        <f>IFERROR(VLOOKUP($B20,MMWR_TRAD_AGG_STATE_COMP[],L$1,0),"ERROR")</f>
        <v>148</v>
      </c>
      <c r="M20" s="114">
        <f t="shared" si="2"/>
        <v>0.6607142857142857</v>
      </c>
      <c r="N20" s="111">
        <f>IFERROR(VLOOKUP($B20,MMWR_TRAD_AGG_STATE_COMP[],N$1,0),"ERROR")</f>
        <v>184</v>
      </c>
      <c r="O20" s="112">
        <f>IFERROR(VLOOKUP($B20,MMWR_TRAD_AGG_STATE_COMP[],O$1,0),"ERROR")</f>
        <v>87</v>
      </c>
      <c r="P20" s="114">
        <f t="shared" si="3"/>
        <v>0.47282608695652173</v>
      </c>
      <c r="Q20" s="115">
        <f>IFERROR(VLOOKUP($B20,MMWR_TRAD_AGG_STATE_COMP[],Q$1,0),"ERROR")</f>
        <v>70</v>
      </c>
      <c r="R20" s="115">
        <f>IFERROR(VLOOKUP($B20,MMWR_TRAD_AGG_STATE_COMP[],R$1,0),"ERROR")</f>
        <v>1</v>
      </c>
      <c r="S20" s="115">
        <f>IFERROR(VLOOKUP($B20,MMWR_APP_STATE_COMP[],S$1,0),"ERROR")</f>
        <v>110</v>
      </c>
      <c r="T20" s="28"/>
    </row>
    <row r="21" spans="1:20" s="123" customFormat="1" x14ac:dyDescent="0.2">
      <c r="A21" s="107"/>
      <c r="B21" s="127" t="s">
        <v>378</v>
      </c>
      <c r="C21" s="109">
        <f>IFERROR(VLOOKUP($B21,MMWR_TRAD_AGG_STATE_COMP[],C$1,0),"ERROR")</f>
        <v>17577</v>
      </c>
      <c r="D21" s="110">
        <f>IFERROR(VLOOKUP($B21,MMWR_TRAD_AGG_STATE_COMP[],D$1,0),"ERROR")</f>
        <v>385.83108607840001</v>
      </c>
      <c r="E21" s="111">
        <f>IFERROR(VLOOKUP($B21,MMWR_TRAD_AGG_STATE_COMP[],E$1,0),"ERROR")</f>
        <v>11448</v>
      </c>
      <c r="F21" s="112">
        <f>IFERROR(VLOOKUP($B21,MMWR_TRAD_AGG_STATE_COMP[],F$1,0),"ERROR")</f>
        <v>2222</v>
      </c>
      <c r="G21" s="113">
        <f t="shared" si="0"/>
        <v>0.19409503843466108</v>
      </c>
      <c r="H21" s="111">
        <f>IFERROR(VLOOKUP($B21,MMWR_TRAD_AGG_STATE_COMP[],H$1,0),"ERROR")</f>
        <v>22286</v>
      </c>
      <c r="I21" s="112">
        <f>IFERROR(VLOOKUP($B21,MMWR_TRAD_AGG_STATE_COMP[],I$1,0),"ERROR")</f>
        <v>14537</v>
      </c>
      <c r="J21" s="114">
        <f t="shared" si="1"/>
        <v>0.6522929193215472</v>
      </c>
      <c r="K21" s="111">
        <f>IFERROR(VLOOKUP($B21,MMWR_TRAD_AGG_STATE_COMP[],K$1,0),"ERROR")</f>
        <v>9148</v>
      </c>
      <c r="L21" s="112">
        <f>IFERROR(VLOOKUP($B21,MMWR_TRAD_AGG_STATE_COMP[],L$1,0),"ERROR")</f>
        <v>7631</v>
      </c>
      <c r="M21" s="114">
        <f t="shared" si="2"/>
        <v>0.83417140358548314</v>
      </c>
      <c r="N21" s="111">
        <f>IFERROR(VLOOKUP($B21,MMWR_TRAD_AGG_STATE_COMP[],N$1,0),"ERROR")</f>
        <v>7829</v>
      </c>
      <c r="O21" s="112">
        <f>IFERROR(VLOOKUP($B21,MMWR_TRAD_AGG_STATE_COMP[],O$1,0),"ERROR")</f>
        <v>5762</v>
      </c>
      <c r="P21" s="114">
        <f t="shared" si="3"/>
        <v>0.73598160684634051</v>
      </c>
      <c r="Q21" s="115">
        <f>IFERROR(VLOOKUP($B21,MMWR_TRAD_AGG_STATE_COMP[],Q$1,0),"ERROR")</f>
        <v>1118</v>
      </c>
      <c r="R21" s="115">
        <f>IFERROR(VLOOKUP($B21,MMWR_TRAD_AGG_STATE_COMP[],R$1,0),"ERROR")</f>
        <v>21</v>
      </c>
      <c r="S21" s="115">
        <f>IFERROR(VLOOKUP($B21,MMWR_APP_STATE_COMP[],S$1,0),"ERROR")</f>
        <v>15339</v>
      </c>
      <c r="T21" s="28"/>
    </row>
    <row r="22" spans="1:20" s="123" customFormat="1" x14ac:dyDescent="0.2">
      <c r="A22" s="107"/>
      <c r="B22" s="127" t="s">
        <v>379</v>
      </c>
      <c r="C22" s="109">
        <f>IFERROR(VLOOKUP($B22,MMWR_TRAD_AGG_STATE_COMP[],C$1,0),"ERROR")</f>
        <v>2070</v>
      </c>
      <c r="D22" s="110">
        <f>IFERROR(VLOOKUP($B22,MMWR_TRAD_AGG_STATE_COMP[],D$1,0),"ERROR")</f>
        <v>307.63333333330002</v>
      </c>
      <c r="E22" s="111">
        <f>IFERROR(VLOOKUP($B22,MMWR_TRAD_AGG_STATE_COMP[],E$1,0),"ERROR")</f>
        <v>2756</v>
      </c>
      <c r="F22" s="112">
        <f>IFERROR(VLOOKUP($B22,MMWR_TRAD_AGG_STATE_COMP[],F$1,0),"ERROR")</f>
        <v>516</v>
      </c>
      <c r="G22" s="113">
        <f t="shared" si="0"/>
        <v>0.18722786647314948</v>
      </c>
      <c r="H22" s="111">
        <f>IFERROR(VLOOKUP($B22,MMWR_TRAD_AGG_STATE_COMP[],H$1,0),"ERROR")</f>
        <v>3184</v>
      </c>
      <c r="I22" s="112">
        <f>IFERROR(VLOOKUP($B22,MMWR_TRAD_AGG_STATE_COMP[],I$1,0),"ERROR")</f>
        <v>2190</v>
      </c>
      <c r="J22" s="114">
        <f t="shared" si="1"/>
        <v>0.68781407035175879</v>
      </c>
      <c r="K22" s="111">
        <f>IFERROR(VLOOKUP($B22,MMWR_TRAD_AGG_STATE_COMP[],K$1,0),"ERROR")</f>
        <v>464</v>
      </c>
      <c r="L22" s="112">
        <f>IFERROR(VLOOKUP($B22,MMWR_TRAD_AGG_STATE_COMP[],L$1,0),"ERROR")</f>
        <v>328</v>
      </c>
      <c r="M22" s="114">
        <f t="shared" si="2"/>
        <v>0.7068965517241379</v>
      </c>
      <c r="N22" s="111">
        <f>IFERROR(VLOOKUP($B22,MMWR_TRAD_AGG_STATE_COMP[],N$1,0),"ERROR")</f>
        <v>1505</v>
      </c>
      <c r="O22" s="112">
        <f>IFERROR(VLOOKUP($B22,MMWR_TRAD_AGG_STATE_COMP[],O$1,0),"ERROR")</f>
        <v>1012</v>
      </c>
      <c r="P22" s="114">
        <f t="shared" si="3"/>
        <v>0.67242524916943525</v>
      </c>
      <c r="Q22" s="115">
        <f>IFERROR(VLOOKUP($B22,MMWR_TRAD_AGG_STATE_COMP[],Q$1,0),"ERROR")</f>
        <v>372</v>
      </c>
      <c r="R22" s="115">
        <f>IFERROR(VLOOKUP($B22,MMWR_TRAD_AGG_STATE_COMP[],R$1,0),"ERROR")</f>
        <v>13</v>
      </c>
      <c r="S22" s="115">
        <f>IFERROR(VLOOKUP($B22,MMWR_APP_STATE_COMP[],S$1,0),"ERROR")</f>
        <v>2436</v>
      </c>
      <c r="T22" s="28"/>
    </row>
    <row r="23" spans="1:20" s="123" customFormat="1" x14ac:dyDescent="0.2">
      <c r="A23" s="107"/>
      <c r="B23" s="126" t="s">
        <v>390</v>
      </c>
      <c r="C23" s="102">
        <f>IF(SUM(C24:C35)&lt;&gt;VLOOKUP($B23,MMWR_TRAD_AGG_ST_DISTRICT_COMP[],C$1,0),"ERROR",
VLOOKUP($B23,MMWR_TRAD_AGG_ST_DISTRICT_COMP[],C$1,0))</f>
        <v>31798</v>
      </c>
      <c r="D23" s="103">
        <f>IFERROR(VLOOKUP($B23,MMWR_TRAD_AGG_ST_DISTRICT_COMP[],D$1,0),"ERROR")</f>
        <v>383.19023209009998</v>
      </c>
      <c r="E23" s="102">
        <f>IF(SUM(E24:E35)&lt;&gt;VLOOKUP($B23,MMWR_TRAD_AGG_ST_DISTRICT_COMP[],E$1,0),"ERROR",
VLOOKUP($B23,MMWR_TRAD_AGG_ST_DISTRICT_COMP[],E$1,0))</f>
        <v>49929</v>
      </c>
      <c r="F23" s="102">
        <f>IF(SUM(F24:F35)&lt;&gt;VLOOKUP($B23,MMWR_TRAD_AGG_ST_DISTRICT_COMP[],F$1,0),"ERROR",
VLOOKUP($B23,MMWR_TRAD_AGG_ST_DISTRICT_COMP[],F$1,0))</f>
        <v>9451</v>
      </c>
      <c r="G23" s="104">
        <f t="shared" si="0"/>
        <v>0.18928879008191632</v>
      </c>
      <c r="H23" s="102">
        <f>IF(SUM(H24:H35)&lt;&gt;VLOOKUP($B23,MMWR_TRAD_AGG_ST_DISTRICT_COMP[],H$1,0),"ERROR",
VLOOKUP($B23,MMWR_TRAD_AGG_ST_DISTRICT_COMP[],H$1,0))</f>
        <v>50996</v>
      </c>
      <c r="I23" s="102">
        <f>IF(SUM(I24:I35)&lt;&gt;VLOOKUP($B23,MMWR_TRAD_AGG_ST_DISTRICT_COMP[],I$1,0),"ERROR",
VLOOKUP($B23,MMWR_TRAD_AGG_ST_DISTRICT_COMP[],I$1,0))</f>
        <v>30814</v>
      </c>
      <c r="J23" s="105">
        <f t="shared" si="1"/>
        <v>0.60424347007608437</v>
      </c>
      <c r="K23" s="102">
        <f>IF(SUM(K24:K35)&lt;&gt;VLOOKUP($B23,MMWR_TRAD_AGG_ST_DISTRICT_COMP[],K$1,0),"ERROR",
VLOOKUP($B23,MMWR_TRAD_AGG_ST_DISTRICT_COMP[],K$1,0))</f>
        <v>15772</v>
      </c>
      <c r="L23" s="102">
        <f>IF(SUM(L24:L35)&lt;&gt;VLOOKUP($B23,MMWR_TRAD_AGG_ST_DISTRICT_COMP[],L$1,0),"ERROR",
VLOOKUP($B23,MMWR_TRAD_AGG_ST_DISTRICT_COMP[],L$1,0))</f>
        <v>12386</v>
      </c>
      <c r="M23" s="105">
        <f t="shared" si="2"/>
        <v>0.78531574942936855</v>
      </c>
      <c r="N23" s="102">
        <f>IF(SUM(N24:N35)&lt;&gt;VLOOKUP($B23,MMWR_TRAD_AGG_ST_DISTRICT_COMP[],N$1,0),"ERROR",
VLOOKUP($B23,MMWR_TRAD_AGG_ST_DISTRICT_COMP[],N$1,0))</f>
        <v>24245</v>
      </c>
      <c r="O23" s="102">
        <f>IF(SUM(O24:O35)&lt;&gt;VLOOKUP($B23,MMWR_TRAD_AGG_ST_DISTRICT_COMP[],O$1,0),"ERROR",
VLOOKUP($B23,MMWR_TRAD_AGG_ST_DISTRICT_COMP[],O$1,0))</f>
        <v>15029</v>
      </c>
      <c r="P23" s="105">
        <f t="shared" si="3"/>
        <v>0.61988038770880594</v>
      </c>
      <c r="Q23" s="102">
        <f>IF(SUM(Q24:Q35)&lt;&gt;VLOOKUP($B23,MMWR_TRAD_AGG_ST_DISTRICT_COMP[],Q$1,0),"ERROR",
VLOOKUP($B23,MMWR_TRAD_AGG_ST_DISTRICT_COMP[],Q$1,0))</f>
        <v>5396</v>
      </c>
      <c r="R23" s="102">
        <f>IF(SUM(R24:R35)&lt;&gt;VLOOKUP($B23,MMWR_TRAD_AGG_ST_DISTRICT_COMP[],R$1,0),"ERROR",
VLOOKUP($B23,MMWR_TRAD_AGG_ST_DISTRICT_COMP[],R$1,0))</f>
        <v>1096</v>
      </c>
      <c r="S23" s="106">
        <f>SUM(S24:S35)</f>
        <v>51763</v>
      </c>
      <c r="T23" s="28"/>
    </row>
    <row r="24" spans="1:20" s="123" customFormat="1" x14ac:dyDescent="0.2">
      <c r="A24" s="92"/>
      <c r="B24" s="127" t="s">
        <v>394</v>
      </c>
      <c r="C24" s="109">
        <f>IFERROR(VLOOKUP($B24,MMWR_TRAD_AGG_STATE_COMP[],C$1,0),"ERROR")</f>
        <v>5641</v>
      </c>
      <c r="D24" s="110">
        <f>IFERROR(VLOOKUP($B24,MMWR_TRAD_AGG_STATE_COMP[],D$1,0),"ERROR")</f>
        <v>483.34639248360003</v>
      </c>
      <c r="E24" s="111">
        <f>IFERROR(VLOOKUP($B24,MMWR_TRAD_AGG_STATE_COMP[],E$1,0),"ERROR")</f>
        <v>7148</v>
      </c>
      <c r="F24" s="112">
        <f>IFERROR(VLOOKUP($B24,MMWR_TRAD_AGG_STATE_COMP[],F$1,0),"ERROR")</f>
        <v>1525</v>
      </c>
      <c r="G24" s="113">
        <f t="shared" si="0"/>
        <v>0.21334639059876889</v>
      </c>
      <c r="H24" s="111">
        <f>IFERROR(VLOOKUP($B24,MMWR_TRAD_AGG_STATE_COMP[],H$1,0),"ERROR")</f>
        <v>8263</v>
      </c>
      <c r="I24" s="112">
        <f>IFERROR(VLOOKUP($B24,MMWR_TRAD_AGG_STATE_COMP[],I$1,0),"ERROR")</f>
        <v>5555</v>
      </c>
      <c r="J24" s="114">
        <f t="shared" si="1"/>
        <v>0.67227399249667186</v>
      </c>
      <c r="K24" s="111">
        <f>IFERROR(VLOOKUP($B24,MMWR_TRAD_AGG_STATE_COMP[],K$1,0),"ERROR")</f>
        <v>2351</v>
      </c>
      <c r="L24" s="112">
        <f>IFERROR(VLOOKUP($B24,MMWR_TRAD_AGG_STATE_COMP[],L$1,0),"ERROR")</f>
        <v>2086</v>
      </c>
      <c r="M24" s="114">
        <f t="shared" si="2"/>
        <v>0.88728200765631648</v>
      </c>
      <c r="N24" s="111">
        <f>IFERROR(VLOOKUP($B24,MMWR_TRAD_AGG_STATE_COMP[],N$1,0),"ERROR")</f>
        <v>3348</v>
      </c>
      <c r="O24" s="112">
        <f>IFERROR(VLOOKUP($B24,MMWR_TRAD_AGG_STATE_COMP[],O$1,0),"ERROR")</f>
        <v>1985</v>
      </c>
      <c r="P24" s="114">
        <f t="shared" si="3"/>
        <v>0.59289127837514932</v>
      </c>
      <c r="Q24" s="115">
        <f>IFERROR(VLOOKUP($B24,MMWR_TRAD_AGG_STATE_COMP[],Q$1,0),"ERROR")</f>
        <v>995</v>
      </c>
      <c r="R24" s="115">
        <f>IFERROR(VLOOKUP($B24,MMWR_TRAD_AGG_STATE_COMP[],R$1,0),"ERROR")</f>
        <v>217</v>
      </c>
      <c r="S24" s="115">
        <f>IFERROR(VLOOKUP($B24,MMWR_APP_STATE_COMP[],S$1,0),"ERROR")</f>
        <v>8464</v>
      </c>
      <c r="T24" s="28"/>
    </row>
    <row r="25" spans="1:20" s="123" customFormat="1" x14ac:dyDescent="0.2">
      <c r="A25" s="107"/>
      <c r="B25" s="127" t="s">
        <v>392</v>
      </c>
      <c r="C25" s="109">
        <f>IFERROR(VLOOKUP($B25,MMWR_TRAD_AGG_STATE_COMP[],C$1,0),"ERROR")</f>
        <v>5323</v>
      </c>
      <c r="D25" s="110">
        <f>IFERROR(VLOOKUP($B25,MMWR_TRAD_AGG_STATE_COMP[],D$1,0),"ERROR")</f>
        <v>632.5154987789</v>
      </c>
      <c r="E25" s="111">
        <f>IFERROR(VLOOKUP($B25,MMWR_TRAD_AGG_STATE_COMP[],E$1,0),"ERROR")</f>
        <v>4772</v>
      </c>
      <c r="F25" s="112">
        <f>IFERROR(VLOOKUP($B25,MMWR_TRAD_AGG_STATE_COMP[],F$1,0),"ERROR")</f>
        <v>873</v>
      </c>
      <c r="G25" s="113">
        <f t="shared" si="0"/>
        <v>0.18294216261525567</v>
      </c>
      <c r="H25" s="111">
        <f>IFERROR(VLOOKUP($B25,MMWR_TRAD_AGG_STATE_COMP[],H$1,0),"ERROR")</f>
        <v>8540</v>
      </c>
      <c r="I25" s="112">
        <f>IFERROR(VLOOKUP($B25,MMWR_TRAD_AGG_STATE_COMP[],I$1,0),"ERROR")</f>
        <v>6442</v>
      </c>
      <c r="J25" s="114">
        <f t="shared" si="1"/>
        <v>0.75433255269320842</v>
      </c>
      <c r="K25" s="111">
        <f>IFERROR(VLOOKUP($B25,MMWR_TRAD_AGG_STATE_COMP[],K$1,0),"ERROR")</f>
        <v>2572</v>
      </c>
      <c r="L25" s="112">
        <f>IFERROR(VLOOKUP($B25,MMWR_TRAD_AGG_STATE_COMP[],L$1,0),"ERROR")</f>
        <v>2194</v>
      </c>
      <c r="M25" s="114">
        <f t="shared" si="2"/>
        <v>0.85303265940902018</v>
      </c>
      <c r="N25" s="111">
        <f>IFERROR(VLOOKUP($B25,MMWR_TRAD_AGG_STATE_COMP[],N$1,0),"ERROR")</f>
        <v>3020</v>
      </c>
      <c r="O25" s="112">
        <f>IFERROR(VLOOKUP($B25,MMWR_TRAD_AGG_STATE_COMP[],O$1,0),"ERROR")</f>
        <v>2244</v>
      </c>
      <c r="P25" s="114">
        <f t="shared" si="3"/>
        <v>0.74304635761589399</v>
      </c>
      <c r="Q25" s="115">
        <f>IFERROR(VLOOKUP($B25,MMWR_TRAD_AGG_STATE_COMP[],Q$1,0),"ERROR")</f>
        <v>753</v>
      </c>
      <c r="R25" s="115">
        <f>IFERROR(VLOOKUP($B25,MMWR_TRAD_AGG_STATE_COMP[],R$1,0),"ERROR")</f>
        <v>225</v>
      </c>
      <c r="S25" s="115">
        <f>IFERROR(VLOOKUP($B25,MMWR_APP_STATE_COMP[],S$1,0),"ERROR")</f>
        <v>8213</v>
      </c>
      <c r="T25" s="28"/>
    </row>
    <row r="26" spans="1:20" s="123" customFormat="1" x14ac:dyDescent="0.2">
      <c r="A26" s="107"/>
      <c r="B26" s="127" t="s">
        <v>399</v>
      </c>
      <c r="C26" s="109">
        <f>IFERROR(VLOOKUP($B26,MMWR_TRAD_AGG_STATE_COMP[],C$1,0),"ERROR")</f>
        <v>888</v>
      </c>
      <c r="D26" s="110">
        <f>IFERROR(VLOOKUP($B26,MMWR_TRAD_AGG_STATE_COMP[],D$1,0),"ERROR")</f>
        <v>219.7038288288</v>
      </c>
      <c r="E26" s="111">
        <f>IFERROR(VLOOKUP($B26,MMWR_TRAD_AGG_STATE_COMP[],E$1,0),"ERROR")</f>
        <v>2459</v>
      </c>
      <c r="F26" s="112">
        <f>IFERROR(VLOOKUP($B26,MMWR_TRAD_AGG_STATE_COMP[],F$1,0),"ERROR")</f>
        <v>385</v>
      </c>
      <c r="G26" s="113">
        <f t="shared" si="0"/>
        <v>0.156567710451403</v>
      </c>
      <c r="H26" s="111">
        <f>IFERROR(VLOOKUP($B26,MMWR_TRAD_AGG_STATE_COMP[],H$1,0),"ERROR")</f>
        <v>1299</v>
      </c>
      <c r="I26" s="112">
        <f>IFERROR(VLOOKUP($B26,MMWR_TRAD_AGG_STATE_COMP[],I$1,0),"ERROR")</f>
        <v>499</v>
      </c>
      <c r="J26" s="114">
        <f t="shared" si="1"/>
        <v>0.38414164742109314</v>
      </c>
      <c r="K26" s="111">
        <f>IFERROR(VLOOKUP($B26,MMWR_TRAD_AGG_STATE_COMP[],K$1,0),"ERROR")</f>
        <v>308</v>
      </c>
      <c r="L26" s="112">
        <f>IFERROR(VLOOKUP($B26,MMWR_TRAD_AGG_STATE_COMP[],L$1,0),"ERROR")</f>
        <v>191</v>
      </c>
      <c r="M26" s="114">
        <f t="shared" si="2"/>
        <v>0.62012987012987009</v>
      </c>
      <c r="N26" s="111">
        <f>IFERROR(VLOOKUP($B26,MMWR_TRAD_AGG_STATE_COMP[],N$1,0),"ERROR")</f>
        <v>531</v>
      </c>
      <c r="O26" s="112">
        <f>IFERROR(VLOOKUP($B26,MMWR_TRAD_AGG_STATE_COMP[],O$1,0),"ERROR")</f>
        <v>304</v>
      </c>
      <c r="P26" s="114">
        <f t="shared" si="3"/>
        <v>0.57250470809792842</v>
      </c>
      <c r="Q26" s="115">
        <f>IFERROR(VLOOKUP($B26,MMWR_TRAD_AGG_STATE_COMP[],Q$1,0),"ERROR")</f>
        <v>2</v>
      </c>
      <c r="R26" s="115">
        <f>IFERROR(VLOOKUP($B26,MMWR_TRAD_AGG_STATE_COMP[],R$1,0),"ERROR")</f>
        <v>9</v>
      </c>
      <c r="S26" s="115">
        <f>IFERROR(VLOOKUP($B26,MMWR_APP_STATE_COMP[],S$1,0),"ERROR")</f>
        <v>1493</v>
      </c>
      <c r="T26" s="28"/>
    </row>
    <row r="27" spans="1:20" s="123" customFormat="1" x14ac:dyDescent="0.2">
      <c r="A27" s="107"/>
      <c r="B27" s="127" t="s">
        <v>422</v>
      </c>
      <c r="C27" s="109">
        <f>IFERROR(VLOOKUP($B27,MMWR_TRAD_AGG_STATE_COMP[],C$1,0),"ERROR")</f>
        <v>1714</v>
      </c>
      <c r="D27" s="110">
        <f>IFERROR(VLOOKUP($B27,MMWR_TRAD_AGG_STATE_COMP[],D$1,0),"ERROR")</f>
        <v>231.86697782959999</v>
      </c>
      <c r="E27" s="111">
        <f>IFERROR(VLOOKUP($B27,MMWR_TRAD_AGG_STATE_COMP[],E$1,0),"ERROR")</f>
        <v>2132</v>
      </c>
      <c r="F27" s="112">
        <f>IFERROR(VLOOKUP($B27,MMWR_TRAD_AGG_STATE_COMP[],F$1,0),"ERROR")</f>
        <v>338</v>
      </c>
      <c r="G27" s="113">
        <f t="shared" si="0"/>
        <v>0.15853658536585366</v>
      </c>
      <c r="H27" s="111">
        <f>IFERROR(VLOOKUP($B27,MMWR_TRAD_AGG_STATE_COMP[],H$1,0),"ERROR")</f>
        <v>2521</v>
      </c>
      <c r="I27" s="112">
        <f>IFERROR(VLOOKUP($B27,MMWR_TRAD_AGG_STATE_COMP[],I$1,0),"ERROR")</f>
        <v>1274</v>
      </c>
      <c r="J27" s="114">
        <f t="shared" si="1"/>
        <v>0.50535501785005954</v>
      </c>
      <c r="K27" s="111">
        <f>IFERROR(VLOOKUP($B27,MMWR_TRAD_AGG_STATE_COMP[],K$1,0),"ERROR")</f>
        <v>1026</v>
      </c>
      <c r="L27" s="112">
        <f>IFERROR(VLOOKUP($B27,MMWR_TRAD_AGG_STATE_COMP[],L$1,0),"ERROR")</f>
        <v>583</v>
      </c>
      <c r="M27" s="114">
        <f t="shared" si="2"/>
        <v>0.56822612085769986</v>
      </c>
      <c r="N27" s="111">
        <f>IFERROR(VLOOKUP($B27,MMWR_TRAD_AGG_STATE_COMP[],N$1,0),"ERROR")</f>
        <v>829</v>
      </c>
      <c r="O27" s="112">
        <f>IFERROR(VLOOKUP($B27,MMWR_TRAD_AGG_STATE_COMP[],O$1,0),"ERROR")</f>
        <v>448</v>
      </c>
      <c r="P27" s="114">
        <f t="shared" si="3"/>
        <v>0.54041013268998794</v>
      </c>
      <c r="Q27" s="115">
        <f>IFERROR(VLOOKUP($B27,MMWR_TRAD_AGG_STATE_COMP[],Q$1,0),"ERROR")</f>
        <v>6</v>
      </c>
      <c r="R27" s="115">
        <f>IFERROR(VLOOKUP($B27,MMWR_TRAD_AGG_STATE_COMP[],R$1,0),"ERROR")</f>
        <v>13</v>
      </c>
      <c r="S27" s="115">
        <f>IFERROR(VLOOKUP($B27,MMWR_APP_STATE_COMP[],S$1,0),"ERROR")</f>
        <v>1344</v>
      </c>
      <c r="T27" s="28"/>
    </row>
    <row r="28" spans="1:20" s="123" customFormat="1" x14ac:dyDescent="0.2">
      <c r="A28" s="107"/>
      <c r="B28" s="127" t="s">
        <v>395</v>
      </c>
      <c r="C28" s="109">
        <f>IFERROR(VLOOKUP($B28,MMWR_TRAD_AGG_STATE_COMP[],C$1,0),"ERROR")</f>
        <v>3555</v>
      </c>
      <c r="D28" s="110">
        <f>IFERROR(VLOOKUP($B28,MMWR_TRAD_AGG_STATE_COMP[],D$1,0),"ERROR")</f>
        <v>342.88579465539999</v>
      </c>
      <c r="E28" s="111">
        <f>IFERROR(VLOOKUP($B28,MMWR_TRAD_AGG_STATE_COMP[],E$1,0),"ERROR")</f>
        <v>7856</v>
      </c>
      <c r="F28" s="112">
        <f>IFERROR(VLOOKUP($B28,MMWR_TRAD_AGG_STATE_COMP[],F$1,0),"ERROR")</f>
        <v>1998</v>
      </c>
      <c r="G28" s="113">
        <f t="shared" si="0"/>
        <v>0.25432790224032586</v>
      </c>
      <c r="H28" s="111">
        <f>IFERROR(VLOOKUP($B28,MMWR_TRAD_AGG_STATE_COMP[],H$1,0),"ERROR")</f>
        <v>6694</v>
      </c>
      <c r="I28" s="112">
        <f>IFERROR(VLOOKUP($B28,MMWR_TRAD_AGG_STATE_COMP[],I$1,0),"ERROR")</f>
        <v>4126</v>
      </c>
      <c r="J28" s="114">
        <f t="shared" si="1"/>
        <v>0.61637287122796536</v>
      </c>
      <c r="K28" s="111">
        <f>IFERROR(VLOOKUP($B28,MMWR_TRAD_AGG_STATE_COMP[],K$1,0),"ERROR")</f>
        <v>1676</v>
      </c>
      <c r="L28" s="112">
        <f>IFERROR(VLOOKUP($B28,MMWR_TRAD_AGG_STATE_COMP[],L$1,0),"ERROR")</f>
        <v>1333</v>
      </c>
      <c r="M28" s="114">
        <f t="shared" si="2"/>
        <v>0.79534606205250602</v>
      </c>
      <c r="N28" s="111">
        <f>IFERROR(VLOOKUP($B28,MMWR_TRAD_AGG_STATE_COMP[],N$1,0),"ERROR")</f>
        <v>3413</v>
      </c>
      <c r="O28" s="112">
        <f>IFERROR(VLOOKUP($B28,MMWR_TRAD_AGG_STATE_COMP[],O$1,0),"ERROR")</f>
        <v>1410</v>
      </c>
      <c r="P28" s="114">
        <f t="shared" si="3"/>
        <v>0.41312628186346323</v>
      </c>
      <c r="Q28" s="115">
        <f>IFERROR(VLOOKUP($B28,MMWR_TRAD_AGG_STATE_COMP[],Q$1,0),"ERROR")</f>
        <v>1014</v>
      </c>
      <c r="R28" s="115">
        <f>IFERROR(VLOOKUP($B28,MMWR_TRAD_AGG_STATE_COMP[],R$1,0),"ERROR")</f>
        <v>218</v>
      </c>
      <c r="S28" s="115">
        <f>IFERROR(VLOOKUP($B28,MMWR_APP_STATE_COMP[],S$1,0),"ERROR")</f>
        <v>5515</v>
      </c>
      <c r="T28" s="28"/>
    </row>
    <row r="29" spans="1:20" s="123" customFormat="1" x14ac:dyDescent="0.2">
      <c r="A29" s="107"/>
      <c r="B29" s="127" t="s">
        <v>401</v>
      </c>
      <c r="C29" s="109">
        <f>IFERROR(VLOOKUP($B29,MMWR_TRAD_AGG_STATE_COMP[],C$1,0),"ERROR")</f>
        <v>1581</v>
      </c>
      <c r="D29" s="110">
        <f>IFERROR(VLOOKUP($B29,MMWR_TRAD_AGG_STATE_COMP[],D$1,0),"ERROR")</f>
        <v>191.8728652751</v>
      </c>
      <c r="E29" s="111">
        <f>IFERROR(VLOOKUP($B29,MMWR_TRAD_AGG_STATE_COMP[],E$1,0),"ERROR")</f>
        <v>4653</v>
      </c>
      <c r="F29" s="112">
        <f>IFERROR(VLOOKUP($B29,MMWR_TRAD_AGG_STATE_COMP[],F$1,0),"ERROR")</f>
        <v>659</v>
      </c>
      <c r="G29" s="113">
        <f t="shared" si="0"/>
        <v>0.14162905652267355</v>
      </c>
      <c r="H29" s="111">
        <f>IFERROR(VLOOKUP($B29,MMWR_TRAD_AGG_STATE_COMP[],H$1,0),"ERROR")</f>
        <v>2552</v>
      </c>
      <c r="I29" s="112">
        <f>IFERROR(VLOOKUP($B29,MMWR_TRAD_AGG_STATE_COMP[],I$1,0),"ERROR")</f>
        <v>1069</v>
      </c>
      <c r="J29" s="114">
        <f t="shared" si="1"/>
        <v>0.4188871473354232</v>
      </c>
      <c r="K29" s="111">
        <f>IFERROR(VLOOKUP($B29,MMWR_TRAD_AGG_STATE_COMP[],K$1,0),"ERROR")</f>
        <v>840</v>
      </c>
      <c r="L29" s="112">
        <f>IFERROR(VLOOKUP($B29,MMWR_TRAD_AGG_STATE_COMP[],L$1,0),"ERROR")</f>
        <v>424</v>
      </c>
      <c r="M29" s="114">
        <f t="shared" si="2"/>
        <v>0.50476190476190474</v>
      </c>
      <c r="N29" s="111">
        <f>IFERROR(VLOOKUP($B29,MMWR_TRAD_AGG_STATE_COMP[],N$1,0),"ERROR")</f>
        <v>1247</v>
      </c>
      <c r="O29" s="112">
        <f>IFERROR(VLOOKUP($B29,MMWR_TRAD_AGG_STATE_COMP[],O$1,0),"ERROR")</f>
        <v>760</v>
      </c>
      <c r="P29" s="114">
        <f t="shared" si="3"/>
        <v>0.6094627105052125</v>
      </c>
      <c r="Q29" s="115">
        <f>IFERROR(VLOOKUP($B29,MMWR_TRAD_AGG_STATE_COMP[],Q$1,0),"ERROR")</f>
        <v>7</v>
      </c>
      <c r="R29" s="115">
        <f>IFERROR(VLOOKUP($B29,MMWR_TRAD_AGG_STATE_COMP[],R$1,0),"ERROR")</f>
        <v>4</v>
      </c>
      <c r="S29" s="115">
        <f>IFERROR(VLOOKUP($B29,MMWR_APP_STATE_COMP[],S$1,0),"ERROR")</f>
        <v>2278</v>
      </c>
      <c r="T29" s="28"/>
    </row>
    <row r="30" spans="1:20" s="123" customFormat="1" x14ac:dyDescent="0.2">
      <c r="A30" s="107"/>
      <c r="B30" s="127" t="s">
        <v>397</v>
      </c>
      <c r="C30" s="109">
        <f>IFERROR(VLOOKUP($B30,MMWR_TRAD_AGG_STATE_COMP[],C$1,0),"ERROR")</f>
        <v>3806</v>
      </c>
      <c r="D30" s="110">
        <f>IFERROR(VLOOKUP($B30,MMWR_TRAD_AGG_STATE_COMP[],D$1,0),"ERROR")</f>
        <v>247.23594324749999</v>
      </c>
      <c r="E30" s="111">
        <f>IFERROR(VLOOKUP($B30,MMWR_TRAD_AGG_STATE_COMP[],E$1,0),"ERROR")</f>
        <v>5757</v>
      </c>
      <c r="F30" s="112">
        <f>IFERROR(VLOOKUP($B30,MMWR_TRAD_AGG_STATE_COMP[],F$1,0),"ERROR")</f>
        <v>1110</v>
      </c>
      <c r="G30" s="113">
        <f t="shared" si="0"/>
        <v>0.19280875455966651</v>
      </c>
      <c r="H30" s="111">
        <f>IFERROR(VLOOKUP($B30,MMWR_TRAD_AGG_STATE_COMP[],H$1,0),"ERROR")</f>
        <v>6017</v>
      </c>
      <c r="I30" s="112">
        <f>IFERROR(VLOOKUP($B30,MMWR_TRAD_AGG_STATE_COMP[],I$1,0),"ERROR")</f>
        <v>3209</v>
      </c>
      <c r="J30" s="114">
        <f t="shared" si="1"/>
        <v>0.53332225361475816</v>
      </c>
      <c r="K30" s="111">
        <f>IFERROR(VLOOKUP($B30,MMWR_TRAD_AGG_STATE_COMP[],K$1,0),"ERROR")</f>
        <v>2331</v>
      </c>
      <c r="L30" s="112">
        <f>IFERROR(VLOOKUP($B30,MMWR_TRAD_AGG_STATE_COMP[],L$1,0),"ERROR")</f>
        <v>1927</v>
      </c>
      <c r="M30" s="114">
        <f t="shared" si="2"/>
        <v>0.82668382668382667</v>
      </c>
      <c r="N30" s="111">
        <f>IFERROR(VLOOKUP($B30,MMWR_TRAD_AGG_STATE_COMP[],N$1,0),"ERROR")</f>
        <v>5511</v>
      </c>
      <c r="O30" s="112">
        <f>IFERROR(VLOOKUP($B30,MMWR_TRAD_AGG_STATE_COMP[],O$1,0),"ERROR")</f>
        <v>3774</v>
      </c>
      <c r="P30" s="114">
        <f t="shared" si="3"/>
        <v>0.68481219379422975</v>
      </c>
      <c r="Q30" s="115">
        <f>IFERROR(VLOOKUP($B30,MMWR_TRAD_AGG_STATE_COMP[],Q$1,0),"ERROR")</f>
        <v>957</v>
      </c>
      <c r="R30" s="115">
        <f>IFERROR(VLOOKUP($B30,MMWR_TRAD_AGG_STATE_COMP[],R$1,0),"ERROR")</f>
        <v>52</v>
      </c>
      <c r="S30" s="115">
        <f>IFERROR(VLOOKUP($B30,MMWR_APP_STATE_COMP[],S$1,0),"ERROR")</f>
        <v>6475</v>
      </c>
      <c r="T30" s="28"/>
    </row>
    <row r="31" spans="1:20" s="123" customFormat="1" x14ac:dyDescent="0.2">
      <c r="A31" s="107"/>
      <c r="B31" s="127" t="s">
        <v>400</v>
      </c>
      <c r="C31" s="109">
        <f>IFERROR(VLOOKUP($B31,MMWR_TRAD_AGG_STATE_COMP[],C$1,0),"ERROR")</f>
        <v>815</v>
      </c>
      <c r="D31" s="110">
        <f>IFERROR(VLOOKUP($B31,MMWR_TRAD_AGG_STATE_COMP[],D$1,0),"ERROR")</f>
        <v>203.42453987729999</v>
      </c>
      <c r="E31" s="111">
        <f>IFERROR(VLOOKUP($B31,MMWR_TRAD_AGG_STATE_COMP[],E$1,0),"ERROR")</f>
        <v>1772</v>
      </c>
      <c r="F31" s="112">
        <f>IFERROR(VLOOKUP($B31,MMWR_TRAD_AGG_STATE_COMP[],F$1,0),"ERROR")</f>
        <v>225</v>
      </c>
      <c r="G31" s="113">
        <f t="shared" si="0"/>
        <v>0.12697516930022573</v>
      </c>
      <c r="H31" s="111">
        <f>IFERROR(VLOOKUP($B31,MMWR_TRAD_AGG_STATE_COMP[],H$1,0),"ERROR")</f>
        <v>1457</v>
      </c>
      <c r="I31" s="112">
        <f>IFERROR(VLOOKUP($B31,MMWR_TRAD_AGG_STATE_COMP[],I$1,0),"ERROR")</f>
        <v>649</v>
      </c>
      <c r="J31" s="114">
        <f t="shared" si="1"/>
        <v>0.44543582704186685</v>
      </c>
      <c r="K31" s="111">
        <f>IFERROR(VLOOKUP($B31,MMWR_TRAD_AGG_STATE_COMP[],K$1,0),"ERROR")</f>
        <v>777</v>
      </c>
      <c r="L31" s="112">
        <f>IFERROR(VLOOKUP($B31,MMWR_TRAD_AGG_STATE_COMP[],L$1,0),"ERROR")</f>
        <v>534</v>
      </c>
      <c r="M31" s="114">
        <f t="shared" si="2"/>
        <v>0.68725868725868722</v>
      </c>
      <c r="N31" s="111">
        <f>IFERROR(VLOOKUP($B31,MMWR_TRAD_AGG_STATE_COMP[],N$1,0),"ERROR")</f>
        <v>666</v>
      </c>
      <c r="O31" s="112">
        <f>IFERROR(VLOOKUP($B31,MMWR_TRAD_AGG_STATE_COMP[],O$1,0),"ERROR")</f>
        <v>349</v>
      </c>
      <c r="P31" s="114">
        <f t="shared" si="3"/>
        <v>0.52402402402402404</v>
      </c>
      <c r="Q31" s="115">
        <f>IFERROR(VLOOKUP($B31,MMWR_TRAD_AGG_STATE_COMP[],Q$1,0),"ERROR")</f>
        <v>1</v>
      </c>
      <c r="R31" s="115">
        <f>IFERROR(VLOOKUP($B31,MMWR_TRAD_AGG_STATE_COMP[],R$1,0),"ERROR")</f>
        <v>15</v>
      </c>
      <c r="S31" s="115">
        <f>IFERROR(VLOOKUP($B31,MMWR_APP_STATE_COMP[],S$1,0),"ERROR")</f>
        <v>1049</v>
      </c>
      <c r="T31" s="28"/>
    </row>
    <row r="32" spans="1:20" s="123" customFormat="1" x14ac:dyDescent="0.2">
      <c r="A32" s="107"/>
      <c r="B32" s="127" t="s">
        <v>419</v>
      </c>
      <c r="C32" s="109">
        <f>IFERROR(VLOOKUP($B32,MMWR_TRAD_AGG_STATE_COMP[],C$1,0),"ERROR")</f>
        <v>172</v>
      </c>
      <c r="D32" s="110">
        <f>IFERROR(VLOOKUP($B32,MMWR_TRAD_AGG_STATE_COMP[],D$1,0),"ERROR")</f>
        <v>202.4941860465</v>
      </c>
      <c r="E32" s="111">
        <f>IFERROR(VLOOKUP($B32,MMWR_TRAD_AGG_STATE_COMP[],E$1,0),"ERROR")</f>
        <v>575</v>
      </c>
      <c r="F32" s="112">
        <f>IFERROR(VLOOKUP($B32,MMWR_TRAD_AGG_STATE_COMP[],F$1,0),"ERROR")</f>
        <v>99</v>
      </c>
      <c r="G32" s="113">
        <f t="shared" si="0"/>
        <v>0.17217391304347826</v>
      </c>
      <c r="H32" s="111">
        <f>IFERROR(VLOOKUP($B32,MMWR_TRAD_AGG_STATE_COMP[],H$1,0),"ERROR")</f>
        <v>325</v>
      </c>
      <c r="I32" s="112">
        <f>IFERROR(VLOOKUP($B32,MMWR_TRAD_AGG_STATE_COMP[],I$1,0),"ERROR")</f>
        <v>104</v>
      </c>
      <c r="J32" s="114">
        <f t="shared" si="1"/>
        <v>0.32</v>
      </c>
      <c r="K32" s="111">
        <f>IFERROR(VLOOKUP($B32,MMWR_TRAD_AGG_STATE_COMP[],K$1,0),"ERROR")</f>
        <v>130</v>
      </c>
      <c r="L32" s="112">
        <f>IFERROR(VLOOKUP($B32,MMWR_TRAD_AGG_STATE_COMP[],L$1,0),"ERROR")</f>
        <v>64</v>
      </c>
      <c r="M32" s="114">
        <f t="shared" si="2"/>
        <v>0.49230769230769234</v>
      </c>
      <c r="N32" s="111">
        <f>IFERROR(VLOOKUP($B32,MMWR_TRAD_AGG_STATE_COMP[],N$1,0),"ERROR")</f>
        <v>166</v>
      </c>
      <c r="O32" s="112">
        <f>IFERROR(VLOOKUP($B32,MMWR_TRAD_AGG_STATE_COMP[],O$1,0),"ERROR")</f>
        <v>97</v>
      </c>
      <c r="P32" s="114">
        <f t="shared" si="3"/>
        <v>0.58433734939759041</v>
      </c>
      <c r="Q32" s="115">
        <f>IFERROR(VLOOKUP($B32,MMWR_TRAD_AGG_STATE_COMP[],Q$1,0),"ERROR")</f>
        <v>2</v>
      </c>
      <c r="R32" s="115">
        <f>IFERROR(VLOOKUP($B32,MMWR_TRAD_AGG_STATE_COMP[],R$1,0),"ERROR")</f>
        <v>2</v>
      </c>
      <c r="S32" s="115">
        <f>IFERROR(VLOOKUP($B32,MMWR_APP_STATE_COMP[],S$1,0),"ERROR")</f>
        <v>482</v>
      </c>
      <c r="T32" s="28"/>
    </row>
    <row r="33" spans="1:20" s="123" customFormat="1" x14ac:dyDescent="0.2">
      <c r="A33" s="107"/>
      <c r="B33" s="127" t="s">
        <v>391</v>
      </c>
      <c r="C33" s="109">
        <f>IFERROR(VLOOKUP($B33,MMWR_TRAD_AGG_STATE_COMP[],C$1,0),"ERROR")</f>
        <v>4817</v>
      </c>
      <c r="D33" s="110">
        <f>IFERROR(VLOOKUP($B33,MMWR_TRAD_AGG_STATE_COMP[],D$1,0),"ERROR")</f>
        <v>417.66036952460001</v>
      </c>
      <c r="E33" s="111">
        <f>IFERROR(VLOOKUP($B33,MMWR_TRAD_AGG_STATE_COMP[],E$1,0),"ERROR")</f>
        <v>8210</v>
      </c>
      <c r="F33" s="112">
        <f>IFERROR(VLOOKUP($B33,MMWR_TRAD_AGG_STATE_COMP[],F$1,0),"ERROR")</f>
        <v>1521</v>
      </c>
      <c r="G33" s="113">
        <f t="shared" si="0"/>
        <v>0.18526187576126674</v>
      </c>
      <c r="H33" s="111">
        <f>IFERROR(VLOOKUP($B33,MMWR_TRAD_AGG_STATE_COMP[],H$1,0),"ERROR")</f>
        <v>8491</v>
      </c>
      <c r="I33" s="112">
        <f>IFERROR(VLOOKUP($B33,MMWR_TRAD_AGG_STATE_COMP[],I$1,0),"ERROR")</f>
        <v>5261</v>
      </c>
      <c r="J33" s="114">
        <f t="shared" si="1"/>
        <v>0.61959722058650335</v>
      </c>
      <c r="K33" s="111">
        <f>IFERROR(VLOOKUP($B33,MMWR_TRAD_AGG_STATE_COMP[],K$1,0),"ERROR")</f>
        <v>2589</v>
      </c>
      <c r="L33" s="112">
        <f>IFERROR(VLOOKUP($B33,MMWR_TRAD_AGG_STATE_COMP[],L$1,0),"ERROR")</f>
        <v>2239</v>
      </c>
      <c r="M33" s="114">
        <f t="shared" si="2"/>
        <v>0.86481266898416376</v>
      </c>
      <c r="N33" s="111">
        <f>IFERROR(VLOOKUP($B33,MMWR_TRAD_AGG_STATE_COMP[],N$1,0),"ERROR")</f>
        <v>4251</v>
      </c>
      <c r="O33" s="112">
        <f>IFERROR(VLOOKUP($B33,MMWR_TRAD_AGG_STATE_COMP[],O$1,0),"ERROR")</f>
        <v>2981</v>
      </c>
      <c r="P33" s="114">
        <f t="shared" si="3"/>
        <v>0.70124676546694897</v>
      </c>
      <c r="Q33" s="115">
        <f>IFERROR(VLOOKUP($B33,MMWR_TRAD_AGG_STATE_COMP[],Q$1,0),"ERROR")</f>
        <v>1082</v>
      </c>
      <c r="R33" s="115">
        <f>IFERROR(VLOOKUP($B33,MMWR_TRAD_AGG_STATE_COMP[],R$1,0),"ERROR")</f>
        <v>334</v>
      </c>
      <c r="S33" s="115">
        <f>IFERROR(VLOOKUP($B33,MMWR_APP_STATE_COMP[],S$1,0),"ERROR")</f>
        <v>12991</v>
      </c>
      <c r="T33" s="28"/>
    </row>
    <row r="34" spans="1:20" s="123" customFormat="1" x14ac:dyDescent="0.2">
      <c r="A34" s="107"/>
      <c r="B34" s="127" t="s">
        <v>420</v>
      </c>
      <c r="C34" s="109">
        <f>IFERROR(VLOOKUP($B34,MMWR_TRAD_AGG_STATE_COMP[],C$1,0),"ERROR")</f>
        <v>291</v>
      </c>
      <c r="D34" s="110">
        <f>IFERROR(VLOOKUP($B34,MMWR_TRAD_AGG_STATE_COMP[],D$1,0),"ERROR")</f>
        <v>201.7800687285</v>
      </c>
      <c r="E34" s="111">
        <f>IFERROR(VLOOKUP($B34,MMWR_TRAD_AGG_STATE_COMP[],E$1,0),"ERROR")</f>
        <v>1010</v>
      </c>
      <c r="F34" s="112">
        <f>IFERROR(VLOOKUP($B34,MMWR_TRAD_AGG_STATE_COMP[],F$1,0),"ERROR")</f>
        <v>231</v>
      </c>
      <c r="G34" s="113">
        <f t="shared" si="0"/>
        <v>0.22871287128712872</v>
      </c>
      <c r="H34" s="111">
        <f>IFERROR(VLOOKUP($B34,MMWR_TRAD_AGG_STATE_COMP[],H$1,0),"ERROR")</f>
        <v>497</v>
      </c>
      <c r="I34" s="112">
        <f>IFERROR(VLOOKUP($B34,MMWR_TRAD_AGG_STATE_COMP[],I$1,0),"ERROR")</f>
        <v>170</v>
      </c>
      <c r="J34" s="114">
        <f t="shared" si="1"/>
        <v>0.34205231388329982</v>
      </c>
      <c r="K34" s="111">
        <f>IFERROR(VLOOKUP($B34,MMWR_TRAD_AGG_STATE_COMP[],K$1,0),"ERROR")</f>
        <v>290</v>
      </c>
      <c r="L34" s="112">
        <f>IFERROR(VLOOKUP($B34,MMWR_TRAD_AGG_STATE_COMP[],L$1,0),"ERROR")</f>
        <v>129</v>
      </c>
      <c r="M34" s="114">
        <f t="shared" si="2"/>
        <v>0.44482758620689655</v>
      </c>
      <c r="N34" s="111">
        <f>IFERROR(VLOOKUP($B34,MMWR_TRAD_AGG_STATE_COMP[],N$1,0),"ERROR")</f>
        <v>165</v>
      </c>
      <c r="O34" s="112">
        <f>IFERROR(VLOOKUP($B34,MMWR_TRAD_AGG_STATE_COMP[],O$1,0),"ERROR")</f>
        <v>84</v>
      </c>
      <c r="P34" s="114">
        <f t="shared" si="3"/>
        <v>0.50909090909090904</v>
      </c>
      <c r="Q34" s="115">
        <f>IFERROR(VLOOKUP($B34,MMWR_TRAD_AGG_STATE_COMP[],Q$1,0),"ERROR")</f>
        <v>4</v>
      </c>
      <c r="R34" s="115">
        <f>IFERROR(VLOOKUP($B34,MMWR_TRAD_AGG_STATE_COMP[],R$1,0),"ERROR")</f>
        <v>0</v>
      </c>
      <c r="S34" s="115">
        <f>IFERROR(VLOOKUP($B34,MMWR_APP_STATE_COMP[],S$1,0),"ERROR")</f>
        <v>181</v>
      </c>
      <c r="T34" s="28"/>
    </row>
    <row r="35" spans="1:20" s="123" customFormat="1" x14ac:dyDescent="0.2">
      <c r="A35" s="107"/>
      <c r="B35" s="127" t="s">
        <v>396</v>
      </c>
      <c r="C35" s="109">
        <f>IFERROR(VLOOKUP($B35,MMWR_TRAD_AGG_STATE_COMP[],C$1,0),"ERROR")</f>
        <v>3195</v>
      </c>
      <c r="D35" s="110">
        <f>IFERROR(VLOOKUP($B35,MMWR_TRAD_AGG_STATE_COMP[],D$1,0),"ERROR")</f>
        <v>239.19593114240001</v>
      </c>
      <c r="E35" s="111">
        <f>IFERROR(VLOOKUP($B35,MMWR_TRAD_AGG_STATE_COMP[],E$1,0),"ERROR")</f>
        <v>3585</v>
      </c>
      <c r="F35" s="112">
        <f>IFERROR(VLOOKUP($B35,MMWR_TRAD_AGG_STATE_COMP[],F$1,0),"ERROR")</f>
        <v>487</v>
      </c>
      <c r="G35" s="113">
        <f t="shared" si="0"/>
        <v>0.13584379358437937</v>
      </c>
      <c r="H35" s="111">
        <f>IFERROR(VLOOKUP($B35,MMWR_TRAD_AGG_STATE_COMP[],H$1,0),"ERROR")</f>
        <v>4340</v>
      </c>
      <c r="I35" s="112">
        <f>IFERROR(VLOOKUP($B35,MMWR_TRAD_AGG_STATE_COMP[],I$1,0),"ERROR")</f>
        <v>2456</v>
      </c>
      <c r="J35" s="114">
        <f t="shared" si="1"/>
        <v>0.56589861751152071</v>
      </c>
      <c r="K35" s="111">
        <f>IFERROR(VLOOKUP($B35,MMWR_TRAD_AGG_STATE_COMP[],K$1,0),"ERROR")</f>
        <v>882</v>
      </c>
      <c r="L35" s="112">
        <f>IFERROR(VLOOKUP($B35,MMWR_TRAD_AGG_STATE_COMP[],L$1,0),"ERROR")</f>
        <v>682</v>
      </c>
      <c r="M35" s="114">
        <f t="shared" si="2"/>
        <v>0.77324263038548757</v>
      </c>
      <c r="N35" s="111">
        <f>IFERROR(VLOOKUP($B35,MMWR_TRAD_AGG_STATE_COMP[],N$1,0),"ERROR")</f>
        <v>1098</v>
      </c>
      <c r="O35" s="112">
        <f>IFERROR(VLOOKUP($B35,MMWR_TRAD_AGG_STATE_COMP[],O$1,0),"ERROR")</f>
        <v>593</v>
      </c>
      <c r="P35" s="114">
        <f t="shared" si="3"/>
        <v>0.54007285974499086</v>
      </c>
      <c r="Q35" s="115">
        <f>IFERROR(VLOOKUP($B35,MMWR_TRAD_AGG_STATE_COMP[],Q$1,0),"ERROR")</f>
        <v>573</v>
      </c>
      <c r="R35" s="115">
        <f>IFERROR(VLOOKUP($B35,MMWR_TRAD_AGG_STATE_COMP[],R$1,0),"ERROR")</f>
        <v>7</v>
      </c>
      <c r="S35" s="115">
        <f>IFERROR(VLOOKUP($B35,MMWR_APP_STATE_COMP[],S$1,0),"ERROR")</f>
        <v>3278</v>
      </c>
      <c r="T35" s="28"/>
    </row>
    <row r="36" spans="1:20" s="123" customFormat="1" x14ac:dyDescent="0.2">
      <c r="A36" s="28"/>
      <c r="B36" s="126" t="s">
        <v>385</v>
      </c>
      <c r="C36" s="102">
        <f>IF(SUM(C37:C45)&lt;&gt;VLOOKUP($B36,MMWR_TRAD_AGG_ST_DISTRICT_COMP[],C$1,0),"ERROR",
VLOOKUP($B36,MMWR_TRAD_AGG_ST_DISTRICT_COMP[],C$1,0))</f>
        <v>45582</v>
      </c>
      <c r="D36" s="103">
        <f>IFERROR(VLOOKUP($B36,MMWR_TRAD_AGG_ST_DISTRICT_COMP[],D$1,0),"ERROR")</f>
        <v>371.14913781759998</v>
      </c>
      <c r="E36" s="102">
        <f>IFERROR(VLOOKUP($B36,MMWR_TRAD_AGG_ST_DISTRICT_COMP[],E$1,0),"ERROR")</f>
        <v>64512</v>
      </c>
      <c r="F36" s="102">
        <f>IFERROR(VLOOKUP($B36,MMWR_TRAD_AGG_ST_DISTRICT_COMP[],F$1,0),"ERROR")</f>
        <v>13133</v>
      </c>
      <c r="G36" s="104">
        <f t="shared" si="0"/>
        <v>0.20357452876984128</v>
      </c>
      <c r="H36" s="102">
        <f>IFERROR(VLOOKUP($B36,MMWR_TRAD_AGG_ST_DISTRICT_COMP[],H$1,0),"ERROR")</f>
        <v>66651</v>
      </c>
      <c r="I36" s="102">
        <f>IFERROR(VLOOKUP($B36,MMWR_TRAD_AGG_ST_DISTRICT_COMP[],I$1,0),"ERROR")</f>
        <v>42095</v>
      </c>
      <c r="J36" s="105">
        <f t="shared" si="1"/>
        <v>0.63157341975364212</v>
      </c>
      <c r="K36" s="102">
        <f>IFERROR(VLOOKUP($B36,MMWR_TRAD_AGG_ST_DISTRICT_COMP[],K$1,0),"ERROR")</f>
        <v>19918</v>
      </c>
      <c r="L36" s="102">
        <f>IFERROR(VLOOKUP($B36,MMWR_TRAD_AGG_ST_DISTRICT_COMP[],L$1,0),"ERROR")</f>
        <v>14232</v>
      </c>
      <c r="M36" s="105">
        <f t="shared" si="2"/>
        <v>0.7145295712420926</v>
      </c>
      <c r="N36" s="102">
        <f>IFERROR(VLOOKUP($B36,MMWR_TRAD_AGG_ST_DISTRICT_COMP[],N$1,0),"ERROR")</f>
        <v>30973</v>
      </c>
      <c r="O36" s="102">
        <f>IFERROR(VLOOKUP($B36,MMWR_TRAD_AGG_ST_DISTRICT_COMP[],O$1,0),"ERROR")</f>
        <v>17592</v>
      </c>
      <c r="P36" s="105">
        <f t="shared" si="3"/>
        <v>0.56797856197333163</v>
      </c>
      <c r="Q36" s="102">
        <f>IFERROR(VLOOKUP($B36,MMWR_TRAD_AGG_ST_DISTRICT_COMP[],Q$1,0),"ERROR")</f>
        <v>1301</v>
      </c>
      <c r="R36" s="106">
        <f>IFERROR(VLOOKUP($B36,MMWR_TRAD_AGG_ST_DISTRICT_COMP[],R$1,0),"ERROR")</f>
        <v>1109</v>
      </c>
      <c r="S36" s="106">
        <f>SUM(S37:S45)</f>
        <v>70758</v>
      </c>
      <c r="T36" s="28"/>
    </row>
    <row r="37" spans="1:20" s="123" customFormat="1" x14ac:dyDescent="0.2">
      <c r="A37" s="28"/>
      <c r="B37" s="127" t="s">
        <v>411</v>
      </c>
      <c r="C37" s="109">
        <f>IFERROR(VLOOKUP($B37,MMWR_TRAD_AGG_STATE_COMP[],C$1,0),"ERROR")</f>
        <v>3570</v>
      </c>
      <c r="D37" s="110">
        <f>IFERROR(VLOOKUP($B37,MMWR_TRAD_AGG_STATE_COMP[],D$1,0),"ERROR")</f>
        <v>329.18151260500002</v>
      </c>
      <c r="E37" s="111">
        <f>IFERROR(VLOOKUP($B37,MMWR_TRAD_AGG_STATE_COMP[],E$1,0),"ERROR")</f>
        <v>3343</v>
      </c>
      <c r="F37" s="112">
        <f>IFERROR(VLOOKUP($B37,MMWR_TRAD_AGG_STATE_COMP[],F$1,0),"ERROR")</f>
        <v>562</v>
      </c>
      <c r="G37" s="113">
        <f t="shared" si="0"/>
        <v>0.16811247382590488</v>
      </c>
      <c r="H37" s="111">
        <f>IFERROR(VLOOKUP($B37,MMWR_TRAD_AGG_STATE_COMP[],H$1,0),"ERROR")</f>
        <v>5133</v>
      </c>
      <c r="I37" s="112">
        <f>IFERROR(VLOOKUP($B37,MMWR_TRAD_AGG_STATE_COMP[],I$1,0),"ERROR")</f>
        <v>2882</v>
      </c>
      <c r="J37" s="114">
        <f t="shared" si="1"/>
        <v>0.56146503019676597</v>
      </c>
      <c r="K37" s="111">
        <f>IFERROR(VLOOKUP($B37,MMWR_TRAD_AGG_STATE_COMP[],K$1,0),"ERROR")</f>
        <v>1835</v>
      </c>
      <c r="L37" s="112">
        <f>IFERROR(VLOOKUP($B37,MMWR_TRAD_AGG_STATE_COMP[],L$1,0),"ERROR")</f>
        <v>1475</v>
      </c>
      <c r="M37" s="114">
        <f t="shared" si="2"/>
        <v>0.80381471389645776</v>
      </c>
      <c r="N37" s="111">
        <f>IFERROR(VLOOKUP($B37,MMWR_TRAD_AGG_STATE_COMP[],N$1,0),"ERROR")</f>
        <v>2597</v>
      </c>
      <c r="O37" s="112">
        <f>IFERROR(VLOOKUP($B37,MMWR_TRAD_AGG_STATE_COMP[],O$1,0),"ERROR")</f>
        <v>1545</v>
      </c>
      <c r="P37" s="114">
        <f t="shared" si="3"/>
        <v>0.59491721216788607</v>
      </c>
      <c r="Q37" s="115">
        <f>IFERROR(VLOOKUP($B37,MMWR_TRAD_AGG_STATE_COMP[],Q$1,0),"ERROR")</f>
        <v>440</v>
      </c>
      <c r="R37" s="115">
        <f>IFERROR(VLOOKUP($B37,MMWR_TRAD_AGG_STATE_COMP[],R$1,0),"ERROR")</f>
        <v>100</v>
      </c>
      <c r="S37" s="115">
        <f>IFERROR(VLOOKUP($B37,MMWR_APP_STATE_COMP[],S$1,0),"ERROR")</f>
        <v>5366</v>
      </c>
      <c r="T37" s="28"/>
    </row>
    <row r="38" spans="1:20" s="123" customFormat="1" x14ac:dyDescent="0.2">
      <c r="A38" s="28"/>
      <c r="B38" s="127" t="s">
        <v>403</v>
      </c>
      <c r="C38" s="109">
        <f>IFERROR(VLOOKUP($B38,MMWR_TRAD_AGG_STATE_COMP[],C$1,0),"ERROR")</f>
        <v>6130</v>
      </c>
      <c r="D38" s="110">
        <f>IFERROR(VLOOKUP($B38,MMWR_TRAD_AGG_STATE_COMP[],D$1,0),"ERROR")</f>
        <v>419.96019575859998</v>
      </c>
      <c r="E38" s="111">
        <f>IFERROR(VLOOKUP($B38,MMWR_TRAD_AGG_STATE_COMP[],E$1,0),"ERROR")</f>
        <v>6165</v>
      </c>
      <c r="F38" s="112">
        <f>IFERROR(VLOOKUP($B38,MMWR_TRAD_AGG_STATE_COMP[],F$1,0),"ERROR")</f>
        <v>1376</v>
      </c>
      <c r="G38" s="113">
        <f t="shared" ref="G38:G64" si="4">IFERROR(F38/E38,"0%")</f>
        <v>0.22319545823195458</v>
      </c>
      <c r="H38" s="111">
        <f>IFERROR(VLOOKUP($B38,MMWR_TRAD_AGG_STATE_COMP[],H$1,0),"ERROR")</f>
        <v>9149</v>
      </c>
      <c r="I38" s="112">
        <f>IFERROR(VLOOKUP($B38,MMWR_TRAD_AGG_STATE_COMP[],I$1,0),"ERROR")</f>
        <v>6165</v>
      </c>
      <c r="J38" s="114">
        <f t="shared" ref="J38:J64" si="5">IFERROR(I38/H38,"0%")</f>
        <v>0.67384413597114434</v>
      </c>
      <c r="K38" s="111">
        <f>IFERROR(VLOOKUP($B38,MMWR_TRAD_AGG_STATE_COMP[],K$1,0),"ERROR")</f>
        <v>3495</v>
      </c>
      <c r="L38" s="112">
        <f>IFERROR(VLOOKUP($B38,MMWR_TRAD_AGG_STATE_COMP[],L$1,0),"ERROR")</f>
        <v>2770</v>
      </c>
      <c r="M38" s="114">
        <f t="shared" ref="M38:M64" si="6">IFERROR(L38/K38,"0%")</f>
        <v>0.79256080114449212</v>
      </c>
      <c r="N38" s="111">
        <f>IFERROR(VLOOKUP($B38,MMWR_TRAD_AGG_STATE_COMP[],N$1,0),"ERROR")</f>
        <v>1867</v>
      </c>
      <c r="O38" s="112">
        <f>IFERROR(VLOOKUP($B38,MMWR_TRAD_AGG_STATE_COMP[],O$1,0),"ERROR")</f>
        <v>1126</v>
      </c>
      <c r="P38" s="114">
        <f t="shared" ref="P38:P64" si="7">IFERROR(O38/N38,"0%")</f>
        <v>0.60310658810926621</v>
      </c>
      <c r="Q38" s="115">
        <f>IFERROR(VLOOKUP($B38,MMWR_TRAD_AGG_STATE_COMP[],Q$1,0),"ERROR")</f>
        <v>7</v>
      </c>
      <c r="R38" s="115">
        <f>IFERROR(VLOOKUP($B38,MMWR_TRAD_AGG_STATE_COMP[],R$1,0),"ERROR")</f>
        <v>58</v>
      </c>
      <c r="S38" s="115">
        <f>IFERROR(VLOOKUP($B38,MMWR_APP_STATE_COMP[],S$1,0),"ERROR")</f>
        <v>6711</v>
      </c>
      <c r="T38" s="28"/>
    </row>
    <row r="39" spans="1:20" s="123" customFormat="1" x14ac:dyDescent="0.2">
      <c r="A39" s="28"/>
      <c r="B39" s="127" t="s">
        <v>387</v>
      </c>
      <c r="C39" s="109">
        <f>IFERROR(VLOOKUP($B39,MMWR_TRAD_AGG_STATE_COMP[],C$1,0),"ERROR")</f>
        <v>4274</v>
      </c>
      <c r="D39" s="110">
        <f>IFERROR(VLOOKUP($B39,MMWR_TRAD_AGG_STATE_COMP[],D$1,0),"ERROR")</f>
        <v>446.46911558260001</v>
      </c>
      <c r="E39" s="111">
        <f>IFERROR(VLOOKUP($B39,MMWR_TRAD_AGG_STATE_COMP[],E$1,0),"ERROR")</f>
        <v>5566</v>
      </c>
      <c r="F39" s="112">
        <f>IFERROR(VLOOKUP($B39,MMWR_TRAD_AGG_STATE_COMP[],F$1,0),"ERROR")</f>
        <v>1171</v>
      </c>
      <c r="G39" s="113">
        <f t="shared" si="4"/>
        <v>0.21038447718289616</v>
      </c>
      <c r="H39" s="111">
        <f>IFERROR(VLOOKUP($B39,MMWR_TRAD_AGG_STATE_COMP[],H$1,0),"ERROR")</f>
        <v>6468</v>
      </c>
      <c r="I39" s="112">
        <f>IFERROR(VLOOKUP($B39,MMWR_TRAD_AGG_STATE_COMP[],I$1,0),"ERROR")</f>
        <v>4367</v>
      </c>
      <c r="J39" s="114">
        <f t="shared" si="5"/>
        <v>0.67517006802721091</v>
      </c>
      <c r="K39" s="111">
        <f>IFERROR(VLOOKUP($B39,MMWR_TRAD_AGG_STATE_COMP[],K$1,0),"ERROR")</f>
        <v>1540</v>
      </c>
      <c r="L39" s="112">
        <f>IFERROR(VLOOKUP($B39,MMWR_TRAD_AGG_STATE_COMP[],L$1,0),"ERROR")</f>
        <v>1089</v>
      </c>
      <c r="M39" s="114">
        <f t="shared" si="6"/>
        <v>0.70714285714285718</v>
      </c>
      <c r="N39" s="111">
        <f>IFERROR(VLOOKUP($B39,MMWR_TRAD_AGG_STATE_COMP[],N$1,0),"ERROR")</f>
        <v>2853</v>
      </c>
      <c r="O39" s="112">
        <f>IFERROR(VLOOKUP($B39,MMWR_TRAD_AGG_STATE_COMP[],O$1,0),"ERROR")</f>
        <v>1845</v>
      </c>
      <c r="P39" s="114">
        <f t="shared" si="7"/>
        <v>0.64668769716088326</v>
      </c>
      <c r="Q39" s="115">
        <f>IFERROR(VLOOKUP($B39,MMWR_TRAD_AGG_STATE_COMP[],Q$1,0),"ERROR")</f>
        <v>310</v>
      </c>
      <c r="R39" s="115">
        <f>IFERROR(VLOOKUP($B39,MMWR_TRAD_AGG_STATE_COMP[],R$1,0),"ERROR")</f>
        <v>267</v>
      </c>
      <c r="S39" s="115">
        <f>IFERROR(VLOOKUP($B39,MMWR_APP_STATE_COMP[],S$1,0),"ERROR")</f>
        <v>6053</v>
      </c>
      <c r="T39" s="28"/>
    </row>
    <row r="40" spans="1:20" s="123" customFormat="1" x14ac:dyDescent="0.2">
      <c r="A40" s="28"/>
      <c r="B40" s="127" t="s">
        <v>389</v>
      </c>
      <c r="C40" s="109">
        <f>IFERROR(VLOOKUP($B40,MMWR_TRAD_AGG_STATE_COMP[],C$1,0),"ERROR")</f>
        <v>3876</v>
      </c>
      <c r="D40" s="110">
        <f>IFERROR(VLOOKUP($B40,MMWR_TRAD_AGG_STATE_COMP[],D$1,0),"ERROR")</f>
        <v>417.10655314759998</v>
      </c>
      <c r="E40" s="111">
        <f>IFERROR(VLOOKUP($B40,MMWR_TRAD_AGG_STATE_COMP[],E$1,0),"ERROR")</f>
        <v>4692</v>
      </c>
      <c r="F40" s="112">
        <f>IFERROR(VLOOKUP($B40,MMWR_TRAD_AGG_STATE_COMP[],F$1,0),"ERROR")</f>
        <v>1412</v>
      </c>
      <c r="G40" s="113">
        <f t="shared" si="4"/>
        <v>0.30093776641091219</v>
      </c>
      <c r="H40" s="111">
        <f>IFERROR(VLOOKUP($B40,MMWR_TRAD_AGG_STATE_COMP[],H$1,0),"ERROR")</f>
        <v>6168</v>
      </c>
      <c r="I40" s="112">
        <f>IFERROR(VLOOKUP($B40,MMWR_TRAD_AGG_STATE_COMP[],I$1,0),"ERROR")</f>
        <v>4729</v>
      </c>
      <c r="J40" s="114">
        <f t="shared" si="5"/>
        <v>0.7666990920881972</v>
      </c>
      <c r="K40" s="111">
        <f>IFERROR(VLOOKUP($B40,MMWR_TRAD_AGG_STATE_COMP[],K$1,0),"ERROR")</f>
        <v>1746</v>
      </c>
      <c r="L40" s="112">
        <f>IFERROR(VLOOKUP($B40,MMWR_TRAD_AGG_STATE_COMP[],L$1,0),"ERROR")</f>
        <v>1296</v>
      </c>
      <c r="M40" s="114">
        <f t="shared" si="6"/>
        <v>0.74226804123711343</v>
      </c>
      <c r="N40" s="111">
        <f>IFERROR(VLOOKUP($B40,MMWR_TRAD_AGG_STATE_COMP[],N$1,0),"ERROR")</f>
        <v>1723</v>
      </c>
      <c r="O40" s="112">
        <f>IFERROR(VLOOKUP($B40,MMWR_TRAD_AGG_STATE_COMP[],O$1,0),"ERROR")</f>
        <v>1129</v>
      </c>
      <c r="P40" s="114">
        <f t="shared" si="7"/>
        <v>0.65525246662797443</v>
      </c>
      <c r="Q40" s="115">
        <f>IFERROR(VLOOKUP($B40,MMWR_TRAD_AGG_STATE_COMP[],Q$1,0),"ERROR")</f>
        <v>511</v>
      </c>
      <c r="R40" s="115">
        <f>IFERROR(VLOOKUP($B40,MMWR_TRAD_AGG_STATE_COMP[],R$1,0),"ERROR")</f>
        <v>215</v>
      </c>
      <c r="S40" s="115">
        <f>IFERROR(VLOOKUP($B40,MMWR_APP_STATE_COMP[],S$1,0),"ERROR")</f>
        <v>4912</v>
      </c>
      <c r="T40" s="28"/>
    </row>
    <row r="41" spans="1:20" s="123" customFormat="1" x14ac:dyDescent="0.2">
      <c r="A41" s="28"/>
      <c r="B41" s="127" t="s">
        <v>418</v>
      </c>
      <c r="C41" s="109">
        <f>IFERROR(VLOOKUP($B41,MMWR_TRAD_AGG_STATE_COMP[],C$1,0),"ERROR")</f>
        <v>435</v>
      </c>
      <c r="D41" s="110">
        <f>IFERROR(VLOOKUP($B41,MMWR_TRAD_AGG_STATE_COMP[],D$1,0),"ERROR")</f>
        <v>307.92873563220002</v>
      </c>
      <c r="E41" s="111">
        <f>IFERROR(VLOOKUP($B41,MMWR_TRAD_AGG_STATE_COMP[],E$1,0),"ERROR")</f>
        <v>679</v>
      </c>
      <c r="F41" s="112">
        <f>IFERROR(VLOOKUP($B41,MMWR_TRAD_AGG_STATE_COMP[],F$1,0),"ERROR")</f>
        <v>47</v>
      </c>
      <c r="G41" s="113">
        <f t="shared" si="4"/>
        <v>6.9219440353460976E-2</v>
      </c>
      <c r="H41" s="111">
        <f>IFERROR(VLOOKUP($B41,MMWR_TRAD_AGG_STATE_COMP[],H$1,0),"ERROR")</f>
        <v>719</v>
      </c>
      <c r="I41" s="112">
        <f>IFERROR(VLOOKUP($B41,MMWR_TRAD_AGG_STATE_COMP[],I$1,0),"ERROR")</f>
        <v>329</v>
      </c>
      <c r="J41" s="114">
        <f t="shared" si="5"/>
        <v>0.45757997218358831</v>
      </c>
      <c r="K41" s="111">
        <f>IFERROR(VLOOKUP($B41,MMWR_TRAD_AGG_STATE_COMP[],K$1,0),"ERROR")</f>
        <v>385</v>
      </c>
      <c r="L41" s="112">
        <f>IFERROR(VLOOKUP($B41,MMWR_TRAD_AGG_STATE_COMP[],L$1,0),"ERROR")</f>
        <v>241</v>
      </c>
      <c r="M41" s="114">
        <f t="shared" si="6"/>
        <v>0.62597402597402596</v>
      </c>
      <c r="N41" s="111">
        <f>IFERROR(VLOOKUP($B41,MMWR_TRAD_AGG_STATE_COMP[],N$1,0),"ERROR")</f>
        <v>423</v>
      </c>
      <c r="O41" s="112">
        <f>IFERROR(VLOOKUP($B41,MMWR_TRAD_AGG_STATE_COMP[],O$1,0),"ERROR")</f>
        <v>232</v>
      </c>
      <c r="P41" s="114">
        <f t="shared" si="7"/>
        <v>0.54846335697399529</v>
      </c>
      <c r="Q41" s="115">
        <f>IFERROR(VLOOKUP($B41,MMWR_TRAD_AGG_STATE_COMP[],Q$1,0),"ERROR")</f>
        <v>0</v>
      </c>
      <c r="R41" s="115">
        <f>IFERROR(VLOOKUP($B41,MMWR_TRAD_AGG_STATE_COMP[],R$1,0),"ERROR")</f>
        <v>5</v>
      </c>
      <c r="S41" s="115">
        <f>IFERROR(VLOOKUP($B41,MMWR_APP_STATE_COMP[],S$1,0),"ERROR")</f>
        <v>310</v>
      </c>
      <c r="T41" s="28"/>
    </row>
    <row r="42" spans="1:20" s="123" customFormat="1" x14ac:dyDescent="0.2">
      <c r="A42" s="28"/>
      <c r="B42" s="127" t="s">
        <v>412</v>
      </c>
      <c r="C42" s="109">
        <f>IFERROR(VLOOKUP($B42,MMWR_TRAD_AGG_STATE_COMP[],C$1,0),"ERROR")</f>
        <v>1861</v>
      </c>
      <c r="D42" s="110">
        <f>IFERROR(VLOOKUP($B42,MMWR_TRAD_AGG_STATE_COMP[],D$1,0),"ERROR")</f>
        <v>175.19183234819999</v>
      </c>
      <c r="E42" s="111">
        <f>IFERROR(VLOOKUP($B42,MMWR_TRAD_AGG_STATE_COMP[],E$1,0),"ERROR")</f>
        <v>5701</v>
      </c>
      <c r="F42" s="112">
        <f>IFERROR(VLOOKUP($B42,MMWR_TRAD_AGG_STATE_COMP[],F$1,0),"ERROR")</f>
        <v>640</v>
      </c>
      <c r="G42" s="113">
        <f t="shared" si="4"/>
        <v>0.11226100684090511</v>
      </c>
      <c r="H42" s="111">
        <f>IFERROR(VLOOKUP($B42,MMWR_TRAD_AGG_STATE_COMP[],H$1,0),"ERROR")</f>
        <v>2968</v>
      </c>
      <c r="I42" s="112">
        <f>IFERROR(VLOOKUP($B42,MMWR_TRAD_AGG_STATE_COMP[],I$1,0),"ERROR")</f>
        <v>847</v>
      </c>
      <c r="J42" s="114">
        <f t="shared" si="5"/>
        <v>0.28537735849056606</v>
      </c>
      <c r="K42" s="111">
        <f>IFERROR(VLOOKUP($B42,MMWR_TRAD_AGG_STATE_COMP[],K$1,0),"ERROR")</f>
        <v>1155</v>
      </c>
      <c r="L42" s="112">
        <f>IFERROR(VLOOKUP($B42,MMWR_TRAD_AGG_STATE_COMP[],L$1,0),"ERROR")</f>
        <v>513</v>
      </c>
      <c r="M42" s="114">
        <f t="shared" si="6"/>
        <v>0.44415584415584414</v>
      </c>
      <c r="N42" s="111">
        <f>IFERROR(VLOOKUP($B42,MMWR_TRAD_AGG_STATE_COMP[],N$1,0),"ERROR")</f>
        <v>2969</v>
      </c>
      <c r="O42" s="112">
        <f>IFERROR(VLOOKUP($B42,MMWR_TRAD_AGG_STATE_COMP[],O$1,0),"ERROR")</f>
        <v>1698</v>
      </c>
      <c r="P42" s="114">
        <f t="shared" si="7"/>
        <v>0.57190973391714384</v>
      </c>
      <c r="Q42" s="115">
        <f>IFERROR(VLOOKUP($B42,MMWR_TRAD_AGG_STATE_COMP[],Q$1,0),"ERROR")</f>
        <v>10</v>
      </c>
      <c r="R42" s="115">
        <f>IFERROR(VLOOKUP($B42,MMWR_TRAD_AGG_STATE_COMP[],R$1,0),"ERROR")</f>
        <v>28</v>
      </c>
      <c r="S42" s="115">
        <f>IFERROR(VLOOKUP($B42,MMWR_APP_STATE_COMP[],S$1,0),"ERROR")</f>
        <v>4477</v>
      </c>
      <c r="T42" s="28"/>
    </row>
    <row r="43" spans="1:20" s="123" customFormat="1" x14ac:dyDescent="0.2">
      <c r="A43" s="28"/>
      <c r="B43" s="127" t="s">
        <v>410</v>
      </c>
      <c r="C43" s="109">
        <f>IFERROR(VLOOKUP($B43,MMWR_TRAD_AGG_STATE_COMP[],C$1,0),"ERROR")</f>
        <v>24170</v>
      </c>
      <c r="D43" s="110">
        <f>IFERROR(VLOOKUP($B43,MMWR_TRAD_AGG_STATE_COMP[],D$1,0),"ERROR")</f>
        <v>363.14642118329999</v>
      </c>
      <c r="E43" s="111">
        <f>IFERROR(VLOOKUP($B43,MMWR_TRAD_AGG_STATE_COMP[],E$1,0),"ERROR")</f>
        <v>35525</v>
      </c>
      <c r="F43" s="112">
        <f>IFERROR(VLOOKUP($B43,MMWR_TRAD_AGG_STATE_COMP[],F$1,0),"ERROR")</f>
        <v>7281</v>
      </c>
      <c r="G43" s="113">
        <f t="shared" si="4"/>
        <v>0.204954257565095</v>
      </c>
      <c r="H43" s="111">
        <f>IFERROR(VLOOKUP($B43,MMWR_TRAD_AGG_STATE_COMP[],H$1,0),"ERROR")</f>
        <v>34011</v>
      </c>
      <c r="I43" s="112">
        <f>IFERROR(VLOOKUP($B43,MMWR_TRAD_AGG_STATE_COMP[],I$1,0),"ERROR")</f>
        <v>21642</v>
      </c>
      <c r="J43" s="114">
        <f t="shared" si="5"/>
        <v>0.63632354238334654</v>
      </c>
      <c r="K43" s="111">
        <f>IFERROR(VLOOKUP($B43,MMWR_TRAD_AGG_STATE_COMP[],K$1,0),"ERROR")</f>
        <v>9147</v>
      </c>
      <c r="L43" s="112">
        <f>IFERROR(VLOOKUP($B43,MMWR_TRAD_AGG_STATE_COMP[],L$1,0),"ERROR")</f>
        <v>6458</v>
      </c>
      <c r="M43" s="114">
        <f t="shared" si="6"/>
        <v>0.70602383295069426</v>
      </c>
      <c r="N43" s="111">
        <f>IFERROR(VLOOKUP($B43,MMWR_TRAD_AGG_STATE_COMP[],N$1,0),"ERROR")</f>
        <v>17793</v>
      </c>
      <c r="O43" s="112">
        <f>IFERROR(VLOOKUP($B43,MMWR_TRAD_AGG_STATE_COMP[],O$1,0),"ERROR")</f>
        <v>9597</v>
      </c>
      <c r="P43" s="114">
        <f t="shared" si="7"/>
        <v>0.53936941493845891</v>
      </c>
      <c r="Q43" s="115">
        <f>IFERROR(VLOOKUP($B43,MMWR_TRAD_AGG_STATE_COMP[],Q$1,0),"ERROR")</f>
        <v>21</v>
      </c>
      <c r="R43" s="115">
        <f>IFERROR(VLOOKUP($B43,MMWR_TRAD_AGG_STATE_COMP[],R$1,0),"ERROR")</f>
        <v>432</v>
      </c>
      <c r="S43" s="115">
        <f>IFERROR(VLOOKUP($B43,MMWR_APP_STATE_COMP[],S$1,0),"ERROR")</f>
        <v>42110</v>
      </c>
      <c r="T43" s="28"/>
    </row>
    <row r="44" spans="1:20" s="123" customFormat="1" x14ac:dyDescent="0.2">
      <c r="A44" s="28"/>
      <c r="B44" s="127" t="s">
        <v>406</v>
      </c>
      <c r="C44" s="109">
        <f>IFERROR(VLOOKUP($B44,MMWR_TRAD_AGG_STATE_COMP[],C$1,0),"ERROR")</f>
        <v>925</v>
      </c>
      <c r="D44" s="110">
        <f>IFERROR(VLOOKUP($B44,MMWR_TRAD_AGG_STATE_COMP[],D$1,0),"ERROR")</f>
        <v>294.27567567569997</v>
      </c>
      <c r="E44" s="111">
        <f>IFERROR(VLOOKUP($B44,MMWR_TRAD_AGG_STATE_COMP[],E$1,0),"ERROR")</f>
        <v>2169</v>
      </c>
      <c r="F44" s="112">
        <f>IFERROR(VLOOKUP($B44,MMWR_TRAD_AGG_STATE_COMP[],F$1,0),"ERROR")</f>
        <v>554</v>
      </c>
      <c r="G44" s="113">
        <f t="shared" si="4"/>
        <v>0.25541724296911017</v>
      </c>
      <c r="H44" s="111">
        <f>IFERROR(VLOOKUP($B44,MMWR_TRAD_AGG_STATE_COMP[],H$1,0),"ERROR")</f>
        <v>1399</v>
      </c>
      <c r="I44" s="112">
        <f>IFERROR(VLOOKUP($B44,MMWR_TRAD_AGG_STATE_COMP[],I$1,0),"ERROR")</f>
        <v>759</v>
      </c>
      <c r="J44" s="114">
        <f t="shared" si="5"/>
        <v>0.54253037884203004</v>
      </c>
      <c r="K44" s="111">
        <f>IFERROR(VLOOKUP($B44,MMWR_TRAD_AGG_STATE_COMP[],K$1,0),"ERROR")</f>
        <v>417</v>
      </c>
      <c r="L44" s="112">
        <f>IFERROR(VLOOKUP($B44,MMWR_TRAD_AGG_STATE_COMP[],L$1,0),"ERROR")</f>
        <v>275</v>
      </c>
      <c r="M44" s="114">
        <f t="shared" si="6"/>
        <v>0.65947242206235013</v>
      </c>
      <c r="N44" s="111">
        <f>IFERROR(VLOOKUP($B44,MMWR_TRAD_AGG_STATE_COMP[],N$1,0),"ERROR")</f>
        <v>550</v>
      </c>
      <c r="O44" s="112">
        <f>IFERROR(VLOOKUP($B44,MMWR_TRAD_AGG_STATE_COMP[],O$1,0),"ERROR")</f>
        <v>301</v>
      </c>
      <c r="P44" s="114">
        <f t="shared" si="7"/>
        <v>0.54727272727272724</v>
      </c>
      <c r="Q44" s="115">
        <f>IFERROR(VLOOKUP($B44,MMWR_TRAD_AGG_STATE_COMP[],Q$1,0),"ERROR")</f>
        <v>0</v>
      </c>
      <c r="R44" s="115">
        <f>IFERROR(VLOOKUP($B44,MMWR_TRAD_AGG_STATE_COMP[],R$1,0),"ERROR")</f>
        <v>3</v>
      </c>
      <c r="S44" s="115">
        <f>IFERROR(VLOOKUP($B44,MMWR_APP_STATE_COMP[],S$1,0),"ERROR")</f>
        <v>579</v>
      </c>
      <c r="T44" s="28"/>
    </row>
    <row r="45" spans="1:20" s="123" customFormat="1" x14ac:dyDescent="0.2">
      <c r="A45" s="28"/>
      <c r="B45" s="127" t="s">
        <v>421</v>
      </c>
      <c r="C45" s="109">
        <f>IFERROR(VLOOKUP($B45,MMWR_TRAD_AGG_STATE_COMP[],C$1,0),"ERROR")</f>
        <v>341</v>
      </c>
      <c r="D45" s="110">
        <f>IFERROR(VLOOKUP($B45,MMWR_TRAD_AGG_STATE_COMP[],D$1,0),"ERROR")</f>
        <v>392.4838709677</v>
      </c>
      <c r="E45" s="111">
        <f>IFERROR(VLOOKUP($B45,MMWR_TRAD_AGG_STATE_COMP[],E$1,0),"ERROR")</f>
        <v>672</v>
      </c>
      <c r="F45" s="112">
        <f>IFERROR(VLOOKUP($B45,MMWR_TRAD_AGG_STATE_COMP[],F$1,0),"ERROR")</f>
        <v>90</v>
      </c>
      <c r="G45" s="113">
        <f t="shared" si="4"/>
        <v>0.13392857142857142</v>
      </c>
      <c r="H45" s="111">
        <f>IFERROR(VLOOKUP($B45,MMWR_TRAD_AGG_STATE_COMP[],H$1,0),"ERROR")</f>
        <v>636</v>
      </c>
      <c r="I45" s="112">
        <f>IFERROR(VLOOKUP($B45,MMWR_TRAD_AGG_STATE_COMP[],I$1,0),"ERROR")</f>
        <v>375</v>
      </c>
      <c r="J45" s="114">
        <f t="shared" si="5"/>
        <v>0.589622641509434</v>
      </c>
      <c r="K45" s="111">
        <f>IFERROR(VLOOKUP($B45,MMWR_TRAD_AGG_STATE_COMP[],K$1,0),"ERROR")</f>
        <v>198</v>
      </c>
      <c r="L45" s="112">
        <f>IFERROR(VLOOKUP($B45,MMWR_TRAD_AGG_STATE_COMP[],L$1,0),"ERROR")</f>
        <v>115</v>
      </c>
      <c r="M45" s="114">
        <f t="shared" si="6"/>
        <v>0.58080808080808077</v>
      </c>
      <c r="N45" s="111">
        <f>IFERROR(VLOOKUP($B45,MMWR_TRAD_AGG_STATE_COMP[],N$1,0),"ERROR")</f>
        <v>198</v>
      </c>
      <c r="O45" s="112">
        <f>IFERROR(VLOOKUP($B45,MMWR_TRAD_AGG_STATE_COMP[],O$1,0),"ERROR")</f>
        <v>119</v>
      </c>
      <c r="P45" s="114">
        <f t="shared" si="7"/>
        <v>0.60101010101010099</v>
      </c>
      <c r="Q45" s="115">
        <f>IFERROR(VLOOKUP($B45,MMWR_TRAD_AGG_STATE_COMP[],Q$1,0),"ERROR")</f>
        <v>2</v>
      </c>
      <c r="R45" s="115">
        <f>IFERROR(VLOOKUP($B45,MMWR_TRAD_AGG_STATE_COMP[],R$1,0),"ERROR")</f>
        <v>1</v>
      </c>
      <c r="S45" s="115">
        <f>IFERROR(VLOOKUP($B45,MMWR_APP_STATE_COMP[],S$1,0),"ERROR")</f>
        <v>240</v>
      </c>
      <c r="T45" s="28"/>
    </row>
    <row r="46" spans="1:20" s="123" customFormat="1" x14ac:dyDescent="0.2">
      <c r="A46" s="28"/>
      <c r="B46" s="126" t="s">
        <v>404</v>
      </c>
      <c r="C46" s="102">
        <f>IFERROR(VLOOKUP($B46,MMWR_TRAD_AGG_ST_DISTRICT_COMP[],C$1,0),"ERROR")</f>
        <v>49727</v>
      </c>
      <c r="D46" s="103">
        <f>IFERROR(VLOOKUP($B46,MMWR_TRAD_AGG_ST_DISTRICT_COMP[],D$1,0),"ERROR")</f>
        <v>407.86888410720002</v>
      </c>
      <c r="E46" s="102">
        <f>IFERROR(VLOOKUP($B46,MMWR_TRAD_AGG_ST_DISTRICT_COMP[],E$1,0),"ERROR")</f>
        <v>59825</v>
      </c>
      <c r="F46" s="102">
        <f>IFERROR(VLOOKUP($B46,MMWR_TRAD_AGG_ST_DISTRICT_COMP[],F$1,0),"ERROR")</f>
        <v>11330</v>
      </c>
      <c r="G46" s="104">
        <f t="shared" si="4"/>
        <v>0.18938570831592144</v>
      </c>
      <c r="H46" s="102">
        <f>IFERROR(VLOOKUP($B46,MMWR_TRAD_AGG_ST_DISTRICT_COMP[],H$1,0),"ERROR")</f>
        <v>73734</v>
      </c>
      <c r="I46" s="102">
        <f>IFERROR(VLOOKUP($B46,MMWR_TRAD_AGG_ST_DISTRICT_COMP[],I$1,0),"ERROR")</f>
        <v>51549</v>
      </c>
      <c r="J46" s="105">
        <f t="shared" si="5"/>
        <v>0.69912116526975343</v>
      </c>
      <c r="K46" s="102">
        <f>IFERROR(VLOOKUP($B46,MMWR_TRAD_AGG_ST_DISTRICT_COMP[],K$1,0),"ERROR")</f>
        <v>23275</v>
      </c>
      <c r="L46" s="102">
        <f>IFERROR(VLOOKUP($B46,MMWR_TRAD_AGG_ST_DISTRICT_COMP[],L$1,0),"ERROR")</f>
        <v>18114</v>
      </c>
      <c r="M46" s="105">
        <f t="shared" si="6"/>
        <v>0.77825993555316864</v>
      </c>
      <c r="N46" s="102">
        <f>IFERROR(VLOOKUP($B46,MMWR_TRAD_AGG_ST_DISTRICT_COMP[],N$1,0),"ERROR")</f>
        <v>32441</v>
      </c>
      <c r="O46" s="102">
        <f>IFERROR(VLOOKUP($B46,MMWR_TRAD_AGG_ST_DISTRICT_COMP[],O$1,0),"ERROR")</f>
        <v>21914</v>
      </c>
      <c r="P46" s="105">
        <f t="shared" si="7"/>
        <v>0.67550322123239115</v>
      </c>
      <c r="Q46" s="102">
        <f>IFERROR(VLOOKUP($B46,MMWR_TRAD_AGG_ST_DISTRICT_COMP[],Q$1,0),"ERROR")</f>
        <v>98</v>
      </c>
      <c r="R46" s="106">
        <f>IFERROR(VLOOKUP($B46,MMWR_TRAD_AGG_ST_DISTRICT_COMP[],R$1,0),"ERROR")</f>
        <v>625</v>
      </c>
      <c r="S46" s="106">
        <f>SUM(S47:S55)</f>
        <v>42952</v>
      </c>
      <c r="T46" s="28"/>
    </row>
    <row r="47" spans="1:20" s="123" customFormat="1" x14ac:dyDescent="0.2">
      <c r="A47" s="28"/>
      <c r="B47" s="127" t="s">
        <v>424</v>
      </c>
      <c r="C47" s="109">
        <f>IFERROR(VLOOKUP($B47,MMWR_TRAD_AGG_STATE_COMP[],C$1,0),"ERROR")</f>
        <v>1799</v>
      </c>
      <c r="D47" s="110">
        <f>IFERROR(VLOOKUP($B47,MMWR_TRAD_AGG_STATE_COMP[],D$1,0),"ERROR")</f>
        <v>479.32128960530002</v>
      </c>
      <c r="E47" s="111">
        <f>IFERROR(VLOOKUP($B47,MMWR_TRAD_AGG_STATE_COMP[],E$1,0),"ERROR")</f>
        <v>1134</v>
      </c>
      <c r="F47" s="112">
        <f>IFERROR(VLOOKUP($B47,MMWR_TRAD_AGG_STATE_COMP[],F$1,0),"ERROR")</f>
        <v>290</v>
      </c>
      <c r="G47" s="113">
        <f t="shared" si="4"/>
        <v>0.25573192239858905</v>
      </c>
      <c r="H47" s="111">
        <f>IFERROR(VLOOKUP($B47,MMWR_TRAD_AGG_STATE_COMP[],H$1,0),"ERROR")</f>
        <v>2549</v>
      </c>
      <c r="I47" s="112">
        <f>IFERROR(VLOOKUP($B47,MMWR_TRAD_AGG_STATE_COMP[],I$1,0),"ERROR")</f>
        <v>2004</v>
      </c>
      <c r="J47" s="114">
        <f t="shared" si="5"/>
        <v>0.78619066300509999</v>
      </c>
      <c r="K47" s="111">
        <f>IFERROR(VLOOKUP($B47,MMWR_TRAD_AGG_STATE_COMP[],K$1,0),"ERROR")</f>
        <v>1891</v>
      </c>
      <c r="L47" s="112">
        <f>IFERROR(VLOOKUP($B47,MMWR_TRAD_AGG_STATE_COMP[],L$1,0),"ERROR")</f>
        <v>1583</v>
      </c>
      <c r="M47" s="114">
        <f t="shared" si="6"/>
        <v>0.83712321523003697</v>
      </c>
      <c r="N47" s="111">
        <f>IFERROR(VLOOKUP($B47,MMWR_TRAD_AGG_STATE_COMP[],N$1,0),"ERROR")</f>
        <v>680</v>
      </c>
      <c r="O47" s="112">
        <f>IFERROR(VLOOKUP($B47,MMWR_TRAD_AGG_STATE_COMP[],O$1,0),"ERROR")</f>
        <v>412</v>
      </c>
      <c r="P47" s="114">
        <f t="shared" si="7"/>
        <v>0.60588235294117643</v>
      </c>
      <c r="Q47" s="115">
        <f>IFERROR(VLOOKUP($B47,MMWR_TRAD_AGG_STATE_COMP[],Q$1,0),"ERROR")</f>
        <v>0</v>
      </c>
      <c r="R47" s="115">
        <f>IFERROR(VLOOKUP($B47,MMWR_TRAD_AGG_STATE_COMP[],R$1,0),"ERROR")</f>
        <v>3</v>
      </c>
      <c r="S47" s="115">
        <f>IFERROR(VLOOKUP($B47,MMWR_APP_STATE_COMP[],S$1,0),"ERROR")</f>
        <v>284</v>
      </c>
      <c r="T47" s="28"/>
    </row>
    <row r="48" spans="1:20" s="123" customFormat="1" x14ac:dyDescent="0.2">
      <c r="A48" s="28"/>
      <c r="B48" s="127" t="s">
        <v>426</v>
      </c>
      <c r="C48" s="109">
        <f>IFERROR(VLOOKUP($B48,MMWR_TRAD_AGG_STATE_COMP[],C$1,0),"ERROR")</f>
        <v>4230</v>
      </c>
      <c r="D48" s="110">
        <f>IFERROR(VLOOKUP($B48,MMWR_TRAD_AGG_STATE_COMP[],D$1,0),"ERROR")</f>
        <v>293.7898345154</v>
      </c>
      <c r="E48" s="111">
        <f>IFERROR(VLOOKUP($B48,MMWR_TRAD_AGG_STATE_COMP[],E$1,0),"ERROR")</f>
        <v>5195</v>
      </c>
      <c r="F48" s="112">
        <f>IFERROR(VLOOKUP($B48,MMWR_TRAD_AGG_STATE_COMP[],F$1,0),"ERROR")</f>
        <v>957</v>
      </c>
      <c r="G48" s="113">
        <f t="shared" si="4"/>
        <v>0.18421559191530318</v>
      </c>
      <c r="H48" s="111">
        <f>IFERROR(VLOOKUP($B48,MMWR_TRAD_AGG_STATE_COMP[],H$1,0),"ERROR")</f>
        <v>6119</v>
      </c>
      <c r="I48" s="112">
        <f>IFERROR(VLOOKUP($B48,MMWR_TRAD_AGG_STATE_COMP[],I$1,0),"ERROR")</f>
        <v>3645</v>
      </c>
      <c r="J48" s="114">
        <f t="shared" si="5"/>
        <v>0.59568556953750618</v>
      </c>
      <c r="K48" s="111">
        <f>IFERROR(VLOOKUP($B48,MMWR_TRAD_AGG_STATE_COMP[],K$1,0),"ERROR")</f>
        <v>1483</v>
      </c>
      <c r="L48" s="112">
        <f>IFERROR(VLOOKUP($B48,MMWR_TRAD_AGG_STATE_COMP[],L$1,0),"ERROR")</f>
        <v>1059</v>
      </c>
      <c r="M48" s="114">
        <f t="shared" si="6"/>
        <v>0.71409305461901551</v>
      </c>
      <c r="N48" s="111">
        <f>IFERROR(VLOOKUP($B48,MMWR_TRAD_AGG_STATE_COMP[],N$1,0),"ERROR")</f>
        <v>2757</v>
      </c>
      <c r="O48" s="112">
        <f>IFERROR(VLOOKUP($B48,MMWR_TRAD_AGG_STATE_COMP[],O$1,0),"ERROR")</f>
        <v>1564</v>
      </c>
      <c r="P48" s="114">
        <f t="shared" si="7"/>
        <v>0.56728327892636921</v>
      </c>
      <c r="Q48" s="115">
        <f>IFERROR(VLOOKUP($B48,MMWR_TRAD_AGG_STATE_COMP[],Q$1,0),"ERROR")</f>
        <v>8</v>
      </c>
      <c r="R48" s="115">
        <f>IFERROR(VLOOKUP($B48,MMWR_TRAD_AGG_STATE_COMP[],R$1,0),"ERROR")</f>
        <v>83</v>
      </c>
      <c r="S48" s="115">
        <f>IFERROR(VLOOKUP($B48,MMWR_APP_STATE_COMP[],S$1,0),"ERROR")</f>
        <v>7113</v>
      </c>
      <c r="T48" s="28"/>
    </row>
    <row r="49" spans="1:20" s="123" customFormat="1" x14ac:dyDescent="0.2">
      <c r="A49" s="28"/>
      <c r="B49" s="127" t="s">
        <v>407</v>
      </c>
      <c r="C49" s="109">
        <f>IFERROR(VLOOKUP($B49,MMWR_TRAD_AGG_STATE_COMP[],C$1,0),"ERROR")</f>
        <v>22295</v>
      </c>
      <c r="D49" s="110">
        <f>IFERROR(VLOOKUP($B49,MMWR_TRAD_AGG_STATE_COMP[],D$1,0),"ERROR")</f>
        <v>423.7451895044</v>
      </c>
      <c r="E49" s="111">
        <f>IFERROR(VLOOKUP($B49,MMWR_TRAD_AGG_STATE_COMP[],E$1,0),"ERROR")</f>
        <v>31882</v>
      </c>
      <c r="F49" s="112">
        <f>IFERROR(VLOOKUP($B49,MMWR_TRAD_AGG_STATE_COMP[],F$1,0),"ERROR")</f>
        <v>6049</v>
      </c>
      <c r="G49" s="113">
        <f t="shared" si="4"/>
        <v>0.18973088262969701</v>
      </c>
      <c r="H49" s="111">
        <f>IFERROR(VLOOKUP($B49,MMWR_TRAD_AGG_STATE_COMP[],H$1,0),"ERROR")</f>
        <v>34217</v>
      </c>
      <c r="I49" s="112">
        <f>IFERROR(VLOOKUP($B49,MMWR_TRAD_AGG_STATE_COMP[],I$1,0),"ERROR")</f>
        <v>24306</v>
      </c>
      <c r="J49" s="114">
        <f t="shared" si="5"/>
        <v>0.71034865710027184</v>
      </c>
      <c r="K49" s="111">
        <f>IFERROR(VLOOKUP($B49,MMWR_TRAD_AGG_STATE_COMP[],K$1,0),"ERROR")</f>
        <v>10135</v>
      </c>
      <c r="L49" s="112">
        <f>IFERROR(VLOOKUP($B49,MMWR_TRAD_AGG_STATE_COMP[],L$1,0),"ERROR")</f>
        <v>8081</v>
      </c>
      <c r="M49" s="114">
        <f t="shared" si="6"/>
        <v>0.79733596447952637</v>
      </c>
      <c r="N49" s="111">
        <f>IFERROR(VLOOKUP($B49,MMWR_TRAD_AGG_STATE_COMP[],N$1,0),"ERROR")</f>
        <v>15647</v>
      </c>
      <c r="O49" s="112">
        <f>IFERROR(VLOOKUP($B49,MMWR_TRAD_AGG_STATE_COMP[],O$1,0),"ERROR")</f>
        <v>10784</v>
      </c>
      <c r="P49" s="114">
        <f t="shared" si="7"/>
        <v>0.68920559851728769</v>
      </c>
      <c r="Q49" s="115">
        <f>IFERROR(VLOOKUP($B49,MMWR_TRAD_AGG_STATE_COMP[],Q$1,0),"ERROR")</f>
        <v>59</v>
      </c>
      <c r="R49" s="115">
        <f>IFERROR(VLOOKUP($B49,MMWR_TRAD_AGG_STATE_COMP[],R$1,0),"ERROR")</f>
        <v>154</v>
      </c>
      <c r="S49" s="115">
        <f>IFERROR(VLOOKUP($B49,MMWR_APP_STATE_COMP[],S$1,0),"ERROR")</f>
        <v>18364</v>
      </c>
      <c r="T49" s="28"/>
    </row>
    <row r="50" spans="1:20" s="123" customFormat="1" x14ac:dyDescent="0.2">
      <c r="A50" s="28"/>
      <c r="B50" s="127" t="s">
        <v>428</v>
      </c>
      <c r="C50" s="109">
        <f>IFERROR(VLOOKUP($B50,MMWR_TRAD_AGG_STATE_COMP[],C$1,0),"ERROR")</f>
        <v>1300</v>
      </c>
      <c r="D50" s="110">
        <f>IFERROR(VLOOKUP($B50,MMWR_TRAD_AGG_STATE_COMP[],D$1,0),"ERROR")</f>
        <v>306.67307692309998</v>
      </c>
      <c r="E50" s="111">
        <f>IFERROR(VLOOKUP($B50,MMWR_TRAD_AGG_STATE_COMP[],E$1,0),"ERROR")</f>
        <v>1679</v>
      </c>
      <c r="F50" s="112">
        <f>IFERROR(VLOOKUP($B50,MMWR_TRAD_AGG_STATE_COMP[],F$1,0),"ERROR")</f>
        <v>267</v>
      </c>
      <c r="G50" s="113">
        <f t="shared" si="4"/>
        <v>0.15902322811197142</v>
      </c>
      <c r="H50" s="111">
        <f>IFERROR(VLOOKUP($B50,MMWR_TRAD_AGG_STATE_COMP[],H$1,0),"ERROR")</f>
        <v>1872</v>
      </c>
      <c r="I50" s="112">
        <f>IFERROR(VLOOKUP($B50,MMWR_TRAD_AGG_STATE_COMP[],I$1,0),"ERROR")</f>
        <v>1182</v>
      </c>
      <c r="J50" s="114">
        <f t="shared" si="5"/>
        <v>0.63141025641025639</v>
      </c>
      <c r="K50" s="111">
        <f>IFERROR(VLOOKUP($B50,MMWR_TRAD_AGG_STATE_COMP[],K$1,0),"ERROR")</f>
        <v>1026</v>
      </c>
      <c r="L50" s="112">
        <f>IFERROR(VLOOKUP($B50,MMWR_TRAD_AGG_STATE_COMP[],L$1,0),"ERROR")</f>
        <v>596</v>
      </c>
      <c r="M50" s="114">
        <f t="shared" si="6"/>
        <v>0.58089668615984402</v>
      </c>
      <c r="N50" s="111">
        <f>IFERROR(VLOOKUP($B50,MMWR_TRAD_AGG_STATE_COMP[],N$1,0),"ERROR")</f>
        <v>627</v>
      </c>
      <c r="O50" s="112">
        <f>IFERROR(VLOOKUP($B50,MMWR_TRAD_AGG_STATE_COMP[],O$1,0),"ERROR")</f>
        <v>383</v>
      </c>
      <c r="P50" s="114">
        <f t="shared" si="7"/>
        <v>0.61084529505582141</v>
      </c>
      <c r="Q50" s="115">
        <f>IFERROR(VLOOKUP($B50,MMWR_TRAD_AGG_STATE_COMP[],Q$1,0),"ERROR")</f>
        <v>3</v>
      </c>
      <c r="R50" s="115">
        <f>IFERROR(VLOOKUP($B50,MMWR_TRAD_AGG_STATE_COMP[],R$1,0),"ERROR")</f>
        <v>6</v>
      </c>
      <c r="S50" s="115">
        <f>IFERROR(VLOOKUP($B50,MMWR_APP_STATE_COMP[],S$1,0),"ERROR")</f>
        <v>1131</v>
      </c>
      <c r="T50" s="28"/>
    </row>
    <row r="51" spans="1:20" s="123" customFormat="1" x14ac:dyDescent="0.2">
      <c r="A51" s="28"/>
      <c r="B51" s="127" t="s">
        <v>408</v>
      </c>
      <c r="C51" s="109">
        <f>IFERROR(VLOOKUP($B51,MMWR_TRAD_AGG_STATE_COMP[],C$1,0),"ERROR")</f>
        <v>611</v>
      </c>
      <c r="D51" s="110">
        <f>IFERROR(VLOOKUP($B51,MMWR_TRAD_AGG_STATE_COMP[],D$1,0),"ERROR")</f>
        <v>244.57774140750001</v>
      </c>
      <c r="E51" s="111">
        <f>IFERROR(VLOOKUP($B51,MMWR_TRAD_AGG_STATE_COMP[],E$1,0),"ERROR")</f>
        <v>1665</v>
      </c>
      <c r="F51" s="112">
        <f>IFERROR(VLOOKUP($B51,MMWR_TRAD_AGG_STATE_COMP[],F$1,0),"ERROR")</f>
        <v>385</v>
      </c>
      <c r="G51" s="113">
        <f t="shared" si="4"/>
        <v>0.23123123123123124</v>
      </c>
      <c r="H51" s="111">
        <f>IFERROR(VLOOKUP($B51,MMWR_TRAD_AGG_STATE_COMP[],H$1,0),"ERROR")</f>
        <v>904</v>
      </c>
      <c r="I51" s="112">
        <f>IFERROR(VLOOKUP($B51,MMWR_TRAD_AGG_STATE_COMP[],I$1,0),"ERROR")</f>
        <v>401</v>
      </c>
      <c r="J51" s="114">
        <f t="shared" si="5"/>
        <v>0.44358407079646017</v>
      </c>
      <c r="K51" s="111">
        <f>IFERROR(VLOOKUP($B51,MMWR_TRAD_AGG_STATE_COMP[],K$1,0),"ERROR")</f>
        <v>264</v>
      </c>
      <c r="L51" s="112">
        <f>IFERROR(VLOOKUP($B51,MMWR_TRAD_AGG_STATE_COMP[],L$1,0),"ERROR")</f>
        <v>169</v>
      </c>
      <c r="M51" s="114">
        <f t="shared" si="6"/>
        <v>0.64015151515151514</v>
      </c>
      <c r="N51" s="111">
        <f>IFERROR(VLOOKUP($B51,MMWR_TRAD_AGG_STATE_COMP[],N$1,0),"ERROR")</f>
        <v>491</v>
      </c>
      <c r="O51" s="112">
        <f>IFERROR(VLOOKUP($B51,MMWR_TRAD_AGG_STATE_COMP[],O$1,0),"ERROR")</f>
        <v>268</v>
      </c>
      <c r="P51" s="114">
        <f t="shared" si="7"/>
        <v>0.54582484725050917</v>
      </c>
      <c r="Q51" s="115">
        <f>IFERROR(VLOOKUP($B51,MMWR_TRAD_AGG_STATE_COMP[],Q$1,0),"ERROR")</f>
        <v>1</v>
      </c>
      <c r="R51" s="115">
        <f>IFERROR(VLOOKUP($B51,MMWR_TRAD_AGG_STATE_COMP[],R$1,0),"ERROR")</f>
        <v>5</v>
      </c>
      <c r="S51" s="115">
        <f>IFERROR(VLOOKUP($B51,MMWR_APP_STATE_COMP[],S$1,0),"ERROR")</f>
        <v>938</v>
      </c>
      <c r="T51" s="28"/>
    </row>
    <row r="52" spans="1:20" s="123" customFormat="1" x14ac:dyDescent="0.2">
      <c r="A52" s="28"/>
      <c r="B52" s="127" t="s">
        <v>413</v>
      </c>
      <c r="C52" s="109">
        <f>IFERROR(VLOOKUP($B52,MMWR_TRAD_AGG_STATE_COMP[],C$1,0),"ERROR")</f>
        <v>3121</v>
      </c>
      <c r="D52" s="110">
        <f>IFERROR(VLOOKUP($B52,MMWR_TRAD_AGG_STATE_COMP[],D$1,0),"ERROR")</f>
        <v>442.18135213070002</v>
      </c>
      <c r="E52" s="111">
        <f>IFERROR(VLOOKUP($B52,MMWR_TRAD_AGG_STATE_COMP[],E$1,0),"ERROR")</f>
        <v>4113</v>
      </c>
      <c r="F52" s="112">
        <f>IFERROR(VLOOKUP($B52,MMWR_TRAD_AGG_STATE_COMP[],F$1,0),"ERROR")</f>
        <v>995</v>
      </c>
      <c r="G52" s="113">
        <f t="shared" si="4"/>
        <v>0.24191587648918064</v>
      </c>
      <c r="H52" s="111">
        <f>IFERROR(VLOOKUP($B52,MMWR_TRAD_AGG_STATE_COMP[],H$1,0),"ERROR")</f>
        <v>4254</v>
      </c>
      <c r="I52" s="112">
        <f>IFERROR(VLOOKUP($B52,MMWR_TRAD_AGG_STATE_COMP[],I$1,0),"ERROR")</f>
        <v>3059</v>
      </c>
      <c r="J52" s="114">
        <f t="shared" si="5"/>
        <v>0.71908791725434884</v>
      </c>
      <c r="K52" s="111">
        <f>IFERROR(VLOOKUP($B52,MMWR_TRAD_AGG_STATE_COMP[],K$1,0),"ERROR")</f>
        <v>1029</v>
      </c>
      <c r="L52" s="112">
        <f>IFERROR(VLOOKUP($B52,MMWR_TRAD_AGG_STATE_COMP[],L$1,0),"ERROR")</f>
        <v>836</v>
      </c>
      <c r="M52" s="114">
        <f t="shared" si="6"/>
        <v>0.81243926141885325</v>
      </c>
      <c r="N52" s="111">
        <f>IFERROR(VLOOKUP($B52,MMWR_TRAD_AGG_STATE_COMP[],N$1,0),"ERROR")</f>
        <v>2006</v>
      </c>
      <c r="O52" s="112">
        <f>IFERROR(VLOOKUP($B52,MMWR_TRAD_AGG_STATE_COMP[],O$1,0),"ERROR")</f>
        <v>1442</v>
      </c>
      <c r="P52" s="114">
        <f t="shared" si="7"/>
        <v>0.71884346959122636</v>
      </c>
      <c r="Q52" s="115">
        <f>IFERROR(VLOOKUP($B52,MMWR_TRAD_AGG_STATE_COMP[],Q$1,0),"ERROR")</f>
        <v>3</v>
      </c>
      <c r="R52" s="115">
        <f>IFERROR(VLOOKUP($B52,MMWR_TRAD_AGG_STATE_COMP[],R$1,0),"ERROR")</f>
        <v>128</v>
      </c>
      <c r="S52" s="115">
        <f>IFERROR(VLOOKUP($B52,MMWR_APP_STATE_COMP[],S$1,0),"ERROR")</f>
        <v>3177</v>
      </c>
      <c r="T52" s="28"/>
    </row>
    <row r="53" spans="1:20" s="123" customFormat="1" x14ac:dyDescent="0.2">
      <c r="A53" s="28"/>
      <c r="B53" s="127" t="s">
        <v>405</v>
      </c>
      <c r="C53" s="109">
        <f>IFERROR(VLOOKUP($B53,MMWR_TRAD_AGG_STATE_COMP[],C$1,0),"ERROR")</f>
        <v>1048</v>
      </c>
      <c r="D53" s="110">
        <f>IFERROR(VLOOKUP($B53,MMWR_TRAD_AGG_STATE_COMP[],D$1,0),"ERROR")</f>
        <v>259.45419847329998</v>
      </c>
      <c r="E53" s="111">
        <f>IFERROR(VLOOKUP($B53,MMWR_TRAD_AGG_STATE_COMP[],E$1,0),"ERROR")</f>
        <v>2593</v>
      </c>
      <c r="F53" s="112">
        <f>IFERROR(VLOOKUP($B53,MMWR_TRAD_AGG_STATE_COMP[],F$1,0),"ERROR")</f>
        <v>498</v>
      </c>
      <c r="G53" s="113">
        <f t="shared" si="4"/>
        <v>0.19205553413035095</v>
      </c>
      <c r="H53" s="111">
        <f>IFERROR(VLOOKUP($B53,MMWR_TRAD_AGG_STATE_COMP[],H$1,0),"ERROR")</f>
        <v>1744</v>
      </c>
      <c r="I53" s="112">
        <f>IFERROR(VLOOKUP($B53,MMWR_TRAD_AGG_STATE_COMP[],I$1,0),"ERROR")</f>
        <v>867</v>
      </c>
      <c r="J53" s="114">
        <f t="shared" si="5"/>
        <v>0.49713302752293576</v>
      </c>
      <c r="K53" s="111">
        <f>IFERROR(VLOOKUP($B53,MMWR_TRAD_AGG_STATE_COMP[],K$1,0),"ERROR")</f>
        <v>551</v>
      </c>
      <c r="L53" s="112">
        <f>IFERROR(VLOOKUP($B53,MMWR_TRAD_AGG_STATE_COMP[],L$1,0),"ERROR")</f>
        <v>328</v>
      </c>
      <c r="M53" s="114">
        <f t="shared" si="6"/>
        <v>0.59528130671506352</v>
      </c>
      <c r="N53" s="111">
        <f>IFERROR(VLOOKUP($B53,MMWR_TRAD_AGG_STATE_COMP[],N$1,0),"ERROR")</f>
        <v>983</v>
      </c>
      <c r="O53" s="112">
        <f>IFERROR(VLOOKUP($B53,MMWR_TRAD_AGG_STATE_COMP[],O$1,0),"ERROR")</f>
        <v>565</v>
      </c>
      <c r="P53" s="114">
        <f t="shared" si="7"/>
        <v>0.57477110885045779</v>
      </c>
      <c r="Q53" s="115">
        <f>IFERROR(VLOOKUP($B53,MMWR_TRAD_AGG_STATE_COMP[],Q$1,0),"ERROR")</f>
        <v>7</v>
      </c>
      <c r="R53" s="115">
        <f>IFERROR(VLOOKUP($B53,MMWR_TRAD_AGG_STATE_COMP[],R$1,0),"ERROR")</f>
        <v>10</v>
      </c>
      <c r="S53" s="115">
        <f>IFERROR(VLOOKUP($B53,MMWR_APP_STATE_COMP[],S$1,0),"ERROR")</f>
        <v>1797</v>
      </c>
      <c r="T53" s="28"/>
    </row>
    <row r="54" spans="1:20" s="123" customFormat="1" x14ac:dyDescent="0.2">
      <c r="A54" s="28"/>
      <c r="B54" s="127" t="s">
        <v>409</v>
      </c>
      <c r="C54" s="109">
        <f>IFERROR(VLOOKUP($B54,MMWR_TRAD_AGG_STATE_COMP[],C$1,0),"ERROR")</f>
        <v>5916</v>
      </c>
      <c r="D54" s="110">
        <f>IFERROR(VLOOKUP($B54,MMWR_TRAD_AGG_STATE_COMP[],D$1,0),"ERROR")</f>
        <v>477.06152805950001</v>
      </c>
      <c r="E54" s="111">
        <f>IFERROR(VLOOKUP($B54,MMWR_TRAD_AGG_STATE_COMP[],E$1,0),"ERROR")</f>
        <v>4694</v>
      </c>
      <c r="F54" s="112">
        <f>IFERROR(VLOOKUP($B54,MMWR_TRAD_AGG_STATE_COMP[],F$1,0),"ERROR")</f>
        <v>880</v>
      </c>
      <c r="G54" s="113">
        <f t="shared" si="4"/>
        <v>0.18747337025990626</v>
      </c>
      <c r="H54" s="111">
        <f>IFERROR(VLOOKUP($B54,MMWR_TRAD_AGG_STATE_COMP[],H$1,0),"ERROR")</f>
        <v>8187</v>
      </c>
      <c r="I54" s="112">
        <f>IFERROR(VLOOKUP($B54,MMWR_TRAD_AGG_STATE_COMP[],I$1,0),"ERROR")</f>
        <v>6225</v>
      </c>
      <c r="J54" s="114">
        <f t="shared" si="5"/>
        <v>0.76035177720776836</v>
      </c>
      <c r="K54" s="111">
        <f>IFERROR(VLOOKUP($B54,MMWR_TRAD_AGG_STATE_COMP[],K$1,0),"ERROR")</f>
        <v>3010</v>
      </c>
      <c r="L54" s="112">
        <f>IFERROR(VLOOKUP($B54,MMWR_TRAD_AGG_STATE_COMP[],L$1,0),"ERROR")</f>
        <v>2715</v>
      </c>
      <c r="M54" s="114">
        <f t="shared" si="6"/>
        <v>0.90199335548172754</v>
      </c>
      <c r="N54" s="111">
        <f>IFERROR(VLOOKUP($B54,MMWR_TRAD_AGG_STATE_COMP[],N$1,0),"ERROR")</f>
        <v>3225</v>
      </c>
      <c r="O54" s="112">
        <f>IFERROR(VLOOKUP($B54,MMWR_TRAD_AGG_STATE_COMP[],O$1,0),"ERROR")</f>
        <v>2086</v>
      </c>
      <c r="P54" s="114">
        <f t="shared" si="7"/>
        <v>0.64682170542635664</v>
      </c>
      <c r="Q54" s="115">
        <f>IFERROR(VLOOKUP($B54,MMWR_TRAD_AGG_STATE_COMP[],Q$1,0),"ERROR")</f>
        <v>5</v>
      </c>
      <c r="R54" s="115">
        <f>IFERROR(VLOOKUP($B54,MMWR_TRAD_AGG_STATE_COMP[],R$1,0),"ERROR")</f>
        <v>94</v>
      </c>
      <c r="S54" s="115">
        <f>IFERROR(VLOOKUP($B54,MMWR_APP_STATE_COMP[],S$1,0),"ERROR")</f>
        <v>5088</v>
      </c>
      <c r="T54" s="28"/>
    </row>
    <row r="55" spans="1:20" s="123" customFormat="1" x14ac:dyDescent="0.2">
      <c r="A55" s="28"/>
      <c r="B55" s="127" t="s">
        <v>80</v>
      </c>
      <c r="C55" s="109">
        <f>IFERROR(VLOOKUP($B55,MMWR_TRAD_AGG_STATE_COMP[],C$1,0),"ERROR")</f>
        <v>9407</v>
      </c>
      <c r="D55" s="110">
        <f>IFERROR(VLOOKUP($B55,MMWR_TRAD_AGG_STATE_COMP[],D$1,0),"ERROR")</f>
        <v>394.10045710639997</v>
      </c>
      <c r="E55" s="111">
        <f>IFERROR(VLOOKUP($B55,MMWR_TRAD_AGG_STATE_COMP[],E$1,0),"ERROR")</f>
        <v>6870</v>
      </c>
      <c r="F55" s="112">
        <f>IFERROR(VLOOKUP($B55,MMWR_TRAD_AGG_STATE_COMP[],F$1,0),"ERROR")</f>
        <v>1009</v>
      </c>
      <c r="G55" s="113">
        <f t="shared" si="4"/>
        <v>0.14687045123726347</v>
      </c>
      <c r="H55" s="111">
        <f>IFERROR(VLOOKUP($B55,MMWR_TRAD_AGG_STATE_COMP[],H$1,0),"ERROR")</f>
        <v>13888</v>
      </c>
      <c r="I55" s="112">
        <f>IFERROR(VLOOKUP($B55,MMWR_TRAD_AGG_STATE_COMP[],I$1,0),"ERROR")</f>
        <v>9860</v>
      </c>
      <c r="J55" s="114">
        <f t="shared" si="5"/>
        <v>0.70996543778801846</v>
      </c>
      <c r="K55" s="111">
        <f>IFERROR(VLOOKUP($B55,MMWR_TRAD_AGG_STATE_COMP[],K$1,0),"ERROR")</f>
        <v>3886</v>
      </c>
      <c r="L55" s="112">
        <f>IFERROR(VLOOKUP($B55,MMWR_TRAD_AGG_STATE_COMP[],L$1,0),"ERROR")</f>
        <v>2747</v>
      </c>
      <c r="M55" s="114">
        <f t="shared" si="6"/>
        <v>0.7068965517241379</v>
      </c>
      <c r="N55" s="111">
        <f>IFERROR(VLOOKUP($B55,MMWR_TRAD_AGG_STATE_COMP[],N$1,0),"ERROR")</f>
        <v>6025</v>
      </c>
      <c r="O55" s="112">
        <f>IFERROR(VLOOKUP($B55,MMWR_TRAD_AGG_STATE_COMP[],O$1,0),"ERROR")</f>
        <v>4410</v>
      </c>
      <c r="P55" s="114">
        <f t="shared" si="7"/>
        <v>0.73195020746887962</v>
      </c>
      <c r="Q55" s="115">
        <f>IFERROR(VLOOKUP($B55,MMWR_TRAD_AGG_STATE_COMP[],Q$1,0),"ERROR")</f>
        <v>12</v>
      </c>
      <c r="R55" s="115">
        <f>IFERROR(VLOOKUP($B55,MMWR_TRAD_AGG_STATE_COMP[],R$1,0),"ERROR")</f>
        <v>142</v>
      </c>
      <c r="S55" s="115">
        <f>IFERROR(VLOOKUP($B55,MMWR_APP_STATE_COMP[],S$1,0),"ERROR")</f>
        <v>5060</v>
      </c>
      <c r="T55" s="28"/>
    </row>
    <row r="56" spans="1:20" s="123" customFormat="1" x14ac:dyDescent="0.2">
      <c r="A56" s="28"/>
      <c r="B56" s="126" t="s">
        <v>380</v>
      </c>
      <c r="C56" s="102">
        <f>IFERROR(VLOOKUP($B56,MMWR_TRAD_AGG_ST_DISTRICT_COMP[],C$1,0),"ERROR")</f>
        <v>63896</v>
      </c>
      <c r="D56" s="103">
        <f>IFERROR(VLOOKUP($B56,MMWR_TRAD_AGG_ST_DISTRICT_COMP[],D$1,0),"ERROR")</f>
        <v>367.15526793539999</v>
      </c>
      <c r="E56" s="102">
        <f>IFERROR(VLOOKUP($B56,MMWR_TRAD_AGG_ST_DISTRICT_COMP[],E$1,0),"ERROR")</f>
        <v>76859</v>
      </c>
      <c r="F56" s="102">
        <f>IFERROR(VLOOKUP($B56,MMWR_TRAD_AGG_ST_DISTRICT_COMP[],F$1,0),"ERROR")</f>
        <v>17431</v>
      </c>
      <c r="G56" s="104">
        <f t="shared" si="4"/>
        <v>0.22679191766741696</v>
      </c>
      <c r="H56" s="102">
        <f>IFERROR(VLOOKUP($B56,MMWR_TRAD_AGG_ST_DISTRICT_COMP[],H$1,0),"ERROR")</f>
        <v>91629</v>
      </c>
      <c r="I56" s="102">
        <f>IFERROR(VLOOKUP($B56,MMWR_TRAD_AGG_ST_DISTRICT_COMP[],I$1,0),"ERROR")</f>
        <v>62238</v>
      </c>
      <c r="J56" s="105">
        <f t="shared" si="5"/>
        <v>0.67923910552336053</v>
      </c>
      <c r="K56" s="102">
        <f>IFERROR(VLOOKUP($B56,MMWR_TRAD_AGG_ST_DISTRICT_COMP[],K$1,0),"ERROR")</f>
        <v>29923</v>
      </c>
      <c r="L56" s="102">
        <f>IFERROR(VLOOKUP($B56,MMWR_TRAD_AGG_ST_DISTRICT_COMP[],L$1,0),"ERROR")</f>
        <v>24287</v>
      </c>
      <c r="M56" s="105">
        <f t="shared" si="6"/>
        <v>0.81164990141362836</v>
      </c>
      <c r="N56" s="102">
        <f>IFERROR(VLOOKUP($B56,MMWR_TRAD_AGG_ST_DISTRICT_COMP[],N$1,0),"ERROR")</f>
        <v>46594</v>
      </c>
      <c r="O56" s="102">
        <f>IFERROR(VLOOKUP($B56,MMWR_TRAD_AGG_ST_DISTRICT_COMP[],O$1,0),"ERROR")</f>
        <v>32361</v>
      </c>
      <c r="P56" s="105">
        <f t="shared" si="7"/>
        <v>0.69453148474052451</v>
      </c>
      <c r="Q56" s="102">
        <f>IFERROR(VLOOKUP($B56,MMWR_TRAD_AGG_ST_DISTRICT_COMP[],Q$1,0),"ERROR")</f>
        <v>6802</v>
      </c>
      <c r="R56" s="106">
        <f>IFERROR(VLOOKUP($B56,MMWR_TRAD_AGG_ST_DISTRICT_COMP[],R$1,0),"ERROR")</f>
        <v>1239</v>
      </c>
      <c r="S56" s="106">
        <f>SUM(S57:S63)</f>
        <v>90767</v>
      </c>
      <c r="T56" s="28"/>
    </row>
    <row r="57" spans="1:20" s="123" customFormat="1" x14ac:dyDescent="0.2">
      <c r="A57" s="28"/>
      <c r="B57" s="127" t="s">
        <v>388</v>
      </c>
      <c r="C57" s="109">
        <f>IFERROR(VLOOKUP($B57,MMWR_TRAD_AGG_STATE_COMP[],C$1,0),"ERROR")</f>
        <v>11645</v>
      </c>
      <c r="D57" s="110">
        <f>IFERROR(VLOOKUP($B57,MMWR_TRAD_AGG_STATE_COMP[],D$1,0),"ERROR")</f>
        <v>369.75268355520001</v>
      </c>
      <c r="E57" s="111">
        <f>IFERROR(VLOOKUP($B57,MMWR_TRAD_AGG_STATE_COMP[],E$1,0),"ERROR")</f>
        <v>7924</v>
      </c>
      <c r="F57" s="112">
        <f>IFERROR(VLOOKUP($B57,MMWR_TRAD_AGG_STATE_COMP[],F$1,0),"ERROR")</f>
        <v>1778</v>
      </c>
      <c r="G57" s="113">
        <f t="shared" si="4"/>
        <v>0.22438162544169613</v>
      </c>
      <c r="H57" s="111">
        <f>IFERROR(VLOOKUP($B57,MMWR_TRAD_AGG_STATE_COMP[],H$1,0),"ERROR")</f>
        <v>15493</v>
      </c>
      <c r="I57" s="112">
        <f>IFERROR(VLOOKUP($B57,MMWR_TRAD_AGG_STATE_COMP[],I$1,0),"ERROR")</f>
        <v>10923</v>
      </c>
      <c r="J57" s="114">
        <f t="shared" si="5"/>
        <v>0.70502807719615312</v>
      </c>
      <c r="K57" s="111">
        <f>IFERROR(VLOOKUP($B57,MMWR_TRAD_AGG_STATE_COMP[],K$1,0),"ERROR")</f>
        <v>5018</v>
      </c>
      <c r="L57" s="112">
        <f>IFERROR(VLOOKUP($B57,MMWR_TRAD_AGG_STATE_COMP[],L$1,0),"ERROR")</f>
        <v>4320</v>
      </c>
      <c r="M57" s="114">
        <f t="shared" si="6"/>
        <v>0.86090075727381432</v>
      </c>
      <c r="N57" s="111">
        <f>IFERROR(VLOOKUP($B57,MMWR_TRAD_AGG_STATE_COMP[],N$1,0),"ERROR")</f>
        <v>3190</v>
      </c>
      <c r="O57" s="112">
        <f>IFERROR(VLOOKUP($B57,MMWR_TRAD_AGG_STATE_COMP[],O$1,0),"ERROR")</f>
        <v>1880</v>
      </c>
      <c r="P57" s="114">
        <f t="shared" si="7"/>
        <v>0.58934169278996862</v>
      </c>
      <c r="Q57" s="115">
        <f>IFERROR(VLOOKUP($B57,MMWR_TRAD_AGG_STATE_COMP[],Q$1,0),"ERROR")</f>
        <v>560</v>
      </c>
      <c r="R57" s="115">
        <f>IFERROR(VLOOKUP($B57,MMWR_TRAD_AGG_STATE_COMP[],R$1,0),"ERROR")</f>
        <v>398</v>
      </c>
      <c r="S57" s="115">
        <f>IFERROR(VLOOKUP($B57,MMWR_APP_STATE_COMP[],S$1,0),"ERROR")</f>
        <v>10183</v>
      </c>
      <c r="T57" s="28"/>
    </row>
    <row r="58" spans="1:20" s="123" customFormat="1" x14ac:dyDescent="0.2">
      <c r="A58" s="28"/>
      <c r="B58" s="127" t="s">
        <v>425</v>
      </c>
      <c r="C58" s="109">
        <f>IFERROR(VLOOKUP($B58,MMWR_TRAD_AGG_STATE_COMP[],C$1,0),"ERROR")</f>
        <v>19176</v>
      </c>
      <c r="D58" s="110">
        <f>IFERROR(VLOOKUP($B58,MMWR_TRAD_AGG_STATE_COMP[],D$1,0),"ERROR")</f>
        <v>340.1299019608</v>
      </c>
      <c r="E58" s="111">
        <f>IFERROR(VLOOKUP($B58,MMWR_TRAD_AGG_STATE_COMP[],E$1,0),"ERROR")</f>
        <v>25224</v>
      </c>
      <c r="F58" s="112">
        <f>IFERROR(VLOOKUP($B58,MMWR_TRAD_AGG_STATE_COMP[],F$1,0),"ERROR")</f>
        <v>5499</v>
      </c>
      <c r="G58" s="113">
        <f t="shared" si="4"/>
        <v>0.21800666032350144</v>
      </c>
      <c r="H58" s="111">
        <f>IFERROR(VLOOKUP($B58,MMWR_TRAD_AGG_STATE_COMP[],H$1,0),"ERROR")</f>
        <v>26095</v>
      </c>
      <c r="I58" s="112">
        <f>IFERROR(VLOOKUP($B58,MMWR_TRAD_AGG_STATE_COMP[],I$1,0),"ERROR")</f>
        <v>17249</v>
      </c>
      <c r="J58" s="114">
        <f t="shared" si="5"/>
        <v>0.66100785591109412</v>
      </c>
      <c r="K58" s="111">
        <f>IFERROR(VLOOKUP($B58,MMWR_TRAD_AGG_STATE_COMP[],K$1,0),"ERROR")</f>
        <v>7643</v>
      </c>
      <c r="L58" s="112">
        <f>IFERROR(VLOOKUP($B58,MMWR_TRAD_AGG_STATE_COMP[],L$1,0),"ERROR")</f>
        <v>5882</v>
      </c>
      <c r="M58" s="114">
        <f t="shared" si="6"/>
        <v>0.76959309171791179</v>
      </c>
      <c r="N58" s="111">
        <f>IFERROR(VLOOKUP($B58,MMWR_TRAD_AGG_STATE_COMP[],N$1,0),"ERROR")</f>
        <v>18617</v>
      </c>
      <c r="O58" s="112">
        <f>IFERROR(VLOOKUP($B58,MMWR_TRAD_AGG_STATE_COMP[],O$1,0),"ERROR")</f>
        <v>12653</v>
      </c>
      <c r="P58" s="114">
        <f t="shared" si="7"/>
        <v>0.67964763388301019</v>
      </c>
      <c r="Q58" s="115">
        <f>IFERROR(VLOOKUP($B58,MMWR_TRAD_AGG_STATE_COMP[],Q$1,0),"ERROR")</f>
        <v>2418</v>
      </c>
      <c r="R58" s="115">
        <f>IFERROR(VLOOKUP($B58,MMWR_TRAD_AGG_STATE_COMP[],R$1,0),"ERROR")</f>
        <v>307</v>
      </c>
      <c r="S58" s="115">
        <f>IFERROR(VLOOKUP($B58,MMWR_APP_STATE_COMP[],S$1,0),"ERROR")</f>
        <v>31995</v>
      </c>
      <c r="T58" s="28"/>
    </row>
    <row r="59" spans="1:20" s="123" customFormat="1" x14ac:dyDescent="0.2">
      <c r="A59" s="28"/>
      <c r="B59" s="127" t="s">
        <v>381</v>
      </c>
      <c r="C59" s="109">
        <f>IFERROR(VLOOKUP($B59,MMWR_TRAD_AGG_STATE_COMP[],C$1,0),"ERROR")</f>
        <v>13789</v>
      </c>
      <c r="D59" s="110">
        <f>IFERROR(VLOOKUP($B59,MMWR_TRAD_AGG_STATE_COMP[],D$1,0),"ERROR")</f>
        <v>365.03814634849999</v>
      </c>
      <c r="E59" s="111">
        <f>IFERROR(VLOOKUP($B59,MMWR_TRAD_AGG_STATE_COMP[],E$1,0),"ERROR")</f>
        <v>19516</v>
      </c>
      <c r="F59" s="112">
        <f>IFERROR(VLOOKUP($B59,MMWR_TRAD_AGG_STATE_COMP[],F$1,0),"ERROR")</f>
        <v>4946</v>
      </c>
      <c r="G59" s="113">
        <f t="shared" si="4"/>
        <v>0.25343308054929287</v>
      </c>
      <c r="H59" s="111">
        <f>IFERROR(VLOOKUP($B59,MMWR_TRAD_AGG_STATE_COMP[],H$1,0),"ERROR")</f>
        <v>20214</v>
      </c>
      <c r="I59" s="112">
        <f>IFERROR(VLOOKUP($B59,MMWR_TRAD_AGG_STATE_COMP[],I$1,0),"ERROR")</f>
        <v>13750</v>
      </c>
      <c r="J59" s="114">
        <f t="shared" si="5"/>
        <v>0.6802216285742555</v>
      </c>
      <c r="K59" s="111">
        <f>IFERROR(VLOOKUP($B59,MMWR_TRAD_AGG_STATE_COMP[],K$1,0),"ERROR")</f>
        <v>8169</v>
      </c>
      <c r="L59" s="112">
        <f>IFERROR(VLOOKUP($B59,MMWR_TRAD_AGG_STATE_COMP[],L$1,0),"ERROR")</f>
        <v>6646</v>
      </c>
      <c r="M59" s="114">
        <f t="shared" si="6"/>
        <v>0.81356347166115806</v>
      </c>
      <c r="N59" s="111">
        <f>IFERROR(VLOOKUP($B59,MMWR_TRAD_AGG_STATE_COMP[],N$1,0),"ERROR")</f>
        <v>13705</v>
      </c>
      <c r="O59" s="112">
        <f>IFERROR(VLOOKUP($B59,MMWR_TRAD_AGG_STATE_COMP[],O$1,0),"ERROR")</f>
        <v>10805</v>
      </c>
      <c r="P59" s="114">
        <f t="shared" si="7"/>
        <v>0.78839839474644291</v>
      </c>
      <c r="Q59" s="115">
        <f>IFERROR(VLOOKUP($B59,MMWR_TRAD_AGG_STATE_COMP[],Q$1,0),"ERROR")</f>
        <v>1215</v>
      </c>
      <c r="R59" s="115">
        <f>IFERROR(VLOOKUP($B59,MMWR_TRAD_AGG_STATE_COMP[],R$1,0),"ERROR")</f>
        <v>36</v>
      </c>
      <c r="S59" s="115">
        <f>IFERROR(VLOOKUP($B59,MMWR_APP_STATE_COMP[],S$1,0),"ERROR")</f>
        <v>19325</v>
      </c>
      <c r="T59" s="28"/>
    </row>
    <row r="60" spans="1:20" s="123" customFormat="1" x14ac:dyDescent="0.2">
      <c r="A60" s="28"/>
      <c r="B60" s="127" t="s">
        <v>393</v>
      </c>
      <c r="C60" s="109">
        <f>IFERROR(VLOOKUP($B60,MMWR_TRAD_AGG_STATE_COMP[],C$1,0),"ERROR")</f>
        <v>6128</v>
      </c>
      <c r="D60" s="110">
        <f>IFERROR(VLOOKUP($B60,MMWR_TRAD_AGG_STATE_COMP[],D$1,0),"ERROR")</f>
        <v>555.49330939950005</v>
      </c>
      <c r="E60" s="111">
        <f>IFERROR(VLOOKUP($B60,MMWR_TRAD_AGG_STATE_COMP[],E$1,0),"ERROR")</f>
        <v>3631</v>
      </c>
      <c r="F60" s="112">
        <f>IFERROR(VLOOKUP($B60,MMWR_TRAD_AGG_STATE_COMP[],F$1,0),"ERROR")</f>
        <v>484</v>
      </c>
      <c r="G60" s="113">
        <f t="shared" si="4"/>
        <v>0.13329661250344257</v>
      </c>
      <c r="H60" s="111">
        <f>IFERROR(VLOOKUP($B60,MMWR_TRAD_AGG_STATE_COMP[],H$1,0),"ERROR")</f>
        <v>8398</v>
      </c>
      <c r="I60" s="112">
        <f>IFERROR(VLOOKUP($B60,MMWR_TRAD_AGG_STATE_COMP[],I$1,0),"ERROR")</f>
        <v>6541</v>
      </c>
      <c r="J60" s="114">
        <f t="shared" si="5"/>
        <v>0.77887592283877116</v>
      </c>
      <c r="K60" s="111">
        <f>IFERROR(VLOOKUP($B60,MMWR_TRAD_AGG_STATE_COMP[],K$1,0),"ERROR")</f>
        <v>2325</v>
      </c>
      <c r="L60" s="112">
        <f>IFERROR(VLOOKUP($B60,MMWR_TRAD_AGG_STATE_COMP[],L$1,0),"ERROR")</f>
        <v>2018</v>
      </c>
      <c r="M60" s="114">
        <f t="shared" si="6"/>
        <v>0.86795698924731179</v>
      </c>
      <c r="N60" s="111">
        <f>IFERROR(VLOOKUP($B60,MMWR_TRAD_AGG_STATE_COMP[],N$1,0),"ERROR")</f>
        <v>2105</v>
      </c>
      <c r="O60" s="112">
        <f>IFERROR(VLOOKUP($B60,MMWR_TRAD_AGG_STATE_COMP[],O$1,0),"ERROR")</f>
        <v>1294</v>
      </c>
      <c r="P60" s="114">
        <f t="shared" si="7"/>
        <v>0.61472684085510687</v>
      </c>
      <c r="Q60" s="115">
        <f>IFERROR(VLOOKUP($B60,MMWR_TRAD_AGG_STATE_COMP[],Q$1,0),"ERROR")</f>
        <v>660</v>
      </c>
      <c r="R60" s="115">
        <f>IFERROR(VLOOKUP($B60,MMWR_TRAD_AGG_STATE_COMP[],R$1,0),"ERROR")</f>
        <v>155</v>
      </c>
      <c r="S60" s="115">
        <f>IFERROR(VLOOKUP($B60,MMWR_APP_STATE_COMP[],S$1,0),"ERROR")</f>
        <v>3336</v>
      </c>
      <c r="T60" s="28"/>
    </row>
    <row r="61" spans="1:20" s="123" customFormat="1" x14ac:dyDescent="0.2">
      <c r="A61" s="28"/>
      <c r="B61" s="127" t="s">
        <v>427</v>
      </c>
      <c r="C61" s="109">
        <f>IFERROR(VLOOKUP($B61,MMWR_TRAD_AGG_STATE_COMP[],C$1,0),"ERROR")</f>
        <v>1269</v>
      </c>
      <c r="D61" s="110">
        <f>IFERROR(VLOOKUP($B61,MMWR_TRAD_AGG_STATE_COMP[],D$1,0),"ERROR")</f>
        <v>281.20567375889999</v>
      </c>
      <c r="E61" s="111">
        <f>IFERROR(VLOOKUP($B61,MMWR_TRAD_AGG_STATE_COMP[],E$1,0),"ERROR")</f>
        <v>2188</v>
      </c>
      <c r="F61" s="112">
        <f>IFERROR(VLOOKUP($B61,MMWR_TRAD_AGG_STATE_COMP[],F$1,0),"ERROR")</f>
        <v>554</v>
      </c>
      <c r="G61" s="113">
        <f t="shared" si="4"/>
        <v>0.25319926873857401</v>
      </c>
      <c r="H61" s="111">
        <f>IFERROR(VLOOKUP($B61,MMWR_TRAD_AGG_STATE_COMP[],H$1,0),"ERROR")</f>
        <v>3388</v>
      </c>
      <c r="I61" s="112">
        <f>IFERROR(VLOOKUP($B61,MMWR_TRAD_AGG_STATE_COMP[],I$1,0),"ERROR")</f>
        <v>2473</v>
      </c>
      <c r="J61" s="114">
        <f t="shared" si="5"/>
        <v>0.72992916174734357</v>
      </c>
      <c r="K61" s="111">
        <f>IFERROR(VLOOKUP($B61,MMWR_TRAD_AGG_STATE_COMP[],K$1,0),"ERROR")</f>
        <v>1007</v>
      </c>
      <c r="L61" s="112">
        <f>IFERROR(VLOOKUP($B61,MMWR_TRAD_AGG_STATE_COMP[],L$1,0),"ERROR")</f>
        <v>880</v>
      </c>
      <c r="M61" s="114">
        <f t="shared" si="6"/>
        <v>0.87388282025819264</v>
      </c>
      <c r="N61" s="111">
        <f>IFERROR(VLOOKUP($B61,MMWR_TRAD_AGG_STATE_COMP[],N$1,0),"ERROR")</f>
        <v>2066</v>
      </c>
      <c r="O61" s="112">
        <f>IFERROR(VLOOKUP($B61,MMWR_TRAD_AGG_STATE_COMP[],O$1,0),"ERROR")</f>
        <v>1400</v>
      </c>
      <c r="P61" s="114">
        <f t="shared" si="7"/>
        <v>0.67763794772507258</v>
      </c>
      <c r="Q61" s="115">
        <f>IFERROR(VLOOKUP($B61,MMWR_TRAD_AGG_STATE_COMP[],Q$1,0),"ERROR")</f>
        <v>436</v>
      </c>
      <c r="R61" s="115">
        <f>IFERROR(VLOOKUP($B61,MMWR_TRAD_AGG_STATE_COMP[],R$1,0),"ERROR")</f>
        <v>2</v>
      </c>
      <c r="S61" s="115">
        <f>IFERROR(VLOOKUP($B61,MMWR_APP_STATE_COMP[],S$1,0),"ERROR")</f>
        <v>5120</v>
      </c>
      <c r="T61" s="28"/>
    </row>
    <row r="62" spans="1:20" s="123" customFormat="1" x14ac:dyDescent="0.2">
      <c r="A62" s="28"/>
      <c r="B62" s="127" t="s">
        <v>383</v>
      </c>
      <c r="C62" s="109">
        <f>IFERROR(VLOOKUP($B62,MMWR_TRAD_AGG_STATE_COMP[],C$1,0),"ERROR")</f>
        <v>7878</v>
      </c>
      <c r="D62" s="110">
        <f>IFERROR(VLOOKUP($B62,MMWR_TRAD_AGG_STATE_COMP[],D$1,0),"ERROR")</f>
        <v>334.7666920538</v>
      </c>
      <c r="E62" s="111">
        <f>IFERROR(VLOOKUP($B62,MMWR_TRAD_AGG_STATE_COMP[],E$1,0),"ERROR")</f>
        <v>9470</v>
      </c>
      <c r="F62" s="112">
        <f>IFERROR(VLOOKUP($B62,MMWR_TRAD_AGG_STATE_COMP[],F$1,0),"ERROR")</f>
        <v>2550</v>
      </c>
      <c r="G62" s="113">
        <f t="shared" si="4"/>
        <v>0.26927138331573391</v>
      </c>
      <c r="H62" s="111">
        <f>IFERROR(VLOOKUP($B62,MMWR_TRAD_AGG_STATE_COMP[],H$1,0),"ERROR")</f>
        <v>11113</v>
      </c>
      <c r="I62" s="112">
        <f>IFERROR(VLOOKUP($B62,MMWR_TRAD_AGG_STATE_COMP[],I$1,0),"ERROR")</f>
        <v>7549</v>
      </c>
      <c r="J62" s="114">
        <f t="shared" si="5"/>
        <v>0.67929451993161161</v>
      </c>
      <c r="K62" s="111">
        <f>IFERROR(VLOOKUP($B62,MMWR_TRAD_AGG_STATE_COMP[],K$1,0),"ERROR")</f>
        <v>2896</v>
      </c>
      <c r="L62" s="112">
        <f>IFERROR(VLOOKUP($B62,MMWR_TRAD_AGG_STATE_COMP[],L$1,0),"ERROR")</f>
        <v>2207</v>
      </c>
      <c r="M62" s="114">
        <f t="shared" si="6"/>
        <v>0.762085635359116</v>
      </c>
      <c r="N62" s="111">
        <f>IFERROR(VLOOKUP($B62,MMWR_TRAD_AGG_STATE_COMP[],N$1,0),"ERROR")</f>
        <v>3800</v>
      </c>
      <c r="O62" s="112">
        <f>IFERROR(VLOOKUP($B62,MMWR_TRAD_AGG_STATE_COMP[],O$1,0),"ERROR")</f>
        <v>2393</v>
      </c>
      <c r="P62" s="114">
        <f t="shared" si="7"/>
        <v>0.62973684210526315</v>
      </c>
      <c r="Q62" s="115">
        <f>IFERROR(VLOOKUP($B62,MMWR_TRAD_AGG_STATE_COMP[],Q$1,0),"ERROR")</f>
        <v>751</v>
      </c>
      <c r="R62" s="115">
        <f>IFERROR(VLOOKUP($B62,MMWR_TRAD_AGG_STATE_COMP[],R$1,0),"ERROR")</f>
        <v>59</v>
      </c>
      <c r="S62" s="115">
        <f>IFERROR(VLOOKUP($B62,MMWR_APP_STATE_COMP[],S$1,0),"ERROR")</f>
        <v>13375</v>
      </c>
      <c r="T62" s="28"/>
    </row>
    <row r="63" spans="1:20" s="123" customFormat="1" x14ac:dyDescent="0.2">
      <c r="A63" s="28"/>
      <c r="B63" s="127" t="s">
        <v>384</v>
      </c>
      <c r="C63" s="109">
        <f>IFERROR(VLOOKUP($B63,MMWR_TRAD_AGG_STATE_COMP[],C$1,0),"ERROR")</f>
        <v>4011</v>
      </c>
      <c r="D63" s="110">
        <f>IFERROR(VLOOKUP($B63,MMWR_TRAD_AGG_STATE_COMP[],D$1,0),"ERROR")</f>
        <v>299.16130640739999</v>
      </c>
      <c r="E63" s="111">
        <f>IFERROR(VLOOKUP($B63,MMWR_TRAD_AGG_STATE_COMP[],E$1,0),"ERROR")</f>
        <v>8906</v>
      </c>
      <c r="F63" s="112">
        <f>IFERROR(VLOOKUP($B63,MMWR_TRAD_AGG_STATE_COMP[],F$1,0),"ERROR")</f>
        <v>1620</v>
      </c>
      <c r="G63" s="113">
        <f t="shared" si="4"/>
        <v>0.18189984280260499</v>
      </c>
      <c r="H63" s="111">
        <f>IFERROR(VLOOKUP($B63,MMWR_TRAD_AGG_STATE_COMP[],H$1,0),"ERROR")</f>
        <v>6928</v>
      </c>
      <c r="I63" s="112">
        <f>IFERROR(VLOOKUP($B63,MMWR_TRAD_AGG_STATE_COMP[],I$1,0),"ERROR")</f>
        <v>3753</v>
      </c>
      <c r="J63" s="114">
        <f t="shared" si="5"/>
        <v>0.54171478060046185</v>
      </c>
      <c r="K63" s="111">
        <f>IFERROR(VLOOKUP($B63,MMWR_TRAD_AGG_STATE_COMP[],K$1,0),"ERROR")</f>
        <v>2865</v>
      </c>
      <c r="L63" s="112">
        <f>IFERROR(VLOOKUP($B63,MMWR_TRAD_AGG_STATE_COMP[],L$1,0),"ERROR")</f>
        <v>2334</v>
      </c>
      <c r="M63" s="114">
        <f t="shared" si="6"/>
        <v>0.81465968586387438</v>
      </c>
      <c r="N63" s="111">
        <f>IFERROR(VLOOKUP($B63,MMWR_TRAD_AGG_STATE_COMP[],N$1,0),"ERROR")</f>
        <v>3111</v>
      </c>
      <c r="O63" s="112">
        <f>IFERROR(VLOOKUP($B63,MMWR_TRAD_AGG_STATE_COMP[],O$1,0),"ERROR")</f>
        <v>1936</v>
      </c>
      <c r="P63" s="114">
        <f t="shared" si="7"/>
        <v>0.62230793956927033</v>
      </c>
      <c r="Q63" s="115">
        <f>IFERROR(VLOOKUP($B63,MMWR_TRAD_AGG_STATE_COMP[],Q$1,0),"ERROR")</f>
        <v>762</v>
      </c>
      <c r="R63" s="115">
        <f>IFERROR(VLOOKUP($B63,MMWR_TRAD_AGG_STATE_COMP[],R$1,0),"ERROR")</f>
        <v>282</v>
      </c>
      <c r="S63" s="115">
        <f>IFERROR(VLOOKUP($B63,MMWR_APP_STATE_COMP[],S$1,0),"ERROR")</f>
        <v>7433</v>
      </c>
      <c r="T63" s="28"/>
    </row>
    <row r="64" spans="1:20" s="123" customFormat="1" x14ac:dyDescent="0.2">
      <c r="A64" s="28"/>
      <c r="B64" s="128" t="s">
        <v>8</v>
      </c>
      <c r="C64" s="102">
        <f>IFERROR(VLOOKUP($B64,MMWR_TRAD_AGG_ST_DISTRICT_COMP[],C$1,0),"ERROR")</f>
        <v>3387</v>
      </c>
      <c r="D64" s="103">
        <f>IFERROR(VLOOKUP($B64,MMWR_TRAD_AGG_ST_DISTRICT_COMP[],D$1,0),"ERROR")</f>
        <v>355.35045763210002</v>
      </c>
      <c r="E64" s="102">
        <f>IFERROR(VLOOKUP($B64,MMWR_TRAD_AGG_ST_DISTRICT_COMP[],E$1,0),"ERROR")</f>
        <v>4515</v>
      </c>
      <c r="F64" s="102">
        <f>IFERROR(VLOOKUP($B64,MMWR_TRAD_AGG_ST_DISTRICT_COMP[],F$1,0),"ERROR")</f>
        <v>1906</v>
      </c>
      <c r="G64" s="104">
        <f t="shared" si="4"/>
        <v>0.42214839424141748</v>
      </c>
      <c r="H64" s="102">
        <f>IFERROR(VLOOKUP($B64,MMWR_TRAD_AGG_ST_DISTRICT_COMP[],H$1,0),"ERROR")</f>
        <v>4686</v>
      </c>
      <c r="I64" s="102">
        <f>IFERROR(VLOOKUP($B64,MMWR_TRAD_AGG_ST_DISTRICT_COMP[],I$1,0),"ERROR")</f>
        <v>3123</v>
      </c>
      <c r="J64" s="105">
        <f t="shared" si="5"/>
        <v>0.66645326504481439</v>
      </c>
      <c r="K64" s="102">
        <f>IFERROR(VLOOKUP($B64,MMWR_TRAD_AGG_ST_DISTRICT_COMP[],K$1,0),"ERROR")</f>
        <v>1405</v>
      </c>
      <c r="L64" s="102">
        <f>IFERROR(VLOOKUP($B64,MMWR_TRAD_AGG_ST_DISTRICT_COMP[],L$1,0),"ERROR")</f>
        <v>960</v>
      </c>
      <c r="M64" s="105">
        <f t="shared" si="6"/>
        <v>0.68327402135231319</v>
      </c>
      <c r="N64" s="102">
        <f>IFERROR(VLOOKUP($B64,MMWR_TRAD_AGG_ST_DISTRICT_COMP[],N$1,0),"ERROR")</f>
        <v>1228</v>
      </c>
      <c r="O64" s="102">
        <f>IFERROR(VLOOKUP($B64,MMWR_TRAD_AGG_ST_DISTRICT_COMP[],O$1,0),"ERROR")</f>
        <v>823</v>
      </c>
      <c r="P64" s="105">
        <f t="shared" si="7"/>
        <v>0.67019543973941365</v>
      </c>
      <c r="Q64" s="102">
        <f>IFERROR(VLOOKUP($B64,MMWR_TRAD_AGG_ST_DISTRICT_COMP[],Q$1,0),"ERROR")</f>
        <v>489</v>
      </c>
      <c r="R64" s="106">
        <f>IFERROR(VLOOKUP($B64,MMWR_TRAD_AGG_ST_DISTRICT_COMP[],R$1,0),"ERROR")</f>
        <v>159</v>
      </c>
      <c r="S64" s="106">
        <f>IFERROR(VLOOKUP($B64,MMWR_APP_STATE_COMP[],S$1,0),"ERROR")</f>
        <v>355</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487</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26419</v>
      </c>
      <c r="D69" s="120">
        <f>IFERROR(VLOOKUP($B69,MMWR_TRAD_AGG_RO_PEN[],D$1,0),"ERROR")</f>
        <v>94.084408948100005</v>
      </c>
      <c r="E69" s="119">
        <f>IFERROR(VLOOKUP($B69,MMWR_TRAD_AGG_RO_PEN[],E$1,0),"ERROR")</f>
        <v>32514</v>
      </c>
      <c r="F69" s="119">
        <f>IFERROR(VLOOKUP($B69,MMWR_TRAD_AGG_RO_PEN[],F$1,0),"ERROR")</f>
        <v>4308</v>
      </c>
      <c r="G69" s="98">
        <f t="shared" ref="G69:G100" si="8">IFERROR(F69/E69,"0%")</f>
        <v>0.13249677062188595</v>
      </c>
      <c r="H69" s="119">
        <f>IFERROR(VLOOKUP($B69,MMWR_TRAD_AGG_RO_PEN[],H$1,0),"ERROR")</f>
        <v>34932</v>
      </c>
      <c r="I69" s="119">
        <f>IFERROR(VLOOKUP($B69,MMWR_TRAD_AGG_RO_PEN[],I$1,0),"ERROR")</f>
        <v>7919</v>
      </c>
      <c r="J69" s="98">
        <f t="shared" ref="J69:J100" si="9">IFERROR(I69/H69,"0%")</f>
        <v>0.22669758387724723</v>
      </c>
      <c r="K69" s="119">
        <f>IFERROR(VLOOKUP($B69,MMWR_TRAD_AGG_RO_PEN[],K$1,0),"ERROR")</f>
        <v>286</v>
      </c>
      <c r="L69" s="119">
        <f>IFERROR(VLOOKUP($B69,MMWR_TRAD_AGG_RO_PEN[],L$1,0),"ERROR")</f>
        <v>265</v>
      </c>
      <c r="M69" s="98">
        <f t="shared" ref="M69:M100" si="10">IFERROR(L69/K69,"0%")</f>
        <v>0.92657342657342656</v>
      </c>
      <c r="N69" s="119">
        <f>IFERROR(VLOOKUP($B69,MMWR_TRAD_AGG_RO_PEN[],N$1,0),"ERROR")</f>
        <v>1892</v>
      </c>
      <c r="O69" s="119">
        <f>IFERROR(VLOOKUP($B69,MMWR_TRAD_AGG_RO_PEN[],O$1,0),"ERROR")</f>
        <v>501</v>
      </c>
      <c r="P69" s="98">
        <f t="shared" ref="P69:P100" si="11">IFERROR(O69/N69,"0%")</f>
        <v>0.26479915433403806</v>
      </c>
      <c r="Q69" s="119">
        <f>IFERROR(VLOOKUP($B69,MMWR_TRAD_AGG_RO_PEN[],Q$1,0),"ERROR")</f>
        <v>11859</v>
      </c>
      <c r="R69" s="121">
        <f>IFERROR(VLOOKUP($B69,MMWR_TRAD_AGG_RO_PEN[],R$1,0),"ERROR")</f>
        <v>5956</v>
      </c>
      <c r="S69" s="121">
        <f>S70+S86+S99+S109+S119+S127</f>
        <v>5703</v>
      </c>
      <c r="T69" s="28"/>
    </row>
    <row r="70" spans="1:20" s="123" customFormat="1" x14ac:dyDescent="0.2">
      <c r="A70" s="28"/>
      <c r="B70" s="126" t="s">
        <v>369</v>
      </c>
      <c r="C70" s="102">
        <f>IFERROR(VLOOKUP($B70,MMWR_TRAD_AGG_ST_DISTRICT_PEN[],C$1,0),"ERROR")</f>
        <v>7560</v>
      </c>
      <c r="D70" s="103">
        <f>IFERROR(VLOOKUP($B70,MMWR_TRAD_AGG_ST_DISTRICT_PEN[],D$1,0),"ERROR")</f>
        <v>104.8652116402</v>
      </c>
      <c r="E70" s="102">
        <f>IFERROR(VLOOKUP($B70,MMWR_TRAD_AGG_ST_DISTRICT_PEN[],E$1,0),"ERROR")</f>
        <v>10937</v>
      </c>
      <c r="F70" s="102">
        <f>IFERROR(VLOOKUP($B70,MMWR_TRAD_AGG_ST_DISTRICT_PEN[],F$1,0),"ERROR")</f>
        <v>2013</v>
      </c>
      <c r="G70" s="104">
        <f t="shared" si="8"/>
        <v>0.18405412818871719</v>
      </c>
      <c r="H70" s="102">
        <f>IFERROR(VLOOKUP($B70,MMWR_TRAD_AGG_ST_DISTRICT_PEN[],H$1,0),"ERROR")</f>
        <v>9989</v>
      </c>
      <c r="I70" s="102">
        <f>IFERROR(VLOOKUP($B70,MMWR_TRAD_AGG_ST_DISTRICT_PEN[],I$1,0),"ERROR")</f>
        <v>3243</v>
      </c>
      <c r="J70" s="104">
        <f t="shared" si="9"/>
        <v>0.32465712283511861</v>
      </c>
      <c r="K70" s="102">
        <f>IFERROR(VLOOKUP($B70,MMWR_TRAD_AGG_ST_DISTRICT_PEN[],K$1,0),"ERROR")</f>
        <v>182</v>
      </c>
      <c r="L70" s="102">
        <f>IFERROR(VLOOKUP($B70,MMWR_TRAD_AGG_ST_DISTRICT_PEN[],L$1,0),"ERROR")</f>
        <v>178</v>
      </c>
      <c r="M70" s="104">
        <f t="shared" si="10"/>
        <v>0.97802197802197799</v>
      </c>
      <c r="N70" s="102">
        <f>IFERROR(VLOOKUP($B70,MMWR_TRAD_AGG_ST_DISTRICT_PEN[],N$1,0),"ERROR")</f>
        <v>536</v>
      </c>
      <c r="O70" s="102">
        <f>IFERROR(VLOOKUP($B70,MMWR_TRAD_AGG_ST_DISTRICT_PEN[],O$1,0),"ERROR")</f>
        <v>144</v>
      </c>
      <c r="P70" s="104">
        <f t="shared" si="11"/>
        <v>0.26865671641791045</v>
      </c>
      <c r="Q70" s="102">
        <f>IFERROR(VLOOKUP($B70,MMWR_TRAD_AGG_ST_DISTRICT_PEN[],Q$1,0),"ERROR")</f>
        <v>1190</v>
      </c>
      <c r="R70" s="106">
        <f>IFERROR(VLOOKUP($B70,MMWR_TRAD_AGG_ST_DISTRICT_PEN[],R$1,0),"ERROR")</f>
        <v>2043</v>
      </c>
      <c r="S70" s="106">
        <f>IFERROR(VLOOKUP($B70,MMWR_APP_STATE_PEN[],S$1,0),"ERROR")</f>
        <v>1118</v>
      </c>
      <c r="T70" s="28"/>
    </row>
    <row r="71" spans="1:20" s="123" customFormat="1" x14ac:dyDescent="0.2">
      <c r="A71" s="28"/>
      <c r="B71" s="127" t="s">
        <v>373</v>
      </c>
      <c r="C71" s="109">
        <f>IFERROR(VLOOKUP($B71,MMWR_TRAD_AGG_STATE_PEN[],C$1,0),"ERROR")</f>
        <v>211</v>
      </c>
      <c r="D71" s="110">
        <f>IFERROR(VLOOKUP($B71,MMWR_TRAD_AGG_STATE_PEN[],D$1,0),"ERROR")</f>
        <v>104.6208530806</v>
      </c>
      <c r="E71" s="111">
        <f>IFERROR(VLOOKUP($B71,MMWR_TRAD_AGG_STATE_PEN[],E$1,0),"ERROR")</f>
        <v>367</v>
      </c>
      <c r="F71" s="112">
        <f>IFERROR(VLOOKUP($B71,MMWR_TRAD_AGG_STATE_PEN[],F$1,0),"ERROR")</f>
        <v>55</v>
      </c>
      <c r="G71" s="113">
        <f t="shared" si="8"/>
        <v>0.14986376021798364</v>
      </c>
      <c r="H71" s="111">
        <f>IFERROR(VLOOKUP($B71,MMWR_TRAD_AGG_STATE_PEN[],H$1,0),"ERROR")</f>
        <v>280</v>
      </c>
      <c r="I71" s="112">
        <f>IFERROR(VLOOKUP($B71,MMWR_TRAD_AGG_STATE_PEN[],I$1,0),"ERROR")</f>
        <v>88</v>
      </c>
      <c r="J71" s="114">
        <f t="shared" si="9"/>
        <v>0.31428571428571428</v>
      </c>
      <c r="K71" s="111">
        <f>IFERROR(VLOOKUP($B71,MMWR_TRAD_AGG_STATE_PEN[],K$1,0),"ERROR")</f>
        <v>1</v>
      </c>
      <c r="L71" s="112">
        <f>IFERROR(VLOOKUP($B71,MMWR_TRAD_AGG_STATE_PEN[],L$1,0),"ERROR")</f>
        <v>0</v>
      </c>
      <c r="M71" s="114">
        <f t="shared" si="10"/>
        <v>0</v>
      </c>
      <c r="N71" s="111">
        <f>IFERROR(VLOOKUP($B71,MMWR_TRAD_AGG_STATE_PEN[],N$1,0),"ERROR")</f>
        <v>22</v>
      </c>
      <c r="O71" s="112">
        <f>IFERROR(VLOOKUP($B71,MMWR_TRAD_AGG_STATE_PEN[],O$1,0),"ERROR")</f>
        <v>2</v>
      </c>
      <c r="P71" s="114">
        <f t="shared" si="11"/>
        <v>9.0909090909090912E-2</v>
      </c>
      <c r="Q71" s="115">
        <f>IFERROR(VLOOKUP($B71,MMWR_TRAD_AGG_STATE_PEN[],Q$1,0),"ERROR")</f>
        <v>26</v>
      </c>
      <c r="R71" s="115">
        <f>IFERROR(VLOOKUP($B71,MMWR_TRAD_AGG_STATE_PEN[],R$1,0),"ERROR")</f>
        <v>51</v>
      </c>
      <c r="S71" s="115">
        <f>IFERROR(VLOOKUP($B71,MMWR_APP_STATE_PEN[],S$1,0),"ERROR")</f>
        <v>37</v>
      </c>
      <c r="T71" s="28"/>
    </row>
    <row r="72" spans="1:20" s="123" customFormat="1" x14ac:dyDescent="0.2">
      <c r="A72" s="28"/>
      <c r="B72" s="127" t="s">
        <v>423</v>
      </c>
      <c r="C72" s="109">
        <f>IFERROR(VLOOKUP($B72,MMWR_TRAD_AGG_STATE_PEN[],C$1,0),"ERROR")</f>
        <v>64</v>
      </c>
      <c r="D72" s="110">
        <f>IFERROR(VLOOKUP($B72,MMWR_TRAD_AGG_STATE_PEN[],D$1,0),"ERROR")</f>
        <v>113.421875</v>
      </c>
      <c r="E72" s="111">
        <f>IFERROR(VLOOKUP($B72,MMWR_TRAD_AGG_STATE_PEN[],E$1,0),"ERROR")</f>
        <v>87</v>
      </c>
      <c r="F72" s="112">
        <f>IFERROR(VLOOKUP($B72,MMWR_TRAD_AGG_STATE_PEN[],F$1,0),"ERROR")</f>
        <v>20</v>
      </c>
      <c r="G72" s="113">
        <f t="shared" si="8"/>
        <v>0.22988505747126436</v>
      </c>
      <c r="H72" s="111">
        <f>IFERROR(VLOOKUP($B72,MMWR_TRAD_AGG_STATE_PEN[],H$1,0),"ERROR")</f>
        <v>85</v>
      </c>
      <c r="I72" s="112">
        <f>IFERROR(VLOOKUP($B72,MMWR_TRAD_AGG_STATE_PEN[],I$1,0),"ERROR")</f>
        <v>35</v>
      </c>
      <c r="J72" s="114">
        <f t="shared" si="9"/>
        <v>0.41176470588235292</v>
      </c>
      <c r="K72" s="111">
        <f>IFERROR(VLOOKUP($B72,MMWR_TRAD_AGG_STATE_PEN[],K$1,0),"ERROR")</f>
        <v>2</v>
      </c>
      <c r="L72" s="112">
        <f>IFERROR(VLOOKUP($B72,MMWR_TRAD_AGG_STATE_PEN[],L$1,0),"ERROR")</f>
        <v>2</v>
      </c>
      <c r="M72" s="114">
        <f t="shared" si="10"/>
        <v>1</v>
      </c>
      <c r="N72" s="111">
        <f>IFERROR(VLOOKUP($B72,MMWR_TRAD_AGG_STATE_PEN[],N$1,0),"ERROR")</f>
        <v>8</v>
      </c>
      <c r="O72" s="112">
        <f>IFERROR(VLOOKUP($B72,MMWR_TRAD_AGG_STATE_PEN[],O$1,0),"ERROR")</f>
        <v>1</v>
      </c>
      <c r="P72" s="114">
        <f t="shared" si="11"/>
        <v>0.125</v>
      </c>
      <c r="Q72" s="115">
        <f>IFERROR(VLOOKUP($B72,MMWR_TRAD_AGG_STATE_PEN[],Q$1,0),"ERROR")</f>
        <v>14</v>
      </c>
      <c r="R72" s="115">
        <f>IFERROR(VLOOKUP($B72,MMWR_TRAD_AGG_STATE_PEN[],R$1,0),"ERROR")</f>
        <v>13</v>
      </c>
      <c r="S72" s="115">
        <f>IFERROR(VLOOKUP($B72,MMWR_APP_STATE_PEN[],S$1,0),"ERROR")</f>
        <v>16</v>
      </c>
      <c r="T72" s="28"/>
    </row>
    <row r="73" spans="1:20" s="123" customFormat="1" x14ac:dyDescent="0.2">
      <c r="A73" s="28"/>
      <c r="B73" s="127" t="s">
        <v>414</v>
      </c>
      <c r="C73" s="109">
        <f>IFERROR(VLOOKUP($B73,MMWR_TRAD_AGG_STATE_PEN[],C$1,0),"ERROR")</f>
        <v>39</v>
      </c>
      <c r="D73" s="110">
        <f>IFERROR(VLOOKUP($B73,MMWR_TRAD_AGG_STATE_PEN[],D$1,0),"ERROR")</f>
        <v>104.3333333333</v>
      </c>
      <c r="E73" s="111">
        <f>IFERROR(VLOOKUP($B73,MMWR_TRAD_AGG_STATE_PEN[],E$1,0),"ERROR")</f>
        <v>54</v>
      </c>
      <c r="F73" s="112">
        <f>IFERROR(VLOOKUP($B73,MMWR_TRAD_AGG_STATE_PEN[],F$1,0),"ERROR")</f>
        <v>8</v>
      </c>
      <c r="G73" s="113">
        <f t="shared" si="8"/>
        <v>0.14814814814814814</v>
      </c>
      <c r="H73" s="111">
        <f>IFERROR(VLOOKUP($B73,MMWR_TRAD_AGG_STATE_PEN[],H$1,0),"ERROR")</f>
        <v>57</v>
      </c>
      <c r="I73" s="112">
        <f>IFERROR(VLOOKUP($B73,MMWR_TRAD_AGG_STATE_PEN[],I$1,0),"ERROR")</f>
        <v>18</v>
      </c>
      <c r="J73" s="114">
        <f t="shared" si="9"/>
        <v>0.31578947368421051</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7</v>
      </c>
      <c r="R73" s="115">
        <f>IFERROR(VLOOKUP($B73,MMWR_TRAD_AGG_STATE_PEN[],R$1,0),"ERROR")</f>
        <v>17</v>
      </c>
      <c r="S73" s="115">
        <f>IFERROR(VLOOKUP($B73,MMWR_APP_STATE_PEN[],S$1,0),"ERROR")</f>
        <v>10</v>
      </c>
      <c r="T73" s="28"/>
    </row>
    <row r="74" spans="1:20" s="123" customFormat="1" x14ac:dyDescent="0.2">
      <c r="A74" s="28"/>
      <c r="B74" s="127" t="s">
        <v>416</v>
      </c>
      <c r="C74" s="109">
        <f>IFERROR(VLOOKUP($B74,MMWR_TRAD_AGG_STATE_PEN[],C$1,0),"ERROR")</f>
        <v>125</v>
      </c>
      <c r="D74" s="110">
        <f>IFERROR(VLOOKUP($B74,MMWR_TRAD_AGG_STATE_PEN[],D$1,0),"ERROR")</f>
        <v>120.232</v>
      </c>
      <c r="E74" s="111">
        <f>IFERROR(VLOOKUP($B74,MMWR_TRAD_AGG_STATE_PEN[],E$1,0),"ERROR")</f>
        <v>148</v>
      </c>
      <c r="F74" s="112">
        <f>IFERROR(VLOOKUP($B74,MMWR_TRAD_AGG_STATE_PEN[],F$1,0),"ERROR")</f>
        <v>32</v>
      </c>
      <c r="G74" s="113">
        <f t="shared" si="8"/>
        <v>0.21621621621621623</v>
      </c>
      <c r="H74" s="111">
        <f>IFERROR(VLOOKUP($B74,MMWR_TRAD_AGG_STATE_PEN[],H$1,0),"ERROR")</f>
        <v>157</v>
      </c>
      <c r="I74" s="112">
        <f>IFERROR(VLOOKUP($B74,MMWR_TRAD_AGG_STATE_PEN[],I$1,0),"ERROR")</f>
        <v>56</v>
      </c>
      <c r="J74" s="114">
        <f t="shared" si="9"/>
        <v>0.35668789808917195</v>
      </c>
      <c r="K74" s="111">
        <f>IFERROR(VLOOKUP($B74,MMWR_TRAD_AGG_STATE_PEN[],K$1,0),"ERROR")</f>
        <v>1</v>
      </c>
      <c r="L74" s="112">
        <f>IFERROR(VLOOKUP($B74,MMWR_TRAD_AGG_STATE_PEN[],L$1,0),"ERROR")</f>
        <v>1</v>
      </c>
      <c r="M74" s="114">
        <f t="shared" si="10"/>
        <v>1</v>
      </c>
      <c r="N74" s="111">
        <f>IFERROR(VLOOKUP($B74,MMWR_TRAD_AGG_STATE_PEN[],N$1,0),"ERROR")</f>
        <v>13</v>
      </c>
      <c r="O74" s="112">
        <f>IFERROR(VLOOKUP($B74,MMWR_TRAD_AGG_STATE_PEN[],O$1,0),"ERROR")</f>
        <v>4</v>
      </c>
      <c r="P74" s="114">
        <f t="shared" si="11"/>
        <v>0.30769230769230771</v>
      </c>
      <c r="Q74" s="115">
        <f>IFERROR(VLOOKUP($B74,MMWR_TRAD_AGG_STATE_PEN[],Q$1,0),"ERROR")</f>
        <v>38</v>
      </c>
      <c r="R74" s="115">
        <f>IFERROR(VLOOKUP($B74,MMWR_TRAD_AGG_STATE_PEN[],R$1,0),"ERROR")</f>
        <v>30</v>
      </c>
      <c r="S74" s="115">
        <f>IFERROR(VLOOKUP($B74,MMWR_APP_STATE_PEN[],S$1,0),"ERROR")</f>
        <v>22</v>
      </c>
      <c r="T74" s="28"/>
    </row>
    <row r="75" spans="1:20" s="123" customFormat="1" x14ac:dyDescent="0.2">
      <c r="A75" s="28"/>
      <c r="B75" s="127" t="s">
        <v>376</v>
      </c>
      <c r="C75" s="109">
        <f>IFERROR(VLOOKUP($B75,MMWR_TRAD_AGG_STATE_PEN[],C$1,0),"ERROR")</f>
        <v>342</v>
      </c>
      <c r="D75" s="110">
        <f>IFERROR(VLOOKUP($B75,MMWR_TRAD_AGG_STATE_PEN[],D$1,0),"ERROR")</f>
        <v>110.9502923977</v>
      </c>
      <c r="E75" s="111">
        <f>IFERROR(VLOOKUP($B75,MMWR_TRAD_AGG_STATE_PEN[],E$1,0),"ERROR")</f>
        <v>626</v>
      </c>
      <c r="F75" s="112">
        <f>IFERROR(VLOOKUP($B75,MMWR_TRAD_AGG_STATE_PEN[],F$1,0),"ERROR")</f>
        <v>121</v>
      </c>
      <c r="G75" s="113">
        <f t="shared" si="8"/>
        <v>0.19329073482428116</v>
      </c>
      <c r="H75" s="111">
        <f>IFERROR(VLOOKUP($B75,MMWR_TRAD_AGG_STATE_PEN[],H$1,0),"ERROR")</f>
        <v>477</v>
      </c>
      <c r="I75" s="112">
        <f>IFERROR(VLOOKUP($B75,MMWR_TRAD_AGG_STATE_PEN[],I$1,0),"ERROR")</f>
        <v>185</v>
      </c>
      <c r="J75" s="114">
        <f t="shared" si="9"/>
        <v>0.38784067085953877</v>
      </c>
      <c r="K75" s="111">
        <f>IFERROR(VLOOKUP($B75,MMWR_TRAD_AGG_STATE_PEN[],K$1,0),"ERROR")</f>
        <v>8</v>
      </c>
      <c r="L75" s="112">
        <f>IFERROR(VLOOKUP($B75,MMWR_TRAD_AGG_STATE_PEN[],L$1,0),"ERROR")</f>
        <v>8</v>
      </c>
      <c r="M75" s="114">
        <f t="shared" si="10"/>
        <v>1</v>
      </c>
      <c r="N75" s="111">
        <f>IFERROR(VLOOKUP($B75,MMWR_TRAD_AGG_STATE_PEN[],N$1,0),"ERROR")</f>
        <v>34</v>
      </c>
      <c r="O75" s="112">
        <f>IFERROR(VLOOKUP($B75,MMWR_TRAD_AGG_STATE_PEN[],O$1,0),"ERROR")</f>
        <v>8</v>
      </c>
      <c r="P75" s="114">
        <f t="shared" si="11"/>
        <v>0.23529411764705882</v>
      </c>
      <c r="Q75" s="115">
        <f>IFERROR(VLOOKUP($B75,MMWR_TRAD_AGG_STATE_PEN[],Q$1,0),"ERROR")</f>
        <v>81</v>
      </c>
      <c r="R75" s="115">
        <f>IFERROR(VLOOKUP($B75,MMWR_TRAD_AGG_STATE_PEN[],R$1,0),"ERROR")</f>
        <v>143</v>
      </c>
      <c r="S75" s="115">
        <f>IFERROR(VLOOKUP($B75,MMWR_APP_STATE_PEN[],S$1,0),"ERROR")</f>
        <v>64</v>
      </c>
      <c r="T75" s="28"/>
    </row>
    <row r="76" spans="1:20" s="123" customFormat="1" x14ac:dyDescent="0.2">
      <c r="A76" s="28"/>
      <c r="B76" s="127" t="s">
        <v>371</v>
      </c>
      <c r="C76" s="109">
        <f>IFERROR(VLOOKUP($B76,MMWR_TRAD_AGG_STATE_PEN[],C$1,0),"ERROR")</f>
        <v>384</v>
      </c>
      <c r="D76" s="110">
        <f>IFERROR(VLOOKUP($B76,MMWR_TRAD_AGG_STATE_PEN[],D$1,0),"ERROR")</f>
        <v>103.7473958333</v>
      </c>
      <c r="E76" s="111">
        <f>IFERROR(VLOOKUP($B76,MMWR_TRAD_AGG_STATE_PEN[],E$1,0),"ERROR")</f>
        <v>626</v>
      </c>
      <c r="F76" s="112">
        <f>IFERROR(VLOOKUP($B76,MMWR_TRAD_AGG_STATE_PEN[],F$1,0),"ERROR")</f>
        <v>130</v>
      </c>
      <c r="G76" s="113">
        <f t="shared" si="8"/>
        <v>0.20766773162939298</v>
      </c>
      <c r="H76" s="111">
        <f>IFERROR(VLOOKUP($B76,MMWR_TRAD_AGG_STATE_PEN[],H$1,0),"ERROR")</f>
        <v>513</v>
      </c>
      <c r="I76" s="112">
        <f>IFERROR(VLOOKUP($B76,MMWR_TRAD_AGG_STATE_PEN[],I$1,0),"ERROR")</f>
        <v>161</v>
      </c>
      <c r="J76" s="114">
        <f t="shared" si="9"/>
        <v>0.31384015594541909</v>
      </c>
      <c r="K76" s="111">
        <f>IFERROR(VLOOKUP($B76,MMWR_TRAD_AGG_STATE_PEN[],K$1,0),"ERROR")</f>
        <v>3</v>
      </c>
      <c r="L76" s="112">
        <f>IFERROR(VLOOKUP($B76,MMWR_TRAD_AGG_STATE_PEN[],L$1,0),"ERROR")</f>
        <v>3</v>
      </c>
      <c r="M76" s="114">
        <f t="shared" si="10"/>
        <v>1</v>
      </c>
      <c r="N76" s="111">
        <f>IFERROR(VLOOKUP($B76,MMWR_TRAD_AGG_STATE_PEN[],N$1,0),"ERROR")</f>
        <v>38</v>
      </c>
      <c r="O76" s="112">
        <f>IFERROR(VLOOKUP($B76,MMWR_TRAD_AGG_STATE_PEN[],O$1,0),"ERROR")</f>
        <v>6</v>
      </c>
      <c r="P76" s="114">
        <f t="shared" si="11"/>
        <v>0.15789473684210525</v>
      </c>
      <c r="Q76" s="115">
        <f>IFERROR(VLOOKUP($B76,MMWR_TRAD_AGG_STATE_PEN[],Q$1,0),"ERROR")</f>
        <v>66</v>
      </c>
      <c r="R76" s="115">
        <f>IFERROR(VLOOKUP($B76,MMWR_TRAD_AGG_STATE_PEN[],R$1,0),"ERROR")</f>
        <v>145</v>
      </c>
      <c r="S76" s="115">
        <f>IFERROR(VLOOKUP($B76,MMWR_APP_STATE_PEN[],S$1,0),"ERROR")</f>
        <v>75</v>
      </c>
      <c r="T76" s="28"/>
    </row>
    <row r="77" spans="1:20" s="123" customFormat="1" x14ac:dyDescent="0.2">
      <c r="A77" s="28"/>
      <c r="B77" s="127" t="s">
        <v>415</v>
      </c>
      <c r="C77" s="109">
        <f>IFERROR(VLOOKUP($B77,MMWR_TRAD_AGG_STATE_PEN[],C$1,0),"ERROR")</f>
        <v>125</v>
      </c>
      <c r="D77" s="110">
        <f>IFERROR(VLOOKUP($B77,MMWR_TRAD_AGG_STATE_PEN[],D$1,0),"ERROR")</f>
        <v>87.888000000000005</v>
      </c>
      <c r="E77" s="111">
        <f>IFERROR(VLOOKUP($B77,MMWR_TRAD_AGG_STATE_PEN[],E$1,0),"ERROR")</f>
        <v>174</v>
      </c>
      <c r="F77" s="112">
        <f>IFERROR(VLOOKUP($B77,MMWR_TRAD_AGG_STATE_PEN[],F$1,0),"ERROR")</f>
        <v>28</v>
      </c>
      <c r="G77" s="113">
        <f t="shared" si="8"/>
        <v>0.16091954022988506</v>
      </c>
      <c r="H77" s="111">
        <f>IFERROR(VLOOKUP($B77,MMWR_TRAD_AGG_STATE_PEN[],H$1,0),"ERROR")</f>
        <v>160</v>
      </c>
      <c r="I77" s="112">
        <f>IFERROR(VLOOKUP($B77,MMWR_TRAD_AGG_STATE_PEN[],I$1,0),"ERROR")</f>
        <v>40</v>
      </c>
      <c r="J77" s="114">
        <f t="shared" si="9"/>
        <v>0.25</v>
      </c>
      <c r="K77" s="111">
        <f>IFERROR(VLOOKUP($B77,MMWR_TRAD_AGG_STATE_PEN[],K$1,0),"ERROR")</f>
        <v>0</v>
      </c>
      <c r="L77" s="112">
        <f>IFERROR(VLOOKUP($B77,MMWR_TRAD_AGG_STATE_PEN[],L$1,0),"ERROR")</f>
        <v>0</v>
      </c>
      <c r="M77" s="114" t="str">
        <f t="shared" si="10"/>
        <v>0%</v>
      </c>
      <c r="N77" s="111">
        <f>IFERROR(VLOOKUP($B77,MMWR_TRAD_AGG_STATE_PEN[],N$1,0),"ERROR")</f>
        <v>4</v>
      </c>
      <c r="O77" s="112">
        <f>IFERROR(VLOOKUP($B77,MMWR_TRAD_AGG_STATE_PEN[],O$1,0),"ERROR")</f>
        <v>1</v>
      </c>
      <c r="P77" s="114">
        <f t="shared" si="11"/>
        <v>0.25</v>
      </c>
      <c r="Q77" s="115">
        <f>IFERROR(VLOOKUP($B77,MMWR_TRAD_AGG_STATE_PEN[],Q$1,0),"ERROR")</f>
        <v>11</v>
      </c>
      <c r="R77" s="115">
        <f>IFERROR(VLOOKUP($B77,MMWR_TRAD_AGG_STATE_PEN[],R$1,0),"ERROR")</f>
        <v>23</v>
      </c>
      <c r="S77" s="115">
        <f>IFERROR(VLOOKUP($B77,MMWR_APP_STATE_PEN[],S$1,0),"ERROR")</f>
        <v>11</v>
      </c>
      <c r="T77" s="28"/>
    </row>
    <row r="78" spans="1:20" s="123" customFormat="1" x14ac:dyDescent="0.2">
      <c r="A78" s="28"/>
      <c r="B78" s="127" t="s">
        <v>374</v>
      </c>
      <c r="C78" s="109">
        <f>IFERROR(VLOOKUP($B78,MMWR_TRAD_AGG_STATE_PEN[],C$1,0),"ERROR")</f>
        <v>474</v>
      </c>
      <c r="D78" s="110">
        <f>IFERROR(VLOOKUP($B78,MMWR_TRAD_AGG_STATE_PEN[],D$1,0),"ERROR")</f>
        <v>101.3734177215</v>
      </c>
      <c r="E78" s="111">
        <f>IFERROR(VLOOKUP($B78,MMWR_TRAD_AGG_STATE_PEN[],E$1,0),"ERROR")</f>
        <v>779</v>
      </c>
      <c r="F78" s="112">
        <f>IFERROR(VLOOKUP($B78,MMWR_TRAD_AGG_STATE_PEN[],F$1,0),"ERROR")</f>
        <v>148</v>
      </c>
      <c r="G78" s="113">
        <f t="shared" si="8"/>
        <v>0.18998716302952504</v>
      </c>
      <c r="H78" s="111">
        <f>IFERROR(VLOOKUP($B78,MMWR_TRAD_AGG_STATE_PEN[],H$1,0),"ERROR")</f>
        <v>631</v>
      </c>
      <c r="I78" s="112">
        <f>IFERROR(VLOOKUP($B78,MMWR_TRAD_AGG_STATE_PEN[],I$1,0),"ERROR")</f>
        <v>185</v>
      </c>
      <c r="J78" s="114">
        <f t="shared" si="9"/>
        <v>0.29318541996830427</v>
      </c>
      <c r="K78" s="111">
        <f>IFERROR(VLOOKUP($B78,MMWR_TRAD_AGG_STATE_PEN[],K$1,0),"ERROR")</f>
        <v>1</v>
      </c>
      <c r="L78" s="112">
        <f>IFERROR(VLOOKUP($B78,MMWR_TRAD_AGG_STATE_PEN[],L$1,0),"ERROR")</f>
        <v>1</v>
      </c>
      <c r="M78" s="114">
        <f t="shared" si="10"/>
        <v>1</v>
      </c>
      <c r="N78" s="111">
        <f>IFERROR(VLOOKUP($B78,MMWR_TRAD_AGG_STATE_PEN[],N$1,0),"ERROR")</f>
        <v>42</v>
      </c>
      <c r="O78" s="112">
        <f>IFERROR(VLOOKUP($B78,MMWR_TRAD_AGG_STATE_PEN[],O$1,0),"ERROR")</f>
        <v>11</v>
      </c>
      <c r="P78" s="114">
        <f t="shared" si="11"/>
        <v>0.26190476190476192</v>
      </c>
      <c r="Q78" s="115">
        <f>IFERROR(VLOOKUP($B78,MMWR_TRAD_AGG_STATE_PEN[],Q$1,0),"ERROR")</f>
        <v>77</v>
      </c>
      <c r="R78" s="115">
        <f>IFERROR(VLOOKUP($B78,MMWR_TRAD_AGG_STATE_PEN[],R$1,0),"ERROR")</f>
        <v>164</v>
      </c>
      <c r="S78" s="115">
        <f>IFERROR(VLOOKUP($B78,MMWR_APP_STATE_PEN[],S$1,0),"ERROR")</f>
        <v>156</v>
      </c>
      <c r="T78" s="28"/>
    </row>
    <row r="79" spans="1:20" s="123" customFormat="1" x14ac:dyDescent="0.2">
      <c r="A79" s="28"/>
      <c r="B79" s="127" t="s">
        <v>60</v>
      </c>
      <c r="C79" s="109">
        <f>IFERROR(VLOOKUP($B79,MMWR_TRAD_AGG_STATE_PEN[],C$1,0),"ERROR")</f>
        <v>1162</v>
      </c>
      <c r="D79" s="110">
        <f>IFERROR(VLOOKUP($B79,MMWR_TRAD_AGG_STATE_PEN[],D$1,0),"ERROR")</f>
        <v>105.49569707400001</v>
      </c>
      <c r="E79" s="111">
        <f>IFERROR(VLOOKUP($B79,MMWR_TRAD_AGG_STATE_PEN[],E$1,0),"ERROR")</f>
        <v>2296</v>
      </c>
      <c r="F79" s="112">
        <f>IFERROR(VLOOKUP($B79,MMWR_TRAD_AGG_STATE_PEN[],F$1,0),"ERROR")</f>
        <v>465</v>
      </c>
      <c r="G79" s="113">
        <f t="shared" si="8"/>
        <v>0.20252613240418119</v>
      </c>
      <c r="H79" s="111">
        <f>IFERROR(VLOOKUP($B79,MMWR_TRAD_AGG_STATE_PEN[],H$1,0),"ERROR")</f>
        <v>1617</v>
      </c>
      <c r="I79" s="112">
        <f>IFERROR(VLOOKUP($B79,MMWR_TRAD_AGG_STATE_PEN[],I$1,0),"ERROR")</f>
        <v>534</v>
      </c>
      <c r="J79" s="114">
        <f t="shared" si="9"/>
        <v>0.33024118738404451</v>
      </c>
      <c r="K79" s="111">
        <f>IFERROR(VLOOKUP($B79,MMWR_TRAD_AGG_STATE_PEN[],K$1,0),"ERROR")</f>
        <v>10</v>
      </c>
      <c r="L79" s="112">
        <f>IFERROR(VLOOKUP($B79,MMWR_TRAD_AGG_STATE_PEN[],L$1,0),"ERROR")</f>
        <v>9</v>
      </c>
      <c r="M79" s="114">
        <f t="shared" si="10"/>
        <v>0.9</v>
      </c>
      <c r="N79" s="111">
        <f>IFERROR(VLOOKUP($B79,MMWR_TRAD_AGG_STATE_PEN[],N$1,0),"ERROR")</f>
        <v>52</v>
      </c>
      <c r="O79" s="112">
        <f>IFERROR(VLOOKUP($B79,MMWR_TRAD_AGG_STATE_PEN[],O$1,0),"ERROR")</f>
        <v>20</v>
      </c>
      <c r="P79" s="114">
        <f t="shared" si="11"/>
        <v>0.38461538461538464</v>
      </c>
      <c r="Q79" s="115">
        <f>IFERROR(VLOOKUP($B79,MMWR_TRAD_AGG_STATE_PEN[],Q$1,0),"ERROR")</f>
        <v>188</v>
      </c>
      <c r="R79" s="115">
        <f>IFERROR(VLOOKUP($B79,MMWR_TRAD_AGG_STATE_PEN[],R$1,0),"ERROR")</f>
        <v>297</v>
      </c>
      <c r="S79" s="115">
        <f>IFERROR(VLOOKUP($B79,MMWR_APP_STATE_PEN[],S$1,0),"ERROR")</f>
        <v>162</v>
      </c>
      <c r="T79" s="28"/>
    </row>
    <row r="80" spans="1:20" s="123" customFormat="1" x14ac:dyDescent="0.2">
      <c r="A80" s="28"/>
      <c r="B80" s="127" t="s">
        <v>382</v>
      </c>
      <c r="C80" s="109">
        <f>IFERROR(VLOOKUP($B80,MMWR_TRAD_AGG_STATE_PEN[],C$1,0),"ERROR")</f>
        <v>1665</v>
      </c>
      <c r="D80" s="110">
        <f>IFERROR(VLOOKUP($B80,MMWR_TRAD_AGG_STATE_PEN[],D$1,0),"ERROR")</f>
        <v>105.0012012012</v>
      </c>
      <c r="E80" s="111">
        <f>IFERROR(VLOOKUP($B80,MMWR_TRAD_AGG_STATE_PEN[],E$1,0),"ERROR")</f>
        <v>1558</v>
      </c>
      <c r="F80" s="112">
        <f>IFERROR(VLOOKUP($B80,MMWR_TRAD_AGG_STATE_PEN[],F$1,0),"ERROR")</f>
        <v>261</v>
      </c>
      <c r="G80" s="113">
        <f t="shared" si="8"/>
        <v>0.16752246469833118</v>
      </c>
      <c r="H80" s="111">
        <f>IFERROR(VLOOKUP($B80,MMWR_TRAD_AGG_STATE_PEN[],H$1,0),"ERROR")</f>
        <v>1992</v>
      </c>
      <c r="I80" s="112">
        <f>IFERROR(VLOOKUP($B80,MMWR_TRAD_AGG_STATE_PEN[],I$1,0),"ERROR")</f>
        <v>640</v>
      </c>
      <c r="J80" s="114">
        <f t="shared" si="9"/>
        <v>0.32128514056224899</v>
      </c>
      <c r="K80" s="111">
        <f>IFERROR(VLOOKUP($B80,MMWR_TRAD_AGG_STATE_PEN[],K$1,0),"ERROR")</f>
        <v>19</v>
      </c>
      <c r="L80" s="112">
        <f>IFERROR(VLOOKUP($B80,MMWR_TRAD_AGG_STATE_PEN[],L$1,0),"ERROR")</f>
        <v>18</v>
      </c>
      <c r="M80" s="114">
        <f t="shared" si="10"/>
        <v>0.94736842105263153</v>
      </c>
      <c r="N80" s="111">
        <f>IFERROR(VLOOKUP($B80,MMWR_TRAD_AGG_STATE_PEN[],N$1,0),"ERROR")</f>
        <v>105</v>
      </c>
      <c r="O80" s="112">
        <f>IFERROR(VLOOKUP($B80,MMWR_TRAD_AGG_STATE_PEN[],O$1,0),"ERROR")</f>
        <v>38</v>
      </c>
      <c r="P80" s="114">
        <f t="shared" si="11"/>
        <v>0.3619047619047619</v>
      </c>
      <c r="Q80" s="115">
        <f>IFERROR(VLOOKUP($B80,MMWR_TRAD_AGG_STATE_PEN[],Q$1,0),"ERROR")</f>
        <v>243</v>
      </c>
      <c r="R80" s="115">
        <f>IFERROR(VLOOKUP($B80,MMWR_TRAD_AGG_STATE_PEN[],R$1,0),"ERROR")</f>
        <v>381</v>
      </c>
      <c r="S80" s="115">
        <f>IFERROR(VLOOKUP($B80,MMWR_APP_STATE_PEN[],S$1,0),"ERROR")</f>
        <v>172</v>
      </c>
      <c r="T80" s="28"/>
    </row>
    <row r="81" spans="1:20" s="123" customFormat="1" x14ac:dyDescent="0.2">
      <c r="A81" s="28"/>
      <c r="B81" s="127" t="s">
        <v>375</v>
      </c>
      <c r="C81" s="109">
        <f>IFERROR(VLOOKUP($B81,MMWR_TRAD_AGG_STATE_PEN[],C$1,0),"ERROR")</f>
        <v>1664</v>
      </c>
      <c r="D81" s="110">
        <f>IFERROR(VLOOKUP($B81,MMWR_TRAD_AGG_STATE_PEN[],D$1,0),"ERROR")</f>
        <v>104.6862980769</v>
      </c>
      <c r="E81" s="111">
        <f>IFERROR(VLOOKUP($B81,MMWR_TRAD_AGG_STATE_PEN[],E$1,0),"ERROR")</f>
        <v>2792</v>
      </c>
      <c r="F81" s="112">
        <f>IFERROR(VLOOKUP($B81,MMWR_TRAD_AGG_STATE_PEN[],F$1,0),"ERROR")</f>
        <v>516</v>
      </c>
      <c r="G81" s="113">
        <f t="shared" si="8"/>
        <v>0.18481375358166188</v>
      </c>
      <c r="H81" s="111">
        <f>IFERROR(VLOOKUP($B81,MMWR_TRAD_AGG_STATE_PEN[],H$1,0),"ERROR")</f>
        <v>2275</v>
      </c>
      <c r="I81" s="112">
        <f>IFERROR(VLOOKUP($B81,MMWR_TRAD_AGG_STATE_PEN[],I$1,0),"ERROR")</f>
        <v>755</v>
      </c>
      <c r="J81" s="114">
        <f t="shared" si="9"/>
        <v>0.33186813186813185</v>
      </c>
      <c r="K81" s="111">
        <f>IFERROR(VLOOKUP($B81,MMWR_TRAD_AGG_STATE_PEN[],K$1,0),"ERROR")</f>
        <v>1</v>
      </c>
      <c r="L81" s="112">
        <f>IFERROR(VLOOKUP($B81,MMWR_TRAD_AGG_STATE_PEN[],L$1,0),"ERROR")</f>
        <v>1</v>
      </c>
      <c r="M81" s="114">
        <f t="shared" si="10"/>
        <v>1</v>
      </c>
      <c r="N81" s="111">
        <f>IFERROR(VLOOKUP($B81,MMWR_TRAD_AGG_STATE_PEN[],N$1,0),"ERROR")</f>
        <v>118</v>
      </c>
      <c r="O81" s="112">
        <f>IFERROR(VLOOKUP($B81,MMWR_TRAD_AGG_STATE_PEN[],O$1,0),"ERROR")</f>
        <v>19</v>
      </c>
      <c r="P81" s="114">
        <f t="shared" si="11"/>
        <v>0.16101694915254236</v>
      </c>
      <c r="Q81" s="115">
        <f>IFERROR(VLOOKUP($B81,MMWR_TRAD_AGG_STATE_PEN[],Q$1,0),"ERROR")</f>
        <v>170</v>
      </c>
      <c r="R81" s="115">
        <f>IFERROR(VLOOKUP($B81,MMWR_TRAD_AGG_STATE_PEN[],R$1,0),"ERROR")</f>
        <v>404</v>
      </c>
      <c r="S81" s="115">
        <f>IFERROR(VLOOKUP($B81,MMWR_APP_STATE_PEN[],S$1,0),"ERROR")</f>
        <v>180</v>
      </c>
      <c r="T81" s="28"/>
    </row>
    <row r="82" spans="1:20" s="123" customFormat="1" x14ac:dyDescent="0.2">
      <c r="A82" s="28"/>
      <c r="B82" s="127" t="s">
        <v>372</v>
      </c>
      <c r="C82" s="109">
        <f>IFERROR(VLOOKUP($B82,MMWR_TRAD_AGG_STATE_PEN[],C$1,0),"ERROR")</f>
        <v>96</v>
      </c>
      <c r="D82" s="110">
        <f>IFERROR(VLOOKUP($B82,MMWR_TRAD_AGG_STATE_PEN[],D$1,0),"ERROR")</f>
        <v>112.71875</v>
      </c>
      <c r="E82" s="111">
        <f>IFERROR(VLOOKUP($B82,MMWR_TRAD_AGG_STATE_PEN[],E$1,0),"ERROR")</f>
        <v>176</v>
      </c>
      <c r="F82" s="112">
        <f>IFERROR(VLOOKUP($B82,MMWR_TRAD_AGG_STATE_PEN[],F$1,0),"ERROR")</f>
        <v>28</v>
      </c>
      <c r="G82" s="113">
        <f t="shared" si="8"/>
        <v>0.15909090909090909</v>
      </c>
      <c r="H82" s="111">
        <f>IFERROR(VLOOKUP($B82,MMWR_TRAD_AGG_STATE_PEN[],H$1,0),"ERROR")</f>
        <v>120</v>
      </c>
      <c r="I82" s="112">
        <f>IFERROR(VLOOKUP($B82,MMWR_TRAD_AGG_STATE_PEN[],I$1,0),"ERROR")</f>
        <v>39</v>
      </c>
      <c r="J82" s="114">
        <f t="shared" si="9"/>
        <v>0.32500000000000001</v>
      </c>
      <c r="K82" s="111">
        <f>IFERROR(VLOOKUP($B82,MMWR_TRAD_AGG_STATE_PEN[],K$1,0),"ERROR")</f>
        <v>0</v>
      </c>
      <c r="L82" s="112">
        <f>IFERROR(VLOOKUP($B82,MMWR_TRAD_AGG_STATE_PEN[],L$1,0),"ERROR")</f>
        <v>0</v>
      </c>
      <c r="M82" s="114" t="str">
        <f t="shared" si="10"/>
        <v>0%</v>
      </c>
      <c r="N82" s="111">
        <f>IFERROR(VLOOKUP($B82,MMWR_TRAD_AGG_STATE_PEN[],N$1,0),"ERROR")</f>
        <v>18</v>
      </c>
      <c r="O82" s="112">
        <f>IFERROR(VLOOKUP($B82,MMWR_TRAD_AGG_STATE_PEN[],O$1,0),"ERROR")</f>
        <v>6</v>
      </c>
      <c r="P82" s="114">
        <f t="shared" si="11"/>
        <v>0.33333333333333331</v>
      </c>
      <c r="Q82" s="115">
        <f>IFERROR(VLOOKUP($B82,MMWR_TRAD_AGG_STATE_PEN[],Q$1,0),"ERROR")</f>
        <v>9</v>
      </c>
      <c r="R82" s="115">
        <f>IFERROR(VLOOKUP($B82,MMWR_TRAD_AGG_STATE_PEN[],R$1,0),"ERROR")</f>
        <v>22</v>
      </c>
      <c r="S82" s="115">
        <f>IFERROR(VLOOKUP($B82,MMWR_APP_STATE_PEN[],S$1,0),"ERROR")</f>
        <v>16</v>
      </c>
      <c r="T82" s="28"/>
    </row>
    <row r="83" spans="1:20" s="123" customFormat="1" x14ac:dyDescent="0.2">
      <c r="A83" s="28"/>
      <c r="B83" s="127" t="s">
        <v>417</v>
      </c>
      <c r="C83" s="109">
        <f>IFERROR(VLOOKUP($B83,MMWR_TRAD_AGG_STATE_PEN[],C$1,0),"ERROR")</f>
        <v>41</v>
      </c>
      <c r="D83" s="110">
        <f>IFERROR(VLOOKUP($B83,MMWR_TRAD_AGG_STATE_PEN[],D$1,0),"ERROR")</f>
        <v>90.756097561000004</v>
      </c>
      <c r="E83" s="111">
        <f>IFERROR(VLOOKUP($B83,MMWR_TRAD_AGG_STATE_PEN[],E$1,0),"ERROR")</f>
        <v>53</v>
      </c>
      <c r="F83" s="112">
        <f>IFERROR(VLOOKUP($B83,MMWR_TRAD_AGG_STATE_PEN[],F$1,0),"ERROR")</f>
        <v>8</v>
      </c>
      <c r="G83" s="113">
        <f t="shared" si="8"/>
        <v>0.15094339622641509</v>
      </c>
      <c r="H83" s="111">
        <f>IFERROR(VLOOKUP($B83,MMWR_TRAD_AGG_STATE_PEN[],H$1,0),"ERROR")</f>
        <v>50</v>
      </c>
      <c r="I83" s="112">
        <f>IFERROR(VLOOKUP($B83,MMWR_TRAD_AGG_STATE_PEN[],I$1,0),"ERROR")</f>
        <v>12</v>
      </c>
      <c r="J83" s="114">
        <f t="shared" si="9"/>
        <v>0.24</v>
      </c>
      <c r="K83" s="111">
        <f>IFERROR(VLOOKUP($B83,MMWR_TRAD_AGG_STATE_PEN[],K$1,0),"ERROR")</f>
        <v>0</v>
      </c>
      <c r="L83" s="112">
        <f>IFERROR(VLOOKUP($B83,MMWR_TRAD_AGG_STATE_PEN[],L$1,0),"ERROR")</f>
        <v>0</v>
      </c>
      <c r="M83" s="114" t="str">
        <f t="shared" si="10"/>
        <v>0%</v>
      </c>
      <c r="N83" s="111">
        <f>IFERROR(VLOOKUP($B83,MMWR_TRAD_AGG_STATE_PEN[],N$1,0),"ERROR")</f>
        <v>2</v>
      </c>
      <c r="O83" s="112">
        <f>IFERROR(VLOOKUP($B83,MMWR_TRAD_AGG_STATE_PEN[],O$1,0),"ERROR")</f>
        <v>1</v>
      </c>
      <c r="P83" s="114">
        <f t="shared" si="11"/>
        <v>0.5</v>
      </c>
      <c r="Q83" s="115">
        <f>IFERROR(VLOOKUP($B83,MMWR_TRAD_AGG_STATE_PEN[],Q$1,0),"ERROR")</f>
        <v>5</v>
      </c>
      <c r="R83" s="115">
        <f>IFERROR(VLOOKUP($B83,MMWR_TRAD_AGG_STATE_PEN[],R$1,0),"ERROR")</f>
        <v>8</v>
      </c>
      <c r="S83" s="115">
        <f>IFERROR(VLOOKUP($B83,MMWR_APP_STATE_PEN[],S$1,0),"ERROR")</f>
        <v>9</v>
      </c>
      <c r="T83" s="28"/>
    </row>
    <row r="84" spans="1:20" s="123" customFormat="1" x14ac:dyDescent="0.2">
      <c r="A84" s="28"/>
      <c r="B84" s="127" t="s">
        <v>378</v>
      </c>
      <c r="C84" s="109">
        <f>IFERROR(VLOOKUP($B84,MMWR_TRAD_AGG_STATE_PEN[],C$1,0),"ERROR")</f>
        <v>863</v>
      </c>
      <c r="D84" s="110">
        <f>IFERROR(VLOOKUP($B84,MMWR_TRAD_AGG_STATE_PEN[],D$1,0),"ERROR")</f>
        <v>104.9188876014</v>
      </c>
      <c r="E84" s="111">
        <f>IFERROR(VLOOKUP($B84,MMWR_TRAD_AGG_STATE_PEN[],E$1,0),"ERROR")</f>
        <v>939</v>
      </c>
      <c r="F84" s="112">
        <f>IFERROR(VLOOKUP($B84,MMWR_TRAD_AGG_STATE_PEN[],F$1,0),"ERROR")</f>
        <v>132</v>
      </c>
      <c r="G84" s="113">
        <f t="shared" si="8"/>
        <v>0.14057507987220447</v>
      </c>
      <c r="H84" s="111">
        <f>IFERROR(VLOOKUP($B84,MMWR_TRAD_AGG_STATE_PEN[],H$1,0),"ERROR")</f>
        <v>1180</v>
      </c>
      <c r="I84" s="112">
        <f>IFERROR(VLOOKUP($B84,MMWR_TRAD_AGG_STATE_PEN[],I$1,0),"ERROR")</f>
        <v>383</v>
      </c>
      <c r="J84" s="114">
        <f t="shared" si="9"/>
        <v>0.32457627118644067</v>
      </c>
      <c r="K84" s="111">
        <f>IFERROR(VLOOKUP($B84,MMWR_TRAD_AGG_STATE_PEN[],K$1,0),"ERROR")</f>
        <v>134</v>
      </c>
      <c r="L84" s="112">
        <f>IFERROR(VLOOKUP($B84,MMWR_TRAD_AGG_STATE_PEN[],L$1,0),"ERROR")</f>
        <v>133</v>
      </c>
      <c r="M84" s="114">
        <f t="shared" si="10"/>
        <v>0.9925373134328358</v>
      </c>
      <c r="N84" s="111">
        <f>IFERROR(VLOOKUP($B84,MMWR_TRAD_AGG_STATE_PEN[],N$1,0),"ERROR")</f>
        <v>58</v>
      </c>
      <c r="O84" s="112">
        <f>IFERROR(VLOOKUP($B84,MMWR_TRAD_AGG_STATE_PEN[],O$1,0),"ERROR")</f>
        <v>19</v>
      </c>
      <c r="P84" s="114">
        <f t="shared" si="11"/>
        <v>0.32758620689655171</v>
      </c>
      <c r="Q84" s="115">
        <f>IFERROR(VLOOKUP($B84,MMWR_TRAD_AGG_STATE_PEN[],Q$1,0),"ERROR")</f>
        <v>200</v>
      </c>
      <c r="R84" s="115">
        <f>IFERROR(VLOOKUP($B84,MMWR_TRAD_AGG_STATE_PEN[],R$1,0),"ERROR")</f>
        <v>272</v>
      </c>
      <c r="S84" s="115">
        <f>IFERROR(VLOOKUP($B84,MMWR_APP_STATE_PEN[],S$1,0),"ERROR")</f>
        <v>138</v>
      </c>
      <c r="T84" s="28"/>
    </row>
    <row r="85" spans="1:20" s="123" customFormat="1" x14ac:dyDescent="0.2">
      <c r="A85" s="28"/>
      <c r="B85" s="127" t="s">
        <v>379</v>
      </c>
      <c r="C85" s="109">
        <f>IFERROR(VLOOKUP($B85,MMWR_TRAD_AGG_STATE_PEN[],C$1,0),"ERROR")</f>
        <v>305</v>
      </c>
      <c r="D85" s="110">
        <f>IFERROR(VLOOKUP($B85,MMWR_TRAD_AGG_STATE_PEN[],D$1,0),"ERROR")</f>
        <v>101.0819672131</v>
      </c>
      <c r="E85" s="111">
        <f>IFERROR(VLOOKUP($B85,MMWR_TRAD_AGG_STATE_PEN[],E$1,0),"ERROR")</f>
        <v>262</v>
      </c>
      <c r="F85" s="112">
        <f>IFERROR(VLOOKUP($B85,MMWR_TRAD_AGG_STATE_PEN[],F$1,0),"ERROR")</f>
        <v>61</v>
      </c>
      <c r="G85" s="113">
        <f t="shared" si="8"/>
        <v>0.23282442748091603</v>
      </c>
      <c r="H85" s="111">
        <f>IFERROR(VLOOKUP($B85,MMWR_TRAD_AGG_STATE_PEN[],H$1,0),"ERROR")</f>
        <v>395</v>
      </c>
      <c r="I85" s="112">
        <f>IFERROR(VLOOKUP($B85,MMWR_TRAD_AGG_STATE_PEN[],I$1,0),"ERROR")</f>
        <v>112</v>
      </c>
      <c r="J85" s="114">
        <f t="shared" si="9"/>
        <v>0.28354430379746837</v>
      </c>
      <c r="K85" s="111">
        <f>IFERROR(VLOOKUP($B85,MMWR_TRAD_AGG_STATE_PEN[],K$1,0),"ERROR")</f>
        <v>0</v>
      </c>
      <c r="L85" s="112">
        <f>IFERROR(VLOOKUP($B85,MMWR_TRAD_AGG_STATE_PEN[],L$1,0),"ERROR")</f>
        <v>0</v>
      </c>
      <c r="M85" s="114" t="str">
        <f t="shared" si="10"/>
        <v>0%</v>
      </c>
      <c r="N85" s="111">
        <f>IFERROR(VLOOKUP($B85,MMWR_TRAD_AGG_STATE_PEN[],N$1,0),"ERROR")</f>
        <v>22</v>
      </c>
      <c r="O85" s="112">
        <f>IFERROR(VLOOKUP($B85,MMWR_TRAD_AGG_STATE_PEN[],O$1,0),"ERROR")</f>
        <v>8</v>
      </c>
      <c r="P85" s="114">
        <f t="shared" si="11"/>
        <v>0.36363636363636365</v>
      </c>
      <c r="Q85" s="115">
        <f>IFERROR(VLOOKUP($B85,MMWR_TRAD_AGG_STATE_PEN[],Q$1,0),"ERROR")</f>
        <v>55</v>
      </c>
      <c r="R85" s="115">
        <f>IFERROR(VLOOKUP($B85,MMWR_TRAD_AGG_STATE_PEN[],R$1,0),"ERROR")</f>
        <v>73</v>
      </c>
      <c r="S85" s="115">
        <f>IFERROR(VLOOKUP($B85,MMWR_APP_STATE_PEN[],S$1,0),"ERROR")</f>
        <v>50</v>
      </c>
      <c r="T85" s="28"/>
    </row>
    <row r="86" spans="1:20" s="123" customFormat="1" x14ac:dyDescent="0.2">
      <c r="A86" s="28"/>
      <c r="B86" s="126" t="s">
        <v>390</v>
      </c>
      <c r="C86" s="102">
        <f>IFERROR(VLOOKUP($B86,MMWR_TRAD_AGG_ST_DISTRICT_PEN[],C$1,0),"ERROR")</f>
        <v>4267</v>
      </c>
      <c r="D86" s="103">
        <f>IFERROR(VLOOKUP($B86,MMWR_TRAD_AGG_ST_DISTRICT_PEN[],D$1,0),"ERROR")</f>
        <v>74.902976330000001</v>
      </c>
      <c r="E86" s="102">
        <f>IFERROR(VLOOKUP($B86,MMWR_TRAD_AGG_ST_DISTRICT_PEN[],E$1,0),"ERROR")</f>
        <v>5460</v>
      </c>
      <c r="F86" s="102">
        <f>IFERROR(VLOOKUP($B86,MMWR_TRAD_AGG_ST_DISTRICT_PEN[],F$1,0),"ERROR")</f>
        <v>455</v>
      </c>
      <c r="G86" s="104">
        <f t="shared" si="8"/>
        <v>8.3333333333333329E-2</v>
      </c>
      <c r="H86" s="102">
        <f>IFERROR(VLOOKUP($B86,MMWR_TRAD_AGG_ST_DISTRICT_PEN[],H$1,0),"ERROR")</f>
        <v>5590</v>
      </c>
      <c r="I86" s="102">
        <f>IFERROR(VLOOKUP($B86,MMWR_TRAD_AGG_ST_DISTRICT_PEN[],I$1,0),"ERROR")</f>
        <v>533</v>
      </c>
      <c r="J86" s="104">
        <f t="shared" si="9"/>
        <v>9.5348837209302331E-2</v>
      </c>
      <c r="K86" s="102">
        <f>IFERROR(VLOOKUP($B86,MMWR_TRAD_AGG_ST_DISTRICT_PEN[],K$1,0),"ERROR")</f>
        <v>15</v>
      </c>
      <c r="L86" s="102">
        <f>IFERROR(VLOOKUP($B86,MMWR_TRAD_AGG_ST_DISTRICT_PEN[],L$1,0),"ERROR")</f>
        <v>11</v>
      </c>
      <c r="M86" s="104">
        <f t="shared" si="10"/>
        <v>0.73333333333333328</v>
      </c>
      <c r="N86" s="102">
        <f>IFERROR(VLOOKUP($B86,MMWR_TRAD_AGG_ST_DISTRICT_PEN[],N$1,0),"ERROR")</f>
        <v>404</v>
      </c>
      <c r="O86" s="102">
        <f>IFERROR(VLOOKUP($B86,MMWR_TRAD_AGG_ST_DISTRICT_PEN[],O$1,0),"ERROR")</f>
        <v>83</v>
      </c>
      <c r="P86" s="104">
        <f t="shared" si="11"/>
        <v>0.20544554455445543</v>
      </c>
      <c r="Q86" s="102">
        <f>IFERROR(VLOOKUP($B86,MMWR_TRAD_AGG_ST_DISTRICT_PEN[],Q$1,0),"ERROR")</f>
        <v>2399</v>
      </c>
      <c r="R86" s="106">
        <f>IFERROR(VLOOKUP($B86,MMWR_TRAD_AGG_ST_DISTRICT_PEN[],R$1,0),"ERROR")</f>
        <v>676</v>
      </c>
      <c r="S86" s="106">
        <f>IFERROR(VLOOKUP($B86,MMWR_APP_STATE_PEN[],S$1,0),"ERROR")</f>
        <v>1433</v>
      </c>
      <c r="T86" s="28"/>
    </row>
    <row r="87" spans="1:20" s="123" customFormat="1" x14ac:dyDescent="0.2">
      <c r="A87" s="28"/>
      <c r="B87" s="127" t="s">
        <v>394</v>
      </c>
      <c r="C87" s="109">
        <f>IFERROR(VLOOKUP($B87,MMWR_TRAD_AGG_STATE_PEN[],C$1,0),"ERROR")</f>
        <v>577</v>
      </c>
      <c r="D87" s="110">
        <f>IFERROR(VLOOKUP($B87,MMWR_TRAD_AGG_STATE_PEN[],D$1,0),"ERROR")</f>
        <v>87.656845753900001</v>
      </c>
      <c r="E87" s="111">
        <f>IFERROR(VLOOKUP($B87,MMWR_TRAD_AGG_STATE_PEN[],E$1,0),"ERROR")</f>
        <v>779</v>
      </c>
      <c r="F87" s="112">
        <f>IFERROR(VLOOKUP($B87,MMWR_TRAD_AGG_STATE_PEN[],F$1,0),"ERROR")</f>
        <v>79</v>
      </c>
      <c r="G87" s="113">
        <f t="shared" si="8"/>
        <v>0.10141206675224647</v>
      </c>
      <c r="H87" s="111">
        <f>IFERROR(VLOOKUP($B87,MMWR_TRAD_AGG_STATE_PEN[],H$1,0),"ERROR")</f>
        <v>736</v>
      </c>
      <c r="I87" s="112">
        <f>IFERROR(VLOOKUP($B87,MMWR_TRAD_AGG_STATE_PEN[],I$1,0),"ERROR")</f>
        <v>85</v>
      </c>
      <c r="J87" s="114">
        <f t="shared" si="9"/>
        <v>0.11548913043478261</v>
      </c>
      <c r="K87" s="111">
        <f>IFERROR(VLOOKUP($B87,MMWR_TRAD_AGG_STATE_PEN[],K$1,0),"ERROR")</f>
        <v>1</v>
      </c>
      <c r="L87" s="112">
        <f>IFERROR(VLOOKUP($B87,MMWR_TRAD_AGG_STATE_PEN[],L$1,0),"ERROR")</f>
        <v>0</v>
      </c>
      <c r="M87" s="114">
        <f t="shared" si="10"/>
        <v>0</v>
      </c>
      <c r="N87" s="111">
        <f>IFERROR(VLOOKUP($B87,MMWR_TRAD_AGG_STATE_PEN[],N$1,0),"ERROR")</f>
        <v>54</v>
      </c>
      <c r="O87" s="112">
        <f>IFERROR(VLOOKUP($B87,MMWR_TRAD_AGG_STATE_PEN[],O$1,0),"ERROR")</f>
        <v>10</v>
      </c>
      <c r="P87" s="114">
        <f t="shared" si="11"/>
        <v>0.18518518518518517</v>
      </c>
      <c r="Q87" s="115">
        <f>IFERROR(VLOOKUP($B87,MMWR_TRAD_AGG_STATE_PEN[],Q$1,0),"ERROR")</f>
        <v>97</v>
      </c>
      <c r="R87" s="115">
        <f>IFERROR(VLOOKUP($B87,MMWR_TRAD_AGG_STATE_PEN[],R$1,0),"ERROR")</f>
        <v>137</v>
      </c>
      <c r="S87" s="115">
        <f>IFERROR(VLOOKUP($B87,MMWR_APP_STATE_PEN[],S$1,0),"ERROR")</f>
        <v>322</v>
      </c>
      <c r="T87" s="28"/>
    </row>
    <row r="88" spans="1:20" s="123" customFormat="1" x14ac:dyDescent="0.2">
      <c r="A88" s="28"/>
      <c r="B88" s="127" t="s">
        <v>392</v>
      </c>
      <c r="C88" s="109">
        <f>IFERROR(VLOOKUP($B88,MMWR_TRAD_AGG_STATE_PEN[],C$1,0),"ERROR")</f>
        <v>358</v>
      </c>
      <c r="D88" s="110">
        <f>IFERROR(VLOOKUP($B88,MMWR_TRAD_AGG_STATE_PEN[],D$1,0),"ERROR")</f>
        <v>78.262569832400004</v>
      </c>
      <c r="E88" s="111">
        <f>IFERROR(VLOOKUP($B88,MMWR_TRAD_AGG_STATE_PEN[],E$1,0),"ERROR")</f>
        <v>530</v>
      </c>
      <c r="F88" s="112">
        <f>IFERROR(VLOOKUP($B88,MMWR_TRAD_AGG_STATE_PEN[],F$1,0),"ERROR")</f>
        <v>58</v>
      </c>
      <c r="G88" s="113">
        <f t="shared" si="8"/>
        <v>0.10943396226415095</v>
      </c>
      <c r="H88" s="111">
        <f>IFERROR(VLOOKUP($B88,MMWR_TRAD_AGG_STATE_PEN[],H$1,0),"ERROR")</f>
        <v>496</v>
      </c>
      <c r="I88" s="112">
        <f>IFERROR(VLOOKUP($B88,MMWR_TRAD_AGG_STATE_PEN[],I$1,0),"ERROR")</f>
        <v>65</v>
      </c>
      <c r="J88" s="114">
        <f t="shared" si="9"/>
        <v>0.13104838709677419</v>
      </c>
      <c r="K88" s="111">
        <f>IFERROR(VLOOKUP($B88,MMWR_TRAD_AGG_STATE_PEN[],K$1,0),"ERROR")</f>
        <v>2</v>
      </c>
      <c r="L88" s="112">
        <f>IFERROR(VLOOKUP($B88,MMWR_TRAD_AGG_STATE_PEN[],L$1,0),"ERROR")</f>
        <v>2</v>
      </c>
      <c r="M88" s="114">
        <f t="shared" si="10"/>
        <v>1</v>
      </c>
      <c r="N88" s="111">
        <f>IFERROR(VLOOKUP($B88,MMWR_TRAD_AGG_STATE_PEN[],N$1,0),"ERROR")</f>
        <v>43</v>
      </c>
      <c r="O88" s="112">
        <f>IFERROR(VLOOKUP($B88,MMWR_TRAD_AGG_STATE_PEN[],O$1,0),"ERROR")</f>
        <v>16</v>
      </c>
      <c r="P88" s="114">
        <f t="shared" si="11"/>
        <v>0.37209302325581395</v>
      </c>
      <c r="Q88" s="115">
        <f>IFERROR(VLOOKUP($B88,MMWR_TRAD_AGG_STATE_PEN[],Q$1,0),"ERROR")</f>
        <v>61</v>
      </c>
      <c r="R88" s="115">
        <f>IFERROR(VLOOKUP($B88,MMWR_TRAD_AGG_STATE_PEN[],R$1,0),"ERROR")</f>
        <v>76</v>
      </c>
      <c r="S88" s="115">
        <f>IFERROR(VLOOKUP($B88,MMWR_APP_STATE_PEN[],S$1,0),"ERROR")</f>
        <v>137</v>
      </c>
      <c r="T88" s="28"/>
    </row>
    <row r="89" spans="1:20" s="123" customFormat="1" x14ac:dyDescent="0.2">
      <c r="A89" s="28"/>
      <c r="B89" s="127" t="s">
        <v>399</v>
      </c>
      <c r="C89" s="109">
        <f>IFERROR(VLOOKUP($B89,MMWR_TRAD_AGG_STATE_PEN[],C$1,0),"ERROR")</f>
        <v>262</v>
      </c>
      <c r="D89" s="110">
        <f>IFERROR(VLOOKUP($B89,MMWR_TRAD_AGG_STATE_PEN[],D$1,0),"ERROR")</f>
        <v>62.748091603100001</v>
      </c>
      <c r="E89" s="111">
        <f>IFERROR(VLOOKUP($B89,MMWR_TRAD_AGG_STATE_PEN[],E$1,0),"ERROR")</f>
        <v>295</v>
      </c>
      <c r="F89" s="112">
        <f>IFERROR(VLOOKUP($B89,MMWR_TRAD_AGG_STATE_PEN[],F$1,0),"ERROR")</f>
        <v>6</v>
      </c>
      <c r="G89" s="113">
        <f t="shared" si="8"/>
        <v>2.0338983050847456E-2</v>
      </c>
      <c r="H89" s="111">
        <f>IFERROR(VLOOKUP($B89,MMWR_TRAD_AGG_STATE_PEN[],H$1,0),"ERROR")</f>
        <v>336</v>
      </c>
      <c r="I89" s="112">
        <f>IFERROR(VLOOKUP($B89,MMWR_TRAD_AGG_STATE_PEN[],I$1,0),"ERROR")</f>
        <v>12</v>
      </c>
      <c r="J89" s="114">
        <f t="shared" si="9"/>
        <v>3.5714285714285712E-2</v>
      </c>
      <c r="K89" s="111">
        <f>IFERROR(VLOOKUP($B89,MMWR_TRAD_AGG_STATE_PEN[],K$1,0),"ERROR")</f>
        <v>0</v>
      </c>
      <c r="L89" s="112">
        <f>IFERROR(VLOOKUP($B89,MMWR_TRAD_AGG_STATE_PEN[],L$1,0),"ERROR")</f>
        <v>0</v>
      </c>
      <c r="M89" s="114" t="str">
        <f t="shared" si="10"/>
        <v>0%</v>
      </c>
      <c r="N89" s="111">
        <f>IFERROR(VLOOKUP($B89,MMWR_TRAD_AGG_STATE_PEN[],N$1,0),"ERROR")</f>
        <v>9</v>
      </c>
      <c r="O89" s="112">
        <f>IFERROR(VLOOKUP($B89,MMWR_TRAD_AGG_STATE_PEN[],O$1,0),"ERROR")</f>
        <v>2</v>
      </c>
      <c r="P89" s="114">
        <f t="shared" si="11"/>
        <v>0.22222222222222221</v>
      </c>
      <c r="Q89" s="115">
        <f>IFERROR(VLOOKUP($B89,MMWR_TRAD_AGG_STATE_PEN[],Q$1,0),"ERROR")</f>
        <v>367</v>
      </c>
      <c r="R89" s="115">
        <f>IFERROR(VLOOKUP($B89,MMWR_TRAD_AGG_STATE_PEN[],R$1,0),"ERROR")</f>
        <v>30</v>
      </c>
      <c r="S89" s="115">
        <f>IFERROR(VLOOKUP($B89,MMWR_APP_STATE_PEN[],S$1,0),"ERROR")</f>
        <v>35</v>
      </c>
      <c r="T89" s="28"/>
    </row>
    <row r="90" spans="1:20" s="123" customFormat="1" x14ac:dyDescent="0.2">
      <c r="A90" s="28"/>
      <c r="B90" s="127" t="s">
        <v>422</v>
      </c>
      <c r="C90" s="109">
        <f>IFERROR(VLOOKUP($B90,MMWR_TRAD_AGG_STATE_PEN[],C$1,0),"ERROR")</f>
        <v>176</v>
      </c>
      <c r="D90" s="110">
        <f>IFERROR(VLOOKUP($B90,MMWR_TRAD_AGG_STATE_PEN[],D$1,0),"ERROR")</f>
        <v>69.607954545499993</v>
      </c>
      <c r="E90" s="111">
        <f>IFERROR(VLOOKUP($B90,MMWR_TRAD_AGG_STATE_PEN[],E$1,0),"ERROR")</f>
        <v>222</v>
      </c>
      <c r="F90" s="112">
        <f>IFERROR(VLOOKUP($B90,MMWR_TRAD_AGG_STATE_PEN[],F$1,0),"ERROR")</f>
        <v>6</v>
      </c>
      <c r="G90" s="113">
        <f t="shared" si="8"/>
        <v>2.7027027027027029E-2</v>
      </c>
      <c r="H90" s="111">
        <f>IFERROR(VLOOKUP($B90,MMWR_TRAD_AGG_STATE_PEN[],H$1,0),"ERROR")</f>
        <v>234</v>
      </c>
      <c r="I90" s="112">
        <f>IFERROR(VLOOKUP($B90,MMWR_TRAD_AGG_STATE_PEN[],I$1,0),"ERROR")</f>
        <v>21</v>
      </c>
      <c r="J90" s="114">
        <f t="shared" si="9"/>
        <v>8.9743589743589744E-2</v>
      </c>
      <c r="K90" s="111">
        <f>IFERROR(VLOOKUP($B90,MMWR_TRAD_AGG_STATE_PEN[],K$1,0),"ERROR")</f>
        <v>0</v>
      </c>
      <c r="L90" s="112">
        <f>IFERROR(VLOOKUP($B90,MMWR_TRAD_AGG_STATE_PEN[],L$1,0),"ERROR")</f>
        <v>0</v>
      </c>
      <c r="M90" s="114" t="str">
        <f t="shared" si="10"/>
        <v>0%</v>
      </c>
      <c r="N90" s="111">
        <f>IFERROR(VLOOKUP($B90,MMWR_TRAD_AGG_STATE_PEN[],N$1,0),"ERROR")</f>
        <v>10</v>
      </c>
      <c r="O90" s="112">
        <f>IFERROR(VLOOKUP($B90,MMWR_TRAD_AGG_STATE_PEN[],O$1,0),"ERROR")</f>
        <v>2</v>
      </c>
      <c r="P90" s="114">
        <f t="shared" si="11"/>
        <v>0.2</v>
      </c>
      <c r="Q90" s="115">
        <f>IFERROR(VLOOKUP($B90,MMWR_TRAD_AGG_STATE_PEN[],Q$1,0),"ERROR")</f>
        <v>172</v>
      </c>
      <c r="R90" s="115">
        <f>IFERROR(VLOOKUP($B90,MMWR_TRAD_AGG_STATE_PEN[],R$1,0),"ERROR")</f>
        <v>32</v>
      </c>
      <c r="S90" s="115">
        <f>IFERROR(VLOOKUP($B90,MMWR_APP_STATE_PEN[],S$1,0),"ERROR")</f>
        <v>28</v>
      </c>
      <c r="T90" s="28"/>
    </row>
    <row r="91" spans="1:20" s="123" customFormat="1" x14ac:dyDescent="0.2">
      <c r="A91" s="28"/>
      <c r="B91" s="127" t="s">
        <v>395</v>
      </c>
      <c r="C91" s="109">
        <f>IFERROR(VLOOKUP($B91,MMWR_TRAD_AGG_STATE_PEN[],C$1,0),"ERROR")</f>
        <v>671</v>
      </c>
      <c r="D91" s="110">
        <f>IFERROR(VLOOKUP($B91,MMWR_TRAD_AGG_STATE_PEN[],D$1,0),"ERROR")</f>
        <v>65.965722801799998</v>
      </c>
      <c r="E91" s="111">
        <f>IFERROR(VLOOKUP($B91,MMWR_TRAD_AGG_STATE_PEN[],E$1,0),"ERROR")</f>
        <v>989</v>
      </c>
      <c r="F91" s="112">
        <f>IFERROR(VLOOKUP($B91,MMWR_TRAD_AGG_STATE_PEN[],F$1,0),"ERROR")</f>
        <v>93</v>
      </c>
      <c r="G91" s="113">
        <f t="shared" si="8"/>
        <v>9.4034378159757334E-2</v>
      </c>
      <c r="H91" s="111">
        <f>IFERROR(VLOOKUP($B91,MMWR_TRAD_AGG_STATE_PEN[],H$1,0),"ERROR")</f>
        <v>875</v>
      </c>
      <c r="I91" s="112">
        <f>IFERROR(VLOOKUP($B91,MMWR_TRAD_AGG_STATE_PEN[],I$1,0),"ERROR")</f>
        <v>86</v>
      </c>
      <c r="J91" s="114">
        <f t="shared" si="9"/>
        <v>9.8285714285714282E-2</v>
      </c>
      <c r="K91" s="111">
        <f>IFERROR(VLOOKUP($B91,MMWR_TRAD_AGG_STATE_PEN[],K$1,0),"ERROR")</f>
        <v>1</v>
      </c>
      <c r="L91" s="112">
        <f>IFERROR(VLOOKUP($B91,MMWR_TRAD_AGG_STATE_PEN[],L$1,0),"ERROR")</f>
        <v>1</v>
      </c>
      <c r="M91" s="114">
        <f t="shared" si="10"/>
        <v>1</v>
      </c>
      <c r="N91" s="111">
        <f>IFERROR(VLOOKUP($B91,MMWR_TRAD_AGG_STATE_PEN[],N$1,0),"ERROR")</f>
        <v>75</v>
      </c>
      <c r="O91" s="112">
        <f>IFERROR(VLOOKUP($B91,MMWR_TRAD_AGG_STATE_PEN[],O$1,0),"ERROR")</f>
        <v>13</v>
      </c>
      <c r="P91" s="114">
        <f t="shared" si="11"/>
        <v>0.17333333333333334</v>
      </c>
      <c r="Q91" s="115">
        <f>IFERROR(VLOOKUP($B91,MMWR_TRAD_AGG_STATE_PEN[],Q$1,0),"ERROR")</f>
        <v>128</v>
      </c>
      <c r="R91" s="115">
        <f>IFERROR(VLOOKUP($B91,MMWR_TRAD_AGG_STATE_PEN[],R$1,0),"ERROR")</f>
        <v>90</v>
      </c>
      <c r="S91" s="115">
        <f>IFERROR(VLOOKUP($B91,MMWR_APP_STATE_PEN[],S$1,0),"ERROR")</f>
        <v>242</v>
      </c>
      <c r="T91" s="28"/>
    </row>
    <row r="92" spans="1:20" s="123" customFormat="1" x14ac:dyDescent="0.2">
      <c r="A92" s="28"/>
      <c r="B92" s="127" t="s">
        <v>401</v>
      </c>
      <c r="C92" s="109">
        <f>IFERROR(VLOOKUP($B92,MMWR_TRAD_AGG_STATE_PEN[],C$1,0),"ERROR")</f>
        <v>377</v>
      </c>
      <c r="D92" s="110">
        <f>IFERROR(VLOOKUP($B92,MMWR_TRAD_AGG_STATE_PEN[],D$1,0),"ERROR")</f>
        <v>99.360742705600003</v>
      </c>
      <c r="E92" s="111">
        <f>IFERROR(VLOOKUP($B92,MMWR_TRAD_AGG_STATE_PEN[],E$1,0),"ERROR")</f>
        <v>297</v>
      </c>
      <c r="F92" s="112">
        <f>IFERROR(VLOOKUP($B92,MMWR_TRAD_AGG_STATE_PEN[],F$1,0),"ERROR")</f>
        <v>2</v>
      </c>
      <c r="G92" s="113">
        <f t="shared" si="8"/>
        <v>6.7340067340067337E-3</v>
      </c>
      <c r="H92" s="111">
        <f>IFERROR(VLOOKUP($B92,MMWR_TRAD_AGG_STATE_PEN[],H$1,0),"ERROR")</f>
        <v>438</v>
      </c>
      <c r="I92" s="112">
        <f>IFERROR(VLOOKUP($B92,MMWR_TRAD_AGG_STATE_PEN[],I$1,0),"ERROR")</f>
        <v>26</v>
      </c>
      <c r="J92" s="114">
        <f t="shared" si="9"/>
        <v>5.9360730593607303E-2</v>
      </c>
      <c r="K92" s="111">
        <f>IFERROR(VLOOKUP($B92,MMWR_TRAD_AGG_STATE_PEN[],K$1,0),"ERROR")</f>
        <v>1</v>
      </c>
      <c r="L92" s="112">
        <f>IFERROR(VLOOKUP($B92,MMWR_TRAD_AGG_STATE_PEN[],L$1,0),"ERROR")</f>
        <v>1</v>
      </c>
      <c r="M92" s="114">
        <f t="shared" si="10"/>
        <v>1</v>
      </c>
      <c r="N92" s="111">
        <f>IFERROR(VLOOKUP($B92,MMWR_TRAD_AGG_STATE_PEN[],N$1,0),"ERROR")</f>
        <v>17</v>
      </c>
      <c r="O92" s="112">
        <f>IFERROR(VLOOKUP($B92,MMWR_TRAD_AGG_STATE_PEN[],O$1,0),"ERROR")</f>
        <v>4</v>
      </c>
      <c r="P92" s="114">
        <f t="shared" si="11"/>
        <v>0.23529411764705882</v>
      </c>
      <c r="Q92" s="115">
        <f>IFERROR(VLOOKUP($B92,MMWR_TRAD_AGG_STATE_PEN[],Q$1,0),"ERROR")</f>
        <v>824</v>
      </c>
      <c r="R92" s="115">
        <f>IFERROR(VLOOKUP($B92,MMWR_TRAD_AGG_STATE_PEN[],R$1,0),"ERROR")</f>
        <v>61</v>
      </c>
      <c r="S92" s="115">
        <f>IFERROR(VLOOKUP($B92,MMWR_APP_STATE_PEN[],S$1,0),"ERROR")</f>
        <v>30</v>
      </c>
      <c r="T92" s="28"/>
    </row>
    <row r="93" spans="1:20" s="123" customFormat="1" x14ac:dyDescent="0.2">
      <c r="A93" s="28"/>
      <c r="B93" s="127" t="s">
        <v>397</v>
      </c>
      <c r="C93" s="109">
        <f>IFERROR(VLOOKUP($B93,MMWR_TRAD_AGG_STATE_PEN[],C$1,0),"ERROR")</f>
        <v>584</v>
      </c>
      <c r="D93" s="110">
        <f>IFERROR(VLOOKUP($B93,MMWR_TRAD_AGG_STATE_PEN[],D$1,0),"ERROR")</f>
        <v>71.395547945199993</v>
      </c>
      <c r="E93" s="111">
        <f>IFERROR(VLOOKUP($B93,MMWR_TRAD_AGG_STATE_PEN[],E$1,0),"ERROR")</f>
        <v>637</v>
      </c>
      <c r="F93" s="112">
        <f>IFERROR(VLOOKUP($B93,MMWR_TRAD_AGG_STATE_PEN[],F$1,0),"ERROR")</f>
        <v>74</v>
      </c>
      <c r="G93" s="113">
        <f t="shared" si="8"/>
        <v>0.11616954474097331</v>
      </c>
      <c r="H93" s="111">
        <f>IFERROR(VLOOKUP($B93,MMWR_TRAD_AGG_STATE_PEN[],H$1,0),"ERROR")</f>
        <v>754</v>
      </c>
      <c r="I93" s="112">
        <f>IFERROR(VLOOKUP($B93,MMWR_TRAD_AGG_STATE_PEN[],I$1,0),"ERROR")</f>
        <v>68</v>
      </c>
      <c r="J93" s="114">
        <f t="shared" si="9"/>
        <v>9.0185676392572939E-2</v>
      </c>
      <c r="K93" s="111">
        <f>IFERROR(VLOOKUP($B93,MMWR_TRAD_AGG_STATE_PEN[],K$1,0),"ERROR")</f>
        <v>3</v>
      </c>
      <c r="L93" s="112">
        <f>IFERROR(VLOOKUP($B93,MMWR_TRAD_AGG_STATE_PEN[],L$1,0),"ERROR")</f>
        <v>2</v>
      </c>
      <c r="M93" s="114">
        <f t="shared" si="10"/>
        <v>0.66666666666666663</v>
      </c>
      <c r="N93" s="111">
        <f>IFERROR(VLOOKUP($B93,MMWR_TRAD_AGG_STATE_PEN[],N$1,0),"ERROR")</f>
        <v>47</v>
      </c>
      <c r="O93" s="112">
        <f>IFERROR(VLOOKUP($B93,MMWR_TRAD_AGG_STATE_PEN[],O$1,0),"ERROR")</f>
        <v>13</v>
      </c>
      <c r="P93" s="114">
        <f t="shared" si="11"/>
        <v>0.27659574468085107</v>
      </c>
      <c r="Q93" s="115">
        <f>IFERROR(VLOOKUP($B93,MMWR_TRAD_AGG_STATE_PEN[],Q$1,0),"ERROR")</f>
        <v>107</v>
      </c>
      <c r="R93" s="115">
        <f>IFERROR(VLOOKUP($B93,MMWR_TRAD_AGG_STATE_PEN[],R$1,0),"ERROR")</f>
        <v>61</v>
      </c>
      <c r="S93" s="115">
        <f>IFERROR(VLOOKUP($B93,MMWR_APP_STATE_PEN[],S$1,0),"ERROR")</f>
        <v>212</v>
      </c>
      <c r="T93" s="28"/>
    </row>
    <row r="94" spans="1:20" s="123" customFormat="1" x14ac:dyDescent="0.2">
      <c r="A94" s="28"/>
      <c r="B94" s="127" t="s">
        <v>400</v>
      </c>
      <c r="C94" s="109">
        <f>IFERROR(VLOOKUP($B94,MMWR_TRAD_AGG_STATE_PEN[],C$1,0),"ERROR")</f>
        <v>120</v>
      </c>
      <c r="D94" s="110">
        <f>IFERROR(VLOOKUP($B94,MMWR_TRAD_AGG_STATE_PEN[],D$1,0),"ERROR")</f>
        <v>65.783333333300007</v>
      </c>
      <c r="E94" s="111">
        <f>IFERROR(VLOOKUP($B94,MMWR_TRAD_AGG_STATE_PEN[],E$1,0),"ERROR")</f>
        <v>87</v>
      </c>
      <c r="F94" s="112">
        <f>IFERROR(VLOOKUP($B94,MMWR_TRAD_AGG_STATE_PEN[],F$1,0),"ERROR")</f>
        <v>3</v>
      </c>
      <c r="G94" s="113">
        <f t="shared" si="8"/>
        <v>3.4482758620689655E-2</v>
      </c>
      <c r="H94" s="111">
        <f>IFERROR(VLOOKUP($B94,MMWR_TRAD_AGG_STATE_PEN[],H$1,0),"ERROR")</f>
        <v>154</v>
      </c>
      <c r="I94" s="112">
        <f>IFERROR(VLOOKUP($B94,MMWR_TRAD_AGG_STATE_PEN[],I$1,0),"ERROR")</f>
        <v>7</v>
      </c>
      <c r="J94" s="114">
        <f t="shared" si="9"/>
        <v>4.5454545454545456E-2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0</v>
      </c>
      <c r="P94" s="114">
        <f t="shared" si="11"/>
        <v>0</v>
      </c>
      <c r="Q94" s="115">
        <f>IFERROR(VLOOKUP($B94,MMWR_TRAD_AGG_STATE_PEN[],Q$1,0),"ERROR")</f>
        <v>256</v>
      </c>
      <c r="R94" s="115">
        <f>IFERROR(VLOOKUP($B94,MMWR_TRAD_AGG_STATE_PEN[],R$1,0),"ERROR")</f>
        <v>15</v>
      </c>
      <c r="S94" s="115">
        <f>IFERROR(VLOOKUP($B94,MMWR_APP_STATE_PEN[],S$1,0),"ERROR")</f>
        <v>17</v>
      </c>
      <c r="T94" s="28"/>
    </row>
    <row r="95" spans="1:20" s="123" customFormat="1" x14ac:dyDescent="0.2">
      <c r="A95" s="28"/>
      <c r="B95" s="127" t="s">
        <v>419</v>
      </c>
      <c r="C95" s="109">
        <f>IFERROR(VLOOKUP($B95,MMWR_TRAD_AGG_STATE_PEN[],C$1,0),"ERROR")</f>
        <v>43</v>
      </c>
      <c r="D95" s="110">
        <f>IFERROR(VLOOKUP($B95,MMWR_TRAD_AGG_STATE_PEN[],D$1,0),"ERROR")</f>
        <v>172.97674418599999</v>
      </c>
      <c r="E95" s="111">
        <f>IFERROR(VLOOKUP($B95,MMWR_TRAD_AGG_STATE_PEN[],E$1,0),"ERROR")</f>
        <v>33</v>
      </c>
      <c r="F95" s="112">
        <f>IFERROR(VLOOKUP($B95,MMWR_TRAD_AGG_STATE_PEN[],F$1,0),"ERROR")</f>
        <v>0</v>
      </c>
      <c r="G95" s="113">
        <f t="shared" si="8"/>
        <v>0</v>
      </c>
      <c r="H95" s="111">
        <f>IFERROR(VLOOKUP($B95,MMWR_TRAD_AGG_STATE_PEN[],H$1,0),"ERROR")</f>
        <v>56</v>
      </c>
      <c r="I95" s="112">
        <f>IFERROR(VLOOKUP($B95,MMWR_TRAD_AGG_STATE_PEN[],I$1,0),"ERROR")</f>
        <v>6</v>
      </c>
      <c r="J95" s="114">
        <f t="shared" si="9"/>
        <v>0.10714285714285714</v>
      </c>
      <c r="K95" s="111">
        <f>IFERROR(VLOOKUP($B95,MMWR_TRAD_AGG_STATE_PEN[],K$1,0),"ERROR")</f>
        <v>0</v>
      </c>
      <c r="L95" s="112">
        <f>IFERROR(VLOOKUP($B95,MMWR_TRAD_AGG_STATE_PEN[],L$1,0),"ERROR")</f>
        <v>0</v>
      </c>
      <c r="M95" s="114" t="str">
        <f t="shared" si="10"/>
        <v>0%</v>
      </c>
      <c r="N95" s="111">
        <f>IFERROR(VLOOKUP($B95,MMWR_TRAD_AGG_STATE_PEN[],N$1,0),"ERROR")</f>
        <v>3</v>
      </c>
      <c r="O95" s="112">
        <f>IFERROR(VLOOKUP($B95,MMWR_TRAD_AGG_STATE_PEN[],O$1,0),"ERROR")</f>
        <v>1</v>
      </c>
      <c r="P95" s="114">
        <f t="shared" si="11"/>
        <v>0.33333333333333331</v>
      </c>
      <c r="Q95" s="115">
        <f>IFERROR(VLOOKUP($B95,MMWR_TRAD_AGG_STATE_PEN[],Q$1,0),"ERROR")</f>
        <v>63</v>
      </c>
      <c r="R95" s="115">
        <f>IFERROR(VLOOKUP($B95,MMWR_TRAD_AGG_STATE_PEN[],R$1,0),"ERROR")</f>
        <v>6</v>
      </c>
      <c r="S95" s="115">
        <f>IFERROR(VLOOKUP($B95,MMWR_APP_STATE_PEN[],S$1,0),"ERROR")</f>
        <v>3</v>
      </c>
      <c r="T95" s="28"/>
    </row>
    <row r="96" spans="1:20" s="123" customFormat="1" x14ac:dyDescent="0.2">
      <c r="A96" s="28"/>
      <c r="B96" s="127" t="s">
        <v>391</v>
      </c>
      <c r="C96" s="109">
        <f>IFERROR(VLOOKUP($B96,MMWR_TRAD_AGG_STATE_PEN[],C$1,0),"ERROR")</f>
        <v>702</v>
      </c>
      <c r="D96" s="110">
        <f>IFERROR(VLOOKUP($B96,MMWR_TRAD_AGG_STATE_PEN[],D$1,0),"ERROR")</f>
        <v>68.579772079799994</v>
      </c>
      <c r="E96" s="111">
        <f>IFERROR(VLOOKUP($B96,MMWR_TRAD_AGG_STATE_PEN[],E$1,0),"ERROR")</f>
        <v>1126</v>
      </c>
      <c r="F96" s="112">
        <f>IFERROR(VLOOKUP($B96,MMWR_TRAD_AGG_STATE_PEN[],F$1,0),"ERROR")</f>
        <v>98</v>
      </c>
      <c r="G96" s="113">
        <f t="shared" si="8"/>
        <v>8.7033747779751328E-2</v>
      </c>
      <c r="H96" s="111">
        <f>IFERROR(VLOOKUP($B96,MMWR_TRAD_AGG_STATE_PEN[],H$1,0),"ERROR")</f>
        <v>1009</v>
      </c>
      <c r="I96" s="112">
        <f>IFERROR(VLOOKUP($B96,MMWR_TRAD_AGG_STATE_PEN[],I$1,0),"ERROR")</f>
        <v>112</v>
      </c>
      <c r="J96" s="114">
        <f t="shared" si="9"/>
        <v>0.1110009910802775</v>
      </c>
      <c r="K96" s="111">
        <f>IFERROR(VLOOKUP($B96,MMWR_TRAD_AGG_STATE_PEN[],K$1,0),"ERROR")</f>
        <v>6</v>
      </c>
      <c r="L96" s="112">
        <f>IFERROR(VLOOKUP($B96,MMWR_TRAD_AGG_STATE_PEN[],L$1,0),"ERROR")</f>
        <v>4</v>
      </c>
      <c r="M96" s="114">
        <f t="shared" si="10"/>
        <v>0.66666666666666663</v>
      </c>
      <c r="N96" s="111">
        <f>IFERROR(VLOOKUP($B96,MMWR_TRAD_AGG_STATE_PEN[],N$1,0),"ERROR")</f>
        <v>101</v>
      </c>
      <c r="O96" s="112">
        <f>IFERROR(VLOOKUP($B96,MMWR_TRAD_AGG_STATE_PEN[],O$1,0),"ERROR")</f>
        <v>15</v>
      </c>
      <c r="P96" s="114">
        <f t="shared" si="11"/>
        <v>0.14851485148514851</v>
      </c>
      <c r="Q96" s="115">
        <f>IFERROR(VLOOKUP($B96,MMWR_TRAD_AGG_STATE_PEN[],Q$1,0),"ERROR")</f>
        <v>143</v>
      </c>
      <c r="R96" s="115">
        <f>IFERROR(VLOOKUP($B96,MMWR_TRAD_AGG_STATE_PEN[],R$1,0),"ERROR")</f>
        <v>120</v>
      </c>
      <c r="S96" s="115">
        <f>IFERROR(VLOOKUP($B96,MMWR_APP_STATE_PEN[],S$1,0),"ERROR")</f>
        <v>299</v>
      </c>
      <c r="T96" s="28"/>
    </row>
    <row r="97" spans="1:20" s="123" customFormat="1" x14ac:dyDescent="0.2">
      <c r="A97" s="28"/>
      <c r="B97" s="127" t="s">
        <v>420</v>
      </c>
      <c r="C97" s="109">
        <f>IFERROR(VLOOKUP($B97,MMWR_TRAD_AGG_STATE_PEN[],C$1,0),"ERROR")</f>
        <v>69</v>
      </c>
      <c r="D97" s="110">
        <f>IFERROR(VLOOKUP($B97,MMWR_TRAD_AGG_STATE_PEN[],D$1,0),"ERROR")</f>
        <v>63.797101449300001</v>
      </c>
      <c r="E97" s="111">
        <f>IFERROR(VLOOKUP($B97,MMWR_TRAD_AGG_STATE_PEN[],E$1,0),"ERROR")</f>
        <v>67</v>
      </c>
      <c r="F97" s="112">
        <f>IFERROR(VLOOKUP($B97,MMWR_TRAD_AGG_STATE_PEN[],F$1,0),"ERROR")</f>
        <v>2</v>
      </c>
      <c r="G97" s="113">
        <f t="shared" si="8"/>
        <v>2.9850746268656716E-2</v>
      </c>
      <c r="H97" s="111">
        <f>IFERROR(VLOOKUP($B97,MMWR_TRAD_AGG_STATE_PEN[],H$1,0),"ERROR")</f>
        <v>84</v>
      </c>
      <c r="I97" s="112">
        <f>IFERROR(VLOOKUP($B97,MMWR_TRAD_AGG_STATE_PEN[],I$1,0),"ERROR")</f>
        <v>5</v>
      </c>
      <c r="J97" s="114">
        <f t="shared" si="9"/>
        <v>5.9523809523809521E-2</v>
      </c>
      <c r="K97" s="111">
        <f>IFERROR(VLOOKUP($B97,MMWR_TRAD_AGG_STATE_PEN[],K$1,0),"ERROR")</f>
        <v>0</v>
      </c>
      <c r="L97" s="112">
        <f>IFERROR(VLOOKUP($B97,MMWR_TRAD_AGG_STATE_PEN[],L$1,0),"ERROR")</f>
        <v>0</v>
      </c>
      <c r="M97" s="114" t="str">
        <f t="shared" si="10"/>
        <v>0%</v>
      </c>
      <c r="N97" s="111">
        <f>IFERROR(VLOOKUP($B97,MMWR_TRAD_AGG_STATE_PEN[],N$1,0),"ERROR")</f>
        <v>3</v>
      </c>
      <c r="O97" s="112">
        <f>IFERROR(VLOOKUP($B97,MMWR_TRAD_AGG_STATE_PEN[],O$1,0),"ERROR")</f>
        <v>1</v>
      </c>
      <c r="P97" s="114">
        <f t="shared" si="11"/>
        <v>0.33333333333333331</v>
      </c>
      <c r="Q97" s="115">
        <f>IFERROR(VLOOKUP($B97,MMWR_TRAD_AGG_STATE_PEN[],Q$1,0),"ERROR")</f>
        <v>117</v>
      </c>
      <c r="R97" s="115">
        <f>IFERROR(VLOOKUP($B97,MMWR_TRAD_AGG_STATE_PEN[],R$1,0),"ERROR")</f>
        <v>6</v>
      </c>
      <c r="S97" s="115">
        <f>IFERROR(VLOOKUP($B97,MMWR_APP_STATE_PEN[],S$1,0),"ERROR")</f>
        <v>9</v>
      </c>
      <c r="T97" s="28"/>
    </row>
    <row r="98" spans="1:20" s="123" customFormat="1" x14ac:dyDescent="0.2">
      <c r="A98" s="28"/>
      <c r="B98" s="127" t="s">
        <v>396</v>
      </c>
      <c r="C98" s="109">
        <f>IFERROR(VLOOKUP($B98,MMWR_TRAD_AGG_STATE_PEN[],C$1,0),"ERROR")</f>
        <v>328</v>
      </c>
      <c r="D98" s="110">
        <f>IFERROR(VLOOKUP($B98,MMWR_TRAD_AGG_STATE_PEN[],D$1,0),"ERROR")</f>
        <v>64.115853658500001</v>
      </c>
      <c r="E98" s="111">
        <f>IFERROR(VLOOKUP($B98,MMWR_TRAD_AGG_STATE_PEN[],E$1,0),"ERROR")</f>
        <v>398</v>
      </c>
      <c r="F98" s="112">
        <f>IFERROR(VLOOKUP($B98,MMWR_TRAD_AGG_STATE_PEN[],F$1,0),"ERROR")</f>
        <v>34</v>
      </c>
      <c r="G98" s="113">
        <f t="shared" si="8"/>
        <v>8.5427135678391955E-2</v>
      </c>
      <c r="H98" s="111">
        <f>IFERROR(VLOOKUP($B98,MMWR_TRAD_AGG_STATE_PEN[],H$1,0),"ERROR")</f>
        <v>418</v>
      </c>
      <c r="I98" s="112">
        <f>IFERROR(VLOOKUP($B98,MMWR_TRAD_AGG_STATE_PEN[],I$1,0),"ERROR")</f>
        <v>40</v>
      </c>
      <c r="J98" s="114">
        <f t="shared" si="9"/>
        <v>9.569377990430622E-2</v>
      </c>
      <c r="K98" s="111">
        <f>IFERROR(VLOOKUP($B98,MMWR_TRAD_AGG_STATE_PEN[],K$1,0),"ERROR")</f>
        <v>1</v>
      </c>
      <c r="L98" s="112">
        <f>IFERROR(VLOOKUP($B98,MMWR_TRAD_AGG_STATE_PEN[],L$1,0),"ERROR")</f>
        <v>1</v>
      </c>
      <c r="M98" s="114">
        <f t="shared" si="10"/>
        <v>1</v>
      </c>
      <c r="N98" s="111">
        <f>IFERROR(VLOOKUP($B98,MMWR_TRAD_AGG_STATE_PEN[],N$1,0),"ERROR")</f>
        <v>40</v>
      </c>
      <c r="O98" s="112">
        <f>IFERROR(VLOOKUP($B98,MMWR_TRAD_AGG_STATE_PEN[],O$1,0),"ERROR")</f>
        <v>6</v>
      </c>
      <c r="P98" s="114">
        <f t="shared" si="11"/>
        <v>0.15</v>
      </c>
      <c r="Q98" s="115">
        <f>IFERROR(VLOOKUP($B98,MMWR_TRAD_AGG_STATE_PEN[],Q$1,0),"ERROR")</f>
        <v>64</v>
      </c>
      <c r="R98" s="115">
        <f>IFERROR(VLOOKUP($B98,MMWR_TRAD_AGG_STATE_PEN[],R$1,0),"ERROR")</f>
        <v>42</v>
      </c>
      <c r="S98" s="115">
        <f>IFERROR(VLOOKUP($B98,MMWR_APP_STATE_PEN[],S$1,0),"ERROR")</f>
        <v>99</v>
      </c>
      <c r="T98" s="28"/>
    </row>
    <row r="99" spans="1:20" s="123" customFormat="1" x14ac:dyDescent="0.2">
      <c r="A99" s="28"/>
      <c r="B99" s="126" t="s">
        <v>385</v>
      </c>
      <c r="C99" s="102">
        <f>IFERROR(VLOOKUP($B99,MMWR_TRAD_AGG_ST_DISTRICT_PEN[],C$1,0),"ERROR")</f>
        <v>3111</v>
      </c>
      <c r="D99" s="103">
        <f>IFERROR(VLOOKUP($B99,MMWR_TRAD_AGG_ST_DISTRICT_PEN[],D$1,0),"ERROR")</f>
        <v>88.006428800999998</v>
      </c>
      <c r="E99" s="102">
        <f>IFERROR(VLOOKUP($B99,MMWR_TRAD_AGG_ST_DISTRICT_PEN[],E$1,0),"ERROR")</f>
        <v>3239</v>
      </c>
      <c r="F99" s="102">
        <f>IFERROR(VLOOKUP($B99,MMWR_TRAD_AGG_ST_DISTRICT_PEN[],F$1,0),"ERROR")</f>
        <v>162</v>
      </c>
      <c r="G99" s="104">
        <f t="shared" si="8"/>
        <v>5.0015436863229394E-2</v>
      </c>
      <c r="H99" s="102">
        <f>IFERROR(VLOOKUP($B99,MMWR_TRAD_AGG_ST_DISTRICT_PEN[],H$1,0),"ERROR")</f>
        <v>4293</v>
      </c>
      <c r="I99" s="102">
        <f>IFERROR(VLOOKUP($B99,MMWR_TRAD_AGG_ST_DISTRICT_PEN[],I$1,0),"ERROR")</f>
        <v>445</v>
      </c>
      <c r="J99" s="104">
        <f t="shared" si="9"/>
        <v>0.10365711623573259</v>
      </c>
      <c r="K99" s="102">
        <f>IFERROR(VLOOKUP($B99,MMWR_TRAD_AGG_ST_DISTRICT_PEN[],K$1,0),"ERROR")</f>
        <v>26</v>
      </c>
      <c r="L99" s="102">
        <f>IFERROR(VLOOKUP($B99,MMWR_TRAD_AGG_ST_DISTRICT_PEN[],L$1,0),"ERROR")</f>
        <v>21</v>
      </c>
      <c r="M99" s="104">
        <f t="shared" si="10"/>
        <v>0.80769230769230771</v>
      </c>
      <c r="N99" s="102">
        <f>IFERROR(VLOOKUP($B99,MMWR_TRAD_AGG_ST_DISTRICT_PEN[],N$1,0),"ERROR")</f>
        <v>248</v>
      </c>
      <c r="O99" s="102">
        <f>IFERROR(VLOOKUP($B99,MMWR_TRAD_AGG_ST_DISTRICT_PEN[],O$1,0),"ERROR")</f>
        <v>90</v>
      </c>
      <c r="P99" s="104">
        <f t="shared" si="11"/>
        <v>0.36290322580645162</v>
      </c>
      <c r="Q99" s="102">
        <f>IFERROR(VLOOKUP($B99,MMWR_TRAD_AGG_ST_DISTRICT_PEN[],Q$1,0),"ERROR")</f>
        <v>3232</v>
      </c>
      <c r="R99" s="106">
        <f>IFERROR(VLOOKUP($B99,MMWR_TRAD_AGG_ST_DISTRICT_PEN[],R$1,0),"ERROR")</f>
        <v>733</v>
      </c>
      <c r="S99" s="106">
        <f>IFERROR(VLOOKUP($B99,MMWR_APP_STATE_PEN[],S$1,0),"ERROR")</f>
        <v>1013</v>
      </c>
      <c r="T99" s="28"/>
    </row>
    <row r="100" spans="1:20" s="123" customFormat="1" x14ac:dyDescent="0.2">
      <c r="A100" s="28"/>
      <c r="B100" s="127" t="s">
        <v>411</v>
      </c>
      <c r="C100" s="109">
        <f>IFERROR(VLOOKUP($B100,MMWR_TRAD_AGG_STATE_PEN[],C$1,0),"ERROR")</f>
        <v>273</v>
      </c>
      <c r="D100" s="110">
        <f>IFERROR(VLOOKUP($B100,MMWR_TRAD_AGG_STATE_PEN[],D$1,0),"ERROR")</f>
        <v>66.677655677700002</v>
      </c>
      <c r="E100" s="111">
        <f>IFERROR(VLOOKUP($B100,MMWR_TRAD_AGG_STATE_PEN[],E$1,0),"ERROR")</f>
        <v>262</v>
      </c>
      <c r="F100" s="112">
        <f>IFERROR(VLOOKUP($B100,MMWR_TRAD_AGG_STATE_PEN[],F$1,0),"ERROR")</f>
        <v>22</v>
      </c>
      <c r="G100" s="113">
        <f t="shared" si="8"/>
        <v>8.3969465648854963E-2</v>
      </c>
      <c r="H100" s="111">
        <f>IFERROR(VLOOKUP($B100,MMWR_TRAD_AGG_STATE_PEN[],H$1,0),"ERROR")</f>
        <v>355</v>
      </c>
      <c r="I100" s="112">
        <f>IFERROR(VLOOKUP($B100,MMWR_TRAD_AGG_STATE_PEN[],I$1,0),"ERROR")</f>
        <v>26</v>
      </c>
      <c r="J100" s="114">
        <f t="shared" si="9"/>
        <v>7.3239436619718309E-2</v>
      </c>
      <c r="K100" s="111">
        <f>IFERROR(VLOOKUP($B100,MMWR_TRAD_AGG_STATE_PEN[],K$1,0),"ERROR")</f>
        <v>5</v>
      </c>
      <c r="L100" s="112">
        <f>IFERROR(VLOOKUP($B100,MMWR_TRAD_AGG_STATE_PEN[],L$1,0),"ERROR")</f>
        <v>4</v>
      </c>
      <c r="M100" s="114">
        <f t="shared" si="10"/>
        <v>0.8</v>
      </c>
      <c r="N100" s="111">
        <f>IFERROR(VLOOKUP($B100,MMWR_TRAD_AGG_STATE_PEN[],N$1,0),"ERROR")</f>
        <v>29</v>
      </c>
      <c r="O100" s="112">
        <f>IFERROR(VLOOKUP($B100,MMWR_TRAD_AGG_STATE_PEN[],O$1,0),"ERROR")</f>
        <v>6</v>
      </c>
      <c r="P100" s="114">
        <f t="shared" si="11"/>
        <v>0.20689655172413793</v>
      </c>
      <c r="Q100" s="115">
        <f>IFERROR(VLOOKUP($B100,MMWR_TRAD_AGG_STATE_PEN[],Q$1,0),"ERROR")</f>
        <v>88</v>
      </c>
      <c r="R100" s="115">
        <f>IFERROR(VLOOKUP($B100,MMWR_TRAD_AGG_STATE_PEN[],R$1,0),"ERROR")</f>
        <v>30</v>
      </c>
      <c r="S100" s="115">
        <f>IFERROR(VLOOKUP($B100,MMWR_APP_STATE_PEN[],S$1,0),"ERROR")</f>
        <v>145</v>
      </c>
      <c r="T100" s="28"/>
    </row>
    <row r="101" spans="1:20" s="123" customFormat="1" x14ac:dyDescent="0.2">
      <c r="A101" s="28"/>
      <c r="B101" s="127" t="s">
        <v>403</v>
      </c>
      <c r="C101" s="109">
        <f>IFERROR(VLOOKUP($B101,MMWR_TRAD_AGG_STATE_PEN[],C$1,0),"ERROR")</f>
        <v>224</v>
      </c>
      <c r="D101" s="110">
        <f>IFERROR(VLOOKUP($B101,MMWR_TRAD_AGG_STATE_PEN[],D$1,0),"ERROR")</f>
        <v>80.901785714300004</v>
      </c>
      <c r="E101" s="111">
        <f>IFERROR(VLOOKUP($B101,MMWR_TRAD_AGG_STATE_PEN[],E$1,0),"ERROR")</f>
        <v>258</v>
      </c>
      <c r="F101" s="112">
        <f>IFERROR(VLOOKUP($B101,MMWR_TRAD_AGG_STATE_PEN[],F$1,0),"ERROR")</f>
        <v>11</v>
      </c>
      <c r="G101" s="113">
        <f t="shared" ref="G101:G127" si="12">IFERROR(F101/E101,"0%")</f>
        <v>4.2635658914728682E-2</v>
      </c>
      <c r="H101" s="111">
        <f>IFERROR(VLOOKUP($B101,MMWR_TRAD_AGG_STATE_PEN[],H$1,0),"ERROR")</f>
        <v>350</v>
      </c>
      <c r="I101" s="112">
        <f>IFERROR(VLOOKUP($B101,MMWR_TRAD_AGG_STATE_PEN[],I$1,0),"ERROR")</f>
        <v>81</v>
      </c>
      <c r="J101" s="114">
        <f t="shared" ref="J101:J127" si="13">IFERROR(I101/H101,"0%")</f>
        <v>0.23142857142857143</v>
      </c>
      <c r="K101" s="111">
        <f>IFERROR(VLOOKUP($B101,MMWR_TRAD_AGG_STATE_PEN[],K$1,0),"ERROR")</f>
        <v>4</v>
      </c>
      <c r="L101" s="112">
        <f>IFERROR(VLOOKUP($B101,MMWR_TRAD_AGG_STATE_PEN[],L$1,0),"ERROR")</f>
        <v>1</v>
      </c>
      <c r="M101" s="114">
        <f t="shared" ref="M101:M127" si="14">IFERROR(L101/K101,"0%")</f>
        <v>0.25</v>
      </c>
      <c r="N101" s="111">
        <f>IFERROR(VLOOKUP($B101,MMWR_TRAD_AGG_STATE_PEN[],N$1,0),"ERROR")</f>
        <v>17</v>
      </c>
      <c r="O101" s="112">
        <f>IFERROR(VLOOKUP($B101,MMWR_TRAD_AGG_STATE_PEN[],O$1,0),"ERROR")</f>
        <v>7</v>
      </c>
      <c r="P101" s="114">
        <f t="shared" ref="P101:P127" si="15">IFERROR(O101/N101,"0%")</f>
        <v>0.41176470588235292</v>
      </c>
      <c r="Q101" s="115">
        <f>IFERROR(VLOOKUP($B101,MMWR_TRAD_AGG_STATE_PEN[],Q$1,0),"ERROR")</f>
        <v>388</v>
      </c>
      <c r="R101" s="115">
        <f>IFERROR(VLOOKUP($B101,MMWR_TRAD_AGG_STATE_PEN[],R$1,0),"ERROR")</f>
        <v>68</v>
      </c>
      <c r="S101" s="115">
        <f>IFERROR(VLOOKUP($B101,MMWR_APP_STATE_PEN[],S$1,0),"ERROR")</f>
        <v>59</v>
      </c>
      <c r="T101" s="28"/>
    </row>
    <row r="102" spans="1:20" s="123" customFormat="1" x14ac:dyDescent="0.2">
      <c r="A102" s="28"/>
      <c r="B102" s="127" t="s">
        <v>387</v>
      </c>
      <c r="C102" s="109">
        <f>IFERROR(VLOOKUP($B102,MMWR_TRAD_AGG_STATE_PEN[],C$1,0),"ERROR")</f>
        <v>481</v>
      </c>
      <c r="D102" s="110">
        <f>IFERROR(VLOOKUP($B102,MMWR_TRAD_AGG_STATE_PEN[],D$1,0),"ERROR")</f>
        <v>71.133056133099998</v>
      </c>
      <c r="E102" s="111">
        <f>IFERROR(VLOOKUP($B102,MMWR_TRAD_AGG_STATE_PEN[],E$1,0),"ERROR")</f>
        <v>482</v>
      </c>
      <c r="F102" s="112">
        <f>IFERROR(VLOOKUP($B102,MMWR_TRAD_AGG_STATE_PEN[],F$1,0),"ERROR")</f>
        <v>40</v>
      </c>
      <c r="G102" s="113">
        <f t="shared" si="12"/>
        <v>8.2987551867219914E-2</v>
      </c>
      <c r="H102" s="111">
        <f>IFERROR(VLOOKUP($B102,MMWR_TRAD_AGG_STATE_PEN[],H$1,0),"ERROR")</f>
        <v>599</v>
      </c>
      <c r="I102" s="112">
        <f>IFERROR(VLOOKUP($B102,MMWR_TRAD_AGG_STATE_PEN[],I$1,0),"ERROR")</f>
        <v>69</v>
      </c>
      <c r="J102" s="114">
        <f t="shared" si="13"/>
        <v>0.11519198664440734</v>
      </c>
      <c r="K102" s="111">
        <f>IFERROR(VLOOKUP($B102,MMWR_TRAD_AGG_STATE_PEN[],K$1,0),"ERROR")</f>
        <v>3</v>
      </c>
      <c r="L102" s="112">
        <f>IFERROR(VLOOKUP($B102,MMWR_TRAD_AGG_STATE_PEN[],L$1,0),"ERROR")</f>
        <v>2</v>
      </c>
      <c r="M102" s="114">
        <f t="shared" si="14"/>
        <v>0.66666666666666663</v>
      </c>
      <c r="N102" s="111">
        <f>IFERROR(VLOOKUP($B102,MMWR_TRAD_AGG_STATE_PEN[],N$1,0),"ERROR")</f>
        <v>36</v>
      </c>
      <c r="O102" s="112">
        <f>IFERROR(VLOOKUP($B102,MMWR_TRAD_AGG_STATE_PEN[],O$1,0),"ERROR")</f>
        <v>9</v>
      </c>
      <c r="P102" s="114">
        <f t="shared" si="15"/>
        <v>0.25</v>
      </c>
      <c r="Q102" s="115">
        <f>IFERROR(VLOOKUP($B102,MMWR_TRAD_AGG_STATE_PEN[],Q$1,0),"ERROR")</f>
        <v>89</v>
      </c>
      <c r="R102" s="115">
        <f>IFERROR(VLOOKUP($B102,MMWR_TRAD_AGG_STATE_PEN[],R$1,0),"ERROR")</f>
        <v>79</v>
      </c>
      <c r="S102" s="115">
        <f>IFERROR(VLOOKUP($B102,MMWR_APP_STATE_PEN[],S$1,0),"ERROR")</f>
        <v>181</v>
      </c>
      <c r="T102" s="28"/>
    </row>
    <row r="103" spans="1:20" s="123" customFormat="1" x14ac:dyDescent="0.2">
      <c r="A103" s="28"/>
      <c r="B103" s="127" t="s">
        <v>389</v>
      </c>
      <c r="C103" s="109">
        <f>IFERROR(VLOOKUP($B103,MMWR_TRAD_AGG_STATE_PEN[],C$1,0),"ERROR")</f>
        <v>309</v>
      </c>
      <c r="D103" s="110">
        <f>IFERROR(VLOOKUP($B103,MMWR_TRAD_AGG_STATE_PEN[],D$1,0),"ERROR")</f>
        <v>66.741100323599994</v>
      </c>
      <c r="E103" s="111">
        <f>IFERROR(VLOOKUP($B103,MMWR_TRAD_AGG_STATE_PEN[],E$1,0),"ERROR")</f>
        <v>285</v>
      </c>
      <c r="F103" s="112">
        <f>IFERROR(VLOOKUP($B103,MMWR_TRAD_AGG_STATE_PEN[],F$1,0),"ERROR")</f>
        <v>23</v>
      </c>
      <c r="G103" s="113">
        <f t="shared" si="12"/>
        <v>8.0701754385964913E-2</v>
      </c>
      <c r="H103" s="111">
        <f>IFERROR(VLOOKUP($B103,MMWR_TRAD_AGG_STATE_PEN[],H$1,0),"ERROR")</f>
        <v>421</v>
      </c>
      <c r="I103" s="112">
        <f>IFERROR(VLOOKUP($B103,MMWR_TRAD_AGG_STATE_PEN[],I$1,0),"ERROR")</f>
        <v>54</v>
      </c>
      <c r="J103" s="114">
        <f t="shared" si="13"/>
        <v>0.12826603325415678</v>
      </c>
      <c r="K103" s="111">
        <f>IFERROR(VLOOKUP($B103,MMWR_TRAD_AGG_STATE_PEN[],K$1,0),"ERROR")</f>
        <v>3</v>
      </c>
      <c r="L103" s="112">
        <f>IFERROR(VLOOKUP($B103,MMWR_TRAD_AGG_STATE_PEN[],L$1,0),"ERROR")</f>
        <v>3</v>
      </c>
      <c r="M103" s="114">
        <f t="shared" si="14"/>
        <v>1</v>
      </c>
      <c r="N103" s="111">
        <f>IFERROR(VLOOKUP($B103,MMWR_TRAD_AGG_STATE_PEN[],N$1,0),"ERROR")</f>
        <v>42</v>
      </c>
      <c r="O103" s="112">
        <f>IFERROR(VLOOKUP($B103,MMWR_TRAD_AGG_STATE_PEN[],O$1,0),"ERROR")</f>
        <v>5</v>
      </c>
      <c r="P103" s="114">
        <f t="shared" si="15"/>
        <v>0.11904761904761904</v>
      </c>
      <c r="Q103" s="115">
        <f>IFERROR(VLOOKUP($B103,MMWR_TRAD_AGG_STATE_PEN[],Q$1,0),"ERROR")</f>
        <v>71</v>
      </c>
      <c r="R103" s="115">
        <f>IFERROR(VLOOKUP($B103,MMWR_TRAD_AGG_STATE_PEN[],R$1,0),"ERROR")</f>
        <v>33</v>
      </c>
      <c r="S103" s="115">
        <f>IFERROR(VLOOKUP($B103,MMWR_APP_STATE_PEN[],S$1,0),"ERROR")</f>
        <v>158</v>
      </c>
      <c r="T103" s="28"/>
    </row>
    <row r="104" spans="1:20" s="123" customFormat="1" x14ac:dyDescent="0.2">
      <c r="A104" s="28"/>
      <c r="B104" s="127" t="s">
        <v>418</v>
      </c>
      <c r="C104" s="109">
        <f>IFERROR(VLOOKUP($B104,MMWR_TRAD_AGG_STATE_PEN[],C$1,0),"ERROR")</f>
        <v>73</v>
      </c>
      <c r="D104" s="110">
        <f>IFERROR(VLOOKUP($B104,MMWR_TRAD_AGG_STATE_PEN[],D$1,0),"ERROR")</f>
        <v>96.191780821899997</v>
      </c>
      <c r="E104" s="111">
        <f>IFERROR(VLOOKUP($B104,MMWR_TRAD_AGG_STATE_PEN[],E$1,0),"ERROR")</f>
        <v>79</v>
      </c>
      <c r="F104" s="112">
        <f>IFERROR(VLOOKUP($B104,MMWR_TRAD_AGG_STATE_PEN[],F$1,0),"ERROR")</f>
        <v>4</v>
      </c>
      <c r="G104" s="113">
        <f t="shared" si="12"/>
        <v>5.0632911392405063E-2</v>
      </c>
      <c r="H104" s="111">
        <f>IFERROR(VLOOKUP($B104,MMWR_TRAD_AGG_STATE_PEN[],H$1,0),"ERROR")</f>
        <v>97</v>
      </c>
      <c r="I104" s="112">
        <f>IFERROR(VLOOKUP($B104,MMWR_TRAD_AGG_STATE_PEN[],I$1,0),"ERROR")</f>
        <v>9</v>
      </c>
      <c r="J104" s="114">
        <f t="shared" si="13"/>
        <v>9.2783505154639179E-2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1</v>
      </c>
      <c r="P104" s="114">
        <f t="shared" si="15"/>
        <v>0.5</v>
      </c>
      <c r="Q104" s="115">
        <f>IFERROR(VLOOKUP($B104,MMWR_TRAD_AGG_STATE_PEN[],Q$1,0),"ERROR")</f>
        <v>129</v>
      </c>
      <c r="R104" s="115">
        <f>IFERROR(VLOOKUP($B104,MMWR_TRAD_AGG_STATE_PEN[],R$1,0),"ERROR")</f>
        <v>16</v>
      </c>
      <c r="S104" s="115">
        <f>IFERROR(VLOOKUP($B104,MMWR_APP_STATE_PEN[],S$1,0),"ERROR")</f>
        <v>5</v>
      </c>
      <c r="T104" s="28"/>
    </row>
    <row r="105" spans="1:20" s="123" customFormat="1" x14ac:dyDescent="0.2">
      <c r="A105" s="28"/>
      <c r="B105" s="127" t="s">
        <v>412</v>
      </c>
      <c r="C105" s="109">
        <f>IFERROR(VLOOKUP($B105,MMWR_TRAD_AGG_STATE_PEN[],C$1,0),"ERROR")</f>
        <v>289</v>
      </c>
      <c r="D105" s="110">
        <f>IFERROR(VLOOKUP($B105,MMWR_TRAD_AGG_STATE_PEN[],D$1,0),"ERROR")</f>
        <v>77.211072664400007</v>
      </c>
      <c r="E105" s="111">
        <f>IFERROR(VLOOKUP($B105,MMWR_TRAD_AGG_STATE_PEN[],E$1,0),"ERROR")</f>
        <v>246</v>
      </c>
      <c r="F105" s="112">
        <f>IFERROR(VLOOKUP($B105,MMWR_TRAD_AGG_STATE_PEN[],F$1,0),"ERROR")</f>
        <v>7</v>
      </c>
      <c r="G105" s="113">
        <f t="shared" si="12"/>
        <v>2.8455284552845527E-2</v>
      </c>
      <c r="H105" s="111">
        <f>IFERROR(VLOOKUP($B105,MMWR_TRAD_AGG_STATE_PEN[],H$1,0),"ERROR")</f>
        <v>381</v>
      </c>
      <c r="I105" s="112">
        <f>IFERROR(VLOOKUP($B105,MMWR_TRAD_AGG_STATE_PEN[],I$1,0),"ERROR")</f>
        <v>20</v>
      </c>
      <c r="J105" s="114">
        <f t="shared" si="13"/>
        <v>5.2493438320209973E-2</v>
      </c>
      <c r="K105" s="111">
        <f>IFERROR(VLOOKUP($B105,MMWR_TRAD_AGG_STATE_PEN[],K$1,0),"ERROR")</f>
        <v>2</v>
      </c>
      <c r="L105" s="112">
        <f>IFERROR(VLOOKUP($B105,MMWR_TRAD_AGG_STATE_PEN[],L$1,0),"ERROR")</f>
        <v>2</v>
      </c>
      <c r="M105" s="114">
        <f t="shared" si="14"/>
        <v>1</v>
      </c>
      <c r="N105" s="111">
        <f>IFERROR(VLOOKUP($B105,MMWR_TRAD_AGG_STATE_PEN[],N$1,0),"ERROR")</f>
        <v>12</v>
      </c>
      <c r="O105" s="112">
        <f>IFERROR(VLOOKUP($B105,MMWR_TRAD_AGG_STATE_PEN[],O$1,0),"ERROR")</f>
        <v>6</v>
      </c>
      <c r="P105" s="114">
        <f t="shared" si="15"/>
        <v>0.5</v>
      </c>
      <c r="Q105" s="115">
        <f>IFERROR(VLOOKUP($B105,MMWR_TRAD_AGG_STATE_PEN[],Q$1,0),"ERROR")</f>
        <v>635</v>
      </c>
      <c r="R105" s="115">
        <f>IFERROR(VLOOKUP($B105,MMWR_TRAD_AGG_STATE_PEN[],R$1,0),"ERROR")</f>
        <v>60</v>
      </c>
      <c r="S105" s="115">
        <f>IFERROR(VLOOKUP($B105,MMWR_APP_STATE_PEN[],S$1,0),"ERROR")</f>
        <v>82</v>
      </c>
      <c r="T105" s="28"/>
    </row>
    <row r="106" spans="1:20" s="123" customFormat="1" x14ac:dyDescent="0.2">
      <c r="A106" s="28"/>
      <c r="B106" s="127" t="s">
        <v>410</v>
      </c>
      <c r="C106" s="109">
        <f>IFERROR(VLOOKUP($B106,MMWR_TRAD_AGG_STATE_PEN[],C$1,0),"ERROR")</f>
        <v>1332</v>
      </c>
      <c r="D106" s="110">
        <f>IFERROR(VLOOKUP($B106,MMWR_TRAD_AGG_STATE_PEN[],D$1,0),"ERROR")</f>
        <v>104.1711711712</v>
      </c>
      <c r="E106" s="111">
        <f>IFERROR(VLOOKUP($B106,MMWR_TRAD_AGG_STATE_PEN[],E$1,0),"ERROR")</f>
        <v>1446</v>
      </c>
      <c r="F106" s="112">
        <f>IFERROR(VLOOKUP($B106,MMWR_TRAD_AGG_STATE_PEN[],F$1,0),"ERROR")</f>
        <v>46</v>
      </c>
      <c r="G106" s="113">
        <f t="shared" si="12"/>
        <v>3.18118948824343E-2</v>
      </c>
      <c r="H106" s="111">
        <f>IFERROR(VLOOKUP($B106,MMWR_TRAD_AGG_STATE_PEN[],H$1,0),"ERROR")</f>
        <v>1896</v>
      </c>
      <c r="I106" s="112">
        <f>IFERROR(VLOOKUP($B106,MMWR_TRAD_AGG_STATE_PEN[],I$1,0),"ERROR")</f>
        <v>157</v>
      </c>
      <c r="J106" s="114">
        <f t="shared" si="13"/>
        <v>8.2805907172995782E-2</v>
      </c>
      <c r="K106" s="111">
        <f>IFERROR(VLOOKUP($B106,MMWR_TRAD_AGG_STATE_PEN[],K$1,0),"ERROR")</f>
        <v>9</v>
      </c>
      <c r="L106" s="112">
        <f>IFERROR(VLOOKUP($B106,MMWR_TRAD_AGG_STATE_PEN[],L$1,0),"ERROR")</f>
        <v>9</v>
      </c>
      <c r="M106" s="114">
        <f t="shared" si="14"/>
        <v>1</v>
      </c>
      <c r="N106" s="111">
        <f>IFERROR(VLOOKUP($B106,MMWR_TRAD_AGG_STATE_PEN[],N$1,0),"ERROR")</f>
        <v>101</v>
      </c>
      <c r="O106" s="112">
        <f>IFERROR(VLOOKUP($B106,MMWR_TRAD_AGG_STATE_PEN[],O$1,0),"ERROR")</f>
        <v>53</v>
      </c>
      <c r="P106" s="114">
        <f t="shared" si="15"/>
        <v>0.52475247524752477</v>
      </c>
      <c r="Q106" s="115">
        <f>IFERROR(VLOOKUP($B106,MMWR_TRAD_AGG_STATE_PEN[],Q$1,0),"ERROR")</f>
        <v>1592</v>
      </c>
      <c r="R106" s="115">
        <f>IFERROR(VLOOKUP($B106,MMWR_TRAD_AGG_STATE_PEN[],R$1,0),"ERROR")</f>
        <v>416</v>
      </c>
      <c r="S106" s="115">
        <f>IFERROR(VLOOKUP($B106,MMWR_APP_STATE_PEN[],S$1,0),"ERROR")</f>
        <v>360</v>
      </c>
      <c r="T106" s="28"/>
    </row>
    <row r="107" spans="1:20" s="123" customFormat="1" x14ac:dyDescent="0.2">
      <c r="A107" s="28"/>
      <c r="B107" s="127" t="s">
        <v>406</v>
      </c>
      <c r="C107" s="109">
        <f>IFERROR(VLOOKUP($B107,MMWR_TRAD_AGG_STATE_PEN[],C$1,0),"ERROR")</f>
        <v>112</v>
      </c>
      <c r="D107" s="110">
        <f>IFERROR(VLOOKUP($B107,MMWR_TRAD_AGG_STATE_PEN[],D$1,0),"ERROR")</f>
        <v>116.4732142857</v>
      </c>
      <c r="E107" s="111">
        <f>IFERROR(VLOOKUP($B107,MMWR_TRAD_AGG_STATE_PEN[],E$1,0),"ERROR")</f>
        <v>153</v>
      </c>
      <c r="F107" s="112">
        <f>IFERROR(VLOOKUP($B107,MMWR_TRAD_AGG_STATE_PEN[],F$1,0),"ERROR")</f>
        <v>9</v>
      </c>
      <c r="G107" s="113">
        <f t="shared" si="12"/>
        <v>5.8823529411764705E-2</v>
      </c>
      <c r="H107" s="111">
        <f>IFERROR(VLOOKUP($B107,MMWR_TRAD_AGG_STATE_PEN[],H$1,0),"ERROR")</f>
        <v>154</v>
      </c>
      <c r="I107" s="112">
        <f>IFERROR(VLOOKUP($B107,MMWR_TRAD_AGG_STATE_PEN[],I$1,0),"ERROR")</f>
        <v>17</v>
      </c>
      <c r="J107" s="114">
        <f t="shared" si="13"/>
        <v>0.11038961038961038</v>
      </c>
      <c r="K107" s="111">
        <f>IFERROR(VLOOKUP($B107,MMWR_TRAD_AGG_STATE_PEN[],K$1,0),"ERROR")</f>
        <v>0</v>
      </c>
      <c r="L107" s="112">
        <f>IFERROR(VLOOKUP($B107,MMWR_TRAD_AGG_STATE_PEN[],L$1,0),"ERROR")</f>
        <v>0</v>
      </c>
      <c r="M107" s="114" t="str">
        <f t="shared" si="14"/>
        <v>0%</v>
      </c>
      <c r="N107" s="111">
        <f>IFERROR(VLOOKUP($B107,MMWR_TRAD_AGG_STATE_PEN[],N$1,0),"ERROR")</f>
        <v>9</v>
      </c>
      <c r="O107" s="112">
        <f>IFERROR(VLOOKUP($B107,MMWR_TRAD_AGG_STATE_PEN[],O$1,0),"ERROR")</f>
        <v>3</v>
      </c>
      <c r="P107" s="114">
        <f t="shared" si="15"/>
        <v>0.33333333333333331</v>
      </c>
      <c r="Q107" s="115">
        <f>IFERROR(VLOOKUP($B107,MMWR_TRAD_AGG_STATE_PEN[],Q$1,0),"ERROR")</f>
        <v>169</v>
      </c>
      <c r="R107" s="115">
        <f>IFERROR(VLOOKUP($B107,MMWR_TRAD_AGG_STATE_PEN[],R$1,0),"ERROR")</f>
        <v>24</v>
      </c>
      <c r="S107" s="115">
        <f>IFERROR(VLOOKUP($B107,MMWR_APP_STATE_PEN[],S$1,0),"ERROR")</f>
        <v>19</v>
      </c>
      <c r="T107" s="28"/>
    </row>
    <row r="108" spans="1:20" s="123" customFormat="1" x14ac:dyDescent="0.2">
      <c r="A108" s="28"/>
      <c r="B108" s="127" t="s">
        <v>421</v>
      </c>
      <c r="C108" s="109">
        <f>IFERROR(VLOOKUP($B108,MMWR_TRAD_AGG_STATE_PEN[],C$1,0),"ERROR")</f>
        <v>18</v>
      </c>
      <c r="D108" s="110">
        <f>IFERROR(VLOOKUP($B108,MMWR_TRAD_AGG_STATE_PEN[],D$1,0),"ERROR")</f>
        <v>82.666666666699996</v>
      </c>
      <c r="E108" s="111">
        <f>IFERROR(VLOOKUP($B108,MMWR_TRAD_AGG_STATE_PEN[],E$1,0),"ERROR")</f>
        <v>28</v>
      </c>
      <c r="F108" s="112">
        <f>IFERROR(VLOOKUP($B108,MMWR_TRAD_AGG_STATE_PEN[],F$1,0),"ERROR")</f>
        <v>0</v>
      </c>
      <c r="G108" s="113">
        <f t="shared" si="12"/>
        <v>0</v>
      </c>
      <c r="H108" s="111">
        <f>IFERROR(VLOOKUP($B108,MMWR_TRAD_AGG_STATE_PEN[],H$1,0),"ERROR")</f>
        <v>40</v>
      </c>
      <c r="I108" s="112">
        <f>IFERROR(VLOOKUP($B108,MMWR_TRAD_AGG_STATE_PEN[],I$1,0),"ERROR")</f>
        <v>12</v>
      </c>
      <c r="J108" s="114">
        <f t="shared" si="13"/>
        <v>0.3</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71</v>
      </c>
      <c r="R108" s="115">
        <f>IFERROR(VLOOKUP($B108,MMWR_TRAD_AGG_STATE_PEN[],R$1,0),"ERROR")</f>
        <v>7</v>
      </c>
      <c r="S108" s="115">
        <f>IFERROR(VLOOKUP($B108,MMWR_APP_STATE_PEN[],S$1,0),"ERROR")</f>
        <v>4</v>
      </c>
      <c r="T108" s="28"/>
    </row>
    <row r="109" spans="1:20" s="123" customFormat="1" x14ac:dyDescent="0.2">
      <c r="A109" s="28"/>
      <c r="B109" s="126" t="s">
        <v>404</v>
      </c>
      <c r="C109" s="102">
        <f>IFERROR(VLOOKUP($B109,MMWR_TRAD_AGG_ST_DISTRICT_PEN[],C$1,0),"ERROR")</f>
        <v>2632</v>
      </c>
      <c r="D109" s="103">
        <f>IFERROR(VLOOKUP($B109,MMWR_TRAD_AGG_ST_DISTRICT_PEN[],D$1,0),"ERROR")</f>
        <v>88.654635258400006</v>
      </c>
      <c r="E109" s="102">
        <f>IFERROR(VLOOKUP($B109,MMWR_TRAD_AGG_ST_DISTRICT_PEN[],E$1,0),"ERROR")</f>
        <v>3400</v>
      </c>
      <c r="F109" s="102">
        <f>IFERROR(VLOOKUP($B109,MMWR_TRAD_AGG_ST_DISTRICT_PEN[],F$1,0),"ERROR")</f>
        <v>121</v>
      </c>
      <c r="G109" s="104">
        <f t="shared" si="12"/>
        <v>3.558823529411765E-2</v>
      </c>
      <c r="H109" s="102">
        <f>IFERROR(VLOOKUP($B109,MMWR_TRAD_AGG_ST_DISTRICT_PEN[],H$1,0),"ERROR")</f>
        <v>3742</v>
      </c>
      <c r="I109" s="102">
        <f>IFERROR(VLOOKUP($B109,MMWR_TRAD_AGG_ST_DISTRICT_PEN[],I$1,0),"ERROR")</f>
        <v>556</v>
      </c>
      <c r="J109" s="104">
        <f t="shared" si="13"/>
        <v>0.14858364510956706</v>
      </c>
      <c r="K109" s="102">
        <f>IFERROR(VLOOKUP($B109,MMWR_TRAD_AGG_ST_DISTRICT_PEN[],K$1,0),"ERROR")</f>
        <v>18</v>
      </c>
      <c r="L109" s="102">
        <f>IFERROR(VLOOKUP($B109,MMWR_TRAD_AGG_ST_DISTRICT_PEN[],L$1,0),"ERROR")</f>
        <v>16</v>
      </c>
      <c r="M109" s="104">
        <f t="shared" si="14"/>
        <v>0.88888888888888884</v>
      </c>
      <c r="N109" s="102">
        <f>IFERROR(VLOOKUP($B109,MMWR_TRAD_AGG_ST_DISTRICT_PEN[],N$1,0),"ERROR")</f>
        <v>162</v>
      </c>
      <c r="O109" s="102">
        <f>IFERROR(VLOOKUP($B109,MMWR_TRAD_AGG_ST_DISTRICT_PEN[],O$1,0),"ERROR")</f>
        <v>59</v>
      </c>
      <c r="P109" s="104">
        <f t="shared" si="15"/>
        <v>0.36419753086419754</v>
      </c>
      <c r="Q109" s="102">
        <f>IFERROR(VLOOKUP($B109,MMWR_TRAD_AGG_ST_DISTRICT_PEN[],Q$1,0),"ERROR")</f>
        <v>3678</v>
      </c>
      <c r="R109" s="106">
        <f>IFERROR(VLOOKUP($B109,MMWR_TRAD_AGG_ST_DISTRICT_PEN[],R$1,0),"ERROR")</f>
        <v>801</v>
      </c>
      <c r="S109" s="106">
        <f>IFERROR(VLOOKUP($B109,MMWR_APP_STATE_PEN[],S$1,0),"ERROR")</f>
        <v>573</v>
      </c>
      <c r="T109" s="28"/>
    </row>
    <row r="110" spans="1:20" s="123" customFormat="1" x14ac:dyDescent="0.2">
      <c r="A110" s="28"/>
      <c r="B110" s="127" t="s">
        <v>424</v>
      </c>
      <c r="C110" s="109">
        <f>IFERROR(VLOOKUP($B110,MMWR_TRAD_AGG_STATE_PEN[],C$1,0),"ERROR")</f>
        <v>20</v>
      </c>
      <c r="D110" s="110">
        <f>IFERROR(VLOOKUP($B110,MMWR_TRAD_AGG_STATE_PEN[],D$1,0),"ERROR")</f>
        <v>168.3</v>
      </c>
      <c r="E110" s="111">
        <f>IFERROR(VLOOKUP($B110,MMWR_TRAD_AGG_STATE_PEN[],E$1,0),"ERROR")</f>
        <v>17</v>
      </c>
      <c r="F110" s="112">
        <f>IFERROR(VLOOKUP($B110,MMWR_TRAD_AGG_STATE_PEN[],F$1,0),"ERROR")</f>
        <v>0</v>
      </c>
      <c r="G110" s="113">
        <f t="shared" si="12"/>
        <v>0</v>
      </c>
      <c r="H110" s="111">
        <f>IFERROR(VLOOKUP($B110,MMWR_TRAD_AGG_STATE_PEN[],H$1,0),"ERROR")</f>
        <v>33</v>
      </c>
      <c r="I110" s="112">
        <f>IFERROR(VLOOKUP($B110,MMWR_TRAD_AGG_STATE_PEN[],I$1,0),"ERROR")</f>
        <v>10</v>
      </c>
      <c r="J110" s="114">
        <f t="shared" si="13"/>
        <v>0.30303030303030304</v>
      </c>
      <c r="K110" s="111">
        <f>IFERROR(VLOOKUP($B110,MMWR_TRAD_AGG_STATE_PEN[],K$1,0),"ERROR")</f>
        <v>0</v>
      </c>
      <c r="L110" s="112">
        <f>IFERROR(VLOOKUP($B110,MMWR_TRAD_AGG_STATE_PEN[],L$1,0),"ERROR")</f>
        <v>0</v>
      </c>
      <c r="M110" s="114" t="str">
        <f t="shared" si="14"/>
        <v>0%</v>
      </c>
      <c r="N110" s="111">
        <f>IFERROR(VLOOKUP($B110,MMWR_TRAD_AGG_STATE_PEN[],N$1,0),"ERROR")</f>
        <v>4</v>
      </c>
      <c r="O110" s="112">
        <f>IFERROR(VLOOKUP($B110,MMWR_TRAD_AGG_STATE_PEN[],O$1,0),"ERROR")</f>
        <v>1</v>
      </c>
      <c r="P110" s="114">
        <f t="shared" si="15"/>
        <v>0.25</v>
      </c>
      <c r="Q110" s="115">
        <f>IFERROR(VLOOKUP($B110,MMWR_TRAD_AGG_STATE_PEN[],Q$1,0),"ERROR")</f>
        <v>45</v>
      </c>
      <c r="R110" s="115">
        <f>IFERROR(VLOOKUP($B110,MMWR_TRAD_AGG_STATE_PEN[],R$1,0),"ERROR")</f>
        <v>9</v>
      </c>
      <c r="S110" s="115">
        <f>IFERROR(VLOOKUP($B110,MMWR_APP_STATE_PEN[],S$1,0),"ERROR")</f>
        <v>4</v>
      </c>
      <c r="T110" s="28"/>
    </row>
    <row r="111" spans="1:20" s="123" customFormat="1" x14ac:dyDescent="0.2">
      <c r="A111" s="28"/>
      <c r="B111" s="127" t="s">
        <v>426</v>
      </c>
      <c r="C111" s="109">
        <f>IFERROR(VLOOKUP($B111,MMWR_TRAD_AGG_STATE_PEN[],C$1,0),"ERROR")</f>
        <v>323</v>
      </c>
      <c r="D111" s="110">
        <f>IFERROR(VLOOKUP($B111,MMWR_TRAD_AGG_STATE_PEN[],D$1,0),"ERROR")</f>
        <v>107.68111455109999</v>
      </c>
      <c r="E111" s="111">
        <f>IFERROR(VLOOKUP($B111,MMWR_TRAD_AGG_STATE_PEN[],E$1,0),"ERROR")</f>
        <v>462</v>
      </c>
      <c r="F111" s="112">
        <f>IFERROR(VLOOKUP($B111,MMWR_TRAD_AGG_STATE_PEN[],F$1,0),"ERROR")</f>
        <v>19</v>
      </c>
      <c r="G111" s="113">
        <f t="shared" si="12"/>
        <v>4.1125541125541128E-2</v>
      </c>
      <c r="H111" s="111">
        <f>IFERROR(VLOOKUP($B111,MMWR_TRAD_AGG_STATE_PEN[],H$1,0),"ERROR")</f>
        <v>452</v>
      </c>
      <c r="I111" s="112">
        <f>IFERROR(VLOOKUP($B111,MMWR_TRAD_AGG_STATE_PEN[],I$1,0),"ERROR")</f>
        <v>69</v>
      </c>
      <c r="J111" s="114">
        <f t="shared" si="13"/>
        <v>0.15265486725663716</v>
      </c>
      <c r="K111" s="111">
        <f>IFERROR(VLOOKUP($B111,MMWR_TRAD_AGG_STATE_PEN[],K$1,0),"ERROR")</f>
        <v>0</v>
      </c>
      <c r="L111" s="112">
        <f>IFERROR(VLOOKUP($B111,MMWR_TRAD_AGG_STATE_PEN[],L$1,0),"ERROR")</f>
        <v>0</v>
      </c>
      <c r="M111" s="114" t="str">
        <f t="shared" si="14"/>
        <v>0%</v>
      </c>
      <c r="N111" s="111">
        <f>IFERROR(VLOOKUP($B111,MMWR_TRAD_AGG_STATE_PEN[],N$1,0),"ERROR")</f>
        <v>16</v>
      </c>
      <c r="O111" s="112">
        <f>IFERROR(VLOOKUP($B111,MMWR_TRAD_AGG_STATE_PEN[],O$1,0),"ERROR")</f>
        <v>3</v>
      </c>
      <c r="P111" s="114">
        <f t="shared" si="15"/>
        <v>0.1875</v>
      </c>
      <c r="Q111" s="115">
        <f>IFERROR(VLOOKUP($B111,MMWR_TRAD_AGG_STATE_PEN[],Q$1,0),"ERROR")</f>
        <v>445</v>
      </c>
      <c r="R111" s="115">
        <f>IFERROR(VLOOKUP($B111,MMWR_TRAD_AGG_STATE_PEN[],R$1,0),"ERROR")</f>
        <v>103</v>
      </c>
      <c r="S111" s="115">
        <f>IFERROR(VLOOKUP($B111,MMWR_APP_STATE_PEN[],S$1,0),"ERROR")</f>
        <v>77</v>
      </c>
      <c r="T111" s="28"/>
    </row>
    <row r="112" spans="1:20" s="123" customFormat="1" x14ac:dyDescent="0.2">
      <c r="A112" s="28"/>
      <c r="B112" s="127" t="s">
        <v>407</v>
      </c>
      <c r="C112" s="109">
        <f>IFERROR(VLOOKUP($B112,MMWR_TRAD_AGG_STATE_PEN[],C$1,0),"ERROR")</f>
        <v>1427</v>
      </c>
      <c r="D112" s="110">
        <f>IFERROR(VLOOKUP($B112,MMWR_TRAD_AGG_STATE_PEN[],D$1,0),"ERROR")</f>
        <v>88.126138752599999</v>
      </c>
      <c r="E112" s="111">
        <f>IFERROR(VLOOKUP($B112,MMWR_TRAD_AGG_STATE_PEN[],E$1,0),"ERROR")</f>
        <v>1847</v>
      </c>
      <c r="F112" s="112">
        <f>IFERROR(VLOOKUP($B112,MMWR_TRAD_AGG_STATE_PEN[],F$1,0),"ERROR")</f>
        <v>65</v>
      </c>
      <c r="G112" s="113">
        <f t="shared" si="12"/>
        <v>3.519220357336221E-2</v>
      </c>
      <c r="H112" s="111">
        <f>IFERROR(VLOOKUP($B112,MMWR_TRAD_AGG_STATE_PEN[],H$1,0),"ERROR")</f>
        <v>1996</v>
      </c>
      <c r="I112" s="112">
        <f>IFERROR(VLOOKUP($B112,MMWR_TRAD_AGG_STATE_PEN[],I$1,0),"ERROR")</f>
        <v>285</v>
      </c>
      <c r="J112" s="114">
        <f t="shared" si="13"/>
        <v>0.14278557114228457</v>
      </c>
      <c r="K112" s="111">
        <f>IFERROR(VLOOKUP($B112,MMWR_TRAD_AGG_STATE_PEN[],K$1,0),"ERROR")</f>
        <v>14</v>
      </c>
      <c r="L112" s="112">
        <f>IFERROR(VLOOKUP($B112,MMWR_TRAD_AGG_STATE_PEN[],L$1,0),"ERROR")</f>
        <v>12</v>
      </c>
      <c r="M112" s="114">
        <f t="shared" si="14"/>
        <v>0.8571428571428571</v>
      </c>
      <c r="N112" s="111">
        <f>IFERROR(VLOOKUP($B112,MMWR_TRAD_AGG_STATE_PEN[],N$1,0),"ERROR")</f>
        <v>96</v>
      </c>
      <c r="O112" s="112">
        <f>IFERROR(VLOOKUP($B112,MMWR_TRAD_AGG_STATE_PEN[],O$1,0),"ERROR")</f>
        <v>34</v>
      </c>
      <c r="P112" s="114">
        <f t="shared" si="15"/>
        <v>0.35416666666666669</v>
      </c>
      <c r="Q112" s="115">
        <f>IFERROR(VLOOKUP($B112,MMWR_TRAD_AGG_STATE_PEN[],Q$1,0),"ERROR")</f>
        <v>1568</v>
      </c>
      <c r="R112" s="115">
        <f>IFERROR(VLOOKUP($B112,MMWR_TRAD_AGG_STATE_PEN[],R$1,0),"ERROR")</f>
        <v>419</v>
      </c>
      <c r="S112" s="115">
        <f>IFERROR(VLOOKUP($B112,MMWR_APP_STATE_PEN[],S$1,0),"ERROR")</f>
        <v>301</v>
      </c>
      <c r="T112" s="28"/>
    </row>
    <row r="113" spans="1:20" s="123" customFormat="1" x14ac:dyDescent="0.2">
      <c r="A113" s="28"/>
      <c r="B113" s="127" t="s">
        <v>428</v>
      </c>
      <c r="C113" s="109">
        <f>IFERROR(VLOOKUP($B113,MMWR_TRAD_AGG_STATE_PEN[],C$1,0),"ERROR")</f>
        <v>32</v>
      </c>
      <c r="D113" s="110">
        <f>IFERROR(VLOOKUP($B113,MMWR_TRAD_AGG_STATE_PEN[],D$1,0),"ERROR")</f>
        <v>67.65625</v>
      </c>
      <c r="E113" s="111">
        <f>IFERROR(VLOOKUP($B113,MMWR_TRAD_AGG_STATE_PEN[],E$1,0),"ERROR")</f>
        <v>18</v>
      </c>
      <c r="F113" s="112">
        <f>IFERROR(VLOOKUP($B113,MMWR_TRAD_AGG_STATE_PEN[],F$1,0),"ERROR")</f>
        <v>1</v>
      </c>
      <c r="G113" s="113">
        <f t="shared" si="12"/>
        <v>5.5555555555555552E-2</v>
      </c>
      <c r="H113" s="111">
        <f>IFERROR(VLOOKUP($B113,MMWR_TRAD_AGG_STATE_PEN[],H$1,0),"ERROR")</f>
        <v>47</v>
      </c>
      <c r="I113" s="112">
        <f>IFERROR(VLOOKUP($B113,MMWR_TRAD_AGG_STATE_PEN[],I$1,0),"ERROR")</f>
        <v>9</v>
      </c>
      <c r="J113" s="114">
        <f t="shared" si="13"/>
        <v>0.19148936170212766</v>
      </c>
      <c r="K113" s="111">
        <f>IFERROR(VLOOKUP($B113,MMWR_TRAD_AGG_STATE_PEN[],K$1,0),"ERROR")</f>
        <v>1</v>
      </c>
      <c r="L113" s="112">
        <f>IFERROR(VLOOKUP($B113,MMWR_TRAD_AGG_STATE_PEN[],L$1,0),"ERROR")</f>
        <v>1</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79</v>
      </c>
      <c r="R113" s="115">
        <f>IFERROR(VLOOKUP($B113,MMWR_TRAD_AGG_STATE_PEN[],R$1,0),"ERROR")</f>
        <v>13</v>
      </c>
      <c r="S113" s="115">
        <f>IFERROR(VLOOKUP($B113,MMWR_APP_STATE_PEN[],S$1,0),"ERROR")</f>
        <v>13</v>
      </c>
      <c r="T113" s="28"/>
    </row>
    <row r="114" spans="1:20" s="123" customFormat="1" x14ac:dyDescent="0.2">
      <c r="A114" s="28"/>
      <c r="B114" s="127" t="s">
        <v>408</v>
      </c>
      <c r="C114" s="109">
        <f>IFERROR(VLOOKUP($B114,MMWR_TRAD_AGG_STATE_PEN[],C$1,0),"ERROR")</f>
        <v>88</v>
      </c>
      <c r="D114" s="110">
        <f>IFERROR(VLOOKUP($B114,MMWR_TRAD_AGG_STATE_PEN[],D$1,0),"ERROR")</f>
        <v>94.420454545499993</v>
      </c>
      <c r="E114" s="111">
        <f>IFERROR(VLOOKUP($B114,MMWR_TRAD_AGG_STATE_PEN[],E$1,0),"ERROR")</f>
        <v>102</v>
      </c>
      <c r="F114" s="112">
        <f>IFERROR(VLOOKUP($B114,MMWR_TRAD_AGG_STATE_PEN[],F$1,0),"ERROR")</f>
        <v>3</v>
      </c>
      <c r="G114" s="113">
        <f t="shared" si="12"/>
        <v>2.9411764705882353E-2</v>
      </c>
      <c r="H114" s="111">
        <f>IFERROR(VLOOKUP($B114,MMWR_TRAD_AGG_STATE_PEN[],H$1,0),"ERROR")</f>
        <v>119</v>
      </c>
      <c r="I114" s="112">
        <f>IFERROR(VLOOKUP($B114,MMWR_TRAD_AGG_STATE_PEN[],I$1,0),"ERROR")</f>
        <v>16</v>
      </c>
      <c r="J114" s="114">
        <f t="shared" si="13"/>
        <v>0.13445378151260504</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2</v>
      </c>
      <c r="P114" s="114">
        <f t="shared" si="15"/>
        <v>0.66666666666666663</v>
      </c>
      <c r="Q114" s="115">
        <f>IFERROR(VLOOKUP($B114,MMWR_TRAD_AGG_STATE_PEN[],Q$1,0),"ERROR")</f>
        <v>111</v>
      </c>
      <c r="R114" s="115">
        <f>IFERROR(VLOOKUP($B114,MMWR_TRAD_AGG_STATE_PEN[],R$1,0),"ERROR")</f>
        <v>17</v>
      </c>
      <c r="S114" s="115">
        <f>IFERROR(VLOOKUP($B114,MMWR_APP_STATE_PEN[],S$1,0),"ERROR")</f>
        <v>8</v>
      </c>
      <c r="T114" s="28"/>
    </row>
    <row r="115" spans="1:20" s="123" customFormat="1" x14ac:dyDescent="0.2">
      <c r="A115" s="28"/>
      <c r="B115" s="127" t="s">
        <v>413</v>
      </c>
      <c r="C115" s="109">
        <f>IFERROR(VLOOKUP($B115,MMWR_TRAD_AGG_STATE_PEN[],C$1,0),"ERROR")</f>
        <v>117</v>
      </c>
      <c r="D115" s="110">
        <f>IFERROR(VLOOKUP($B115,MMWR_TRAD_AGG_STATE_PEN[],D$1,0),"ERROR")</f>
        <v>64.487179487199995</v>
      </c>
      <c r="E115" s="111">
        <f>IFERROR(VLOOKUP($B115,MMWR_TRAD_AGG_STATE_PEN[],E$1,0),"ERROR")</f>
        <v>164</v>
      </c>
      <c r="F115" s="112">
        <f>IFERROR(VLOOKUP($B115,MMWR_TRAD_AGG_STATE_PEN[],F$1,0),"ERROR")</f>
        <v>7</v>
      </c>
      <c r="G115" s="113">
        <f t="shared" si="12"/>
        <v>4.2682926829268296E-2</v>
      </c>
      <c r="H115" s="111">
        <f>IFERROR(VLOOKUP($B115,MMWR_TRAD_AGG_STATE_PEN[],H$1,0),"ERROR")</f>
        <v>174</v>
      </c>
      <c r="I115" s="112">
        <f>IFERROR(VLOOKUP($B115,MMWR_TRAD_AGG_STATE_PEN[],I$1,0),"ERROR")</f>
        <v>24</v>
      </c>
      <c r="J115" s="114">
        <f t="shared" si="13"/>
        <v>0.13793103448275862</v>
      </c>
      <c r="K115" s="111">
        <f>IFERROR(VLOOKUP($B115,MMWR_TRAD_AGG_STATE_PEN[],K$1,0),"ERROR")</f>
        <v>0</v>
      </c>
      <c r="L115" s="112">
        <f>IFERROR(VLOOKUP($B115,MMWR_TRAD_AGG_STATE_PEN[],L$1,0),"ERROR")</f>
        <v>0</v>
      </c>
      <c r="M115" s="114" t="str">
        <f t="shared" si="14"/>
        <v>0%</v>
      </c>
      <c r="N115" s="111">
        <f>IFERROR(VLOOKUP($B115,MMWR_TRAD_AGG_STATE_PEN[],N$1,0),"ERROR")</f>
        <v>8</v>
      </c>
      <c r="O115" s="112">
        <f>IFERROR(VLOOKUP($B115,MMWR_TRAD_AGG_STATE_PEN[],O$1,0),"ERROR")</f>
        <v>3</v>
      </c>
      <c r="P115" s="114">
        <f t="shared" si="15"/>
        <v>0.375</v>
      </c>
      <c r="Q115" s="115">
        <f>IFERROR(VLOOKUP($B115,MMWR_TRAD_AGG_STATE_PEN[],Q$1,0),"ERROR")</f>
        <v>168</v>
      </c>
      <c r="R115" s="115">
        <f>IFERROR(VLOOKUP($B115,MMWR_TRAD_AGG_STATE_PEN[],R$1,0),"ERROR")</f>
        <v>46</v>
      </c>
      <c r="S115" s="115">
        <f>IFERROR(VLOOKUP($B115,MMWR_APP_STATE_PEN[],S$1,0),"ERROR")</f>
        <v>34</v>
      </c>
      <c r="T115" s="28"/>
    </row>
    <row r="116" spans="1:20" s="123" customFormat="1" x14ac:dyDescent="0.2">
      <c r="A116" s="28"/>
      <c r="B116" s="127" t="s">
        <v>405</v>
      </c>
      <c r="C116" s="109">
        <f>IFERROR(VLOOKUP($B116,MMWR_TRAD_AGG_STATE_PEN[],C$1,0),"ERROR")</f>
        <v>106</v>
      </c>
      <c r="D116" s="110">
        <f>IFERROR(VLOOKUP($B116,MMWR_TRAD_AGG_STATE_PEN[],D$1,0),"ERROR")</f>
        <v>96</v>
      </c>
      <c r="E116" s="111">
        <f>IFERROR(VLOOKUP($B116,MMWR_TRAD_AGG_STATE_PEN[],E$1,0),"ERROR")</f>
        <v>146</v>
      </c>
      <c r="F116" s="112">
        <f>IFERROR(VLOOKUP($B116,MMWR_TRAD_AGG_STATE_PEN[],F$1,0),"ERROR")</f>
        <v>5</v>
      </c>
      <c r="G116" s="113">
        <f t="shared" si="12"/>
        <v>3.4246575342465752E-2</v>
      </c>
      <c r="H116" s="111">
        <f>IFERROR(VLOOKUP($B116,MMWR_TRAD_AGG_STATE_PEN[],H$1,0),"ERROR")</f>
        <v>160</v>
      </c>
      <c r="I116" s="112">
        <f>IFERROR(VLOOKUP($B116,MMWR_TRAD_AGG_STATE_PEN[],I$1,0),"ERROR")</f>
        <v>33</v>
      </c>
      <c r="J116" s="114">
        <f t="shared" si="13"/>
        <v>0.20624999999999999</v>
      </c>
      <c r="K116" s="111">
        <f>IFERROR(VLOOKUP($B116,MMWR_TRAD_AGG_STATE_PEN[],K$1,0),"ERROR")</f>
        <v>0</v>
      </c>
      <c r="L116" s="112">
        <f>IFERROR(VLOOKUP($B116,MMWR_TRAD_AGG_STATE_PEN[],L$1,0),"ERROR")</f>
        <v>0</v>
      </c>
      <c r="M116" s="114" t="str">
        <f t="shared" si="14"/>
        <v>0%</v>
      </c>
      <c r="N116" s="111">
        <f>IFERROR(VLOOKUP($B116,MMWR_TRAD_AGG_STATE_PEN[],N$1,0),"ERROR")</f>
        <v>9</v>
      </c>
      <c r="O116" s="112">
        <f>IFERROR(VLOOKUP($B116,MMWR_TRAD_AGG_STATE_PEN[],O$1,0),"ERROR")</f>
        <v>3</v>
      </c>
      <c r="P116" s="114">
        <f t="shared" si="15"/>
        <v>0.33333333333333331</v>
      </c>
      <c r="Q116" s="115">
        <f>IFERROR(VLOOKUP($B116,MMWR_TRAD_AGG_STATE_PEN[],Q$1,0),"ERROR")</f>
        <v>296</v>
      </c>
      <c r="R116" s="115">
        <f>IFERROR(VLOOKUP($B116,MMWR_TRAD_AGG_STATE_PEN[],R$1,0),"ERROR")</f>
        <v>25</v>
      </c>
      <c r="S116" s="115">
        <f>IFERROR(VLOOKUP($B116,MMWR_APP_STATE_PEN[],S$1,0),"ERROR")</f>
        <v>21</v>
      </c>
      <c r="T116" s="28"/>
    </row>
    <row r="117" spans="1:20" s="123" customFormat="1" x14ac:dyDescent="0.2">
      <c r="A117" s="28"/>
      <c r="B117" s="127" t="s">
        <v>409</v>
      </c>
      <c r="C117" s="109">
        <f>IFERROR(VLOOKUP($B117,MMWR_TRAD_AGG_STATE_PEN[],C$1,0),"ERROR")</f>
        <v>252</v>
      </c>
      <c r="D117" s="110">
        <f>IFERROR(VLOOKUP($B117,MMWR_TRAD_AGG_STATE_PEN[],D$1,0),"ERROR")</f>
        <v>89.325396825400006</v>
      </c>
      <c r="E117" s="111">
        <f>IFERROR(VLOOKUP($B117,MMWR_TRAD_AGG_STATE_PEN[],E$1,0),"ERROR")</f>
        <v>270</v>
      </c>
      <c r="F117" s="112">
        <f>IFERROR(VLOOKUP($B117,MMWR_TRAD_AGG_STATE_PEN[],F$1,0),"ERROR")</f>
        <v>7</v>
      </c>
      <c r="G117" s="113">
        <f t="shared" si="12"/>
        <v>2.5925925925925925E-2</v>
      </c>
      <c r="H117" s="111">
        <f>IFERROR(VLOOKUP($B117,MMWR_TRAD_AGG_STATE_PEN[],H$1,0),"ERROR")</f>
        <v>348</v>
      </c>
      <c r="I117" s="112">
        <f>IFERROR(VLOOKUP($B117,MMWR_TRAD_AGG_STATE_PEN[],I$1,0),"ERROR")</f>
        <v>48</v>
      </c>
      <c r="J117" s="114">
        <f t="shared" si="13"/>
        <v>0.13793103448275862</v>
      </c>
      <c r="K117" s="111">
        <f>IFERROR(VLOOKUP($B117,MMWR_TRAD_AGG_STATE_PEN[],K$1,0),"ERROR")</f>
        <v>1</v>
      </c>
      <c r="L117" s="112">
        <f>IFERROR(VLOOKUP($B117,MMWR_TRAD_AGG_STATE_PEN[],L$1,0),"ERROR")</f>
        <v>1</v>
      </c>
      <c r="M117" s="114">
        <f t="shared" si="14"/>
        <v>1</v>
      </c>
      <c r="N117" s="111">
        <f>IFERROR(VLOOKUP($B117,MMWR_TRAD_AGG_STATE_PEN[],N$1,0),"ERROR")</f>
        <v>9</v>
      </c>
      <c r="O117" s="112">
        <f>IFERROR(VLOOKUP($B117,MMWR_TRAD_AGG_STATE_PEN[],O$1,0),"ERROR")</f>
        <v>5</v>
      </c>
      <c r="P117" s="114">
        <f t="shared" si="15"/>
        <v>0.55555555555555558</v>
      </c>
      <c r="Q117" s="115">
        <f>IFERROR(VLOOKUP($B117,MMWR_TRAD_AGG_STATE_PEN[],Q$1,0),"ERROR")</f>
        <v>413</v>
      </c>
      <c r="R117" s="115">
        <f>IFERROR(VLOOKUP($B117,MMWR_TRAD_AGG_STATE_PEN[],R$1,0),"ERROR")</f>
        <v>69</v>
      </c>
      <c r="S117" s="115">
        <f>IFERROR(VLOOKUP($B117,MMWR_APP_STATE_PEN[],S$1,0),"ERROR")</f>
        <v>42</v>
      </c>
      <c r="T117" s="28"/>
    </row>
    <row r="118" spans="1:20" s="123" customFormat="1" x14ac:dyDescent="0.2">
      <c r="A118" s="28"/>
      <c r="B118" s="127" t="s">
        <v>80</v>
      </c>
      <c r="C118" s="109">
        <f>IFERROR(VLOOKUP($B118,MMWR_TRAD_AGG_STATE_PEN[],C$1,0),"ERROR")</f>
        <v>267</v>
      </c>
      <c r="D118" s="110">
        <f>IFERROR(VLOOKUP($B118,MMWR_TRAD_AGG_STATE_PEN[],D$1,0),"ERROR")</f>
        <v>70.153558052400001</v>
      </c>
      <c r="E118" s="111">
        <f>IFERROR(VLOOKUP($B118,MMWR_TRAD_AGG_STATE_PEN[],E$1,0),"ERROR")</f>
        <v>374</v>
      </c>
      <c r="F118" s="112">
        <f>IFERROR(VLOOKUP($B118,MMWR_TRAD_AGG_STATE_PEN[],F$1,0),"ERROR")</f>
        <v>14</v>
      </c>
      <c r="G118" s="113">
        <f t="shared" si="12"/>
        <v>3.7433155080213901E-2</v>
      </c>
      <c r="H118" s="111">
        <f>IFERROR(VLOOKUP($B118,MMWR_TRAD_AGG_STATE_PEN[],H$1,0),"ERROR")</f>
        <v>413</v>
      </c>
      <c r="I118" s="112">
        <f>IFERROR(VLOOKUP($B118,MMWR_TRAD_AGG_STATE_PEN[],I$1,0),"ERROR")</f>
        <v>62</v>
      </c>
      <c r="J118" s="114">
        <f t="shared" si="13"/>
        <v>0.15012106537530268</v>
      </c>
      <c r="K118" s="111">
        <f>IFERROR(VLOOKUP($B118,MMWR_TRAD_AGG_STATE_PEN[],K$1,0),"ERROR")</f>
        <v>1</v>
      </c>
      <c r="L118" s="112">
        <f>IFERROR(VLOOKUP($B118,MMWR_TRAD_AGG_STATE_PEN[],L$1,0),"ERROR")</f>
        <v>1</v>
      </c>
      <c r="M118" s="114">
        <f t="shared" si="14"/>
        <v>1</v>
      </c>
      <c r="N118" s="111">
        <f>IFERROR(VLOOKUP($B118,MMWR_TRAD_AGG_STATE_PEN[],N$1,0),"ERROR")</f>
        <v>17</v>
      </c>
      <c r="O118" s="112">
        <f>IFERROR(VLOOKUP($B118,MMWR_TRAD_AGG_STATE_PEN[],O$1,0),"ERROR")</f>
        <v>8</v>
      </c>
      <c r="P118" s="114">
        <f t="shared" si="15"/>
        <v>0.47058823529411764</v>
      </c>
      <c r="Q118" s="115">
        <f>IFERROR(VLOOKUP($B118,MMWR_TRAD_AGG_STATE_PEN[],Q$1,0),"ERROR")</f>
        <v>553</v>
      </c>
      <c r="R118" s="115">
        <f>IFERROR(VLOOKUP($B118,MMWR_TRAD_AGG_STATE_PEN[],R$1,0),"ERROR")</f>
        <v>100</v>
      </c>
      <c r="S118" s="115">
        <f>IFERROR(VLOOKUP($B118,MMWR_APP_STATE_PEN[],S$1,0),"ERROR")</f>
        <v>73</v>
      </c>
      <c r="T118" s="28"/>
    </row>
    <row r="119" spans="1:20" s="123" customFormat="1" x14ac:dyDescent="0.2">
      <c r="A119" s="28"/>
      <c r="B119" s="126" t="s">
        <v>380</v>
      </c>
      <c r="C119" s="102">
        <f>IFERROR(VLOOKUP($B119,MMWR_TRAD_AGG_ST_DISTRICT_PEN[],C$1,0),"ERROR")</f>
        <v>8654</v>
      </c>
      <c r="D119" s="103">
        <f>IFERROR(VLOOKUP($B119,MMWR_TRAD_AGG_ST_DISTRICT_PEN[],D$1,0),"ERROR")</f>
        <v>97.882366535700001</v>
      </c>
      <c r="E119" s="102">
        <f>IFERROR(VLOOKUP($B119,MMWR_TRAD_AGG_ST_DISTRICT_PEN[],E$1,0),"ERROR")</f>
        <v>9265</v>
      </c>
      <c r="F119" s="102">
        <f>IFERROR(VLOOKUP($B119,MMWR_TRAD_AGG_ST_DISTRICT_PEN[],F$1,0),"ERROR")</f>
        <v>1459</v>
      </c>
      <c r="G119" s="104">
        <f t="shared" si="12"/>
        <v>0.15747436589314626</v>
      </c>
      <c r="H119" s="102">
        <f>IFERROR(VLOOKUP($B119,MMWR_TRAD_AGG_ST_DISTRICT_PEN[],H$1,0),"ERROR")</f>
        <v>10938</v>
      </c>
      <c r="I119" s="102">
        <f>IFERROR(VLOOKUP($B119,MMWR_TRAD_AGG_ST_DISTRICT_PEN[],I$1,0),"ERROR")</f>
        <v>2961</v>
      </c>
      <c r="J119" s="104">
        <f t="shared" si="13"/>
        <v>0.27070762479429511</v>
      </c>
      <c r="K119" s="102">
        <f>IFERROR(VLOOKUP($B119,MMWR_TRAD_AGG_ST_DISTRICT_PEN[],K$1,0),"ERROR")</f>
        <v>37</v>
      </c>
      <c r="L119" s="102">
        <f>IFERROR(VLOOKUP($B119,MMWR_TRAD_AGG_ST_DISTRICT_PEN[],L$1,0),"ERROR")</f>
        <v>32</v>
      </c>
      <c r="M119" s="104">
        <f t="shared" si="14"/>
        <v>0.86486486486486491</v>
      </c>
      <c r="N119" s="102">
        <f>IFERROR(VLOOKUP($B119,MMWR_TRAD_AGG_ST_DISTRICT_PEN[],N$1,0),"ERROR")</f>
        <v>531</v>
      </c>
      <c r="O119" s="102">
        <f>IFERROR(VLOOKUP($B119,MMWR_TRAD_AGG_ST_DISTRICT_PEN[],O$1,0),"ERROR")</f>
        <v>124</v>
      </c>
      <c r="P119" s="104">
        <f t="shared" si="15"/>
        <v>0.2335216572504708</v>
      </c>
      <c r="Q119" s="102">
        <f>IFERROR(VLOOKUP($B119,MMWR_TRAD_AGG_ST_DISTRICT_PEN[],Q$1,0),"ERROR")</f>
        <v>1303</v>
      </c>
      <c r="R119" s="106">
        <f>IFERROR(VLOOKUP($B119,MMWR_TRAD_AGG_ST_DISTRICT_PEN[],R$1,0),"ERROR")</f>
        <v>1680</v>
      </c>
      <c r="S119" s="106">
        <f>IFERROR(VLOOKUP($B119,MMWR_APP_STATE_PEN[],S$1,0),"ERROR")</f>
        <v>1565</v>
      </c>
      <c r="T119" s="28"/>
    </row>
    <row r="120" spans="1:20" s="123" customFormat="1" x14ac:dyDescent="0.2">
      <c r="A120" s="28"/>
      <c r="B120" s="127" t="s">
        <v>388</v>
      </c>
      <c r="C120" s="109">
        <f>IFERROR(VLOOKUP($B120,MMWR_TRAD_AGG_STATE_PEN[],C$1,0),"ERROR")</f>
        <v>837</v>
      </c>
      <c r="D120" s="110">
        <f>IFERROR(VLOOKUP($B120,MMWR_TRAD_AGG_STATE_PEN[],D$1,0),"ERROR")</f>
        <v>65.832735961799997</v>
      </c>
      <c r="E120" s="111">
        <f>IFERROR(VLOOKUP($B120,MMWR_TRAD_AGG_STATE_PEN[],E$1,0),"ERROR")</f>
        <v>815</v>
      </c>
      <c r="F120" s="112">
        <f>IFERROR(VLOOKUP($B120,MMWR_TRAD_AGG_STATE_PEN[],F$1,0),"ERROR")</f>
        <v>76</v>
      </c>
      <c r="G120" s="113">
        <f t="shared" si="12"/>
        <v>9.3251533742331291E-2</v>
      </c>
      <c r="H120" s="111">
        <f>IFERROR(VLOOKUP($B120,MMWR_TRAD_AGG_STATE_PEN[],H$1,0),"ERROR")</f>
        <v>1140</v>
      </c>
      <c r="I120" s="112">
        <f>IFERROR(VLOOKUP($B120,MMWR_TRAD_AGG_STATE_PEN[],I$1,0),"ERROR")</f>
        <v>138</v>
      </c>
      <c r="J120" s="114">
        <f t="shared" si="13"/>
        <v>0.12105263157894737</v>
      </c>
      <c r="K120" s="111">
        <f>IFERROR(VLOOKUP($B120,MMWR_TRAD_AGG_STATE_PEN[],K$1,0),"ERROR")</f>
        <v>5</v>
      </c>
      <c r="L120" s="112">
        <f>IFERROR(VLOOKUP($B120,MMWR_TRAD_AGG_STATE_PEN[],L$1,0),"ERROR")</f>
        <v>5</v>
      </c>
      <c r="M120" s="114">
        <f t="shared" si="14"/>
        <v>1</v>
      </c>
      <c r="N120" s="111">
        <f>IFERROR(VLOOKUP($B120,MMWR_TRAD_AGG_STATE_PEN[],N$1,0),"ERROR")</f>
        <v>62</v>
      </c>
      <c r="O120" s="112">
        <f>IFERROR(VLOOKUP($B120,MMWR_TRAD_AGG_STATE_PEN[],O$1,0),"ERROR")</f>
        <v>10</v>
      </c>
      <c r="P120" s="114">
        <f t="shared" si="15"/>
        <v>0.16129032258064516</v>
      </c>
      <c r="Q120" s="115">
        <f>IFERROR(VLOOKUP($B120,MMWR_TRAD_AGG_STATE_PEN[],Q$1,0),"ERROR")</f>
        <v>123</v>
      </c>
      <c r="R120" s="115">
        <f>IFERROR(VLOOKUP($B120,MMWR_TRAD_AGG_STATE_PEN[],R$1,0),"ERROR")</f>
        <v>95</v>
      </c>
      <c r="S120" s="115">
        <f>IFERROR(VLOOKUP($B120,MMWR_APP_STATE_PEN[],S$1,0),"ERROR")</f>
        <v>258</v>
      </c>
      <c r="T120" s="28"/>
    </row>
    <row r="121" spans="1:20" s="123" customFormat="1" x14ac:dyDescent="0.2">
      <c r="A121" s="28"/>
      <c r="B121" s="127" t="s">
        <v>425</v>
      </c>
      <c r="C121" s="109">
        <f>IFERROR(VLOOKUP($B121,MMWR_TRAD_AGG_STATE_PEN[],C$1,0),"ERROR")</f>
        <v>2688</v>
      </c>
      <c r="D121" s="110">
        <f>IFERROR(VLOOKUP($B121,MMWR_TRAD_AGG_STATE_PEN[],D$1,0),"ERROR")</f>
        <v>104.7358630952</v>
      </c>
      <c r="E121" s="111">
        <f>IFERROR(VLOOKUP($B121,MMWR_TRAD_AGG_STATE_PEN[],E$1,0),"ERROR")</f>
        <v>3806</v>
      </c>
      <c r="F121" s="112">
        <f>IFERROR(VLOOKUP($B121,MMWR_TRAD_AGG_STATE_PEN[],F$1,0),"ERROR")</f>
        <v>647</v>
      </c>
      <c r="G121" s="113">
        <f t="shared" si="12"/>
        <v>0.16999474513925381</v>
      </c>
      <c r="H121" s="111">
        <f>IFERROR(VLOOKUP($B121,MMWR_TRAD_AGG_STATE_PEN[],H$1,0),"ERROR")</f>
        <v>3363</v>
      </c>
      <c r="I121" s="112">
        <f>IFERROR(VLOOKUP($B121,MMWR_TRAD_AGG_STATE_PEN[],I$1,0),"ERROR")</f>
        <v>1074</v>
      </c>
      <c r="J121" s="114">
        <f t="shared" si="13"/>
        <v>0.31935771632471011</v>
      </c>
      <c r="K121" s="111">
        <f>IFERROR(VLOOKUP($B121,MMWR_TRAD_AGG_STATE_PEN[],K$1,0),"ERROR")</f>
        <v>20</v>
      </c>
      <c r="L121" s="112">
        <f>IFERROR(VLOOKUP($B121,MMWR_TRAD_AGG_STATE_PEN[],L$1,0),"ERROR")</f>
        <v>18</v>
      </c>
      <c r="M121" s="114">
        <f t="shared" si="14"/>
        <v>0.9</v>
      </c>
      <c r="N121" s="111">
        <f>IFERROR(VLOOKUP($B121,MMWR_TRAD_AGG_STATE_PEN[],N$1,0),"ERROR")</f>
        <v>157</v>
      </c>
      <c r="O121" s="112">
        <f>IFERROR(VLOOKUP($B121,MMWR_TRAD_AGG_STATE_PEN[],O$1,0),"ERROR")</f>
        <v>46</v>
      </c>
      <c r="P121" s="114">
        <f t="shared" si="15"/>
        <v>0.2929936305732484</v>
      </c>
      <c r="Q121" s="115">
        <f>IFERROR(VLOOKUP($B121,MMWR_TRAD_AGG_STATE_PEN[],Q$1,0),"ERROR")</f>
        <v>479</v>
      </c>
      <c r="R121" s="115">
        <f>IFERROR(VLOOKUP($B121,MMWR_TRAD_AGG_STATE_PEN[],R$1,0),"ERROR")</f>
        <v>660</v>
      </c>
      <c r="S121" s="115">
        <f>IFERROR(VLOOKUP($B121,MMWR_APP_STATE_PEN[],S$1,0),"ERROR")</f>
        <v>438</v>
      </c>
      <c r="T121" s="28"/>
    </row>
    <row r="122" spans="1:20" s="123" customFormat="1" x14ac:dyDescent="0.2">
      <c r="A122" s="28"/>
      <c r="B122" s="127" t="s">
        <v>381</v>
      </c>
      <c r="C122" s="109">
        <f>IFERROR(VLOOKUP($B122,MMWR_TRAD_AGG_STATE_PEN[],C$1,0),"ERROR")</f>
        <v>1348</v>
      </c>
      <c r="D122" s="110">
        <f>IFERROR(VLOOKUP($B122,MMWR_TRAD_AGG_STATE_PEN[],D$1,0),"ERROR")</f>
        <v>107.13724035609999</v>
      </c>
      <c r="E122" s="111">
        <f>IFERROR(VLOOKUP($B122,MMWR_TRAD_AGG_STATE_PEN[],E$1,0),"ERROR")</f>
        <v>1767</v>
      </c>
      <c r="F122" s="112">
        <f>IFERROR(VLOOKUP($B122,MMWR_TRAD_AGG_STATE_PEN[],F$1,0),"ERROR")</f>
        <v>343</v>
      </c>
      <c r="G122" s="113">
        <f t="shared" si="12"/>
        <v>0.19411431805319751</v>
      </c>
      <c r="H122" s="111">
        <f>IFERROR(VLOOKUP($B122,MMWR_TRAD_AGG_STATE_PEN[],H$1,0),"ERROR")</f>
        <v>1725</v>
      </c>
      <c r="I122" s="112">
        <f>IFERROR(VLOOKUP($B122,MMWR_TRAD_AGG_STATE_PEN[],I$1,0),"ERROR")</f>
        <v>577</v>
      </c>
      <c r="J122" s="114">
        <f t="shared" si="13"/>
        <v>0.33449275362318842</v>
      </c>
      <c r="K122" s="111">
        <f>IFERROR(VLOOKUP($B122,MMWR_TRAD_AGG_STATE_PEN[],K$1,0),"ERROR")</f>
        <v>5</v>
      </c>
      <c r="L122" s="112">
        <f>IFERROR(VLOOKUP($B122,MMWR_TRAD_AGG_STATE_PEN[],L$1,0),"ERROR")</f>
        <v>3</v>
      </c>
      <c r="M122" s="114">
        <f t="shared" si="14"/>
        <v>0.6</v>
      </c>
      <c r="N122" s="111">
        <f>IFERROR(VLOOKUP($B122,MMWR_TRAD_AGG_STATE_PEN[],N$1,0),"ERROR")</f>
        <v>117</v>
      </c>
      <c r="O122" s="112">
        <f>IFERROR(VLOOKUP($B122,MMWR_TRAD_AGG_STATE_PEN[],O$1,0),"ERROR")</f>
        <v>22</v>
      </c>
      <c r="P122" s="114">
        <f t="shared" si="15"/>
        <v>0.18803418803418803</v>
      </c>
      <c r="Q122" s="115">
        <f>IFERROR(VLOOKUP($B122,MMWR_TRAD_AGG_STATE_PEN[],Q$1,0),"ERROR")</f>
        <v>224</v>
      </c>
      <c r="R122" s="115">
        <f>IFERROR(VLOOKUP($B122,MMWR_TRAD_AGG_STATE_PEN[],R$1,0),"ERROR")</f>
        <v>433</v>
      </c>
      <c r="S122" s="115">
        <f>IFERROR(VLOOKUP($B122,MMWR_APP_STATE_PEN[],S$1,0),"ERROR")</f>
        <v>278</v>
      </c>
      <c r="T122" s="28"/>
    </row>
    <row r="123" spans="1:20" s="123" customFormat="1" x14ac:dyDescent="0.2">
      <c r="A123" s="28"/>
      <c r="B123" s="127" t="s">
        <v>393</v>
      </c>
      <c r="C123" s="109">
        <f>IFERROR(VLOOKUP($B123,MMWR_TRAD_AGG_STATE_PEN[],C$1,0),"ERROR")</f>
        <v>323</v>
      </c>
      <c r="D123" s="110">
        <f>IFERROR(VLOOKUP($B123,MMWR_TRAD_AGG_STATE_PEN[],D$1,0),"ERROR")</f>
        <v>71.414860681099995</v>
      </c>
      <c r="E123" s="111">
        <f>IFERROR(VLOOKUP($B123,MMWR_TRAD_AGG_STATE_PEN[],E$1,0),"ERROR")</f>
        <v>395</v>
      </c>
      <c r="F123" s="112">
        <f>IFERROR(VLOOKUP($B123,MMWR_TRAD_AGG_STATE_PEN[],F$1,0),"ERROR")</f>
        <v>34</v>
      </c>
      <c r="G123" s="113">
        <f t="shared" si="12"/>
        <v>8.6075949367088608E-2</v>
      </c>
      <c r="H123" s="111">
        <f>IFERROR(VLOOKUP($B123,MMWR_TRAD_AGG_STATE_PEN[],H$1,0),"ERROR")</f>
        <v>466</v>
      </c>
      <c r="I123" s="112">
        <f>IFERROR(VLOOKUP($B123,MMWR_TRAD_AGG_STATE_PEN[],I$1,0),"ERROR")</f>
        <v>60</v>
      </c>
      <c r="J123" s="114">
        <f t="shared" si="13"/>
        <v>0.12875536480686695</v>
      </c>
      <c r="K123" s="111">
        <f>IFERROR(VLOOKUP($B123,MMWR_TRAD_AGG_STATE_PEN[],K$1,0),"ERROR")</f>
        <v>1</v>
      </c>
      <c r="L123" s="112">
        <f>IFERROR(VLOOKUP($B123,MMWR_TRAD_AGG_STATE_PEN[],L$1,0),"ERROR")</f>
        <v>1</v>
      </c>
      <c r="M123" s="114">
        <f t="shared" si="14"/>
        <v>1</v>
      </c>
      <c r="N123" s="111">
        <f>IFERROR(VLOOKUP($B123,MMWR_TRAD_AGG_STATE_PEN[],N$1,0),"ERROR")</f>
        <v>44</v>
      </c>
      <c r="O123" s="112">
        <f>IFERROR(VLOOKUP($B123,MMWR_TRAD_AGG_STATE_PEN[],O$1,0),"ERROR")</f>
        <v>10</v>
      </c>
      <c r="P123" s="114">
        <f t="shared" si="15"/>
        <v>0.22727272727272727</v>
      </c>
      <c r="Q123" s="115">
        <f>IFERROR(VLOOKUP($B123,MMWR_TRAD_AGG_STATE_PEN[],Q$1,0),"ERROR")</f>
        <v>84</v>
      </c>
      <c r="R123" s="115">
        <f>IFERROR(VLOOKUP($B123,MMWR_TRAD_AGG_STATE_PEN[],R$1,0),"ERROR")</f>
        <v>63</v>
      </c>
      <c r="S123" s="115">
        <f>IFERROR(VLOOKUP($B123,MMWR_APP_STATE_PEN[],S$1,0),"ERROR")</f>
        <v>114</v>
      </c>
      <c r="T123" s="28"/>
    </row>
    <row r="124" spans="1:20" s="123" customFormat="1" x14ac:dyDescent="0.2">
      <c r="A124" s="28"/>
      <c r="B124" s="127" t="s">
        <v>427</v>
      </c>
      <c r="C124" s="109">
        <f>IFERROR(VLOOKUP($B124,MMWR_TRAD_AGG_STATE_PEN[],C$1,0),"ERROR")</f>
        <v>1902</v>
      </c>
      <c r="D124" s="110">
        <f>IFERROR(VLOOKUP($B124,MMWR_TRAD_AGG_STATE_PEN[],D$1,0),"ERROR")</f>
        <v>104.6687697161</v>
      </c>
      <c r="E124" s="111">
        <f>IFERROR(VLOOKUP($B124,MMWR_TRAD_AGG_STATE_PEN[],E$1,0),"ERROR")</f>
        <v>666</v>
      </c>
      <c r="F124" s="112">
        <f>IFERROR(VLOOKUP($B124,MMWR_TRAD_AGG_STATE_PEN[],F$1,0),"ERROR")</f>
        <v>113</v>
      </c>
      <c r="G124" s="113">
        <f t="shared" si="12"/>
        <v>0.16966966966966968</v>
      </c>
      <c r="H124" s="111">
        <f>IFERROR(VLOOKUP($B124,MMWR_TRAD_AGG_STATE_PEN[],H$1,0),"ERROR")</f>
        <v>2212</v>
      </c>
      <c r="I124" s="112">
        <f>IFERROR(VLOOKUP($B124,MMWR_TRAD_AGG_STATE_PEN[],I$1,0),"ERROR")</f>
        <v>652</v>
      </c>
      <c r="J124" s="114">
        <f t="shared" si="13"/>
        <v>0.29475587703435807</v>
      </c>
      <c r="K124" s="111">
        <f>IFERROR(VLOOKUP($B124,MMWR_TRAD_AGG_STATE_PEN[],K$1,0),"ERROR")</f>
        <v>4</v>
      </c>
      <c r="L124" s="112">
        <f>IFERROR(VLOOKUP($B124,MMWR_TRAD_AGG_STATE_PEN[],L$1,0),"ERROR")</f>
        <v>4</v>
      </c>
      <c r="M124" s="114">
        <f t="shared" si="14"/>
        <v>1</v>
      </c>
      <c r="N124" s="111">
        <f>IFERROR(VLOOKUP($B124,MMWR_TRAD_AGG_STATE_PEN[],N$1,0),"ERROR")</f>
        <v>23</v>
      </c>
      <c r="O124" s="112">
        <f>IFERROR(VLOOKUP($B124,MMWR_TRAD_AGG_STATE_PEN[],O$1,0),"ERROR")</f>
        <v>10</v>
      </c>
      <c r="P124" s="114">
        <f t="shared" si="15"/>
        <v>0.43478260869565216</v>
      </c>
      <c r="Q124" s="115">
        <f>IFERROR(VLOOKUP($B124,MMWR_TRAD_AGG_STATE_PEN[],Q$1,0),"ERROR")</f>
        <v>79</v>
      </c>
      <c r="R124" s="115">
        <f>IFERROR(VLOOKUP($B124,MMWR_TRAD_AGG_STATE_PEN[],R$1,0),"ERROR")</f>
        <v>90</v>
      </c>
      <c r="S124" s="115">
        <f>IFERROR(VLOOKUP($B124,MMWR_APP_STATE_PEN[],S$1,0),"ERROR")</f>
        <v>87</v>
      </c>
      <c r="T124" s="28"/>
    </row>
    <row r="125" spans="1:20" s="123" customFormat="1" x14ac:dyDescent="0.2">
      <c r="A125" s="28"/>
      <c r="B125" s="127" t="s">
        <v>383</v>
      </c>
      <c r="C125" s="109">
        <f>IFERROR(VLOOKUP($B125,MMWR_TRAD_AGG_STATE_PEN[],C$1,0),"ERROR")</f>
        <v>960</v>
      </c>
      <c r="D125" s="110">
        <f>IFERROR(VLOOKUP($B125,MMWR_TRAD_AGG_STATE_PEN[],D$1,0),"ERROR")</f>
        <v>105.85312500000001</v>
      </c>
      <c r="E125" s="111">
        <f>IFERROR(VLOOKUP($B125,MMWR_TRAD_AGG_STATE_PEN[],E$1,0),"ERROR")</f>
        <v>1087</v>
      </c>
      <c r="F125" s="112">
        <f>IFERROR(VLOOKUP($B125,MMWR_TRAD_AGG_STATE_PEN[],F$1,0),"ERROR")</f>
        <v>173</v>
      </c>
      <c r="G125" s="113">
        <f t="shared" si="12"/>
        <v>0.15915363385464582</v>
      </c>
      <c r="H125" s="111">
        <f>IFERROR(VLOOKUP($B125,MMWR_TRAD_AGG_STATE_PEN[],H$1,0),"ERROR")</f>
        <v>1168</v>
      </c>
      <c r="I125" s="112">
        <f>IFERROR(VLOOKUP($B125,MMWR_TRAD_AGG_STATE_PEN[],I$1,0),"ERROR")</f>
        <v>344</v>
      </c>
      <c r="J125" s="114">
        <f t="shared" si="13"/>
        <v>0.29452054794520549</v>
      </c>
      <c r="K125" s="111">
        <f>IFERROR(VLOOKUP($B125,MMWR_TRAD_AGG_STATE_PEN[],K$1,0),"ERROR")</f>
        <v>1</v>
      </c>
      <c r="L125" s="112">
        <f>IFERROR(VLOOKUP($B125,MMWR_TRAD_AGG_STATE_PEN[],L$1,0),"ERROR")</f>
        <v>0</v>
      </c>
      <c r="M125" s="114">
        <f t="shared" si="14"/>
        <v>0</v>
      </c>
      <c r="N125" s="111">
        <f>IFERROR(VLOOKUP($B125,MMWR_TRAD_AGG_STATE_PEN[],N$1,0),"ERROR")</f>
        <v>48</v>
      </c>
      <c r="O125" s="112">
        <f>IFERROR(VLOOKUP($B125,MMWR_TRAD_AGG_STATE_PEN[],O$1,0),"ERROR")</f>
        <v>9</v>
      </c>
      <c r="P125" s="114">
        <f t="shared" si="15"/>
        <v>0.1875</v>
      </c>
      <c r="Q125" s="115">
        <f>IFERROR(VLOOKUP($B125,MMWR_TRAD_AGG_STATE_PEN[],Q$1,0),"ERROR")</f>
        <v>164</v>
      </c>
      <c r="R125" s="115">
        <f>IFERROR(VLOOKUP($B125,MMWR_TRAD_AGG_STATE_PEN[],R$1,0),"ERROR")</f>
        <v>253</v>
      </c>
      <c r="S125" s="115">
        <f>IFERROR(VLOOKUP($B125,MMWR_APP_STATE_PEN[],S$1,0),"ERROR")</f>
        <v>144</v>
      </c>
      <c r="T125" s="28"/>
    </row>
    <row r="126" spans="1:20" s="123" customFormat="1" x14ac:dyDescent="0.2">
      <c r="A126" s="28"/>
      <c r="B126" s="127" t="s">
        <v>384</v>
      </c>
      <c r="C126" s="109">
        <f>IFERROR(VLOOKUP($B126,MMWR_TRAD_AGG_STATE_PEN[],C$1,0),"ERROR")</f>
        <v>596</v>
      </c>
      <c r="D126" s="110">
        <f>IFERROR(VLOOKUP($B126,MMWR_TRAD_AGG_STATE_PEN[],D$1,0),"ERROR")</f>
        <v>70.897651006700002</v>
      </c>
      <c r="E126" s="111">
        <f>IFERROR(VLOOKUP($B126,MMWR_TRAD_AGG_STATE_PEN[],E$1,0),"ERROR")</f>
        <v>729</v>
      </c>
      <c r="F126" s="112">
        <f>IFERROR(VLOOKUP($B126,MMWR_TRAD_AGG_STATE_PEN[],F$1,0),"ERROR")</f>
        <v>73</v>
      </c>
      <c r="G126" s="113">
        <f t="shared" si="12"/>
        <v>0.10013717421124829</v>
      </c>
      <c r="H126" s="111">
        <f>IFERROR(VLOOKUP($B126,MMWR_TRAD_AGG_STATE_PEN[],H$1,0),"ERROR")</f>
        <v>864</v>
      </c>
      <c r="I126" s="112">
        <f>IFERROR(VLOOKUP($B126,MMWR_TRAD_AGG_STATE_PEN[],I$1,0),"ERROR")</f>
        <v>116</v>
      </c>
      <c r="J126" s="114">
        <f t="shared" si="13"/>
        <v>0.13425925925925927</v>
      </c>
      <c r="K126" s="111">
        <f>IFERROR(VLOOKUP($B126,MMWR_TRAD_AGG_STATE_PEN[],K$1,0),"ERROR")</f>
        <v>1</v>
      </c>
      <c r="L126" s="112">
        <f>IFERROR(VLOOKUP($B126,MMWR_TRAD_AGG_STATE_PEN[],L$1,0),"ERROR")</f>
        <v>1</v>
      </c>
      <c r="M126" s="114">
        <f t="shared" si="14"/>
        <v>1</v>
      </c>
      <c r="N126" s="111">
        <f>IFERROR(VLOOKUP($B126,MMWR_TRAD_AGG_STATE_PEN[],N$1,0),"ERROR")</f>
        <v>80</v>
      </c>
      <c r="O126" s="112">
        <f>IFERROR(VLOOKUP($B126,MMWR_TRAD_AGG_STATE_PEN[],O$1,0),"ERROR")</f>
        <v>17</v>
      </c>
      <c r="P126" s="114">
        <f t="shared" si="15"/>
        <v>0.21249999999999999</v>
      </c>
      <c r="Q126" s="115">
        <f>IFERROR(VLOOKUP($B126,MMWR_TRAD_AGG_STATE_PEN[],Q$1,0),"ERROR")</f>
        <v>150</v>
      </c>
      <c r="R126" s="115">
        <f>IFERROR(VLOOKUP($B126,MMWR_TRAD_AGG_STATE_PEN[],R$1,0),"ERROR")</f>
        <v>86</v>
      </c>
      <c r="S126" s="115">
        <f>IFERROR(VLOOKUP($B126,MMWR_APP_STATE_PEN[],S$1,0),"ERROR")</f>
        <v>246</v>
      </c>
      <c r="T126" s="28"/>
    </row>
    <row r="127" spans="1:20" s="123" customFormat="1" x14ac:dyDescent="0.2">
      <c r="A127" s="28"/>
      <c r="B127" s="128" t="s">
        <v>8</v>
      </c>
      <c r="C127" s="102">
        <f>IFERROR(VLOOKUP($B127,MMWR_TRAD_AGG_ST_DISTRICT_PEN[],C$1,0),"ERROR")</f>
        <v>195</v>
      </c>
      <c r="D127" s="103">
        <f>IFERROR(VLOOKUP($B127,MMWR_TRAD_AGG_ST_DISTRICT_PEN[],D$1,0),"ERROR")</f>
        <v>97.553846153799995</v>
      </c>
      <c r="E127" s="102">
        <f>IFERROR(VLOOKUP($B127,MMWR_TRAD_AGG_ST_DISTRICT_PEN[],E$1,0),"ERROR")</f>
        <v>213</v>
      </c>
      <c r="F127" s="102">
        <f>IFERROR(VLOOKUP($B127,MMWR_TRAD_AGG_ST_DISTRICT_PEN[],F$1,0),"ERROR")</f>
        <v>98</v>
      </c>
      <c r="G127" s="104">
        <f t="shared" si="12"/>
        <v>0.460093896713615</v>
      </c>
      <c r="H127" s="102">
        <f>IFERROR(VLOOKUP($B127,MMWR_TRAD_AGG_ST_DISTRICT_PEN[],H$1,0),"ERROR")</f>
        <v>380</v>
      </c>
      <c r="I127" s="102">
        <f>IFERROR(VLOOKUP($B127,MMWR_TRAD_AGG_ST_DISTRICT_PEN[],I$1,0),"ERROR")</f>
        <v>181</v>
      </c>
      <c r="J127" s="104">
        <f t="shared" si="13"/>
        <v>0.47631578947368419</v>
      </c>
      <c r="K127" s="102">
        <f>IFERROR(VLOOKUP($B127,MMWR_TRAD_AGG_ST_DISTRICT_PEN[],K$1,0),"ERROR")</f>
        <v>8</v>
      </c>
      <c r="L127" s="102">
        <f>IFERROR(VLOOKUP($B127,MMWR_TRAD_AGG_ST_DISTRICT_PEN[],L$1,0),"ERROR")</f>
        <v>7</v>
      </c>
      <c r="M127" s="104">
        <f t="shared" si="14"/>
        <v>0.875</v>
      </c>
      <c r="N127" s="102">
        <f>IFERROR(VLOOKUP($B127,MMWR_TRAD_AGG_ST_DISTRICT_PEN[],N$1,0),"ERROR")</f>
        <v>11</v>
      </c>
      <c r="O127" s="102">
        <f>IFERROR(VLOOKUP($B127,MMWR_TRAD_AGG_ST_DISTRICT_PEN[],O$1,0),"ERROR")</f>
        <v>1</v>
      </c>
      <c r="P127" s="104">
        <f t="shared" si="15"/>
        <v>9.0909090909090912E-2</v>
      </c>
      <c r="Q127" s="102">
        <f>IFERROR(VLOOKUP($B127,MMWR_TRAD_AGG_ST_DISTRICT_PEN[],Q$1,0),"ERROR")</f>
        <v>57</v>
      </c>
      <c r="R127" s="106">
        <f>IFERROR(VLOOKUP($B127,MMWR_TRAD_AGG_ST_DISTRICT_PEN[],R$1,0),"ERROR")</f>
        <v>23</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306</v>
      </c>
      <c r="H2" t="s">
        <v>133</v>
      </c>
      <c r="I2" t="s">
        <v>214</v>
      </c>
      <c r="J2" t="s">
        <v>215</v>
      </c>
      <c r="K2" t="s">
        <v>216</v>
      </c>
      <c r="L2" t="s">
        <v>217</v>
      </c>
      <c r="M2" t="s">
        <v>218</v>
      </c>
      <c r="N2" t="s">
        <v>219</v>
      </c>
      <c r="O2" t="s">
        <v>220</v>
      </c>
      <c r="P2" t="s">
        <v>221</v>
      </c>
      <c r="Q2" t="s">
        <v>222</v>
      </c>
      <c r="R2" t="s">
        <v>223</v>
      </c>
      <c r="T2" t="s">
        <v>651</v>
      </c>
      <c r="U2" t="s">
        <v>306</v>
      </c>
      <c r="V2" t="s">
        <v>133</v>
      </c>
      <c r="W2" t="s">
        <v>214</v>
      </c>
      <c r="X2" t="s">
        <v>459</v>
      </c>
      <c r="Y2" t="s">
        <v>216</v>
      </c>
      <c r="Z2" t="s">
        <v>217</v>
      </c>
      <c r="AA2" t="s">
        <v>218</v>
      </c>
      <c r="AB2" t="s">
        <v>460</v>
      </c>
      <c r="AC2" t="s">
        <v>220</v>
      </c>
      <c r="AD2" t="s">
        <v>221</v>
      </c>
      <c r="AE2" t="s">
        <v>222</v>
      </c>
      <c r="AF2" t="s">
        <v>223</v>
      </c>
      <c r="AH2" t="s">
        <v>650</v>
      </c>
      <c r="AI2" t="s">
        <v>306</v>
      </c>
      <c r="AJ2" t="s">
        <v>133</v>
      </c>
      <c r="AK2" t="s">
        <v>214</v>
      </c>
      <c r="AL2" t="s">
        <v>215</v>
      </c>
      <c r="AM2" t="s">
        <v>216</v>
      </c>
      <c r="AN2" t="s">
        <v>217</v>
      </c>
      <c r="AO2" t="s">
        <v>218</v>
      </c>
      <c r="AP2" t="s">
        <v>219</v>
      </c>
      <c r="AQ2" t="s">
        <v>220</v>
      </c>
      <c r="AR2" t="s">
        <v>221</v>
      </c>
      <c r="AS2" t="s">
        <v>222</v>
      </c>
      <c r="AT2" t="s">
        <v>223</v>
      </c>
      <c r="AV2" t="s">
        <v>649</v>
      </c>
      <c r="AW2" t="s">
        <v>306</v>
      </c>
      <c r="AX2" t="s">
        <v>133</v>
      </c>
      <c r="AY2" t="s">
        <v>214</v>
      </c>
      <c r="AZ2" t="s">
        <v>459</v>
      </c>
      <c r="BA2" t="s">
        <v>216</v>
      </c>
      <c r="BB2" t="s">
        <v>217</v>
      </c>
      <c r="BC2" t="s">
        <v>218</v>
      </c>
      <c r="BD2" t="s">
        <v>460</v>
      </c>
      <c r="BE2" t="s">
        <v>220</v>
      </c>
      <c r="BF2" t="s">
        <v>221</v>
      </c>
      <c r="BG2" t="s">
        <v>222</v>
      </c>
      <c r="BH2" t="s">
        <v>223</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1030</v>
      </c>
      <c r="CB2" t="s">
        <v>735</v>
      </c>
      <c r="CC2" t="s">
        <v>736</v>
      </c>
      <c r="CD2" t="s">
        <v>714</v>
      </c>
      <c r="CE2" t="s">
        <v>715</v>
      </c>
      <c r="CF2" t="s">
        <v>716</v>
      </c>
      <c r="CG2" t="s">
        <v>717</v>
      </c>
      <c r="CH2" t="s">
        <v>718</v>
      </c>
      <c r="CI2" t="s">
        <v>719</v>
      </c>
      <c r="CJ2" t="s">
        <v>720</v>
      </c>
      <c r="CL2" t="s">
        <v>1031</v>
      </c>
      <c r="CM2" t="s">
        <v>735</v>
      </c>
      <c r="CN2" t="s">
        <v>736</v>
      </c>
      <c r="CO2" t="s">
        <v>714</v>
      </c>
      <c r="CP2" t="s">
        <v>715</v>
      </c>
      <c r="CQ2" t="s">
        <v>716</v>
      </c>
      <c r="CR2" t="s">
        <v>717</v>
      </c>
      <c r="CS2" t="s">
        <v>718</v>
      </c>
      <c r="CT2" t="s">
        <v>719</v>
      </c>
      <c r="CU2" t="s">
        <v>720</v>
      </c>
      <c r="CW2" t="s">
        <v>1032</v>
      </c>
      <c r="CX2" t="s">
        <v>735</v>
      </c>
      <c r="CY2" t="s">
        <v>736</v>
      </c>
      <c r="CZ2" t="s">
        <v>714</v>
      </c>
      <c r="DA2" t="s">
        <v>715</v>
      </c>
      <c r="DB2" t="s">
        <v>716</v>
      </c>
      <c r="DC2" t="s">
        <v>717</v>
      </c>
      <c r="DD2" t="s">
        <v>718</v>
      </c>
      <c r="DE2" t="s">
        <v>719</v>
      </c>
      <c r="DF2" t="s">
        <v>720</v>
      </c>
      <c r="DH2" t="s">
        <v>1033</v>
      </c>
      <c r="DI2" t="s">
        <v>735</v>
      </c>
      <c r="DJ2" t="s">
        <v>736</v>
      </c>
      <c r="DK2" t="s">
        <v>714</v>
      </c>
      <c r="DL2" t="s">
        <v>715</v>
      </c>
      <c r="DM2" t="s">
        <v>716</v>
      </c>
      <c r="DN2" t="s">
        <v>717</v>
      </c>
      <c r="DO2" t="s">
        <v>718</v>
      </c>
      <c r="DP2" t="s">
        <v>719</v>
      </c>
      <c r="DQ2" t="s">
        <v>720</v>
      </c>
    </row>
    <row r="3" spans="2:121" x14ac:dyDescent="0.2">
      <c r="C3">
        <v>358516</v>
      </c>
      <c r="D3">
        <v>284286</v>
      </c>
      <c r="F3" t="s">
        <v>31</v>
      </c>
      <c r="G3">
        <v>771</v>
      </c>
      <c r="H3">
        <v>151.02204928660001</v>
      </c>
      <c r="I3">
        <v>2749</v>
      </c>
      <c r="J3">
        <v>496</v>
      </c>
      <c r="K3">
        <v>1209</v>
      </c>
      <c r="L3">
        <v>432</v>
      </c>
      <c r="M3">
        <v>289</v>
      </c>
      <c r="N3">
        <v>116</v>
      </c>
      <c r="O3">
        <v>409</v>
      </c>
      <c r="P3">
        <v>256</v>
      </c>
      <c r="Q3">
        <v>0</v>
      </c>
      <c r="R3">
        <v>8</v>
      </c>
      <c r="T3" t="s">
        <v>209</v>
      </c>
      <c r="U3">
        <v>6082</v>
      </c>
      <c r="V3">
        <v>69.6448536666</v>
      </c>
      <c r="W3">
        <v>7372</v>
      </c>
      <c r="X3">
        <v>686</v>
      </c>
      <c r="Y3">
        <v>7744</v>
      </c>
      <c r="Z3">
        <v>678</v>
      </c>
      <c r="AA3">
        <v>4</v>
      </c>
      <c r="AB3">
        <v>3</v>
      </c>
      <c r="AC3">
        <v>639</v>
      </c>
      <c r="AD3">
        <v>120</v>
      </c>
      <c r="AE3">
        <v>1162</v>
      </c>
      <c r="AF3">
        <v>866</v>
      </c>
      <c r="AH3" t="s">
        <v>388</v>
      </c>
      <c r="AI3">
        <v>11645</v>
      </c>
      <c r="AJ3">
        <v>369.75268355520001</v>
      </c>
      <c r="AK3">
        <v>7924</v>
      </c>
      <c r="AL3">
        <v>1778</v>
      </c>
      <c r="AM3">
        <v>15493</v>
      </c>
      <c r="AN3">
        <v>10923</v>
      </c>
      <c r="AO3">
        <v>5018</v>
      </c>
      <c r="AP3">
        <v>4320</v>
      </c>
      <c r="AQ3">
        <v>3190</v>
      </c>
      <c r="AR3">
        <v>1880</v>
      </c>
      <c r="AS3">
        <v>560</v>
      </c>
      <c r="AT3">
        <v>398</v>
      </c>
      <c r="AV3" t="s">
        <v>413</v>
      </c>
      <c r="AW3">
        <v>117</v>
      </c>
      <c r="AX3">
        <v>64.487179487199995</v>
      </c>
      <c r="AY3">
        <v>164</v>
      </c>
      <c r="AZ3">
        <v>7</v>
      </c>
      <c r="BA3">
        <v>174</v>
      </c>
      <c r="BB3">
        <v>24</v>
      </c>
      <c r="BC3">
        <v>0</v>
      </c>
      <c r="BE3">
        <v>8</v>
      </c>
      <c r="BF3">
        <v>3</v>
      </c>
      <c r="BG3">
        <v>168</v>
      </c>
      <c r="BH3">
        <v>46</v>
      </c>
      <c r="BJ3" t="s">
        <v>728</v>
      </c>
      <c r="BK3" t="s">
        <v>731</v>
      </c>
      <c r="BL3">
        <v>313681</v>
      </c>
      <c r="BM3">
        <v>67009</v>
      </c>
      <c r="BN3">
        <v>90.665982319600005</v>
      </c>
      <c r="BO3">
        <v>704234</v>
      </c>
      <c r="BP3">
        <v>79387</v>
      </c>
      <c r="BQ3">
        <v>129.1267192439</v>
      </c>
      <c r="BR3">
        <v>121.8243793064</v>
      </c>
      <c r="BS3">
        <v>313682</v>
      </c>
      <c r="BT3">
        <v>67010</v>
      </c>
      <c r="BU3">
        <v>90.667178862699998</v>
      </c>
      <c r="BV3">
        <v>704234</v>
      </c>
      <c r="BW3">
        <v>79387</v>
      </c>
      <c r="BX3">
        <v>129.1267192439</v>
      </c>
      <c r="BY3">
        <v>121.8243793064</v>
      </c>
      <c r="CA3" t="s">
        <v>1036</v>
      </c>
      <c r="CB3" t="s">
        <v>731</v>
      </c>
      <c r="CC3" t="s">
        <v>917</v>
      </c>
      <c r="CD3">
        <v>7030</v>
      </c>
      <c r="CE3">
        <v>1509</v>
      </c>
      <c r="CF3">
        <v>87.744950213400003</v>
      </c>
      <c r="CG3">
        <v>19204</v>
      </c>
      <c r="CH3">
        <v>2971</v>
      </c>
      <c r="CI3">
        <v>134.17199541759999</v>
      </c>
      <c r="CJ3">
        <v>120.997980478</v>
      </c>
      <c r="CL3" t="s">
        <v>1036</v>
      </c>
      <c r="CM3" t="s">
        <v>731</v>
      </c>
      <c r="CN3" t="s">
        <v>917</v>
      </c>
      <c r="CO3">
        <v>7030</v>
      </c>
      <c r="CP3">
        <v>1509</v>
      </c>
      <c r="CQ3">
        <v>87.744950213400003</v>
      </c>
      <c r="CR3">
        <v>19204</v>
      </c>
      <c r="CS3">
        <v>2971</v>
      </c>
      <c r="CT3">
        <v>134.17199541759999</v>
      </c>
      <c r="CU3">
        <v>120.997980478</v>
      </c>
      <c r="CW3" t="s">
        <v>1036</v>
      </c>
      <c r="CX3" t="s">
        <v>731</v>
      </c>
      <c r="CY3" t="s">
        <v>917</v>
      </c>
      <c r="CZ3">
        <v>7030</v>
      </c>
      <c r="DA3">
        <v>1509</v>
      </c>
      <c r="DB3">
        <v>87.744950213400003</v>
      </c>
      <c r="DC3">
        <v>19204</v>
      </c>
      <c r="DD3">
        <v>2971</v>
      </c>
      <c r="DE3">
        <v>134.17199541759999</v>
      </c>
      <c r="DF3">
        <v>120.997980478</v>
      </c>
      <c r="DH3" t="s">
        <v>1036</v>
      </c>
      <c r="DI3" t="s">
        <v>731</v>
      </c>
      <c r="DJ3" t="s">
        <v>917</v>
      </c>
      <c r="DK3">
        <v>7030</v>
      </c>
      <c r="DL3">
        <v>1509</v>
      </c>
      <c r="DM3">
        <v>87.744950213400003</v>
      </c>
      <c r="DN3">
        <v>19204</v>
      </c>
      <c r="DO3">
        <v>2971</v>
      </c>
      <c r="DP3">
        <v>134.17199541759999</v>
      </c>
      <c r="DQ3">
        <v>120.997980478</v>
      </c>
    </row>
    <row r="4" spans="2:121" x14ac:dyDescent="0.2">
      <c r="B4" t="s">
        <v>107</v>
      </c>
      <c r="C4">
        <v>67389</v>
      </c>
      <c r="D4">
        <v>49610</v>
      </c>
      <c r="F4" t="s">
        <v>77</v>
      </c>
      <c r="G4">
        <v>16029</v>
      </c>
      <c r="H4">
        <v>328.0646952399</v>
      </c>
      <c r="I4">
        <v>22440</v>
      </c>
      <c r="J4">
        <v>5008</v>
      </c>
      <c r="K4">
        <v>19359</v>
      </c>
      <c r="L4">
        <v>12661</v>
      </c>
      <c r="M4">
        <v>4877</v>
      </c>
      <c r="N4">
        <v>3850</v>
      </c>
      <c r="O4">
        <v>12856</v>
      </c>
      <c r="P4">
        <v>9275</v>
      </c>
      <c r="Q4">
        <v>7</v>
      </c>
      <c r="R4">
        <v>283</v>
      </c>
      <c r="T4" t="s">
        <v>224</v>
      </c>
      <c r="U4">
        <v>0</v>
      </c>
      <c r="W4">
        <v>381</v>
      </c>
      <c r="X4">
        <v>135</v>
      </c>
      <c r="Y4">
        <v>2957</v>
      </c>
      <c r="Z4">
        <v>1376</v>
      </c>
      <c r="AA4">
        <v>209</v>
      </c>
      <c r="AB4">
        <v>208</v>
      </c>
      <c r="AC4">
        <v>176</v>
      </c>
      <c r="AD4">
        <v>106</v>
      </c>
      <c r="AE4">
        <v>7</v>
      </c>
      <c r="AF4">
        <v>0</v>
      </c>
      <c r="AH4" t="s">
        <v>424</v>
      </c>
      <c r="AI4">
        <v>1799</v>
      </c>
      <c r="AJ4">
        <v>479.32128960530002</v>
      </c>
      <c r="AK4">
        <v>1134</v>
      </c>
      <c r="AL4">
        <v>290</v>
      </c>
      <c r="AM4">
        <v>2549</v>
      </c>
      <c r="AN4">
        <v>2004</v>
      </c>
      <c r="AO4">
        <v>1891</v>
      </c>
      <c r="AP4">
        <v>1583</v>
      </c>
      <c r="AQ4">
        <v>680</v>
      </c>
      <c r="AR4">
        <v>412</v>
      </c>
      <c r="AS4">
        <v>0</v>
      </c>
      <c r="AT4">
        <v>3</v>
      </c>
      <c r="AV4" t="s">
        <v>427</v>
      </c>
      <c r="AW4">
        <v>1902</v>
      </c>
      <c r="AX4">
        <v>104.6687697161</v>
      </c>
      <c r="AY4">
        <v>666</v>
      </c>
      <c r="AZ4">
        <v>113</v>
      </c>
      <c r="BA4">
        <v>2212</v>
      </c>
      <c r="BB4">
        <v>652</v>
      </c>
      <c r="BC4">
        <v>4</v>
      </c>
      <c r="BD4">
        <v>4</v>
      </c>
      <c r="BE4">
        <v>23</v>
      </c>
      <c r="BF4">
        <v>10</v>
      </c>
      <c r="BG4">
        <v>79</v>
      </c>
      <c r="BH4">
        <v>90</v>
      </c>
      <c r="BJ4" t="s">
        <v>637</v>
      </c>
      <c r="BK4" t="s">
        <v>385</v>
      </c>
      <c r="BL4">
        <v>643</v>
      </c>
      <c r="BM4">
        <v>88</v>
      </c>
      <c r="BN4">
        <v>68.115085536500004</v>
      </c>
      <c r="BO4">
        <v>1944</v>
      </c>
      <c r="BP4">
        <v>242</v>
      </c>
      <c r="BQ4">
        <v>119.9356995885</v>
      </c>
      <c r="BR4">
        <v>94.900826446300002</v>
      </c>
      <c r="BS4">
        <v>274</v>
      </c>
      <c r="BT4">
        <v>55</v>
      </c>
      <c r="BU4">
        <v>82.379562043799993</v>
      </c>
      <c r="BV4">
        <v>2145</v>
      </c>
      <c r="BW4">
        <v>366</v>
      </c>
      <c r="BX4">
        <v>126.00652680650001</v>
      </c>
      <c r="BY4">
        <v>101.9234972678</v>
      </c>
      <c r="CA4" t="s">
        <v>1035</v>
      </c>
      <c r="CB4" t="s">
        <v>731</v>
      </c>
      <c r="CC4" t="s">
        <v>917</v>
      </c>
      <c r="CD4">
        <v>313682</v>
      </c>
      <c r="CE4">
        <v>67010</v>
      </c>
      <c r="CF4">
        <v>90.667178862699998</v>
      </c>
      <c r="CG4">
        <v>704234</v>
      </c>
      <c r="CH4">
        <v>79387</v>
      </c>
      <c r="CI4">
        <v>129.1267192439</v>
      </c>
      <c r="CJ4">
        <v>121.8243793064</v>
      </c>
      <c r="CL4" t="s">
        <v>1035</v>
      </c>
      <c r="CM4" t="s">
        <v>731</v>
      </c>
      <c r="CN4" t="s">
        <v>917</v>
      </c>
      <c r="CO4">
        <v>313682</v>
      </c>
      <c r="CP4">
        <v>67010</v>
      </c>
      <c r="CQ4">
        <v>90.667178862699998</v>
      </c>
      <c r="CR4">
        <v>704234</v>
      </c>
      <c r="CS4">
        <v>79387</v>
      </c>
      <c r="CT4">
        <v>129.1267192439</v>
      </c>
      <c r="CU4">
        <v>121.8243793064</v>
      </c>
      <c r="CW4" t="s">
        <v>1035</v>
      </c>
      <c r="CX4" t="s">
        <v>731</v>
      </c>
      <c r="CY4" t="s">
        <v>917</v>
      </c>
      <c r="CZ4">
        <v>313682</v>
      </c>
      <c r="DA4">
        <v>67010</v>
      </c>
      <c r="DB4">
        <v>90.667178862699998</v>
      </c>
      <c r="DC4">
        <v>704234</v>
      </c>
      <c r="DD4">
        <v>79387</v>
      </c>
      <c r="DE4">
        <v>129.1267192439</v>
      </c>
      <c r="DF4">
        <v>121.8243793064</v>
      </c>
      <c r="DH4" t="s">
        <v>1035</v>
      </c>
      <c r="DI4" t="s">
        <v>731</v>
      </c>
      <c r="DJ4" t="s">
        <v>917</v>
      </c>
      <c r="DK4">
        <v>313682</v>
      </c>
      <c r="DL4">
        <v>67010</v>
      </c>
      <c r="DM4">
        <v>90.667178862699998</v>
      </c>
      <c r="DN4">
        <v>704234</v>
      </c>
      <c r="DO4">
        <v>79387</v>
      </c>
      <c r="DP4">
        <v>129.1267192439</v>
      </c>
      <c r="DQ4">
        <v>121.8243793064</v>
      </c>
    </row>
    <row r="5" spans="2:121" x14ac:dyDescent="0.2">
      <c r="B5" t="s">
        <v>98</v>
      </c>
      <c r="C5">
        <v>99202</v>
      </c>
      <c r="D5">
        <v>77536</v>
      </c>
      <c r="F5" t="s">
        <v>51</v>
      </c>
      <c r="G5">
        <v>3483</v>
      </c>
      <c r="H5">
        <v>329.27734711459999</v>
      </c>
      <c r="I5">
        <v>3065</v>
      </c>
      <c r="J5">
        <v>476</v>
      </c>
      <c r="K5">
        <v>6810</v>
      </c>
      <c r="L5">
        <v>3406</v>
      </c>
      <c r="M5">
        <v>3421</v>
      </c>
      <c r="N5">
        <v>2679</v>
      </c>
      <c r="O5">
        <v>1492</v>
      </c>
      <c r="P5">
        <v>968</v>
      </c>
      <c r="Q5">
        <v>0</v>
      </c>
      <c r="R5">
        <v>95</v>
      </c>
      <c r="T5" t="s">
        <v>210</v>
      </c>
      <c r="U5">
        <v>14683</v>
      </c>
      <c r="V5">
        <v>106.0258802697</v>
      </c>
      <c r="W5">
        <v>18213</v>
      </c>
      <c r="X5">
        <v>3302</v>
      </c>
      <c r="Y5">
        <v>17274</v>
      </c>
      <c r="Z5">
        <v>5447</v>
      </c>
      <c r="AA5">
        <v>28</v>
      </c>
      <c r="AB5">
        <v>28</v>
      </c>
      <c r="AC5">
        <v>815</v>
      </c>
      <c r="AD5">
        <v>184</v>
      </c>
      <c r="AE5">
        <v>2118</v>
      </c>
      <c r="AF5">
        <v>3568</v>
      </c>
      <c r="AH5" t="s">
        <v>426</v>
      </c>
      <c r="AI5">
        <v>4230</v>
      </c>
      <c r="AJ5">
        <v>293.7898345154</v>
      </c>
      <c r="AK5">
        <v>5195</v>
      </c>
      <c r="AL5">
        <v>957</v>
      </c>
      <c r="AM5">
        <v>6119</v>
      </c>
      <c r="AN5">
        <v>3645</v>
      </c>
      <c r="AO5">
        <v>1483</v>
      </c>
      <c r="AP5">
        <v>1059</v>
      </c>
      <c r="AQ5">
        <v>2757</v>
      </c>
      <c r="AR5">
        <v>1564</v>
      </c>
      <c r="AS5">
        <v>8</v>
      </c>
      <c r="AT5">
        <v>83</v>
      </c>
      <c r="AV5" t="s">
        <v>400</v>
      </c>
      <c r="AW5">
        <v>120</v>
      </c>
      <c r="AX5">
        <v>65.783333333300007</v>
      </c>
      <c r="AY5">
        <v>87</v>
      </c>
      <c r="AZ5">
        <v>3</v>
      </c>
      <c r="BA5">
        <v>154</v>
      </c>
      <c r="BB5">
        <v>7</v>
      </c>
      <c r="BC5">
        <v>0</v>
      </c>
      <c r="BE5">
        <v>2</v>
      </c>
      <c r="BG5">
        <v>256</v>
      </c>
      <c r="BH5">
        <v>15</v>
      </c>
      <c r="BJ5" t="s">
        <v>385</v>
      </c>
      <c r="BK5" t="s">
        <v>385</v>
      </c>
      <c r="BL5">
        <v>60106</v>
      </c>
      <c r="BM5">
        <v>12649</v>
      </c>
      <c r="BN5">
        <v>90.536651914999993</v>
      </c>
      <c r="BO5">
        <v>137620</v>
      </c>
      <c r="BP5">
        <v>16936</v>
      </c>
      <c r="BQ5">
        <v>133.1600494114</v>
      </c>
      <c r="BR5">
        <v>127.0282239017</v>
      </c>
      <c r="BS5">
        <v>17609</v>
      </c>
      <c r="BT5">
        <v>4776</v>
      </c>
      <c r="BU5">
        <v>100.64273950819999</v>
      </c>
      <c r="BV5">
        <v>136208</v>
      </c>
      <c r="BW5">
        <v>16025</v>
      </c>
      <c r="BX5">
        <v>133.5405189123</v>
      </c>
      <c r="BY5">
        <v>130.99606864270001</v>
      </c>
      <c r="CA5" t="s">
        <v>1037</v>
      </c>
      <c r="CB5" t="s">
        <v>731</v>
      </c>
      <c r="CC5" t="s">
        <v>917</v>
      </c>
      <c r="CD5">
        <v>28843</v>
      </c>
      <c r="CE5">
        <v>2986</v>
      </c>
      <c r="CF5">
        <v>67.733696217499997</v>
      </c>
      <c r="CG5">
        <v>96320</v>
      </c>
      <c r="CH5">
        <v>10875</v>
      </c>
      <c r="CI5">
        <v>77.451411960100003</v>
      </c>
      <c r="CJ5">
        <v>78.952551724100005</v>
      </c>
      <c r="CL5" t="s">
        <v>1037</v>
      </c>
      <c r="CM5" t="s">
        <v>731</v>
      </c>
      <c r="CN5" t="s">
        <v>917</v>
      </c>
      <c r="CO5">
        <v>28843</v>
      </c>
      <c r="CP5">
        <v>2986</v>
      </c>
      <c r="CQ5">
        <v>67.733696217499997</v>
      </c>
      <c r="CR5">
        <v>96320</v>
      </c>
      <c r="CS5">
        <v>10875</v>
      </c>
      <c r="CT5">
        <v>77.451411960100003</v>
      </c>
      <c r="CU5">
        <v>78.952551724100005</v>
      </c>
      <c r="CW5" t="s">
        <v>1037</v>
      </c>
      <c r="CX5" t="s">
        <v>731</v>
      </c>
      <c r="CY5" t="s">
        <v>917</v>
      </c>
      <c r="CZ5">
        <v>28843</v>
      </c>
      <c r="DA5">
        <v>2986</v>
      </c>
      <c r="DB5">
        <v>67.733696217499997</v>
      </c>
      <c r="DC5">
        <v>96320</v>
      </c>
      <c r="DD5">
        <v>10875</v>
      </c>
      <c r="DE5">
        <v>77.451411960100003</v>
      </c>
      <c r="DF5">
        <v>78.952551724100005</v>
      </c>
      <c r="DH5" t="s">
        <v>1037</v>
      </c>
      <c r="DI5" t="s">
        <v>731</v>
      </c>
      <c r="DJ5" t="s">
        <v>917</v>
      </c>
      <c r="DK5">
        <v>28843</v>
      </c>
      <c r="DL5">
        <v>2986</v>
      </c>
      <c r="DM5">
        <v>67.733696217499997</v>
      </c>
      <c r="DN5">
        <v>96320</v>
      </c>
      <c r="DO5">
        <v>10875</v>
      </c>
      <c r="DP5">
        <v>77.451411960100003</v>
      </c>
      <c r="DQ5">
        <v>78.952551724100005</v>
      </c>
    </row>
    <row r="6" spans="2:121" x14ac:dyDescent="0.2">
      <c r="B6" t="s">
        <v>90</v>
      </c>
      <c r="C6">
        <v>10379</v>
      </c>
      <c r="D6">
        <v>1728</v>
      </c>
      <c r="F6" t="s">
        <v>181</v>
      </c>
      <c r="G6">
        <v>297</v>
      </c>
      <c r="H6">
        <v>215.23569023569999</v>
      </c>
      <c r="I6">
        <v>604</v>
      </c>
      <c r="J6">
        <v>35</v>
      </c>
      <c r="K6">
        <v>538</v>
      </c>
      <c r="L6">
        <v>107</v>
      </c>
      <c r="M6">
        <v>423</v>
      </c>
      <c r="N6">
        <v>244</v>
      </c>
      <c r="O6">
        <v>207</v>
      </c>
      <c r="P6">
        <v>113</v>
      </c>
      <c r="Q6">
        <v>0</v>
      </c>
      <c r="R6">
        <v>3</v>
      </c>
      <c r="T6" t="s">
        <v>212</v>
      </c>
      <c r="U6">
        <v>5654</v>
      </c>
      <c r="V6">
        <v>89.362928899899998</v>
      </c>
      <c r="W6">
        <v>6548</v>
      </c>
      <c r="X6">
        <v>185</v>
      </c>
      <c r="Y6">
        <v>6957</v>
      </c>
      <c r="Z6">
        <v>418</v>
      </c>
      <c r="AA6">
        <v>45</v>
      </c>
      <c r="AB6">
        <v>26</v>
      </c>
      <c r="AC6">
        <v>262</v>
      </c>
      <c r="AD6">
        <v>91</v>
      </c>
      <c r="AE6">
        <v>8572</v>
      </c>
      <c r="AF6">
        <v>1522</v>
      </c>
      <c r="AH6" t="s">
        <v>411</v>
      </c>
      <c r="AI6">
        <v>3570</v>
      </c>
      <c r="AJ6">
        <v>329.18151260500002</v>
      </c>
      <c r="AK6">
        <v>3343</v>
      </c>
      <c r="AL6">
        <v>562</v>
      </c>
      <c r="AM6">
        <v>5133</v>
      </c>
      <c r="AN6">
        <v>2882</v>
      </c>
      <c r="AO6">
        <v>1835</v>
      </c>
      <c r="AP6">
        <v>1475</v>
      </c>
      <c r="AQ6">
        <v>2597</v>
      </c>
      <c r="AR6">
        <v>1545</v>
      </c>
      <c r="AS6">
        <v>440</v>
      </c>
      <c r="AT6">
        <v>100</v>
      </c>
      <c r="AV6" t="s">
        <v>420</v>
      </c>
      <c r="AW6">
        <v>69</v>
      </c>
      <c r="AX6">
        <v>63.797101449300001</v>
      </c>
      <c r="AY6">
        <v>67</v>
      </c>
      <c r="AZ6">
        <v>2</v>
      </c>
      <c r="BA6">
        <v>84</v>
      </c>
      <c r="BB6">
        <v>5</v>
      </c>
      <c r="BC6">
        <v>0</v>
      </c>
      <c r="BE6">
        <v>3</v>
      </c>
      <c r="BF6">
        <v>1</v>
      </c>
      <c r="BG6">
        <v>117</v>
      </c>
      <c r="BH6">
        <v>6</v>
      </c>
      <c r="BJ6" t="s">
        <v>584</v>
      </c>
      <c r="BK6" t="s">
        <v>385</v>
      </c>
      <c r="BL6">
        <v>5423</v>
      </c>
      <c r="BM6">
        <v>1300</v>
      </c>
      <c r="BN6">
        <v>96.099391480700007</v>
      </c>
      <c r="BO6">
        <v>13366</v>
      </c>
      <c r="BP6">
        <v>1917</v>
      </c>
      <c r="BQ6">
        <v>146.66512045490001</v>
      </c>
      <c r="BR6">
        <v>141.4475743349</v>
      </c>
      <c r="BS6">
        <v>1368</v>
      </c>
      <c r="BT6">
        <v>449</v>
      </c>
      <c r="BU6">
        <v>108.8311403509</v>
      </c>
      <c r="BV6">
        <v>12721</v>
      </c>
      <c r="BW6">
        <v>1642</v>
      </c>
      <c r="BX6">
        <v>145.47881455859999</v>
      </c>
      <c r="BY6">
        <v>145.07490864799999</v>
      </c>
      <c r="CA6" t="s">
        <v>1038</v>
      </c>
      <c r="CB6" t="s">
        <v>731</v>
      </c>
      <c r="CC6" t="s">
        <v>917</v>
      </c>
      <c r="CD6">
        <v>7323</v>
      </c>
      <c r="CE6">
        <v>1544</v>
      </c>
      <c r="CF6">
        <v>83.510173426199998</v>
      </c>
      <c r="CG6">
        <v>16633</v>
      </c>
      <c r="CH6">
        <v>2724</v>
      </c>
      <c r="CI6">
        <v>142.31172969400001</v>
      </c>
      <c r="CJ6">
        <v>129.7525697504</v>
      </c>
      <c r="CL6" t="s">
        <v>1038</v>
      </c>
      <c r="CM6" t="s">
        <v>731</v>
      </c>
      <c r="CN6" t="s">
        <v>917</v>
      </c>
      <c r="CO6">
        <v>7323</v>
      </c>
      <c r="CP6">
        <v>1544</v>
      </c>
      <c r="CQ6">
        <v>83.510173426199998</v>
      </c>
      <c r="CR6">
        <v>16633</v>
      </c>
      <c r="CS6">
        <v>2724</v>
      </c>
      <c r="CT6">
        <v>142.31172969400001</v>
      </c>
      <c r="CU6">
        <v>129.7525697504</v>
      </c>
      <c r="CW6" t="s">
        <v>1038</v>
      </c>
      <c r="CX6" t="s">
        <v>731</v>
      </c>
      <c r="CY6" t="s">
        <v>917</v>
      </c>
      <c r="CZ6">
        <v>7323</v>
      </c>
      <c r="DA6">
        <v>1544</v>
      </c>
      <c r="DB6">
        <v>83.510173426199998</v>
      </c>
      <c r="DC6">
        <v>16633</v>
      </c>
      <c r="DD6">
        <v>2724</v>
      </c>
      <c r="DE6">
        <v>142.31172969400001</v>
      </c>
      <c r="DF6">
        <v>129.7525697504</v>
      </c>
      <c r="DH6" t="s">
        <v>1038</v>
      </c>
      <c r="DI6" t="s">
        <v>731</v>
      </c>
      <c r="DJ6" t="s">
        <v>917</v>
      </c>
      <c r="DK6">
        <v>7323</v>
      </c>
      <c r="DL6">
        <v>1544</v>
      </c>
      <c r="DM6">
        <v>83.510173426199998</v>
      </c>
      <c r="DN6">
        <v>16633</v>
      </c>
      <c r="DO6">
        <v>2724</v>
      </c>
      <c r="DP6">
        <v>142.31172969400001</v>
      </c>
      <c r="DQ6">
        <v>129.7525697504</v>
      </c>
    </row>
    <row r="7" spans="2:121" x14ac:dyDescent="0.2">
      <c r="B7" t="s">
        <v>91</v>
      </c>
      <c r="C7">
        <v>397</v>
      </c>
      <c r="D7">
        <v>50</v>
      </c>
      <c r="F7" t="s">
        <v>58</v>
      </c>
      <c r="G7">
        <v>3003</v>
      </c>
      <c r="H7">
        <v>285.0636030636</v>
      </c>
      <c r="I7">
        <v>8653</v>
      </c>
      <c r="J7">
        <v>1559</v>
      </c>
      <c r="K7">
        <v>5642</v>
      </c>
      <c r="L7">
        <v>2700</v>
      </c>
      <c r="M7">
        <v>2912</v>
      </c>
      <c r="N7">
        <v>2289</v>
      </c>
      <c r="O7">
        <v>1532</v>
      </c>
      <c r="P7">
        <v>1155</v>
      </c>
      <c r="Q7">
        <v>0</v>
      </c>
      <c r="R7">
        <v>277</v>
      </c>
      <c r="T7" t="s">
        <v>462</v>
      </c>
      <c r="U7">
        <v>26419</v>
      </c>
      <c r="V7">
        <v>94.084408948100005</v>
      </c>
      <c r="W7">
        <v>32514</v>
      </c>
      <c r="X7">
        <v>4308</v>
      </c>
      <c r="Y7">
        <v>34932</v>
      </c>
      <c r="Z7">
        <v>7919</v>
      </c>
      <c r="AA7">
        <v>286</v>
      </c>
      <c r="AB7">
        <v>265</v>
      </c>
      <c r="AC7">
        <v>1892</v>
      </c>
      <c r="AD7">
        <v>501</v>
      </c>
      <c r="AE7">
        <v>11859</v>
      </c>
      <c r="AF7">
        <v>5956</v>
      </c>
      <c r="AH7" t="s">
        <v>407</v>
      </c>
      <c r="AI7">
        <v>22295</v>
      </c>
      <c r="AJ7">
        <v>423.7451895044</v>
      </c>
      <c r="AK7">
        <v>31882</v>
      </c>
      <c r="AL7">
        <v>6049</v>
      </c>
      <c r="AM7">
        <v>34217</v>
      </c>
      <c r="AN7">
        <v>24306</v>
      </c>
      <c r="AO7">
        <v>10135</v>
      </c>
      <c r="AP7">
        <v>8081</v>
      </c>
      <c r="AQ7">
        <v>15647</v>
      </c>
      <c r="AR7">
        <v>10784</v>
      </c>
      <c r="AS7">
        <v>59</v>
      </c>
      <c r="AT7">
        <v>154</v>
      </c>
      <c r="AV7" t="s">
        <v>388</v>
      </c>
      <c r="AW7">
        <v>837</v>
      </c>
      <c r="AX7">
        <v>65.832735961799997</v>
      </c>
      <c r="AY7">
        <v>815</v>
      </c>
      <c r="AZ7">
        <v>76</v>
      </c>
      <c r="BA7">
        <v>1140</v>
      </c>
      <c r="BB7">
        <v>138</v>
      </c>
      <c r="BC7">
        <v>5</v>
      </c>
      <c r="BD7">
        <v>5</v>
      </c>
      <c r="BE7">
        <v>62</v>
      </c>
      <c r="BF7">
        <v>10</v>
      </c>
      <c r="BG7">
        <v>123</v>
      </c>
      <c r="BH7">
        <v>95</v>
      </c>
      <c r="BJ7" t="s">
        <v>631</v>
      </c>
      <c r="BK7" t="s">
        <v>385</v>
      </c>
      <c r="BL7">
        <v>625</v>
      </c>
      <c r="BM7">
        <v>34</v>
      </c>
      <c r="BN7">
        <v>51.641599999999997</v>
      </c>
      <c r="BO7">
        <v>2571</v>
      </c>
      <c r="BP7">
        <v>282</v>
      </c>
      <c r="BQ7">
        <v>84.462465966500005</v>
      </c>
      <c r="BR7">
        <v>71.897163120599998</v>
      </c>
      <c r="BS7">
        <v>478</v>
      </c>
      <c r="BT7">
        <v>49</v>
      </c>
      <c r="BU7">
        <v>65.238493723800005</v>
      </c>
      <c r="BV7">
        <v>4572</v>
      </c>
      <c r="BW7">
        <v>625</v>
      </c>
      <c r="BX7">
        <v>112.3792650919</v>
      </c>
      <c r="BY7">
        <v>99.582400000000007</v>
      </c>
      <c r="CA7" t="s">
        <v>411</v>
      </c>
      <c r="CB7" t="s">
        <v>767</v>
      </c>
      <c r="CC7" t="s">
        <v>993</v>
      </c>
      <c r="CD7">
        <v>3310</v>
      </c>
      <c r="CE7">
        <v>526</v>
      </c>
      <c r="CF7">
        <v>75.289728096700003</v>
      </c>
      <c r="CG7">
        <v>9090</v>
      </c>
      <c r="CH7">
        <v>940</v>
      </c>
      <c r="CI7">
        <v>115.49086908690001</v>
      </c>
      <c r="CJ7">
        <v>101.5872340426</v>
      </c>
      <c r="CL7" t="s">
        <v>411</v>
      </c>
      <c r="CM7" t="s">
        <v>748</v>
      </c>
      <c r="CN7" t="s">
        <v>747</v>
      </c>
      <c r="CO7">
        <v>312</v>
      </c>
      <c r="CP7">
        <v>28</v>
      </c>
      <c r="CQ7">
        <v>64.304487179500001</v>
      </c>
      <c r="CR7">
        <v>1432</v>
      </c>
      <c r="CS7">
        <v>164</v>
      </c>
      <c r="CT7">
        <v>64.973463687199995</v>
      </c>
      <c r="CU7">
        <v>61.262195122000001</v>
      </c>
      <c r="CW7" t="s">
        <v>411</v>
      </c>
      <c r="CX7" t="s">
        <v>758</v>
      </c>
      <c r="CY7" t="s">
        <v>757</v>
      </c>
      <c r="CZ7">
        <v>47</v>
      </c>
      <c r="DA7">
        <v>10</v>
      </c>
      <c r="DB7">
        <v>75.595744680899998</v>
      </c>
      <c r="DC7">
        <v>100</v>
      </c>
      <c r="DD7">
        <v>18</v>
      </c>
      <c r="DE7">
        <v>134.91999999999999</v>
      </c>
      <c r="DF7">
        <v>116.3333333333</v>
      </c>
      <c r="DH7" t="s">
        <v>411</v>
      </c>
      <c r="DI7" t="s">
        <v>738</v>
      </c>
      <c r="DJ7" t="s">
        <v>737</v>
      </c>
      <c r="DK7">
        <v>40</v>
      </c>
      <c r="DL7">
        <v>12</v>
      </c>
      <c r="DM7">
        <v>119.875</v>
      </c>
      <c r="DN7">
        <v>77</v>
      </c>
      <c r="DO7">
        <v>11</v>
      </c>
      <c r="DP7">
        <v>124.38961038959999</v>
      </c>
      <c r="DQ7">
        <v>90.090909090899999</v>
      </c>
    </row>
    <row r="8" spans="2:121" x14ac:dyDescent="0.2">
      <c r="B8" t="s">
        <v>100</v>
      </c>
      <c r="C8">
        <v>305</v>
      </c>
      <c r="D8">
        <v>243</v>
      </c>
      <c r="F8" t="s">
        <v>27</v>
      </c>
      <c r="G8">
        <v>1344</v>
      </c>
      <c r="H8">
        <v>78.252232142899999</v>
      </c>
      <c r="I8">
        <v>5326</v>
      </c>
      <c r="J8">
        <v>567</v>
      </c>
      <c r="K8">
        <v>4720</v>
      </c>
      <c r="L8">
        <v>1726</v>
      </c>
      <c r="M8">
        <v>1122</v>
      </c>
      <c r="N8">
        <v>390</v>
      </c>
      <c r="O8">
        <v>1491</v>
      </c>
      <c r="P8">
        <v>860</v>
      </c>
      <c r="Q8">
        <v>0</v>
      </c>
      <c r="R8">
        <v>28</v>
      </c>
      <c r="AH8" t="s">
        <v>403</v>
      </c>
      <c r="AI8">
        <v>6130</v>
      </c>
      <c r="AJ8">
        <v>419.96019575859998</v>
      </c>
      <c r="AK8">
        <v>6165</v>
      </c>
      <c r="AL8">
        <v>1376</v>
      </c>
      <c r="AM8">
        <v>9149</v>
      </c>
      <c r="AN8">
        <v>6165</v>
      </c>
      <c r="AO8">
        <v>3495</v>
      </c>
      <c r="AP8">
        <v>2770</v>
      </c>
      <c r="AQ8">
        <v>1867</v>
      </c>
      <c r="AR8">
        <v>1126</v>
      </c>
      <c r="AS8">
        <v>7</v>
      </c>
      <c r="AT8">
        <v>58</v>
      </c>
      <c r="AV8" t="s">
        <v>409</v>
      </c>
      <c r="AW8">
        <v>252</v>
      </c>
      <c r="AX8">
        <v>89.325396825400006</v>
      </c>
      <c r="AY8">
        <v>270</v>
      </c>
      <c r="AZ8">
        <v>7</v>
      </c>
      <c r="BA8">
        <v>348</v>
      </c>
      <c r="BB8">
        <v>48</v>
      </c>
      <c r="BC8">
        <v>1</v>
      </c>
      <c r="BD8">
        <v>1</v>
      </c>
      <c r="BE8">
        <v>9</v>
      </c>
      <c r="BF8">
        <v>5</v>
      </c>
      <c r="BG8">
        <v>413</v>
      </c>
      <c r="BH8">
        <v>69</v>
      </c>
      <c r="BJ8" t="s">
        <v>619</v>
      </c>
      <c r="BK8" t="s">
        <v>385</v>
      </c>
      <c r="BL8">
        <v>16734</v>
      </c>
      <c r="BM8">
        <v>4223</v>
      </c>
      <c r="BN8">
        <v>96.564001434199994</v>
      </c>
      <c r="BO8">
        <v>32894</v>
      </c>
      <c r="BP8">
        <v>3860</v>
      </c>
      <c r="BQ8">
        <v>143.64750410409999</v>
      </c>
      <c r="BR8">
        <v>137.0655440415</v>
      </c>
      <c r="BS8">
        <v>3365</v>
      </c>
      <c r="BT8">
        <v>1425</v>
      </c>
      <c r="BU8">
        <v>130.0897473997</v>
      </c>
      <c r="BV8">
        <v>23167</v>
      </c>
      <c r="BW8">
        <v>2534</v>
      </c>
      <c r="BX8">
        <v>135.95718047220001</v>
      </c>
      <c r="BY8">
        <v>153.1310181531</v>
      </c>
      <c r="CA8" t="s">
        <v>403</v>
      </c>
      <c r="CB8" t="s">
        <v>767</v>
      </c>
      <c r="CC8" t="s">
        <v>994</v>
      </c>
      <c r="CD8">
        <v>5788</v>
      </c>
      <c r="CE8">
        <v>1296</v>
      </c>
      <c r="CF8">
        <v>92.987560469900004</v>
      </c>
      <c r="CG8">
        <v>14846</v>
      </c>
      <c r="CH8">
        <v>2114</v>
      </c>
      <c r="CI8">
        <v>135.2521891419</v>
      </c>
      <c r="CJ8">
        <v>130.0056764428</v>
      </c>
      <c r="CL8" t="s">
        <v>403</v>
      </c>
      <c r="CM8" t="s">
        <v>748</v>
      </c>
      <c r="CN8" t="s">
        <v>749</v>
      </c>
      <c r="CO8">
        <v>383</v>
      </c>
      <c r="CP8">
        <v>33</v>
      </c>
      <c r="CQ8">
        <v>61.198433420400001</v>
      </c>
      <c r="CR8">
        <v>1372</v>
      </c>
      <c r="CS8">
        <v>153</v>
      </c>
      <c r="CT8">
        <v>67.087463556900005</v>
      </c>
      <c r="CU8">
        <v>70.281045751600004</v>
      </c>
      <c r="CW8" t="s">
        <v>403</v>
      </c>
      <c r="CX8" t="s">
        <v>758</v>
      </c>
      <c r="CY8" t="s">
        <v>759</v>
      </c>
      <c r="CZ8">
        <v>196</v>
      </c>
      <c r="DA8">
        <v>31</v>
      </c>
      <c r="DB8">
        <v>73.510204081599994</v>
      </c>
      <c r="DC8">
        <v>517</v>
      </c>
      <c r="DD8">
        <v>65</v>
      </c>
      <c r="DE8">
        <v>135.13346228239999</v>
      </c>
      <c r="DF8">
        <v>129.64615384620001</v>
      </c>
      <c r="DH8" t="s">
        <v>403</v>
      </c>
      <c r="DI8" t="s">
        <v>738</v>
      </c>
      <c r="DJ8" t="s">
        <v>739</v>
      </c>
      <c r="DK8">
        <v>176</v>
      </c>
      <c r="DL8">
        <v>33</v>
      </c>
      <c r="DM8">
        <v>78.551136363599994</v>
      </c>
      <c r="DN8">
        <v>838</v>
      </c>
      <c r="DO8">
        <v>137</v>
      </c>
      <c r="DP8">
        <v>114.276849642</v>
      </c>
      <c r="DQ8">
        <v>79.664233576599997</v>
      </c>
    </row>
    <row r="9" spans="2:121" x14ac:dyDescent="0.2">
      <c r="B9" t="s">
        <v>92</v>
      </c>
      <c r="C9">
        <v>9</v>
      </c>
      <c r="D9">
        <v>2</v>
      </c>
      <c r="F9" t="s">
        <v>59</v>
      </c>
      <c r="G9">
        <v>3934</v>
      </c>
      <c r="H9">
        <v>462.72928317229997</v>
      </c>
      <c r="I9">
        <v>5313</v>
      </c>
      <c r="J9">
        <v>1108</v>
      </c>
      <c r="K9">
        <v>5283</v>
      </c>
      <c r="L9">
        <v>3645</v>
      </c>
      <c r="M9">
        <v>1050</v>
      </c>
      <c r="N9">
        <v>709</v>
      </c>
      <c r="O9">
        <v>1710</v>
      </c>
      <c r="P9">
        <v>1186</v>
      </c>
      <c r="Q9">
        <v>2</v>
      </c>
      <c r="R9">
        <v>270</v>
      </c>
      <c r="AH9" t="s">
        <v>373</v>
      </c>
      <c r="AI9">
        <v>761</v>
      </c>
      <c r="AJ9">
        <v>311.98160315370001</v>
      </c>
      <c r="AK9">
        <v>1712</v>
      </c>
      <c r="AL9">
        <v>344</v>
      </c>
      <c r="AM9">
        <v>1950</v>
      </c>
      <c r="AN9">
        <v>999</v>
      </c>
      <c r="AO9">
        <v>643</v>
      </c>
      <c r="AP9">
        <v>389</v>
      </c>
      <c r="AQ9">
        <v>1110</v>
      </c>
      <c r="AR9">
        <v>806</v>
      </c>
      <c r="AS9">
        <v>331</v>
      </c>
      <c r="AT9">
        <v>5</v>
      </c>
      <c r="AV9" t="s">
        <v>417</v>
      </c>
      <c r="AW9">
        <v>41</v>
      </c>
      <c r="AX9">
        <v>90.756097561000004</v>
      </c>
      <c r="AY9">
        <v>53</v>
      </c>
      <c r="AZ9">
        <v>8</v>
      </c>
      <c r="BA9">
        <v>50</v>
      </c>
      <c r="BB9">
        <v>12</v>
      </c>
      <c r="BC9">
        <v>0</v>
      </c>
      <c r="BE9">
        <v>2</v>
      </c>
      <c r="BF9">
        <v>1</v>
      </c>
      <c r="BG9">
        <v>5</v>
      </c>
      <c r="BH9">
        <v>8</v>
      </c>
      <c r="BJ9" t="s">
        <v>555</v>
      </c>
      <c r="BK9" t="s">
        <v>385</v>
      </c>
      <c r="BL9">
        <v>4628</v>
      </c>
      <c r="BM9">
        <v>1576</v>
      </c>
      <c r="BN9">
        <v>142.53954191880001</v>
      </c>
      <c r="BO9">
        <v>6907</v>
      </c>
      <c r="BP9">
        <v>959</v>
      </c>
      <c r="BQ9">
        <v>151.49775589980001</v>
      </c>
      <c r="BR9">
        <v>189.57768508859999</v>
      </c>
      <c r="BS9">
        <v>1119</v>
      </c>
      <c r="BT9">
        <v>482</v>
      </c>
      <c r="BU9">
        <v>149.8212689902</v>
      </c>
      <c r="BV9">
        <v>9113</v>
      </c>
      <c r="BW9">
        <v>1284</v>
      </c>
      <c r="BX9">
        <v>152.20136069349999</v>
      </c>
      <c r="BY9">
        <v>181.6666666667</v>
      </c>
      <c r="CA9" t="s">
        <v>387</v>
      </c>
      <c r="CB9" t="s">
        <v>767</v>
      </c>
      <c r="CC9" t="s">
        <v>995</v>
      </c>
      <c r="CD9">
        <v>5474</v>
      </c>
      <c r="CE9">
        <v>1125</v>
      </c>
      <c r="CF9">
        <v>88.181402996000003</v>
      </c>
      <c r="CG9">
        <v>12814</v>
      </c>
      <c r="CH9">
        <v>1573</v>
      </c>
      <c r="CI9">
        <v>133.83346339939999</v>
      </c>
      <c r="CJ9">
        <v>125.59758423389999</v>
      </c>
      <c r="CL9" t="s">
        <v>387</v>
      </c>
      <c r="CM9" t="s">
        <v>748</v>
      </c>
      <c r="CN9" t="s">
        <v>750</v>
      </c>
      <c r="CO9">
        <v>416</v>
      </c>
      <c r="CP9">
        <v>51</v>
      </c>
      <c r="CQ9">
        <v>68.526442307699995</v>
      </c>
      <c r="CR9">
        <v>1849</v>
      </c>
      <c r="CS9">
        <v>198</v>
      </c>
      <c r="CT9">
        <v>67.083288263900002</v>
      </c>
      <c r="CU9">
        <v>64.575757575799997</v>
      </c>
      <c r="CW9" t="s">
        <v>387</v>
      </c>
      <c r="CX9" t="s">
        <v>758</v>
      </c>
      <c r="CY9" t="s">
        <v>760</v>
      </c>
      <c r="CZ9">
        <v>76</v>
      </c>
      <c r="DA9">
        <v>13</v>
      </c>
      <c r="DB9">
        <v>79.5</v>
      </c>
      <c r="DC9">
        <v>133</v>
      </c>
      <c r="DD9">
        <v>29</v>
      </c>
      <c r="DE9">
        <v>142.24060150380001</v>
      </c>
      <c r="DF9">
        <v>130.06896551720001</v>
      </c>
      <c r="DH9" t="s">
        <v>387</v>
      </c>
      <c r="DI9" t="s">
        <v>738</v>
      </c>
      <c r="DJ9" t="s">
        <v>740</v>
      </c>
      <c r="DK9">
        <v>102</v>
      </c>
      <c r="DL9">
        <v>21</v>
      </c>
      <c r="DM9">
        <v>86.441176470599999</v>
      </c>
      <c r="DN9">
        <v>281</v>
      </c>
      <c r="DO9">
        <v>34</v>
      </c>
      <c r="DP9">
        <v>119.07117437719999</v>
      </c>
      <c r="DQ9">
        <v>103.6176470588</v>
      </c>
    </row>
    <row r="10" spans="2:121" x14ac:dyDescent="0.2">
      <c r="B10" t="s">
        <v>1062</v>
      </c>
      <c r="C10">
        <v>1</v>
      </c>
      <c r="F10" t="s">
        <v>24</v>
      </c>
      <c r="G10">
        <v>597</v>
      </c>
      <c r="H10">
        <v>218.1373534338</v>
      </c>
      <c r="I10">
        <v>3822</v>
      </c>
      <c r="J10">
        <v>788</v>
      </c>
      <c r="K10">
        <v>1712</v>
      </c>
      <c r="L10">
        <v>870</v>
      </c>
      <c r="M10">
        <v>973</v>
      </c>
      <c r="N10">
        <v>642</v>
      </c>
      <c r="O10">
        <v>311</v>
      </c>
      <c r="P10">
        <v>158</v>
      </c>
      <c r="Q10">
        <v>0</v>
      </c>
      <c r="R10">
        <v>0</v>
      </c>
      <c r="AH10" t="s">
        <v>423</v>
      </c>
      <c r="AI10">
        <v>776</v>
      </c>
      <c r="AJ10">
        <v>429.58891752580001</v>
      </c>
      <c r="AK10">
        <v>918</v>
      </c>
      <c r="AL10">
        <v>205</v>
      </c>
      <c r="AM10">
        <v>1025</v>
      </c>
      <c r="AN10">
        <v>728</v>
      </c>
      <c r="AO10">
        <v>224</v>
      </c>
      <c r="AP10">
        <v>175</v>
      </c>
      <c r="AQ10">
        <v>374</v>
      </c>
      <c r="AR10">
        <v>225</v>
      </c>
      <c r="AS10">
        <v>89</v>
      </c>
      <c r="AT10">
        <v>0</v>
      </c>
      <c r="AV10" t="s">
        <v>371</v>
      </c>
      <c r="AW10">
        <v>384</v>
      </c>
      <c r="AX10">
        <v>103.7473958333</v>
      </c>
      <c r="AY10">
        <v>626</v>
      </c>
      <c r="AZ10">
        <v>130</v>
      </c>
      <c r="BA10">
        <v>513</v>
      </c>
      <c r="BB10">
        <v>161</v>
      </c>
      <c r="BC10">
        <v>3</v>
      </c>
      <c r="BD10">
        <v>3</v>
      </c>
      <c r="BE10">
        <v>38</v>
      </c>
      <c r="BF10">
        <v>6</v>
      </c>
      <c r="BG10">
        <v>66</v>
      </c>
      <c r="BH10">
        <v>145</v>
      </c>
      <c r="BJ10" t="s">
        <v>607</v>
      </c>
      <c r="BK10" t="s">
        <v>385</v>
      </c>
      <c r="BL10">
        <v>3251</v>
      </c>
      <c r="BM10">
        <v>474</v>
      </c>
      <c r="BN10">
        <v>73.001845586000002</v>
      </c>
      <c r="BO10">
        <v>8762</v>
      </c>
      <c r="BP10">
        <v>859</v>
      </c>
      <c r="BQ10">
        <v>116.32389865330001</v>
      </c>
      <c r="BR10">
        <v>101.60535506399999</v>
      </c>
      <c r="BS10">
        <v>1019</v>
      </c>
      <c r="BT10">
        <v>253</v>
      </c>
      <c r="BU10">
        <v>91.846908734099998</v>
      </c>
      <c r="BV10">
        <v>9820</v>
      </c>
      <c r="BW10">
        <v>1100</v>
      </c>
      <c r="BX10">
        <v>123.8968431772</v>
      </c>
      <c r="BY10">
        <v>111.0136363636</v>
      </c>
      <c r="CA10" t="s">
        <v>389</v>
      </c>
      <c r="CB10" t="s">
        <v>767</v>
      </c>
      <c r="CC10" t="s">
        <v>996</v>
      </c>
      <c r="CD10">
        <v>4746</v>
      </c>
      <c r="CE10">
        <v>1579</v>
      </c>
      <c r="CF10">
        <v>136.6658238517</v>
      </c>
      <c r="CG10">
        <v>7892</v>
      </c>
      <c r="CH10">
        <v>1144</v>
      </c>
      <c r="CI10">
        <v>149.86327927010001</v>
      </c>
      <c r="CJ10">
        <v>188.24038461539999</v>
      </c>
      <c r="CL10" t="s">
        <v>389</v>
      </c>
      <c r="CM10" t="s">
        <v>748</v>
      </c>
      <c r="CN10" t="s">
        <v>751</v>
      </c>
      <c r="CO10">
        <v>304</v>
      </c>
      <c r="CP10">
        <v>49</v>
      </c>
      <c r="CQ10">
        <v>77.358552631600006</v>
      </c>
      <c r="CR10">
        <v>1367</v>
      </c>
      <c r="CS10">
        <v>156</v>
      </c>
      <c r="CT10">
        <v>75.364301389900007</v>
      </c>
      <c r="CU10">
        <v>68.955128205099996</v>
      </c>
      <c r="CW10" t="s">
        <v>389</v>
      </c>
      <c r="CX10" t="s">
        <v>758</v>
      </c>
      <c r="CY10" t="s">
        <v>761</v>
      </c>
      <c r="CZ10">
        <v>58</v>
      </c>
      <c r="DA10">
        <v>21</v>
      </c>
      <c r="DB10">
        <v>105.60344827590001</v>
      </c>
      <c r="DC10">
        <v>131</v>
      </c>
      <c r="DD10">
        <v>22</v>
      </c>
      <c r="DE10">
        <v>145.90839694659999</v>
      </c>
      <c r="DF10">
        <v>120.2272727273</v>
      </c>
      <c r="DH10" t="s">
        <v>389</v>
      </c>
      <c r="DI10" t="s">
        <v>738</v>
      </c>
      <c r="DJ10" t="s">
        <v>741</v>
      </c>
      <c r="DK10">
        <v>51</v>
      </c>
      <c r="DL10">
        <v>15</v>
      </c>
      <c r="DM10">
        <v>111.431372549</v>
      </c>
      <c r="DN10">
        <v>144</v>
      </c>
      <c r="DO10">
        <v>27</v>
      </c>
      <c r="DP10">
        <v>135.0902777778</v>
      </c>
      <c r="DQ10">
        <v>116</v>
      </c>
    </row>
    <row r="11" spans="2:121" x14ac:dyDescent="0.2">
      <c r="B11" t="s">
        <v>111</v>
      </c>
      <c r="C11">
        <v>8698</v>
      </c>
      <c r="D11">
        <v>461</v>
      </c>
      <c r="F11" t="s">
        <v>57</v>
      </c>
      <c r="G11">
        <v>11125</v>
      </c>
      <c r="H11">
        <v>366.57582022470001</v>
      </c>
      <c r="I11">
        <v>7397</v>
      </c>
      <c r="J11">
        <v>1769</v>
      </c>
      <c r="K11">
        <v>13273</v>
      </c>
      <c r="L11">
        <v>9366</v>
      </c>
      <c r="M11">
        <v>4297</v>
      </c>
      <c r="N11">
        <v>3928</v>
      </c>
      <c r="O11">
        <v>1275</v>
      </c>
      <c r="P11">
        <v>576</v>
      </c>
      <c r="Q11">
        <v>0</v>
      </c>
      <c r="R11">
        <v>403</v>
      </c>
      <c r="AH11" t="s">
        <v>414</v>
      </c>
      <c r="AI11">
        <v>473</v>
      </c>
      <c r="AJ11">
        <v>645.06342494709997</v>
      </c>
      <c r="AK11">
        <v>438</v>
      </c>
      <c r="AL11">
        <v>81</v>
      </c>
      <c r="AM11">
        <v>669</v>
      </c>
      <c r="AN11">
        <v>475</v>
      </c>
      <c r="AO11">
        <v>215</v>
      </c>
      <c r="AP11">
        <v>181</v>
      </c>
      <c r="AQ11">
        <v>367</v>
      </c>
      <c r="AR11">
        <v>272</v>
      </c>
      <c r="AS11">
        <v>37</v>
      </c>
      <c r="AT11">
        <v>0</v>
      </c>
      <c r="AV11" t="s">
        <v>387</v>
      </c>
      <c r="AW11">
        <v>481</v>
      </c>
      <c r="AX11">
        <v>71.133056133099998</v>
      </c>
      <c r="AY11">
        <v>482</v>
      </c>
      <c r="AZ11">
        <v>40</v>
      </c>
      <c r="BA11">
        <v>599</v>
      </c>
      <c r="BB11">
        <v>69</v>
      </c>
      <c r="BC11">
        <v>3</v>
      </c>
      <c r="BD11">
        <v>2</v>
      </c>
      <c r="BE11">
        <v>36</v>
      </c>
      <c r="BF11">
        <v>9</v>
      </c>
      <c r="BG11">
        <v>89</v>
      </c>
      <c r="BH11">
        <v>79</v>
      </c>
      <c r="BJ11" t="s">
        <v>609</v>
      </c>
      <c r="BK11" t="s">
        <v>385</v>
      </c>
      <c r="BL11">
        <v>5303</v>
      </c>
      <c r="BM11">
        <v>584</v>
      </c>
      <c r="BN11">
        <v>66.430699603999997</v>
      </c>
      <c r="BO11">
        <v>17669</v>
      </c>
      <c r="BP11">
        <v>2023</v>
      </c>
      <c r="BQ11">
        <v>113.3478974475</v>
      </c>
      <c r="BR11">
        <v>109.0103806228</v>
      </c>
      <c r="BS11">
        <v>3284</v>
      </c>
      <c r="BT11">
        <v>355</v>
      </c>
      <c r="BU11">
        <v>67.923568818500001</v>
      </c>
      <c r="BV11">
        <v>22695</v>
      </c>
      <c r="BW11">
        <v>1959</v>
      </c>
      <c r="BX11">
        <v>122.5304692664</v>
      </c>
      <c r="BY11">
        <v>103.6329760082</v>
      </c>
      <c r="CA11" t="s">
        <v>418</v>
      </c>
      <c r="CB11" t="s">
        <v>767</v>
      </c>
      <c r="CC11" t="s">
        <v>997</v>
      </c>
      <c r="CD11">
        <v>655</v>
      </c>
      <c r="CE11">
        <v>43</v>
      </c>
      <c r="CF11">
        <v>54.5755725191</v>
      </c>
      <c r="CG11">
        <v>2815</v>
      </c>
      <c r="CH11">
        <v>328</v>
      </c>
      <c r="CI11">
        <v>85.374777975100002</v>
      </c>
      <c r="CJ11">
        <v>74.835365853699997</v>
      </c>
      <c r="CL11" t="s">
        <v>418</v>
      </c>
      <c r="CM11" t="s">
        <v>748</v>
      </c>
      <c r="CN11" t="s">
        <v>752</v>
      </c>
      <c r="CO11">
        <v>90</v>
      </c>
      <c r="CP11">
        <v>5</v>
      </c>
      <c r="CQ11">
        <v>55.122222222200001</v>
      </c>
      <c r="CR11">
        <v>419</v>
      </c>
      <c r="CS11">
        <v>40</v>
      </c>
      <c r="CT11">
        <v>59.081145584700003</v>
      </c>
      <c r="CU11">
        <v>66.174999999999997</v>
      </c>
      <c r="CW11" t="s">
        <v>418</v>
      </c>
      <c r="CX11" t="s">
        <v>758</v>
      </c>
      <c r="CY11" t="s">
        <v>762</v>
      </c>
      <c r="CZ11">
        <v>11</v>
      </c>
      <c r="DA11">
        <v>2</v>
      </c>
      <c r="DB11">
        <v>86.181818181799997</v>
      </c>
      <c r="DC11">
        <v>50</v>
      </c>
      <c r="DD11">
        <v>13</v>
      </c>
      <c r="DE11">
        <v>141.47999999999999</v>
      </c>
      <c r="DF11">
        <v>141.92307692310001</v>
      </c>
      <c r="DH11" t="s">
        <v>418</v>
      </c>
      <c r="DI11" t="s">
        <v>738</v>
      </c>
      <c r="DJ11" t="s">
        <v>742</v>
      </c>
      <c r="DK11">
        <v>10</v>
      </c>
      <c r="DL11">
        <v>0</v>
      </c>
      <c r="DM11">
        <v>64.099999999999994</v>
      </c>
      <c r="DN11">
        <v>38</v>
      </c>
      <c r="DO11">
        <v>4</v>
      </c>
      <c r="DP11">
        <v>115.1315789474</v>
      </c>
      <c r="DQ11">
        <v>85.75</v>
      </c>
    </row>
    <row r="12" spans="2:121" x14ac:dyDescent="0.2">
      <c r="B12" t="s">
        <v>121</v>
      </c>
      <c r="C12">
        <v>888</v>
      </c>
      <c r="D12">
        <v>371</v>
      </c>
      <c r="F12" t="s">
        <v>33</v>
      </c>
      <c r="G12">
        <v>9028</v>
      </c>
      <c r="H12">
        <v>719.56956136459996</v>
      </c>
      <c r="I12">
        <v>4781</v>
      </c>
      <c r="J12">
        <v>1174</v>
      </c>
      <c r="K12">
        <v>10432</v>
      </c>
      <c r="L12">
        <v>8705</v>
      </c>
      <c r="M12">
        <v>3505</v>
      </c>
      <c r="N12">
        <v>3066</v>
      </c>
      <c r="O12">
        <v>1498</v>
      </c>
      <c r="P12">
        <v>1163</v>
      </c>
      <c r="Q12">
        <v>0</v>
      </c>
      <c r="R12">
        <v>6</v>
      </c>
      <c r="T12" t="s">
        <v>648</v>
      </c>
      <c r="U12" t="s">
        <v>306</v>
      </c>
      <c r="V12" t="s">
        <v>133</v>
      </c>
      <c r="W12" t="s">
        <v>214</v>
      </c>
      <c r="X12" t="s">
        <v>215</v>
      </c>
      <c r="Y12" t="s">
        <v>216</v>
      </c>
      <c r="Z12" t="s">
        <v>217</v>
      </c>
      <c r="AA12" t="s">
        <v>218</v>
      </c>
      <c r="AB12" t="s">
        <v>219</v>
      </c>
      <c r="AC12" t="s">
        <v>220</v>
      </c>
      <c r="AD12" t="s">
        <v>221</v>
      </c>
      <c r="AE12" t="s">
        <v>222</v>
      </c>
      <c r="AF12" t="s">
        <v>223</v>
      </c>
      <c r="AH12" t="s">
        <v>425</v>
      </c>
      <c r="AI12">
        <v>19176</v>
      </c>
      <c r="AJ12">
        <v>340.1299019608</v>
      </c>
      <c r="AK12">
        <v>25224</v>
      </c>
      <c r="AL12">
        <v>5499</v>
      </c>
      <c r="AM12">
        <v>26095</v>
      </c>
      <c r="AN12">
        <v>17249</v>
      </c>
      <c r="AO12">
        <v>7643</v>
      </c>
      <c r="AP12">
        <v>5882</v>
      </c>
      <c r="AQ12">
        <v>18617</v>
      </c>
      <c r="AR12">
        <v>12653</v>
      </c>
      <c r="AS12">
        <v>2418</v>
      </c>
      <c r="AT12">
        <v>307</v>
      </c>
      <c r="AV12" t="s">
        <v>425</v>
      </c>
      <c r="AW12">
        <v>2688</v>
      </c>
      <c r="AX12">
        <v>104.7358630952</v>
      </c>
      <c r="AY12">
        <v>3806</v>
      </c>
      <c r="AZ12">
        <v>647</v>
      </c>
      <c r="BA12">
        <v>3363</v>
      </c>
      <c r="BB12">
        <v>1074</v>
      </c>
      <c r="BC12">
        <v>20</v>
      </c>
      <c r="BD12">
        <v>18</v>
      </c>
      <c r="BE12">
        <v>157</v>
      </c>
      <c r="BF12">
        <v>46</v>
      </c>
      <c r="BG12">
        <v>479</v>
      </c>
      <c r="BH12">
        <v>660</v>
      </c>
      <c r="BJ12" t="s">
        <v>551</v>
      </c>
      <c r="BK12" t="s">
        <v>385</v>
      </c>
      <c r="BL12">
        <v>5305</v>
      </c>
      <c r="BM12">
        <v>1088</v>
      </c>
      <c r="BN12">
        <v>88.101225259200007</v>
      </c>
      <c r="BO12">
        <v>12021</v>
      </c>
      <c r="BP12">
        <v>1477</v>
      </c>
      <c r="BQ12">
        <v>138.32543049660001</v>
      </c>
      <c r="BR12">
        <v>128.9756262695</v>
      </c>
      <c r="BS12">
        <v>753</v>
      </c>
      <c r="BT12">
        <v>297</v>
      </c>
      <c r="BU12">
        <v>126.13944223110001</v>
      </c>
      <c r="BV12">
        <v>9165</v>
      </c>
      <c r="BW12">
        <v>1204</v>
      </c>
      <c r="BX12">
        <v>138.9733769776</v>
      </c>
      <c r="BY12">
        <v>139.3455149502</v>
      </c>
      <c r="CA12" t="s">
        <v>412</v>
      </c>
      <c r="CB12" t="s">
        <v>767</v>
      </c>
      <c r="CC12" t="s">
        <v>998</v>
      </c>
      <c r="CD12">
        <v>5379</v>
      </c>
      <c r="CE12">
        <v>582</v>
      </c>
      <c r="CF12">
        <v>65.010224948900003</v>
      </c>
      <c r="CG12">
        <v>17764</v>
      </c>
      <c r="CH12">
        <v>1965</v>
      </c>
      <c r="CI12">
        <v>98.968700743100001</v>
      </c>
      <c r="CJ12">
        <v>94.962340966900001</v>
      </c>
      <c r="CL12" t="s">
        <v>412</v>
      </c>
      <c r="CM12" t="s">
        <v>748</v>
      </c>
      <c r="CN12" t="s">
        <v>753</v>
      </c>
      <c r="CO12">
        <v>445</v>
      </c>
      <c r="CP12">
        <v>31</v>
      </c>
      <c r="CQ12">
        <v>59.310112359599998</v>
      </c>
      <c r="CR12">
        <v>2026</v>
      </c>
      <c r="CS12">
        <v>228</v>
      </c>
      <c r="CT12">
        <v>65.834155972399998</v>
      </c>
      <c r="CU12">
        <v>62.789473684199997</v>
      </c>
      <c r="CW12" t="s">
        <v>412</v>
      </c>
      <c r="CX12" t="s">
        <v>758</v>
      </c>
      <c r="CY12" t="s">
        <v>763</v>
      </c>
      <c r="CZ12">
        <v>86</v>
      </c>
      <c r="DA12">
        <v>12</v>
      </c>
      <c r="DB12">
        <v>72.290697674399993</v>
      </c>
      <c r="DC12">
        <v>230</v>
      </c>
      <c r="DD12">
        <v>44</v>
      </c>
      <c r="DE12">
        <v>131.87826086960001</v>
      </c>
      <c r="DF12">
        <v>103.36363636359999</v>
      </c>
      <c r="DH12" t="s">
        <v>412</v>
      </c>
      <c r="DI12" t="s">
        <v>738</v>
      </c>
      <c r="DJ12" t="s">
        <v>743</v>
      </c>
      <c r="DK12">
        <v>105</v>
      </c>
      <c r="DL12">
        <v>22</v>
      </c>
      <c r="DM12">
        <v>77.819047619000003</v>
      </c>
      <c r="DN12">
        <v>396</v>
      </c>
      <c r="DO12">
        <v>64</v>
      </c>
      <c r="DP12">
        <v>118.8358585859</v>
      </c>
      <c r="DQ12">
        <v>94.765625</v>
      </c>
    </row>
    <row r="13" spans="2:121" x14ac:dyDescent="0.2">
      <c r="B13" t="s">
        <v>97</v>
      </c>
      <c r="C13">
        <v>149</v>
      </c>
      <c r="D13">
        <v>91</v>
      </c>
      <c r="F13" t="s">
        <v>34</v>
      </c>
      <c r="G13">
        <v>334</v>
      </c>
      <c r="H13">
        <v>72.254491017999996</v>
      </c>
      <c r="I13">
        <v>1546</v>
      </c>
      <c r="J13">
        <v>339</v>
      </c>
      <c r="K13">
        <v>497</v>
      </c>
      <c r="L13">
        <v>57</v>
      </c>
      <c r="M13">
        <v>78</v>
      </c>
      <c r="N13">
        <v>24</v>
      </c>
      <c r="O13">
        <v>160</v>
      </c>
      <c r="P13">
        <v>79</v>
      </c>
      <c r="Q13">
        <v>0</v>
      </c>
      <c r="R13">
        <v>4</v>
      </c>
      <c r="T13" t="s">
        <v>385</v>
      </c>
      <c r="U13">
        <v>43430</v>
      </c>
      <c r="V13">
        <v>380.258761225</v>
      </c>
      <c r="W13">
        <v>62148</v>
      </c>
      <c r="X13">
        <v>13315</v>
      </c>
      <c r="Y13">
        <v>66468</v>
      </c>
      <c r="Z13">
        <v>42468</v>
      </c>
      <c r="AA13">
        <v>20195</v>
      </c>
      <c r="AB13">
        <v>14411</v>
      </c>
      <c r="AC13">
        <v>17169</v>
      </c>
      <c r="AD13">
        <v>9775</v>
      </c>
      <c r="AE13">
        <v>53</v>
      </c>
      <c r="AF13">
        <v>1155</v>
      </c>
      <c r="AH13" t="s">
        <v>381</v>
      </c>
      <c r="AI13">
        <v>13789</v>
      </c>
      <c r="AJ13">
        <v>365.03814634849999</v>
      </c>
      <c r="AK13">
        <v>19516</v>
      </c>
      <c r="AL13">
        <v>4946</v>
      </c>
      <c r="AM13">
        <v>20214</v>
      </c>
      <c r="AN13">
        <v>13750</v>
      </c>
      <c r="AO13">
        <v>8169</v>
      </c>
      <c r="AP13">
        <v>6646</v>
      </c>
      <c r="AQ13">
        <v>13705</v>
      </c>
      <c r="AR13">
        <v>10805</v>
      </c>
      <c r="AS13">
        <v>1215</v>
      </c>
      <c r="AT13">
        <v>36</v>
      </c>
      <c r="AV13" t="s">
        <v>408</v>
      </c>
      <c r="AW13">
        <v>88</v>
      </c>
      <c r="AX13">
        <v>94.420454545499993</v>
      </c>
      <c r="AY13">
        <v>102</v>
      </c>
      <c r="AZ13">
        <v>3</v>
      </c>
      <c r="BA13">
        <v>119</v>
      </c>
      <c r="BB13">
        <v>16</v>
      </c>
      <c r="BC13">
        <v>1</v>
      </c>
      <c r="BD13">
        <v>1</v>
      </c>
      <c r="BE13">
        <v>3</v>
      </c>
      <c r="BF13">
        <v>2</v>
      </c>
      <c r="BG13">
        <v>111</v>
      </c>
      <c r="BH13">
        <v>17</v>
      </c>
      <c r="BJ13" t="s">
        <v>588</v>
      </c>
      <c r="BK13" t="s">
        <v>385</v>
      </c>
      <c r="BL13">
        <v>2726</v>
      </c>
      <c r="BM13">
        <v>515</v>
      </c>
      <c r="BN13">
        <v>83.602714600100001</v>
      </c>
      <c r="BO13">
        <v>4191</v>
      </c>
      <c r="BP13">
        <v>559</v>
      </c>
      <c r="BQ13">
        <v>134.80100214749999</v>
      </c>
      <c r="BR13">
        <v>118.0983899821</v>
      </c>
      <c r="BS13">
        <v>611</v>
      </c>
      <c r="BT13">
        <v>148</v>
      </c>
      <c r="BU13">
        <v>94.9885433715</v>
      </c>
      <c r="BV13">
        <v>7673</v>
      </c>
      <c r="BW13">
        <v>1084</v>
      </c>
      <c r="BX13">
        <v>149.28932620879999</v>
      </c>
      <c r="BY13">
        <v>110.7629151292</v>
      </c>
      <c r="CA13" t="s">
        <v>410</v>
      </c>
      <c r="CB13" t="s">
        <v>767</v>
      </c>
      <c r="CC13" t="s">
        <v>999</v>
      </c>
      <c r="CD13">
        <v>33667</v>
      </c>
      <c r="CE13">
        <v>7144</v>
      </c>
      <c r="CF13">
        <v>89.145661924099997</v>
      </c>
      <c r="CG13">
        <v>76056</v>
      </c>
      <c r="CH13">
        <v>9432</v>
      </c>
      <c r="CI13">
        <v>130.42456873879999</v>
      </c>
      <c r="CJ13">
        <v>120.0407124682</v>
      </c>
      <c r="CL13" t="s">
        <v>410</v>
      </c>
      <c r="CM13" t="s">
        <v>748</v>
      </c>
      <c r="CN13" t="s">
        <v>754</v>
      </c>
      <c r="CO13">
        <v>1965</v>
      </c>
      <c r="CP13">
        <v>146</v>
      </c>
      <c r="CQ13">
        <v>60.211704834599999</v>
      </c>
      <c r="CR13">
        <v>7960</v>
      </c>
      <c r="CS13">
        <v>927</v>
      </c>
      <c r="CT13">
        <v>67.2469849246</v>
      </c>
      <c r="CU13">
        <v>66.247033441200003</v>
      </c>
      <c r="CW13" t="s">
        <v>410</v>
      </c>
      <c r="CX13" t="s">
        <v>758</v>
      </c>
      <c r="CY13" t="s">
        <v>764</v>
      </c>
      <c r="CZ13">
        <v>923</v>
      </c>
      <c r="DA13">
        <v>183</v>
      </c>
      <c r="DB13">
        <v>82.138678223200003</v>
      </c>
      <c r="DC13">
        <v>1987</v>
      </c>
      <c r="DD13">
        <v>297</v>
      </c>
      <c r="DE13">
        <v>136.5279315551</v>
      </c>
      <c r="DF13">
        <v>122.734006734</v>
      </c>
      <c r="DH13" t="s">
        <v>410</v>
      </c>
      <c r="DI13" t="s">
        <v>738</v>
      </c>
      <c r="DJ13" t="s">
        <v>744</v>
      </c>
      <c r="DK13">
        <v>848</v>
      </c>
      <c r="DL13">
        <v>156</v>
      </c>
      <c r="DM13">
        <v>83.159198113200006</v>
      </c>
      <c r="DN13">
        <v>2129</v>
      </c>
      <c r="DO13">
        <v>291</v>
      </c>
      <c r="DP13">
        <v>127.233912635</v>
      </c>
      <c r="DQ13">
        <v>113.8075601375</v>
      </c>
    </row>
    <row r="14" spans="2:121" x14ac:dyDescent="0.2">
      <c r="B14" t="s">
        <v>128</v>
      </c>
      <c r="C14">
        <v>931</v>
      </c>
      <c r="D14">
        <v>65</v>
      </c>
      <c r="F14" t="s">
        <v>38</v>
      </c>
      <c r="G14">
        <v>4194</v>
      </c>
      <c r="H14">
        <v>431.05340963280003</v>
      </c>
      <c r="I14">
        <v>7438</v>
      </c>
      <c r="J14">
        <v>1301</v>
      </c>
      <c r="K14">
        <v>6142</v>
      </c>
      <c r="L14">
        <v>3585</v>
      </c>
      <c r="M14">
        <v>1702</v>
      </c>
      <c r="N14">
        <v>1493</v>
      </c>
      <c r="O14">
        <v>2803</v>
      </c>
      <c r="P14">
        <v>2202</v>
      </c>
      <c r="Q14">
        <v>1</v>
      </c>
      <c r="R14">
        <v>328</v>
      </c>
      <c r="T14" t="s">
        <v>390</v>
      </c>
      <c r="U14">
        <v>34101</v>
      </c>
      <c r="V14">
        <v>351.66745843230001</v>
      </c>
      <c r="W14">
        <v>55816</v>
      </c>
      <c r="X14">
        <v>10062</v>
      </c>
      <c r="Y14">
        <v>57102</v>
      </c>
      <c r="Z14">
        <v>32037</v>
      </c>
      <c r="AA14">
        <v>16670</v>
      </c>
      <c r="AB14">
        <v>12706</v>
      </c>
      <c r="AC14">
        <v>12888</v>
      </c>
      <c r="AD14">
        <v>8291</v>
      </c>
      <c r="AE14">
        <v>8585</v>
      </c>
      <c r="AF14">
        <v>1062</v>
      </c>
      <c r="AH14" t="s">
        <v>428</v>
      </c>
      <c r="AI14">
        <v>1300</v>
      </c>
      <c r="AJ14">
        <v>306.67307692309998</v>
      </c>
      <c r="AK14">
        <v>1679</v>
      </c>
      <c r="AL14">
        <v>267</v>
      </c>
      <c r="AM14">
        <v>1872</v>
      </c>
      <c r="AN14">
        <v>1182</v>
      </c>
      <c r="AO14">
        <v>1026</v>
      </c>
      <c r="AP14">
        <v>596</v>
      </c>
      <c r="AQ14">
        <v>627</v>
      </c>
      <c r="AR14">
        <v>383</v>
      </c>
      <c r="AS14">
        <v>3</v>
      </c>
      <c r="AT14">
        <v>6</v>
      </c>
      <c r="AV14" t="s">
        <v>393</v>
      </c>
      <c r="AW14">
        <v>323</v>
      </c>
      <c r="AX14">
        <v>71.414860681099995</v>
      </c>
      <c r="AY14">
        <v>395</v>
      </c>
      <c r="AZ14">
        <v>34</v>
      </c>
      <c r="BA14">
        <v>466</v>
      </c>
      <c r="BB14">
        <v>60</v>
      </c>
      <c r="BC14">
        <v>1</v>
      </c>
      <c r="BD14">
        <v>1</v>
      </c>
      <c r="BE14">
        <v>44</v>
      </c>
      <c r="BF14">
        <v>10</v>
      </c>
      <c r="BG14">
        <v>84</v>
      </c>
      <c r="BH14">
        <v>63</v>
      </c>
      <c r="BJ14" t="s">
        <v>605</v>
      </c>
      <c r="BK14" t="s">
        <v>385</v>
      </c>
      <c r="BL14">
        <v>15468</v>
      </c>
      <c r="BM14">
        <v>2767</v>
      </c>
      <c r="BN14">
        <v>83.017261442999995</v>
      </c>
      <c r="BO14">
        <v>37295</v>
      </c>
      <c r="BP14">
        <v>4758</v>
      </c>
      <c r="BQ14">
        <v>131.2127899182</v>
      </c>
      <c r="BR14">
        <v>118.06536359819999</v>
      </c>
      <c r="BS14">
        <v>5338</v>
      </c>
      <c r="BT14">
        <v>1263</v>
      </c>
      <c r="BU14">
        <v>92.638628699899996</v>
      </c>
      <c r="BV14">
        <v>35137</v>
      </c>
      <c r="BW14">
        <v>4227</v>
      </c>
      <c r="BX14">
        <v>130.94897116999999</v>
      </c>
      <c r="BY14">
        <v>124.7198959073</v>
      </c>
      <c r="CA14" t="s">
        <v>406</v>
      </c>
      <c r="CB14" t="s">
        <v>767</v>
      </c>
      <c r="CC14" t="s">
        <v>1000</v>
      </c>
      <c r="CD14">
        <v>2087</v>
      </c>
      <c r="CE14">
        <v>524</v>
      </c>
      <c r="CF14">
        <v>97.353138476300003</v>
      </c>
      <c r="CG14">
        <v>3600</v>
      </c>
      <c r="CH14">
        <v>510</v>
      </c>
      <c r="CI14">
        <v>135.6730555556</v>
      </c>
      <c r="CJ14">
        <v>122.1843137255</v>
      </c>
      <c r="CL14" t="s">
        <v>406</v>
      </c>
      <c r="CM14" t="s">
        <v>748</v>
      </c>
      <c r="CN14" t="s">
        <v>755</v>
      </c>
      <c r="CO14">
        <v>167</v>
      </c>
      <c r="CP14">
        <v>19</v>
      </c>
      <c r="CQ14">
        <v>64.089820359300006</v>
      </c>
      <c r="CR14">
        <v>708</v>
      </c>
      <c r="CS14">
        <v>81</v>
      </c>
      <c r="CT14">
        <v>67.274011299400001</v>
      </c>
      <c r="CU14">
        <v>66.345679012299996</v>
      </c>
      <c r="CW14" t="s">
        <v>406</v>
      </c>
      <c r="CX14" t="s">
        <v>758</v>
      </c>
      <c r="CY14" t="s">
        <v>765</v>
      </c>
      <c r="CZ14">
        <v>58</v>
      </c>
      <c r="DA14">
        <v>18</v>
      </c>
      <c r="DB14">
        <v>100.60344827590001</v>
      </c>
      <c r="DC14">
        <v>109</v>
      </c>
      <c r="DD14">
        <v>14</v>
      </c>
      <c r="DE14">
        <v>139.68807339450001</v>
      </c>
      <c r="DF14">
        <v>118.7857142857</v>
      </c>
      <c r="DH14" t="s">
        <v>406</v>
      </c>
      <c r="DI14" t="s">
        <v>738</v>
      </c>
      <c r="DJ14" t="s">
        <v>745</v>
      </c>
      <c r="DK14">
        <v>45</v>
      </c>
      <c r="DL14">
        <v>12</v>
      </c>
      <c r="DM14">
        <v>109.9333333333</v>
      </c>
      <c r="DN14">
        <v>126</v>
      </c>
      <c r="DO14">
        <v>14</v>
      </c>
      <c r="DP14">
        <v>119.80952380950001</v>
      </c>
      <c r="DQ14">
        <v>131.5</v>
      </c>
    </row>
    <row r="15" spans="2:121" x14ac:dyDescent="0.2">
      <c r="B15" t="s">
        <v>118</v>
      </c>
      <c r="C15">
        <v>29</v>
      </c>
      <c r="D15">
        <v>17</v>
      </c>
      <c r="F15" t="s">
        <v>36</v>
      </c>
      <c r="G15">
        <v>247</v>
      </c>
      <c r="H15">
        <v>330.52631578950002</v>
      </c>
      <c r="I15">
        <v>631</v>
      </c>
      <c r="J15">
        <v>87</v>
      </c>
      <c r="K15">
        <v>454</v>
      </c>
      <c r="L15">
        <v>247</v>
      </c>
      <c r="M15">
        <v>156</v>
      </c>
      <c r="N15">
        <v>81</v>
      </c>
      <c r="O15">
        <v>109</v>
      </c>
      <c r="P15">
        <v>50</v>
      </c>
      <c r="Q15">
        <v>2</v>
      </c>
      <c r="R15">
        <v>4</v>
      </c>
      <c r="T15" t="s">
        <v>369</v>
      </c>
      <c r="U15">
        <v>72531</v>
      </c>
      <c r="V15">
        <v>432.7495002137</v>
      </c>
      <c r="W15">
        <v>78077</v>
      </c>
      <c r="X15">
        <v>18447</v>
      </c>
      <c r="Y15">
        <v>101147</v>
      </c>
      <c r="Z15">
        <v>70974</v>
      </c>
      <c r="AA15">
        <v>39184</v>
      </c>
      <c r="AB15">
        <v>31350</v>
      </c>
      <c r="AC15">
        <v>29095</v>
      </c>
      <c r="AD15">
        <v>22074</v>
      </c>
      <c r="AE15">
        <v>14537</v>
      </c>
      <c r="AF15">
        <v>56</v>
      </c>
      <c r="AH15" t="s">
        <v>408</v>
      </c>
      <c r="AI15">
        <v>611</v>
      </c>
      <c r="AJ15">
        <v>244.57774140750001</v>
      </c>
      <c r="AK15">
        <v>1665</v>
      </c>
      <c r="AL15">
        <v>385</v>
      </c>
      <c r="AM15">
        <v>904</v>
      </c>
      <c r="AN15">
        <v>401</v>
      </c>
      <c r="AO15">
        <v>264</v>
      </c>
      <c r="AP15">
        <v>169</v>
      </c>
      <c r="AQ15">
        <v>491</v>
      </c>
      <c r="AR15">
        <v>268</v>
      </c>
      <c r="AS15">
        <v>1</v>
      </c>
      <c r="AT15">
        <v>5</v>
      </c>
      <c r="AV15" t="s">
        <v>412</v>
      </c>
      <c r="AW15">
        <v>289</v>
      </c>
      <c r="AX15">
        <v>77.211072664400007</v>
      </c>
      <c r="AY15">
        <v>246</v>
      </c>
      <c r="AZ15">
        <v>7</v>
      </c>
      <c r="BA15">
        <v>381</v>
      </c>
      <c r="BB15">
        <v>20</v>
      </c>
      <c r="BC15">
        <v>2</v>
      </c>
      <c r="BD15">
        <v>2</v>
      </c>
      <c r="BE15">
        <v>12</v>
      </c>
      <c r="BF15">
        <v>6</v>
      </c>
      <c r="BG15">
        <v>635</v>
      </c>
      <c r="BH15">
        <v>60</v>
      </c>
      <c r="BJ15" t="s">
        <v>567</v>
      </c>
      <c r="BK15" t="s">
        <v>390</v>
      </c>
      <c r="BL15">
        <v>6635</v>
      </c>
      <c r="BM15">
        <v>1390</v>
      </c>
      <c r="BN15">
        <v>94.012660135600001</v>
      </c>
      <c r="BO15">
        <v>13817</v>
      </c>
      <c r="BP15">
        <v>1292</v>
      </c>
      <c r="BQ15">
        <v>145.2205254397</v>
      </c>
      <c r="BR15">
        <v>139.2089783282</v>
      </c>
      <c r="BS15">
        <v>1275</v>
      </c>
      <c r="BT15">
        <v>489</v>
      </c>
      <c r="BU15">
        <v>115.742745098</v>
      </c>
      <c r="BV15">
        <v>8658</v>
      </c>
      <c r="BW15">
        <v>1200</v>
      </c>
      <c r="BX15">
        <v>126.7023562024</v>
      </c>
      <c r="BY15">
        <v>134.92250000000001</v>
      </c>
      <c r="CA15" t="s">
        <v>421</v>
      </c>
      <c r="CB15" t="s">
        <v>767</v>
      </c>
      <c r="CC15" t="s">
        <v>1001</v>
      </c>
      <c r="CD15">
        <v>678</v>
      </c>
      <c r="CE15">
        <v>89</v>
      </c>
      <c r="CF15">
        <v>67.612094395300005</v>
      </c>
      <c r="CG15">
        <v>2071</v>
      </c>
      <c r="CH15">
        <v>263</v>
      </c>
      <c r="CI15">
        <v>121.0057943023</v>
      </c>
      <c r="CJ15">
        <v>92.532319391599998</v>
      </c>
      <c r="CL15" t="s">
        <v>421</v>
      </c>
      <c r="CM15" t="s">
        <v>748</v>
      </c>
      <c r="CN15" t="s">
        <v>756</v>
      </c>
      <c r="CO15">
        <v>27</v>
      </c>
      <c r="CP15">
        <v>0</v>
      </c>
      <c r="CQ15">
        <v>49.444444444399998</v>
      </c>
      <c r="CR15">
        <v>122</v>
      </c>
      <c r="CS15">
        <v>18</v>
      </c>
      <c r="CT15">
        <v>62.336065573799999</v>
      </c>
      <c r="CU15">
        <v>68.444444444400006</v>
      </c>
      <c r="CW15" t="s">
        <v>421</v>
      </c>
      <c r="CX15" t="s">
        <v>758</v>
      </c>
      <c r="CY15" t="s">
        <v>766</v>
      </c>
      <c r="CZ15">
        <v>5</v>
      </c>
      <c r="DA15">
        <v>0</v>
      </c>
      <c r="DB15">
        <v>35.799999999999997</v>
      </c>
      <c r="DC15">
        <v>40</v>
      </c>
      <c r="DD15">
        <v>6</v>
      </c>
      <c r="DE15">
        <v>145.35</v>
      </c>
      <c r="DF15">
        <v>111.5</v>
      </c>
      <c r="DH15" t="s">
        <v>421</v>
      </c>
      <c r="DI15" t="s">
        <v>738</v>
      </c>
      <c r="DJ15" t="s">
        <v>746</v>
      </c>
      <c r="DK15">
        <v>7</v>
      </c>
      <c r="DL15">
        <v>2</v>
      </c>
      <c r="DM15">
        <v>80</v>
      </c>
      <c r="DN15">
        <v>32</v>
      </c>
      <c r="DO15">
        <v>3</v>
      </c>
      <c r="DP15">
        <v>120.8125</v>
      </c>
      <c r="DQ15">
        <v>67</v>
      </c>
    </row>
    <row r="16" spans="2:121" x14ac:dyDescent="0.2">
      <c r="B16" t="s">
        <v>1061</v>
      </c>
      <c r="C16">
        <v>109</v>
      </c>
      <c r="D16">
        <v>26</v>
      </c>
      <c r="F16" t="s">
        <v>61</v>
      </c>
      <c r="G16">
        <v>497</v>
      </c>
      <c r="H16">
        <v>266.32193158950002</v>
      </c>
      <c r="I16">
        <v>2767</v>
      </c>
      <c r="J16">
        <v>663</v>
      </c>
      <c r="K16">
        <v>1046</v>
      </c>
      <c r="L16">
        <v>452</v>
      </c>
      <c r="M16">
        <v>660</v>
      </c>
      <c r="N16">
        <v>611</v>
      </c>
      <c r="O16">
        <v>1513</v>
      </c>
      <c r="P16">
        <v>1197</v>
      </c>
      <c r="Q16">
        <v>0</v>
      </c>
      <c r="R16">
        <v>1</v>
      </c>
      <c r="T16" t="s">
        <v>8</v>
      </c>
      <c r="U16">
        <v>144</v>
      </c>
      <c r="V16">
        <v>328.94444444440001</v>
      </c>
      <c r="W16">
        <v>352</v>
      </c>
      <c r="X16">
        <v>10</v>
      </c>
      <c r="Y16">
        <v>217</v>
      </c>
      <c r="Z16">
        <v>132</v>
      </c>
      <c r="AA16">
        <v>66</v>
      </c>
      <c r="AB16">
        <v>32</v>
      </c>
      <c r="AC16">
        <v>66329</v>
      </c>
      <c r="AD16">
        <v>36762</v>
      </c>
      <c r="AE16">
        <v>0</v>
      </c>
      <c r="AF16">
        <v>1</v>
      </c>
      <c r="AH16" t="s">
        <v>394</v>
      </c>
      <c r="AI16">
        <v>5641</v>
      </c>
      <c r="AJ16">
        <v>483.34639248360003</v>
      </c>
      <c r="AK16">
        <v>7148</v>
      </c>
      <c r="AL16">
        <v>1525</v>
      </c>
      <c r="AM16">
        <v>8263</v>
      </c>
      <c r="AN16">
        <v>5555</v>
      </c>
      <c r="AO16">
        <v>2351</v>
      </c>
      <c r="AP16">
        <v>2086</v>
      </c>
      <c r="AQ16">
        <v>3348</v>
      </c>
      <c r="AR16">
        <v>1985</v>
      </c>
      <c r="AS16">
        <v>995</v>
      </c>
      <c r="AT16">
        <v>217</v>
      </c>
      <c r="AV16" t="s">
        <v>375</v>
      </c>
      <c r="AW16">
        <v>1664</v>
      </c>
      <c r="AX16">
        <v>104.6862980769</v>
      </c>
      <c r="AY16">
        <v>2792</v>
      </c>
      <c r="AZ16">
        <v>516</v>
      </c>
      <c r="BA16">
        <v>2275</v>
      </c>
      <c r="BB16">
        <v>755</v>
      </c>
      <c r="BC16">
        <v>1</v>
      </c>
      <c r="BD16">
        <v>1</v>
      </c>
      <c r="BE16">
        <v>118</v>
      </c>
      <c r="BF16">
        <v>19</v>
      </c>
      <c r="BG16">
        <v>170</v>
      </c>
      <c r="BH16">
        <v>404</v>
      </c>
      <c r="BJ16" t="s">
        <v>559</v>
      </c>
      <c r="BK16" t="s">
        <v>390</v>
      </c>
      <c r="BL16">
        <v>7526</v>
      </c>
      <c r="BM16">
        <v>1292</v>
      </c>
      <c r="BN16">
        <v>85.982992293400002</v>
      </c>
      <c r="BO16">
        <v>19759</v>
      </c>
      <c r="BP16">
        <v>2088</v>
      </c>
      <c r="BQ16">
        <v>130.43666177439999</v>
      </c>
      <c r="BR16">
        <v>121.8271072797</v>
      </c>
      <c r="BS16">
        <v>1778</v>
      </c>
      <c r="BT16">
        <v>441</v>
      </c>
      <c r="BU16">
        <v>97.694600674900002</v>
      </c>
      <c r="BV16">
        <v>21439</v>
      </c>
      <c r="BW16">
        <v>2255</v>
      </c>
      <c r="BX16">
        <v>139.08657120199999</v>
      </c>
      <c r="BY16">
        <v>120.0292682927</v>
      </c>
      <c r="CA16" t="s">
        <v>385</v>
      </c>
      <c r="CB16" t="s">
        <v>767</v>
      </c>
      <c r="CD16">
        <v>61784</v>
      </c>
      <c r="CE16">
        <v>12908</v>
      </c>
      <c r="CF16">
        <v>89.901317493199997</v>
      </c>
      <c r="CG16">
        <v>146948</v>
      </c>
      <c r="CH16">
        <v>18269</v>
      </c>
      <c r="CI16">
        <v>126.66001578789999</v>
      </c>
      <c r="CJ16">
        <v>121.14822924080001</v>
      </c>
      <c r="CL16" t="s">
        <v>385</v>
      </c>
      <c r="CM16" t="s">
        <v>748</v>
      </c>
      <c r="CO16">
        <v>4109</v>
      </c>
      <c r="CP16">
        <v>362</v>
      </c>
      <c r="CQ16">
        <v>62.602579703099998</v>
      </c>
      <c r="CR16">
        <v>17255</v>
      </c>
      <c r="CS16">
        <v>1965</v>
      </c>
      <c r="CT16">
        <v>67.273370037700005</v>
      </c>
      <c r="CU16">
        <v>65.813231552199994</v>
      </c>
      <c r="CW16" t="s">
        <v>385</v>
      </c>
      <c r="CX16" t="s">
        <v>758</v>
      </c>
      <c r="CZ16">
        <v>1460</v>
      </c>
      <c r="DA16">
        <v>290</v>
      </c>
      <c r="DB16">
        <v>81.589726027400005</v>
      </c>
      <c r="DC16">
        <v>3297</v>
      </c>
      <c r="DD16">
        <v>508</v>
      </c>
      <c r="DE16">
        <v>136.82590233549999</v>
      </c>
      <c r="DF16">
        <v>122.27362204720001</v>
      </c>
      <c r="DH16" t="s">
        <v>385</v>
      </c>
      <c r="DI16" t="s">
        <v>738</v>
      </c>
      <c r="DK16">
        <v>1384</v>
      </c>
      <c r="DL16">
        <v>273</v>
      </c>
      <c r="DM16">
        <v>85.229768786099996</v>
      </c>
      <c r="DN16">
        <v>4061</v>
      </c>
      <c r="DO16">
        <v>585</v>
      </c>
      <c r="DP16">
        <v>123.0068948535</v>
      </c>
      <c r="DQ16">
        <v>102.7829059829</v>
      </c>
    </row>
    <row r="17" spans="2:121" x14ac:dyDescent="0.2">
      <c r="B17" t="s">
        <v>94</v>
      </c>
      <c r="C17">
        <v>227</v>
      </c>
      <c r="D17">
        <v>46</v>
      </c>
      <c r="F17" t="s">
        <v>83</v>
      </c>
      <c r="G17">
        <v>17595</v>
      </c>
      <c r="H17">
        <v>320.03648763849998</v>
      </c>
      <c r="I17">
        <v>17828</v>
      </c>
      <c r="J17">
        <v>4619</v>
      </c>
      <c r="K17">
        <v>26879</v>
      </c>
      <c r="L17">
        <v>19569</v>
      </c>
      <c r="M17">
        <v>12305</v>
      </c>
      <c r="N17">
        <v>9391</v>
      </c>
      <c r="O17">
        <v>4258</v>
      </c>
      <c r="P17">
        <v>3110</v>
      </c>
      <c r="Q17">
        <v>1</v>
      </c>
      <c r="R17">
        <v>16</v>
      </c>
      <c r="T17" t="s">
        <v>404</v>
      </c>
      <c r="U17">
        <v>48860</v>
      </c>
      <c r="V17">
        <v>400.11692591079998</v>
      </c>
      <c r="W17">
        <v>60539</v>
      </c>
      <c r="X17">
        <v>11281</v>
      </c>
      <c r="Y17">
        <v>73379</v>
      </c>
      <c r="Z17">
        <v>51069</v>
      </c>
      <c r="AA17">
        <v>23561</v>
      </c>
      <c r="AB17">
        <v>18418</v>
      </c>
      <c r="AC17">
        <v>19482</v>
      </c>
      <c r="AD17">
        <v>14650</v>
      </c>
      <c r="AE17">
        <v>466</v>
      </c>
      <c r="AF17">
        <v>763</v>
      </c>
      <c r="AH17" t="s">
        <v>392</v>
      </c>
      <c r="AI17">
        <v>5323</v>
      </c>
      <c r="AJ17">
        <v>632.5154987789</v>
      </c>
      <c r="AK17">
        <v>4772</v>
      </c>
      <c r="AL17">
        <v>873</v>
      </c>
      <c r="AM17">
        <v>8540</v>
      </c>
      <c r="AN17">
        <v>6442</v>
      </c>
      <c r="AO17">
        <v>2572</v>
      </c>
      <c r="AP17">
        <v>2194</v>
      </c>
      <c r="AQ17">
        <v>3020</v>
      </c>
      <c r="AR17">
        <v>2244</v>
      </c>
      <c r="AS17">
        <v>753</v>
      </c>
      <c r="AT17">
        <v>225</v>
      </c>
      <c r="AV17" t="s">
        <v>428</v>
      </c>
      <c r="AW17">
        <v>32</v>
      </c>
      <c r="AX17">
        <v>67.65625</v>
      </c>
      <c r="AY17">
        <v>18</v>
      </c>
      <c r="AZ17">
        <v>1</v>
      </c>
      <c r="BA17">
        <v>47</v>
      </c>
      <c r="BB17">
        <v>9</v>
      </c>
      <c r="BC17">
        <v>1</v>
      </c>
      <c r="BD17">
        <v>1</v>
      </c>
      <c r="BE17">
        <v>0</v>
      </c>
      <c r="BG17">
        <v>79</v>
      </c>
      <c r="BH17">
        <v>13</v>
      </c>
      <c r="BJ17" t="s">
        <v>576</v>
      </c>
      <c r="BK17" t="s">
        <v>390</v>
      </c>
      <c r="BL17">
        <v>2289</v>
      </c>
      <c r="BM17">
        <v>342</v>
      </c>
      <c r="BN17">
        <v>79.835299257299994</v>
      </c>
      <c r="BO17">
        <v>5818</v>
      </c>
      <c r="BP17">
        <v>844</v>
      </c>
      <c r="BQ17">
        <v>110.91405981440001</v>
      </c>
      <c r="BR17">
        <v>100.48104265400001</v>
      </c>
      <c r="BS17">
        <v>705</v>
      </c>
      <c r="BT17">
        <v>165</v>
      </c>
      <c r="BU17">
        <v>93.182978723399998</v>
      </c>
      <c r="BV17">
        <v>7711</v>
      </c>
      <c r="BW17">
        <v>920</v>
      </c>
      <c r="BX17">
        <v>126.3131889508</v>
      </c>
      <c r="BY17">
        <v>108.3239130435</v>
      </c>
      <c r="CA17" t="s">
        <v>394</v>
      </c>
      <c r="CB17" t="s">
        <v>807</v>
      </c>
      <c r="CC17" t="s">
        <v>1002</v>
      </c>
      <c r="CD17">
        <v>6841</v>
      </c>
      <c r="CE17">
        <v>1438</v>
      </c>
      <c r="CF17">
        <v>93.597134921800006</v>
      </c>
      <c r="CG17">
        <v>14680</v>
      </c>
      <c r="CH17">
        <v>1436</v>
      </c>
      <c r="CI17">
        <v>141.65217983650001</v>
      </c>
      <c r="CJ17">
        <v>134.67339832869999</v>
      </c>
      <c r="CL17" t="s">
        <v>394</v>
      </c>
      <c r="CM17" t="s">
        <v>782</v>
      </c>
      <c r="CN17" t="s">
        <v>781</v>
      </c>
      <c r="CO17">
        <v>630</v>
      </c>
      <c r="CP17">
        <v>70</v>
      </c>
      <c r="CQ17">
        <v>70.874603174599997</v>
      </c>
      <c r="CR17">
        <v>3045</v>
      </c>
      <c r="CS17">
        <v>330</v>
      </c>
      <c r="CT17">
        <v>73.171756978700003</v>
      </c>
      <c r="CU17">
        <v>72.651515151500007</v>
      </c>
      <c r="CW17" t="s">
        <v>394</v>
      </c>
      <c r="CX17" t="s">
        <v>795</v>
      </c>
      <c r="CY17" t="s">
        <v>794</v>
      </c>
      <c r="CZ17">
        <v>189</v>
      </c>
      <c r="DA17">
        <v>48</v>
      </c>
      <c r="DB17">
        <v>87.560846560800002</v>
      </c>
      <c r="DC17">
        <v>367</v>
      </c>
      <c r="DD17">
        <v>44</v>
      </c>
      <c r="DE17">
        <v>143.03814713899999</v>
      </c>
      <c r="DF17">
        <v>131.25</v>
      </c>
      <c r="DH17" t="s">
        <v>394</v>
      </c>
      <c r="DI17" t="s">
        <v>769</v>
      </c>
      <c r="DJ17" t="s">
        <v>768</v>
      </c>
      <c r="DK17">
        <v>124</v>
      </c>
      <c r="DL17">
        <v>27</v>
      </c>
      <c r="DM17">
        <v>90.814516128999998</v>
      </c>
      <c r="DN17">
        <v>357</v>
      </c>
      <c r="DO17">
        <v>43</v>
      </c>
      <c r="DP17">
        <v>127.52661064430001</v>
      </c>
      <c r="DQ17">
        <v>116.1860465116</v>
      </c>
    </row>
    <row r="18" spans="2:121" x14ac:dyDescent="0.2">
      <c r="B18" t="s">
        <v>119</v>
      </c>
      <c r="C18">
        <v>53</v>
      </c>
      <c r="D18">
        <v>45</v>
      </c>
      <c r="F18" t="s">
        <v>70</v>
      </c>
      <c r="G18">
        <v>3225</v>
      </c>
      <c r="H18">
        <v>380.73705426359999</v>
      </c>
      <c r="I18">
        <v>2659</v>
      </c>
      <c r="J18">
        <v>521</v>
      </c>
      <c r="K18">
        <v>6852</v>
      </c>
      <c r="L18">
        <v>4863</v>
      </c>
      <c r="M18">
        <v>1034</v>
      </c>
      <c r="N18">
        <v>730</v>
      </c>
      <c r="O18">
        <v>361</v>
      </c>
      <c r="P18">
        <v>199</v>
      </c>
      <c r="Q18">
        <v>0</v>
      </c>
      <c r="R18">
        <v>2</v>
      </c>
      <c r="T18" t="s">
        <v>380</v>
      </c>
      <c r="U18">
        <v>59364</v>
      </c>
      <c r="V18">
        <v>359.5127855266</v>
      </c>
      <c r="W18">
        <v>70926</v>
      </c>
      <c r="X18">
        <v>16781</v>
      </c>
      <c r="Y18">
        <v>80592</v>
      </c>
      <c r="Z18">
        <v>54335</v>
      </c>
      <c r="AA18">
        <v>26543</v>
      </c>
      <c r="AB18">
        <v>22031</v>
      </c>
      <c r="AC18">
        <v>30318</v>
      </c>
      <c r="AD18">
        <v>23202</v>
      </c>
      <c r="AE18">
        <v>165</v>
      </c>
      <c r="AF18">
        <v>1335</v>
      </c>
      <c r="AH18" t="s">
        <v>399</v>
      </c>
      <c r="AI18">
        <v>888</v>
      </c>
      <c r="AJ18">
        <v>219.7038288288</v>
      </c>
      <c r="AK18">
        <v>2459</v>
      </c>
      <c r="AL18">
        <v>385</v>
      </c>
      <c r="AM18">
        <v>1299</v>
      </c>
      <c r="AN18">
        <v>499</v>
      </c>
      <c r="AO18">
        <v>308</v>
      </c>
      <c r="AP18">
        <v>191</v>
      </c>
      <c r="AQ18">
        <v>531</v>
      </c>
      <c r="AR18">
        <v>304</v>
      </c>
      <c r="AS18">
        <v>2</v>
      </c>
      <c r="AT18">
        <v>9</v>
      </c>
      <c r="AV18" t="s">
        <v>399</v>
      </c>
      <c r="AW18">
        <v>262</v>
      </c>
      <c r="AX18">
        <v>62.748091603100001</v>
      </c>
      <c r="AY18">
        <v>295</v>
      </c>
      <c r="AZ18">
        <v>6</v>
      </c>
      <c r="BA18">
        <v>336</v>
      </c>
      <c r="BB18">
        <v>12</v>
      </c>
      <c r="BC18">
        <v>0</v>
      </c>
      <c r="BE18">
        <v>9</v>
      </c>
      <c r="BF18">
        <v>2</v>
      </c>
      <c r="BG18">
        <v>367</v>
      </c>
      <c r="BH18">
        <v>30</v>
      </c>
      <c r="BJ18" t="s">
        <v>569</v>
      </c>
      <c r="BK18" t="s">
        <v>390</v>
      </c>
      <c r="BL18">
        <v>7678</v>
      </c>
      <c r="BM18">
        <v>1944</v>
      </c>
      <c r="BN18">
        <v>97.059520708500003</v>
      </c>
      <c r="BO18">
        <v>14926</v>
      </c>
      <c r="BP18">
        <v>1868</v>
      </c>
      <c r="BQ18">
        <v>136.68035642500001</v>
      </c>
      <c r="BR18">
        <v>130.90792291220001</v>
      </c>
      <c r="BS18">
        <v>1674</v>
      </c>
      <c r="BT18">
        <v>546</v>
      </c>
      <c r="BU18">
        <v>107.4097968937</v>
      </c>
      <c r="BV18">
        <v>15198</v>
      </c>
      <c r="BW18">
        <v>1867</v>
      </c>
      <c r="BX18">
        <v>134.2878668246</v>
      </c>
      <c r="BY18">
        <v>127.8050348152</v>
      </c>
      <c r="CA18" t="s">
        <v>392</v>
      </c>
      <c r="CB18" t="s">
        <v>807</v>
      </c>
      <c r="CC18" t="s">
        <v>1003</v>
      </c>
      <c r="CD18">
        <v>4904</v>
      </c>
      <c r="CE18">
        <v>1083</v>
      </c>
      <c r="CF18">
        <v>90.099102773200002</v>
      </c>
      <c r="CG18">
        <v>11906</v>
      </c>
      <c r="CH18">
        <v>1339</v>
      </c>
      <c r="CI18">
        <v>122.01847807830001</v>
      </c>
      <c r="CJ18">
        <v>131.62061239729999</v>
      </c>
      <c r="CL18" t="s">
        <v>392</v>
      </c>
      <c r="CM18" t="s">
        <v>782</v>
      </c>
      <c r="CN18" t="s">
        <v>783</v>
      </c>
      <c r="CO18">
        <v>383</v>
      </c>
      <c r="CP18">
        <v>41</v>
      </c>
      <c r="CQ18">
        <v>67.360313315900001</v>
      </c>
      <c r="CR18">
        <v>1819</v>
      </c>
      <c r="CS18">
        <v>187</v>
      </c>
      <c r="CT18">
        <v>73.147333699800001</v>
      </c>
      <c r="CU18">
        <v>82.187165775400004</v>
      </c>
      <c r="CW18" t="s">
        <v>392</v>
      </c>
      <c r="CX18" t="s">
        <v>795</v>
      </c>
      <c r="CY18" t="s">
        <v>796</v>
      </c>
      <c r="CZ18">
        <v>74</v>
      </c>
      <c r="DA18">
        <v>16</v>
      </c>
      <c r="DB18">
        <v>84.459459459499996</v>
      </c>
      <c r="DC18">
        <v>190</v>
      </c>
      <c r="DD18">
        <v>26</v>
      </c>
      <c r="DE18">
        <v>139.83684210530001</v>
      </c>
      <c r="DF18">
        <v>146.4615384615</v>
      </c>
      <c r="DH18" t="s">
        <v>392</v>
      </c>
      <c r="DI18" t="s">
        <v>769</v>
      </c>
      <c r="DJ18" t="s">
        <v>770</v>
      </c>
      <c r="DK18">
        <v>55</v>
      </c>
      <c r="DL18">
        <v>18</v>
      </c>
      <c r="DM18">
        <v>114.83636363639999</v>
      </c>
      <c r="DN18">
        <v>162</v>
      </c>
      <c r="DO18">
        <v>25</v>
      </c>
      <c r="DP18">
        <v>137.17283950620001</v>
      </c>
      <c r="DQ18">
        <v>125.84</v>
      </c>
    </row>
    <row r="19" spans="2:121" x14ac:dyDescent="0.2">
      <c r="B19" t="s">
        <v>123</v>
      </c>
      <c r="C19">
        <v>51</v>
      </c>
      <c r="D19">
        <v>32</v>
      </c>
      <c r="F19" t="s">
        <v>68</v>
      </c>
      <c r="G19">
        <v>2803</v>
      </c>
      <c r="H19">
        <v>443.89618266140002</v>
      </c>
      <c r="I19">
        <v>3887</v>
      </c>
      <c r="J19">
        <v>948</v>
      </c>
      <c r="K19">
        <v>3479</v>
      </c>
      <c r="L19">
        <v>2487</v>
      </c>
      <c r="M19">
        <v>642</v>
      </c>
      <c r="N19">
        <v>515</v>
      </c>
      <c r="O19">
        <v>1208</v>
      </c>
      <c r="P19">
        <v>966</v>
      </c>
      <c r="Q19">
        <v>0</v>
      </c>
      <c r="R19">
        <v>124</v>
      </c>
      <c r="T19" t="s">
        <v>461</v>
      </c>
      <c r="U19">
        <v>258430</v>
      </c>
      <c r="V19">
        <v>390.17839260149998</v>
      </c>
      <c r="W19">
        <v>327858</v>
      </c>
      <c r="X19">
        <v>69896</v>
      </c>
      <c r="Y19">
        <v>378905</v>
      </c>
      <c r="Z19">
        <v>251015</v>
      </c>
      <c r="AA19">
        <v>126219</v>
      </c>
      <c r="AB19">
        <v>98948</v>
      </c>
      <c r="AC19">
        <v>175281</v>
      </c>
      <c r="AD19">
        <v>114754</v>
      </c>
      <c r="AE19">
        <v>23806</v>
      </c>
      <c r="AF19">
        <v>4372</v>
      </c>
      <c r="AH19" t="s">
        <v>422</v>
      </c>
      <c r="AI19">
        <v>1714</v>
      </c>
      <c r="AJ19">
        <v>231.86697782959999</v>
      </c>
      <c r="AK19">
        <v>2132</v>
      </c>
      <c r="AL19">
        <v>338</v>
      </c>
      <c r="AM19">
        <v>2521</v>
      </c>
      <c r="AN19">
        <v>1274</v>
      </c>
      <c r="AO19">
        <v>1026</v>
      </c>
      <c r="AP19">
        <v>583</v>
      </c>
      <c r="AQ19">
        <v>829</v>
      </c>
      <c r="AR19">
        <v>448</v>
      </c>
      <c r="AS19">
        <v>6</v>
      </c>
      <c r="AT19">
        <v>13</v>
      </c>
      <c r="AV19" t="s">
        <v>382</v>
      </c>
      <c r="AW19">
        <v>1665</v>
      </c>
      <c r="AX19">
        <v>105.0012012012</v>
      </c>
      <c r="AY19">
        <v>1558</v>
      </c>
      <c r="AZ19">
        <v>261</v>
      </c>
      <c r="BA19">
        <v>1992</v>
      </c>
      <c r="BB19">
        <v>640</v>
      </c>
      <c r="BC19">
        <v>19</v>
      </c>
      <c r="BD19">
        <v>18</v>
      </c>
      <c r="BE19">
        <v>105</v>
      </c>
      <c r="BF19">
        <v>38</v>
      </c>
      <c r="BG19">
        <v>243</v>
      </c>
      <c r="BH19">
        <v>381</v>
      </c>
      <c r="BJ19" t="s">
        <v>633</v>
      </c>
      <c r="BK19" t="s">
        <v>390</v>
      </c>
      <c r="BL19">
        <v>810</v>
      </c>
      <c r="BM19">
        <v>130</v>
      </c>
      <c r="BN19">
        <v>75.938271604899995</v>
      </c>
      <c r="BO19">
        <v>2334</v>
      </c>
      <c r="BP19">
        <v>242</v>
      </c>
      <c r="BQ19">
        <v>98.838046272499994</v>
      </c>
      <c r="BR19">
        <v>87.727272727300004</v>
      </c>
      <c r="BS19">
        <v>342</v>
      </c>
      <c r="BT19">
        <v>66</v>
      </c>
      <c r="BU19">
        <v>80.473684210499997</v>
      </c>
      <c r="BV19">
        <v>3136</v>
      </c>
      <c r="BW19">
        <v>366</v>
      </c>
      <c r="BX19">
        <v>125.05994897959999</v>
      </c>
      <c r="BY19">
        <v>92.601092896200001</v>
      </c>
      <c r="CA19" t="s">
        <v>399</v>
      </c>
      <c r="CB19" t="s">
        <v>807</v>
      </c>
      <c r="CC19" t="s">
        <v>1004</v>
      </c>
      <c r="CD19">
        <v>2352</v>
      </c>
      <c r="CE19">
        <v>360</v>
      </c>
      <c r="CF19">
        <v>80.111819727899999</v>
      </c>
      <c r="CG19">
        <v>6049</v>
      </c>
      <c r="CH19">
        <v>869</v>
      </c>
      <c r="CI19">
        <v>109.96346503549999</v>
      </c>
      <c r="CJ19">
        <v>99.680092059800003</v>
      </c>
      <c r="CL19" t="s">
        <v>399</v>
      </c>
      <c r="CM19" t="s">
        <v>782</v>
      </c>
      <c r="CN19" t="s">
        <v>784</v>
      </c>
      <c r="CO19">
        <v>277</v>
      </c>
      <c r="CP19">
        <v>19</v>
      </c>
      <c r="CQ19">
        <v>53.212996389899999</v>
      </c>
      <c r="CR19">
        <v>1125</v>
      </c>
      <c r="CS19">
        <v>124</v>
      </c>
      <c r="CT19">
        <v>64.565333333300003</v>
      </c>
      <c r="CU19">
        <v>63.451612903200001</v>
      </c>
      <c r="CW19" t="s">
        <v>399</v>
      </c>
      <c r="CX19" t="s">
        <v>795</v>
      </c>
      <c r="CY19" t="s">
        <v>797</v>
      </c>
      <c r="CZ19">
        <v>33</v>
      </c>
      <c r="DA19">
        <v>8</v>
      </c>
      <c r="DB19">
        <v>78.454545454500007</v>
      </c>
      <c r="DC19">
        <v>94</v>
      </c>
      <c r="DD19">
        <v>15</v>
      </c>
      <c r="DE19">
        <v>141.2340425532</v>
      </c>
      <c r="DF19">
        <v>141.0666666667</v>
      </c>
      <c r="DH19" t="s">
        <v>399</v>
      </c>
      <c r="DI19" t="s">
        <v>769</v>
      </c>
      <c r="DJ19" t="s">
        <v>771</v>
      </c>
      <c r="DK19">
        <v>18</v>
      </c>
      <c r="DL19">
        <v>5</v>
      </c>
      <c r="DM19">
        <v>95.5</v>
      </c>
      <c r="DN19">
        <v>71</v>
      </c>
      <c r="DO19">
        <v>3</v>
      </c>
      <c r="DP19">
        <v>128.98591549299999</v>
      </c>
      <c r="DQ19">
        <v>102</v>
      </c>
    </row>
    <row r="20" spans="2:121" x14ac:dyDescent="0.2">
      <c r="B20" t="s">
        <v>116</v>
      </c>
      <c r="C20">
        <v>17582</v>
      </c>
      <c r="D20">
        <v>4254</v>
      </c>
      <c r="F20" t="s">
        <v>74</v>
      </c>
      <c r="G20">
        <v>236</v>
      </c>
      <c r="H20">
        <v>162.7838983051</v>
      </c>
      <c r="I20">
        <v>965</v>
      </c>
      <c r="J20">
        <v>231</v>
      </c>
      <c r="K20">
        <v>437</v>
      </c>
      <c r="L20">
        <v>97</v>
      </c>
      <c r="M20">
        <v>295</v>
      </c>
      <c r="N20">
        <v>115</v>
      </c>
      <c r="O20">
        <v>32</v>
      </c>
      <c r="P20">
        <v>22</v>
      </c>
      <c r="Q20">
        <v>0</v>
      </c>
      <c r="R20">
        <v>0</v>
      </c>
      <c r="AH20" t="s">
        <v>393</v>
      </c>
      <c r="AI20">
        <v>6128</v>
      </c>
      <c r="AJ20">
        <v>555.49330939950005</v>
      </c>
      <c r="AK20">
        <v>3631</v>
      </c>
      <c r="AL20">
        <v>484</v>
      </c>
      <c r="AM20">
        <v>8398</v>
      </c>
      <c r="AN20">
        <v>6541</v>
      </c>
      <c r="AO20">
        <v>2325</v>
      </c>
      <c r="AP20">
        <v>2018</v>
      </c>
      <c r="AQ20">
        <v>2105</v>
      </c>
      <c r="AR20">
        <v>1294</v>
      </c>
      <c r="AS20">
        <v>660</v>
      </c>
      <c r="AT20">
        <v>155</v>
      </c>
      <c r="AV20" t="s">
        <v>8</v>
      </c>
      <c r="AW20">
        <v>195</v>
      </c>
      <c r="AX20">
        <v>97.553846153799995</v>
      </c>
      <c r="AY20">
        <v>213</v>
      </c>
      <c r="AZ20">
        <v>98</v>
      </c>
      <c r="BA20">
        <v>380</v>
      </c>
      <c r="BB20">
        <v>181</v>
      </c>
      <c r="BC20">
        <v>8</v>
      </c>
      <c r="BD20">
        <v>7</v>
      </c>
      <c r="BE20">
        <v>11</v>
      </c>
      <c r="BF20">
        <v>1</v>
      </c>
      <c r="BG20">
        <v>57</v>
      </c>
      <c r="BH20">
        <v>23</v>
      </c>
      <c r="BJ20" t="s">
        <v>561</v>
      </c>
      <c r="BK20" t="s">
        <v>390</v>
      </c>
      <c r="BL20">
        <v>4814</v>
      </c>
      <c r="BM20">
        <v>1107</v>
      </c>
      <c r="BN20">
        <v>92.542376402200006</v>
      </c>
      <c r="BO20">
        <v>11326</v>
      </c>
      <c r="BP20">
        <v>1263</v>
      </c>
      <c r="BQ20">
        <v>125.1619283066</v>
      </c>
      <c r="BR20">
        <v>137.24228028499999</v>
      </c>
      <c r="BS20">
        <v>1055</v>
      </c>
      <c r="BT20">
        <v>322</v>
      </c>
      <c r="BU20">
        <v>108.2625592417</v>
      </c>
      <c r="BV20">
        <v>12360</v>
      </c>
      <c r="BW20">
        <v>1473</v>
      </c>
      <c r="BX20">
        <v>126.7986245955</v>
      </c>
      <c r="BY20">
        <v>127.78343516629999</v>
      </c>
      <c r="CA20" t="s">
        <v>422</v>
      </c>
      <c r="CB20" t="s">
        <v>807</v>
      </c>
      <c r="CC20" t="s">
        <v>1005</v>
      </c>
      <c r="CD20">
        <v>2009</v>
      </c>
      <c r="CE20">
        <v>299</v>
      </c>
      <c r="CF20">
        <v>75.4713787954</v>
      </c>
      <c r="CG20">
        <v>6596</v>
      </c>
      <c r="CH20">
        <v>573</v>
      </c>
      <c r="CI20">
        <v>113.8227713766</v>
      </c>
      <c r="CJ20">
        <v>95.574171029699997</v>
      </c>
      <c r="CL20" t="s">
        <v>422</v>
      </c>
      <c r="CM20" t="s">
        <v>782</v>
      </c>
      <c r="CN20" t="s">
        <v>785</v>
      </c>
      <c r="CO20">
        <v>251</v>
      </c>
      <c r="CP20">
        <v>21</v>
      </c>
      <c r="CQ20">
        <v>64.211155378499996</v>
      </c>
      <c r="CR20">
        <v>974</v>
      </c>
      <c r="CS20">
        <v>106</v>
      </c>
      <c r="CT20">
        <v>67.244353182799998</v>
      </c>
      <c r="CU20">
        <v>70.679245283</v>
      </c>
      <c r="CW20" t="s">
        <v>422</v>
      </c>
      <c r="CX20" t="s">
        <v>795</v>
      </c>
      <c r="CY20" t="s">
        <v>798</v>
      </c>
      <c r="CZ20">
        <v>65</v>
      </c>
      <c r="DA20">
        <v>11</v>
      </c>
      <c r="DB20">
        <v>81.723076923099995</v>
      </c>
      <c r="DC20">
        <v>160</v>
      </c>
      <c r="DD20">
        <v>32</v>
      </c>
      <c r="DE20">
        <v>119.66875</v>
      </c>
      <c r="DF20">
        <v>120.15625</v>
      </c>
      <c r="DH20" t="s">
        <v>422</v>
      </c>
      <c r="DI20" t="s">
        <v>769</v>
      </c>
      <c r="DJ20" t="s">
        <v>772</v>
      </c>
      <c r="DK20">
        <v>84</v>
      </c>
      <c r="DL20">
        <v>11</v>
      </c>
      <c r="DM20">
        <v>78.083333333300004</v>
      </c>
      <c r="DN20">
        <v>282</v>
      </c>
      <c r="DO20">
        <v>30</v>
      </c>
      <c r="DP20">
        <v>119.96099290780001</v>
      </c>
      <c r="DQ20">
        <v>117.7666666667</v>
      </c>
    </row>
    <row r="21" spans="2:121" x14ac:dyDescent="0.2">
      <c r="B21" t="s">
        <v>314</v>
      </c>
      <c r="C21">
        <v>1</v>
      </c>
      <c r="D21">
        <v>1</v>
      </c>
      <c r="F21" t="s">
        <v>8</v>
      </c>
      <c r="G21">
        <v>144</v>
      </c>
      <c r="H21">
        <v>328.94444444440001</v>
      </c>
      <c r="I21">
        <v>352</v>
      </c>
      <c r="J21">
        <v>10</v>
      </c>
      <c r="K21">
        <v>217</v>
      </c>
      <c r="L21">
        <v>132</v>
      </c>
      <c r="M21">
        <v>66</v>
      </c>
      <c r="N21">
        <v>32</v>
      </c>
      <c r="O21">
        <v>66329</v>
      </c>
      <c r="P21">
        <v>36762</v>
      </c>
      <c r="Q21">
        <v>0</v>
      </c>
      <c r="R21">
        <v>1</v>
      </c>
      <c r="AH21" t="s">
        <v>387</v>
      </c>
      <c r="AI21">
        <v>4274</v>
      </c>
      <c r="AJ21">
        <v>446.46911558260001</v>
      </c>
      <c r="AK21">
        <v>5566</v>
      </c>
      <c r="AL21">
        <v>1171</v>
      </c>
      <c r="AM21">
        <v>6468</v>
      </c>
      <c r="AN21">
        <v>4367</v>
      </c>
      <c r="AO21">
        <v>1540</v>
      </c>
      <c r="AP21">
        <v>1089</v>
      </c>
      <c r="AQ21">
        <v>2853</v>
      </c>
      <c r="AR21">
        <v>1845</v>
      </c>
      <c r="AS21">
        <v>310</v>
      </c>
      <c r="AT21">
        <v>267</v>
      </c>
      <c r="AV21" t="s">
        <v>376</v>
      </c>
      <c r="AW21">
        <v>342</v>
      </c>
      <c r="AX21">
        <v>110.9502923977</v>
      </c>
      <c r="AY21">
        <v>626</v>
      </c>
      <c r="AZ21">
        <v>121</v>
      </c>
      <c r="BA21">
        <v>477</v>
      </c>
      <c r="BB21">
        <v>185</v>
      </c>
      <c r="BC21">
        <v>8</v>
      </c>
      <c r="BD21">
        <v>8</v>
      </c>
      <c r="BE21">
        <v>34</v>
      </c>
      <c r="BF21">
        <v>8</v>
      </c>
      <c r="BG21">
        <v>81</v>
      </c>
      <c r="BH21">
        <v>143</v>
      </c>
      <c r="BJ21" t="s">
        <v>578</v>
      </c>
      <c r="BK21" t="s">
        <v>390</v>
      </c>
      <c r="BL21">
        <v>1731</v>
      </c>
      <c r="BM21">
        <v>204</v>
      </c>
      <c r="BN21">
        <v>71.399768919699994</v>
      </c>
      <c r="BO21">
        <v>4887</v>
      </c>
      <c r="BP21">
        <v>967</v>
      </c>
      <c r="BQ21">
        <v>118.9824022918</v>
      </c>
      <c r="BR21">
        <v>104.3588417787</v>
      </c>
      <c r="BS21">
        <v>1057</v>
      </c>
      <c r="BT21">
        <v>131</v>
      </c>
      <c r="BU21">
        <v>78.077578051100005</v>
      </c>
      <c r="BV21">
        <v>12426</v>
      </c>
      <c r="BW21">
        <v>1285</v>
      </c>
      <c r="BX21">
        <v>145.47609850309999</v>
      </c>
      <c r="BY21">
        <v>118.59377431910001</v>
      </c>
      <c r="CA21" t="s">
        <v>395</v>
      </c>
      <c r="CB21" t="s">
        <v>807</v>
      </c>
      <c r="CC21" t="s">
        <v>1006</v>
      </c>
      <c r="CD21">
        <v>7740</v>
      </c>
      <c r="CE21">
        <v>1926</v>
      </c>
      <c r="CF21">
        <v>96.823772609800002</v>
      </c>
      <c r="CG21">
        <v>15466</v>
      </c>
      <c r="CH21">
        <v>1942</v>
      </c>
      <c r="CI21">
        <v>134.70755204970001</v>
      </c>
      <c r="CJ21">
        <v>128.1096807415</v>
      </c>
      <c r="CL21" t="s">
        <v>395</v>
      </c>
      <c r="CM21" t="s">
        <v>782</v>
      </c>
      <c r="CN21" t="s">
        <v>786</v>
      </c>
      <c r="CO21">
        <v>752</v>
      </c>
      <c r="CP21">
        <v>92</v>
      </c>
      <c r="CQ21">
        <v>69.933510638300007</v>
      </c>
      <c r="CR21">
        <v>3432</v>
      </c>
      <c r="CS21">
        <v>403</v>
      </c>
      <c r="CT21">
        <v>71.75</v>
      </c>
      <c r="CU21">
        <v>67.334987593099996</v>
      </c>
      <c r="CW21" t="s">
        <v>395</v>
      </c>
      <c r="CX21" t="s">
        <v>795</v>
      </c>
      <c r="CY21" t="s">
        <v>799</v>
      </c>
      <c r="CZ21">
        <v>113</v>
      </c>
      <c r="DA21">
        <v>26</v>
      </c>
      <c r="DB21">
        <v>89.982300885000001</v>
      </c>
      <c r="DC21">
        <v>290</v>
      </c>
      <c r="DD21">
        <v>51</v>
      </c>
      <c r="DE21">
        <v>145.53103448280001</v>
      </c>
      <c r="DF21">
        <v>141.45098039219999</v>
      </c>
      <c r="DH21" t="s">
        <v>395</v>
      </c>
      <c r="DI21" t="s">
        <v>769</v>
      </c>
      <c r="DJ21" t="s">
        <v>773</v>
      </c>
      <c r="DK21">
        <v>98</v>
      </c>
      <c r="DL21">
        <v>17</v>
      </c>
      <c r="DM21">
        <v>76.683673469400006</v>
      </c>
      <c r="DN21">
        <v>241</v>
      </c>
      <c r="DO21">
        <v>40</v>
      </c>
      <c r="DP21">
        <v>126.6556016598</v>
      </c>
      <c r="DQ21">
        <v>123.65</v>
      </c>
    </row>
    <row r="22" spans="2:121" x14ac:dyDescent="0.2">
      <c r="B22" t="s">
        <v>109</v>
      </c>
      <c r="C22">
        <v>17955</v>
      </c>
      <c r="D22">
        <v>14744</v>
      </c>
      <c r="F22" t="s">
        <v>44</v>
      </c>
      <c r="G22">
        <v>632</v>
      </c>
      <c r="H22">
        <v>293.60759493670002</v>
      </c>
      <c r="I22">
        <v>1676</v>
      </c>
      <c r="J22">
        <v>335</v>
      </c>
      <c r="K22">
        <v>1793</v>
      </c>
      <c r="L22">
        <v>895</v>
      </c>
      <c r="M22">
        <v>460</v>
      </c>
      <c r="N22">
        <v>247</v>
      </c>
      <c r="O22">
        <v>807</v>
      </c>
      <c r="P22">
        <v>665</v>
      </c>
      <c r="Q22">
        <v>0</v>
      </c>
      <c r="R22">
        <v>5</v>
      </c>
      <c r="AH22" t="s">
        <v>416</v>
      </c>
      <c r="AI22">
        <v>1088</v>
      </c>
      <c r="AJ22">
        <v>324.8382352941</v>
      </c>
      <c r="AK22">
        <v>1211</v>
      </c>
      <c r="AL22">
        <v>179</v>
      </c>
      <c r="AM22">
        <v>1763</v>
      </c>
      <c r="AN22">
        <v>948</v>
      </c>
      <c r="AO22">
        <v>977</v>
      </c>
      <c r="AP22">
        <v>754</v>
      </c>
      <c r="AQ22">
        <v>452</v>
      </c>
      <c r="AR22">
        <v>265</v>
      </c>
      <c r="AS22">
        <v>385</v>
      </c>
      <c r="AT22">
        <v>2</v>
      </c>
      <c r="AV22" t="s">
        <v>422</v>
      </c>
      <c r="AW22">
        <v>176</v>
      </c>
      <c r="AX22">
        <v>69.607954545499993</v>
      </c>
      <c r="AY22">
        <v>222</v>
      </c>
      <c r="AZ22">
        <v>6</v>
      </c>
      <c r="BA22">
        <v>234</v>
      </c>
      <c r="BB22">
        <v>21</v>
      </c>
      <c r="BC22">
        <v>0</v>
      </c>
      <c r="BE22">
        <v>10</v>
      </c>
      <c r="BF22">
        <v>2</v>
      </c>
      <c r="BG22">
        <v>172</v>
      </c>
      <c r="BH22">
        <v>32</v>
      </c>
      <c r="BJ22" t="s">
        <v>390</v>
      </c>
      <c r="BK22" t="s">
        <v>390</v>
      </c>
      <c r="BL22">
        <v>51082</v>
      </c>
      <c r="BM22">
        <v>9640</v>
      </c>
      <c r="BN22">
        <v>86.643670960400001</v>
      </c>
      <c r="BO22">
        <v>121428</v>
      </c>
      <c r="BP22">
        <v>13995</v>
      </c>
      <c r="BQ22">
        <v>124.74560233219999</v>
      </c>
      <c r="BR22">
        <v>117.0352983208</v>
      </c>
      <c r="BS22">
        <v>12914</v>
      </c>
      <c r="BT22">
        <v>3423</v>
      </c>
      <c r="BU22">
        <v>98.973284807200002</v>
      </c>
      <c r="BV22">
        <v>135763</v>
      </c>
      <c r="BW22">
        <v>15562</v>
      </c>
      <c r="BX22">
        <v>130.96955724310001</v>
      </c>
      <c r="BY22">
        <v>117.3993060018</v>
      </c>
      <c r="CA22" t="s">
        <v>401</v>
      </c>
      <c r="CB22" t="s">
        <v>807</v>
      </c>
      <c r="CC22" t="s">
        <v>1007</v>
      </c>
      <c r="CD22">
        <v>4617</v>
      </c>
      <c r="CE22">
        <v>633</v>
      </c>
      <c r="CF22">
        <v>75.674247346800001</v>
      </c>
      <c r="CG22">
        <v>13309</v>
      </c>
      <c r="CH22">
        <v>1323</v>
      </c>
      <c r="CI22">
        <v>106.1807799234</v>
      </c>
      <c r="CJ22">
        <v>98.884353741499993</v>
      </c>
      <c r="CL22" t="s">
        <v>401</v>
      </c>
      <c r="CM22" t="s">
        <v>782</v>
      </c>
      <c r="CN22" t="s">
        <v>787</v>
      </c>
      <c r="CO22">
        <v>317</v>
      </c>
      <c r="CP22">
        <v>13</v>
      </c>
      <c r="CQ22">
        <v>54.258675078899998</v>
      </c>
      <c r="CR22">
        <v>1389</v>
      </c>
      <c r="CS22">
        <v>175</v>
      </c>
      <c r="CT22">
        <v>63.112311015099998</v>
      </c>
      <c r="CU22">
        <v>58.468571428600001</v>
      </c>
      <c r="CW22" t="s">
        <v>401</v>
      </c>
      <c r="CX22" t="s">
        <v>795</v>
      </c>
      <c r="CY22" t="s">
        <v>800</v>
      </c>
      <c r="CZ22">
        <v>52</v>
      </c>
      <c r="DA22">
        <v>9</v>
      </c>
      <c r="DB22">
        <v>69.903846153800004</v>
      </c>
      <c r="DC22">
        <v>136</v>
      </c>
      <c r="DD22">
        <v>19</v>
      </c>
      <c r="DE22">
        <v>130.70588235290001</v>
      </c>
      <c r="DF22">
        <v>134.8947368421</v>
      </c>
      <c r="DH22" t="s">
        <v>401</v>
      </c>
      <c r="DI22" t="s">
        <v>769</v>
      </c>
      <c r="DJ22" t="s">
        <v>774</v>
      </c>
      <c r="DK22">
        <v>24</v>
      </c>
      <c r="DL22">
        <v>6</v>
      </c>
      <c r="DM22">
        <v>89.958333333300004</v>
      </c>
      <c r="DN22">
        <v>81</v>
      </c>
      <c r="DO22">
        <v>10</v>
      </c>
      <c r="DP22">
        <v>127.6543209877</v>
      </c>
      <c r="DQ22">
        <v>159.4</v>
      </c>
    </row>
    <row r="23" spans="2:121" x14ac:dyDescent="0.2">
      <c r="B23" t="s">
        <v>110</v>
      </c>
      <c r="C23">
        <v>1189</v>
      </c>
      <c r="D23">
        <v>321</v>
      </c>
      <c r="F23" t="s">
        <v>43</v>
      </c>
      <c r="G23">
        <v>144</v>
      </c>
      <c r="H23">
        <v>104.80555555559999</v>
      </c>
      <c r="I23">
        <v>773</v>
      </c>
      <c r="J23">
        <v>132</v>
      </c>
      <c r="K23">
        <v>287</v>
      </c>
      <c r="L23">
        <v>18</v>
      </c>
      <c r="M23">
        <v>117</v>
      </c>
      <c r="N23">
        <v>40</v>
      </c>
      <c r="O23">
        <v>78</v>
      </c>
      <c r="P23">
        <v>44</v>
      </c>
      <c r="Q23">
        <v>0</v>
      </c>
      <c r="R23">
        <v>0</v>
      </c>
      <c r="AH23" t="s">
        <v>376</v>
      </c>
      <c r="AI23">
        <v>8940</v>
      </c>
      <c r="AJ23">
        <v>663.74686800890004</v>
      </c>
      <c r="AK23">
        <v>5693</v>
      </c>
      <c r="AL23">
        <v>1415</v>
      </c>
      <c r="AM23">
        <v>11482</v>
      </c>
      <c r="AN23">
        <v>8908</v>
      </c>
      <c r="AO23">
        <v>4330</v>
      </c>
      <c r="AP23">
        <v>3690</v>
      </c>
      <c r="AQ23">
        <v>3203</v>
      </c>
      <c r="AR23">
        <v>2232</v>
      </c>
      <c r="AS23">
        <v>497</v>
      </c>
      <c r="AT23">
        <v>6</v>
      </c>
      <c r="AV23" t="s">
        <v>403</v>
      </c>
      <c r="AW23">
        <v>224</v>
      </c>
      <c r="AX23">
        <v>80.901785714300004</v>
      </c>
      <c r="AY23">
        <v>258</v>
      </c>
      <c r="AZ23">
        <v>11</v>
      </c>
      <c r="BA23">
        <v>350</v>
      </c>
      <c r="BB23">
        <v>81</v>
      </c>
      <c r="BC23">
        <v>4</v>
      </c>
      <c r="BD23">
        <v>1</v>
      </c>
      <c r="BE23">
        <v>17</v>
      </c>
      <c r="BF23">
        <v>7</v>
      </c>
      <c r="BG23">
        <v>388</v>
      </c>
      <c r="BH23">
        <v>68</v>
      </c>
      <c r="BJ23" t="s">
        <v>571</v>
      </c>
      <c r="BK23" t="s">
        <v>390</v>
      </c>
      <c r="BL23">
        <v>3907</v>
      </c>
      <c r="BM23">
        <v>475</v>
      </c>
      <c r="BN23">
        <v>72.896339902700007</v>
      </c>
      <c r="BO23">
        <v>10108</v>
      </c>
      <c r="BP23">
        <v>1379</v>
      </c>
      <c r="BQ23">
        <v>115.18737633560001</v>
      </c>
      <c r="BR23">
        <v>95.399564902099996</v>
      </c>
      <c r="BS23">
        <v>714</v>
      </c>
      <c r="BT23">
        <v>139</v>
      </c>
      <c r="BU23">
        <v>85.415966386600005</v>
      </c>
      <c r="BV23">
        <v>11486</v>
      </c>
      <c r="BW23">
        <v>1579</v>
      </c>
      <c r="BX23">
        <v>129.46839630849999</v>
      </c>
      <c r="BY23">
        <v>95.5972134262</v>
      </c>
      <c r="CA23" t="s">
        <v>397</v>
      </c>
      <c r="CB23" t="s">
        <v>807</v>
      </c>
      <c r="CC23" t="s">
        <v>1008</v>
      </c>
      <c r="CD23">
        <v>5622</v>
      </c>
      <c r="CE23">
        <v>1112</v>
      </c>
      <c r="CF23">
        <v>86.9955531839</v>
      </c>
      <c r="CG23">
        <v>14104</v>
      </c>
      <c r="CH23">
        <v>1587</v>
      </c>
      <c r="CI23">
        <v>116.4633437323</v>
      </c>
      <c r="CJ23">
        <v>110.8103339635</v>
      </c>
      <c r="CL23" t="s">
        <v>397</v>
      </c>
      <c r="CM23" t="s">
        <v>782</v>
      </c>
      <c r="CN23" t="s">
        <v>788</v>
      </c>
      <c r="CO23">
        <v>525</v>
      </c>
      <c r="CP23">
        <v>74</v>
      </c>
      <c r="CQ23">
        <v>72.158095238100003</v>
      </c>
      <c r="CR23">
        <v>2368</v>
      </c>
      <c r="CS23">
        <v>265</v>
      </c>
      <c r="CT23">
        <v>70.159206081099995</v>
      </c>
      <c r="CU23">
        <v>68.781132075499997</v>
      </c>
      <c r="CW23" t="s">
        <v>397</v>
      </c>
      <c r="CX23" t="s">
        <v>795</v>
      </c>
      <c r="CY23" t="s">
        <v>801</v>
      </c>
      <c r="CZ23">
        <v>102</v>
      </c>
      <c r="DA23">
        <v>15</v>
      </c>
      <c r="DB23">
        <v>74.509803921599996</v>
      </c>
      <c r="DC23">
        <v>342</v>
      </c>
      <c r="DD23">
        <v>59</v>
      </c>
      <c r="DE23">
        <v>128.09356725149999</v>
      </c>
      <c r="DF23">
        <v>114.9661016949</v>
      </c>
      <c r="DH23" t="s">
        <v>397</v>
      </c>
      <c r="DI23" t="s">
        <v>769</v>
      </c>
      <c r="DJ23" t="s">
        <v>775</v>
      </c>
      <c r="DK23">
        <v>82</v>
      </c>
      <c r="DL23">
        <v>18</v>
      </c>
      <c r="DM23">
        <v>87.512195121999994</v>
      </c>
      <c r="DN23">
        <v>316</v>
      </c>
      <c r="DO23">
        <v>53</v>
      </c>
      <c r="DP23">
        <v>123.7594936709</v>
      </c>
      <c r="DQ23">
        <v>99.528301886799994</v>
      </c>
    </row>
    <row r="24" spans="2:121" x14ac:dyDescent="0.2">
      <c r="B24" t="s">
        <v>1058</v>
      </c>
      <c r="C24">
        <v>1076</v>
      </c>
      <c r="D24">
        <v>560</v>
      </c>
      <c r="F24" t="s">
        <v>79</v>
      </c>
      <c r="G24">
        <v>9673</v>
      </c>
      <c r="H24">
        <v>348.5765532927</v>
      </c>
      <c r="I24">
        <v>16160</v>
      </c>
      <c r="J24">
        <v>2709</v>
      </c>
      <c r="K24">
        <v>11977</v>
      </c>
      <c r="L24">
        <v>6884</v>
      </c>
      <c r="M24">
        <v>3544</v>
      </c>
      <c r="N24">
        <v>2083</v>
      </c>
      <c r="O24">
        <v>6855</v>
      </c>
      <c r="P24">
        <v>2522</v>
      </c>
      <c r="Q24">
        <v>3</v>
      </c>
      <c r="R24">
        <v>205</v>
      </c>
      <c r="T24" t="s">
        <v>647</v>
      </c>
      <c r="U24" t="s">
        <v>306</v>
      </c>
      <c r="V24" t="s">
        <v>133</v>
      </c>
      <c r="W24" t="s">
        <v>214</v>
      </c>
      <c r="X24" t="s">
        <v>215</v>
      </c>
      <c r="Y24" t="s">
        <v>216</v>
      </c>
      <c r="Z24" t="s">
        <v>217</v>
      </c>
      <c r="AA24" t="s">
        <v>218</v>
      </c>
      <c r="AB24" t="s">
        <v>219</v>
      </c>
      <c r="AC24" t="s">
        <v>220</v>
      </c>
      <c r="AD24" t="s">
        <v>221</v>
      </c>
      <c r="AE24" t="s">
        <v>222</v>
      </c>
      <c r="AF24" t="s">
        <v>223</v>
      </c>
      <c r="AH24" t="s">
        <v>371</v>
      </c>
      <c r="AI24">
        <v>3882</v>
      </c>
      <c r="AJ24">
        <v>589.30577022149998</v>
      </c>
      <c r="AK24">
        <v>4320</v>
      </c>
      <c r="AL24">
        <v>945</v>
      </c>
      <c r="AM24">
        <v>5774</v>
      </c>
      <c r="AN24">
        <v>4240</v>
      </c>
      <c r="AO24">
        <v>2780</v>
      </c>
      <c r="AP24">
        <v>2262</v>
      </c>
      <c r="AQ24">
        <v>1386</v>
      </c>
      <c r="AR24">
        <v>1042</v>
      </c>
      <c r="AS24">
        <v>826</v>
      </c>
      <c r="AT24">
        <v>12</v>
      </c>
      <c r="AV24" t="s">
        <v>407</v>
      </c>
      <c r="AW24">
        <v>1427</v>
      </c>
      <c r="AX24">
        <v>88.126138752599999</v>
      </c>
      <c r="AY24">
        <v>1847</v>
      </c>
      <c r="AZ24">
        <v>65</v>
      </c>
      <c r="BA24">
        <v>1996</v>
      </c>
      <c r="BB24">
        <v>285</v>
      </c>
      <c r="BC24">
        <v>14</v>
      </c>
      <c r="BD24">
        <v>12</v>
      </c>
      <c r="BE24">
        <v>96</v>
      </c>
      <c r="BF24">
        <v>34</v>
      </c>
      <c r="BG24">
        <v>1568</v>
      </c>
      <c r="BH24">
        <v>419</v>
      </c>
      <c r="BJ24" t="s">
        <v>635</v>
      </c>
      <c r="BK24" t="s">
        <v>390</v>
      </c>
      <c r="BL24">
        <v>1006</v>
      </c>
      <c r="BM24">
        <v>234</v>
      </c>
      <c r="BN24">
        <v>92.403578528799997</v>
      </c>
      <c r="BO24">
        <v>2019</v>
      </c>
      <c r="BP24">
        <v>259</v>
      </c>
      <c r="BQ24">
        <v>104.69291728579999</v>
      </c>
      <c r="BR24">
        <v>101.01930501930001</v>
      </c>
      <c r="BS24">
        <v>282</v>
      </c>
      <c r="BT24">
        <v>71</v>
      </c>
      <c r="BU24">
        <v>89.549645390099997</v>
      </c>
      <c r="BV24">
        <v>3578</v>
      </c>
      <c r="BW24">
        <v>416</v>
      </c>
      <c r="BX24">
        <v>133.3004471772</v>
      </c>
      <c r="BY24">
        <v>106</v>
      </c>
      <c r="CA24" t="s">
        <v>400</v>
      </c>
      <c r="CB24" t="s">
        <v>807</v>
      </c>
      <c r="CC24" t="s">
        <v>1009</v>
      </c>
      <c r="CD24">
        <v>1729</v>
      </c>
      <c r="CE24">
        <v>197</v>
      </c>
      <c r="CF24">
        <v>70.045691151</v>
      </c>
      <c r="CG24">
        <v>4984</v>
      </c>
      <c r="CH24">
        <v>943</v>
      </c>
      <c r="CI24">
        <v>115.7100722311</v>
      </c>
      <c r="CJ24">
        <v>99.455991516400005</v>
      </c>
      <c r="CL24" t="s">
        <v>400</v>
      </c>
      <c r="CM24" t="s">
        <v>782</v>
      </c>
      <c r="CN24" t="s">
        <v>789</v>
      </c>
      <c r="CO24">
        <v>118</v>
      </c>
      <c r="CP24">
        <v>13</v>
      </c>
      <c r="CQ24">
        <v>71.457627118600001</v>
      </c>
      <c r="CR24">
        <v>421</v>
      </c>
      <c r="CS24">
        <v>46</v>
      </c>
      <c r="CT24">
        <v>72.584323040399994</v>
      </c>
      <c r="CU24">
        <v>87.173913043499994</v>
      </c>
      <c r="CW24" t="s">
        <v>400</v>
      </c>
      <c r="CX24" t="s">
        <v>795</v>
      </c>
      <c r="CY24" t="s">
        <v>802</v>
      </c>
      <c r="CZ24">
        <v>26</v>
      </c>
      <c r="DA24">
        <v>7</v>
      </c>
      <c r="DB24">
        <v>89.423076923099998</v>
      </c>
      <c r="DC24">
        <v>83</v>
      </c>
      <c r="DD24">
        <v>15</v>
      </c>
      <c r="DE24">
        <v>124.4457831325</v>
      </c>
      <c r="DF24">
        <v>121.6</v>
      </c>
      <c r="DH24" t="s">
        <v>400</v>
      </c>
      <c r="DI24" t="s">
        <v>769</v>
      </c>
      <c r="DJ24" t="s">
        <v>776</v>
      </c>
      <c r="DK24">
        <v>41</v>
      </c>
      <c r="DL24">
        <v>9</v>
      </c>
      <c r="DM24">
        <v>78.3414634146</v>
      </c>
      <c r="DN24">
        <v>163</v>
      </c>
      <c r="DO24">
        <v>30</v>
      </c>
      <c r="DP24">
        <v>116.4601226994</v>
      </c>
      <c r="DQ24">
        <v>103.4333333333</v>
      </c>
    </row>
    <row r="25" spans="2:121" x14ac:dyDescent="0.2">
      <c r="B25" t="s">
        <v>104</v>
      </c>
      <c r="C25">
        <v>35591</v>
      </c>
      <c r="D25">
        <v>24413</v>
      </c>
      <c r="F25" t="s">
        <v>39</v>
      </c>
      <c r="G25">
        <v>8588</v>
      </c>
      <c r="H25">
        <v>294.39066138800001</v>
      </c>
      <c r="I25">
        <v>9028</v>
      </c>
      <c r="J25">
        <v>2418</v>
      </c>
      <c r="K25">
        <v>12474</v>
      </c>
      <c r="L25">
        <v>8181</v>
      </c>
      <c r="M25">
        <v>2744</v>
      </c>
      <c r="N25">
        <v>2158</v>
      </c>
      <c r="O25">
        <v>1513</v>
      </c>
      <c r="P25">
        <v>964</v>
      </c>
      <c r="Q25">
        <v>0</v>
      </c>
      <c r="R25">
        <v>55</v>
      </c>
      <c r="T25" t="s">
        <v>385</v>
      </c>
      <c r="U25">
        <v>45582</v>
      </c>
      <c r="V25">
        <v>371.14913781759998</v>
      </c>
      <c r="W25">
        <v>64512</v>
      </c>
      <c r="X25">
        <v>13133</v>
      </c>
      <c r="Y25">
        <v>66651</v>
      </c>
      <c r="Z25">
        <v>42095</v>
      </c>
      <c r="AA25">
        <v>19918</v>
      </c>
      <c r="AB25">
        <v>14232</v>
      </c>
      <c r="AC25">
        <v>30973</v>
      </c>
      <c r="AD25">
        <v>17592</v>
      </c>
      <c r="AE25">
        <v>1301</v>
      </c>
      <c r="AF25">
        <v>1109</v>
      </c>
      <c r="AH25" t="s">
        <v>395</v>
      </c>
      <c r="AI25">
        <v>3555</v>
      </c>
      <c r="AJ25">
        <v>342.88579465539999</v>
      </c>
      <c r="AK25">
        <v>7856</v>
      </c>
      <c r="AL25">
        <v>1998</v>
      </c>
      <c r="AM25">
        <v>6694</v>
      </c>
      <c r="AN25">
        <v>4126</v>
      </c>
      <c r="AO25">
        <v>1676</v>
      </c>
      <c r="AP25">
        <v>1333</v>
      </c>
      <c r="AQ25">
        <v>3413</v>
      </c>
      <c r="AR25">
        <v>1410</v>
      </c>
      <c r="AS25">
        <v>1014</v>
      </c>
      <c r="AT25">
        <v>218</v>
      </c>
      <c r="AV25" t="s">
        <v>80</v>
      </c>
      <c r="AW25">
        <v>267</v>
      </c>
      <c r="AX25">
        <v>70.153558052400001</v>
      </c>
      <c r="AY25">
        <v>374</v>
      </c>
      <c r="AZ25">
        <v>14</v>
      </c>
      <c r="BA25">
        <v>413</v>
      </c>
      <c r="BB25">
        <v>62</v>
      </c>
      <c r="BC25">
        <v>1</v>
      </c>
      <c r="BD25">
        <v>1</v>
      </c>
      <c r="BE25">
        <v>17</v>
      </c>
      <c r="BF25">
        <v>8</v>
      </c>
      <c r="BG25">
        <v>553</v>
      </c>
      <c r="BH25">
        <v>100</v>
      </c>
      <c r="BJ25" t="s">
        <v>574</v>
      </c>
      <c r="BK25" t="s">
        <v>390</v>
      </c>
      <c r="BL25">
        <v>5646</v>
      </c>
      <c r="BM25">
        <v>1118</v>
      </c>
      <c r="BN25">
        <v>87.094580233800002</v>
      </c>
      <c r="BO25">
        <v>13242</v>
      </c>
      <c r="BP25">
        <v>1483</v>
      </c>
      <c r="BQ25">
        <v>118.8760006041</v>
      </c>
      <c r="BR25">
        <v>114.4976399191</v>
      </c>
      <c r="BS25">
        <v>2130</v>
      </c>
      <c r="BT25">
        <v>469</v>
      </c>
      <c r="BU25">
        <v>90.442723004699999</v>
      </c>
      <c r="BV25">
        <v>14677</v>
      </c>
      <c r="BW25">
        <v>1627</v>
      </c>
      <c r="BX25">
        <v>123.61286366420001</v>
      </c>
      <c r="BY25">
        <v>117.3601720959</v>
      </c>
      <c r="CA25" t="s">
        <v>419</v>
      </c>
      <c r="CB25" t="s">
        <v>807</v>
      </c>
      <c r="CC25" t="s">
        <v>1010</v>
      </c>
      <c r="CD25">
        <v>582</v>
      </c>
      <c r="CE25">
        <v>92</v>
      </c>
      <c r="CF25">
        <v>73.929553264600003</v>
      </c>
      <c r="CG25">
        <v>1747</v>
      </c>
      <c r="CH25">
        <v>183</v>
      </c>
      <c r="CI25">
        <v>97.737836290800004</v>
      </c>
      <c r="CJ25">
        <v>86.650273224000003</v>
      </c>
      <c r="CL25" t="s">
        <v>419</v>
      </c>
      <c r="CM25" t="s">
        <v>782</v>
      </c>
      <c r="CN25" t="s">
        <v>790</v>
      </c>
      <c r="CO25">
        <v>36</v>
      </c>
      <c r="CP25">
        <v>5</v>
      </c>
      <c r="CQ25">
        <v>61.361111111100001</v>
      </c>
      <c r="CR25">
        <v>168</v>
      </c>
      <c r="CS25">
        <v>23</v>
      </c>
      <c r="CT25">
        <v>62.178571428600002</v>
      </c>
      <c r="CU25">
        <v>67.130434782600005</v>
      </c>
      <c r="CW25" t="s">
        <v>419</v>
      </c>
      <c r="CX25" t="s">
        <v>795</v>
      </c>
      <c r="CY25" t="s">
        <v>803</v>
      </c>
      <c r="CZ25">
        <v>8</v>
      </c>
      <c r="DA25">
        <v>3</v>
      </c>
      <c r="DB25">
        <v>117.5</v>
      </c>
      <c r="DC25">
        <v>30</v>
      </c>
      <c r="DD25">
        <v>4</v>
      </c>
      <c r="DE25">
        <v>109.8666666667</v>
      </c>
      <c r="DF25">
        <v>92</v>
      </c>
      <c r="DH25" t="s">
        <v>419</v>
      </c>
      <c r="DI25" t="s">
        <v>769</v>
      </c>
      <c r="DJ25" t="s">
        <v>777</v>
      </c>
      <c r="DK25">
        <v>6</v>
      </c>
      <c r="DL25">
        <v>0</v>
      </c>
      <c r="DM25">
        <v>52.333333333299997</v>
      </c>
      <c r="DN25">
        <v>9</v>
      </c>
      <c r="DO25">
        <v>1</v>
      </c>
      <c r="DP25">
        <v>115.55555555559999</v>
      </c>
      <c r="DQ25">
        <v>122</v>
      </c>
    </row>
    <row r="26" spans="2:121" x14ac:dyDescent="0.2">
      <c r="B26" t="s">
        <v>103</v>
      </c>
      <c r="C26">
        <v>35</v>
      </c>
      <c r="D26">
        <v>34</v>
      </c>
      <c r="F26" t="s">
        <v>35</v>
      </c>
      <c r="G26">
        <v>3838</v>
      </c>
      <c r="H26">
        <v>636.20635747790004</v>
      </c>
      <c r="I26">
        <v>3275</v>
      </c>
      <c r="J26">
        <v>726</v>
      </c>
      <c r="K26">
        <v>5343</v>
      </c>
      <c r="L26">
        <v>4113</v>
      </c>
      <c r="M26">
        <v>2691</v>
      </c>
      <c r="N26">
        <v>2199</v>
      </c>
      <c r="O26">
        <v>644</v>
      </c>
      <c r="P26">
        <v>573</v>
      </c>
      <c r="Q26">
        <v>0</v>
      </c>
      <c r="R26">
        <v>2</v>
      </c>
      <c r="T26" t="s">
        <v>390</v>
      </c>
      <c r="U26">
        <v>31798</v>
      </c>
      <c r="V26">
        <v>383.19023209009998</v>
      </c>
      <c r="W26">
        <v>49929</v>
      </c>
      <c r="X26">
        <v>9451</v>
      </c>
      <c r="Y26">
        <v>50996</v>
      </c>
      <c r="Z26">
        <v>30814</v>
      </c>
      <c r="AA26">
        <v>15772</v>
      </c>
      <c r="AB26">
        <v>12386</v>
      </c>
      <c r="AC26">
        <v>24245</v>
      </c>
      <c r="AD26">
        <v>15029</v>
      </c>
      <c r="AE26">
        <v>5396</v>
      </c>
      <c r="AF26">
        <v>1096</v>
      </c>
      <c r="AH26" t="s">
        <v>401</v>
      </c>
      <c r="AI26">
        <v>1581</v>
      </c>
      <c r="AJ26">
        <v>191.8728652751</v>
      </c>
      <c r="AK26">
        <v>4653</v>
      </c>
      <c r="AL26">
        <v>659</v>
      </c>
      <c r="AM26">
        <v>2552</v>
      </c>
      <c r="AN26">
        <v>1069</v>
      </c>
      <c r="AO26">
        <v>840</v>
      </c>
      <c r="AP26">
        <v>424</v>
      </c>
      <c r="AQ26">
        <v>1247</v>
      </c>
      <c r="AR26">
        <v>760</v>
      </c>
      <c r="AS26">
        <v>7</v>
      </c>
      <c r="AT26">
        <v>4</v>
      </c>
      <c r="AV26" t="s">
        <v>397</v>
      </c>
      <c r="AW26">
        <v>584</v>
      </c>
      <c r="AX26">
        <v>71.395547945199993</v>
      </c>
      <c r="AY26">
        <v>637</v>
      </c>
      <c r="AZ26">
        <v>74</v>
      </c>
      <c r="BA26">
        <v>754</v>
      </c>
      <c r="BB26">
        <v>68</v>
      </c>
      <c r="BC26">
        <v>3</v>
      </c>
      <c r="BD26">
        <v>2</v>
      </c>
      <c r="BE26">
        <v>47</v>
      </c>
      <c r="BF26">
        <v>13</v>
      </c>
      <c r="BG26">
        <v>107</v>
      </c>
      <c r="BH26">
        <v>61</v>
      </c>
      <c r="BJ26" t="s">
        <v>580</v>
      </c>
      <c r="BK26" t="s">
        <v>390</v>
      </c>
      <c r="BL26">
        <v>7032</v>
      </c>
      <c r="BM26">
        <v>1091</v>
      </c>
      <c r="BN26">
        <v>81.5580204778</v>
      </c>
      <c r="BO26">
        <v>17051</v>
      </c>
      <c r="BP26">
        <v>1837</v>
      </c>
      <c r="BQ26">
        <v>113.941117823</v>
      </c>
      <c r="BR26">
        <v>107.76592270010001</v>
      </c>
      <c r="BS26">
        <v>1535</v>
      </c>
      <c r="BT26">
        <v>491</v>
      </c>
      <c r="BU26">
        <v>113.38957654719999</v>
      </c>
      <c r="BV26">
        <v>20242</v>
      </c>
      <c r="BW26">
        <v>2085</v>
      </c>
      <c r="BX26">
        <v>125.3766920265</v>
      </c>
      <c r="BY26">
        <v>114.44364508389999</v>
      </c>
      <c r="CA26" t="s">
        <v>391</v>
      </c>
      <c r="CB26" t="s">
        <v>807</v>
      </c>
      <c r="CC26" t="s">
        <v>1011</v>
      </c>
      <c r="CD26">
        <v>7854</v>
      </c>
      <c r="CE26">
        <v>1390</v>
      </c>
      <c r="CF26">
        <v>86.351031321600004</v>
      </c>
      <c r="CG26">
        <v>20568</v>
      </c>
      <c r="CH26">
        <v>2267</v>
      </c>
      <c r="CI26">
        <v>127.8152469856</v>
      </c>
      <c r="CJ26">
        <v>118.3511248346</v>
      </c>
      <c r="CL26" t="s">
        <v>391</v>
      </c>
      <c r="CM26" t="s">
        <v>782</v>
      </c>
      <c r="CN26" t="s">
        <v>791</v>
      </c>
      <c r="CO26">
        <v>768</v>
      </c>
      <c r="CP26">
        <v>95</v>
      </c>
      <c r="CQ26">
        <v>70.317708333300004</v>
      </c>
      <c r="CR26">
        <v>3868</v>
      </c>
      <c r="CS26">
        <v>425</v>
      </c>
      <c r="CT26">
        <v>71.734746639099995</v>
      </c>
      <c r="CU26">
        <v>72.616470588200002</v>
      </c>
      <c r="CW26" t="s">
        <v>391</v>
      </c>
      <c r="CX26" t="s">
        <v>795</v>
      </c>
      <c r="CY26" t="s">
        <v>804</v>
      </c>
      <c r="CZ26">
        <v>140</v>
      </c>
      <c r="DA26">
        <v>35</v>
      </c>
      <c r="DB26">
        <v>83.285714285699996</v>
      </c>
      <c r="DC26">
        <v>441</v>
      </c>
      <c r="DD26">
        <v>82</v>
      </c>
      <c r="DE26">
        <v>140.76870748299999</v>
      </c>
      <c r="DF26">
        <v>128.3780487805</v>
      </c>
      <c r="DH26" t="s">
        <v>391</v>
      </c>
      <c r="DI26" t="s">
        <v>769</v>
      </c>
      <c r="DJ26" t="s">
        <v>778</v>
      </c>
      <c r="DK26">
        <v>116</v>
      </c>
      <c r="DL26">
        <v>45</v>
      </c>
      <c r="DM26">
        <v>113.6120689655</v>
      </c>
      <c r="DN26">
        <v>295</v>
      </c>
      <c r="DO26">
        <v>63</v>
      </c>
      <c r="DP26">
        <v>130.83728813560001</v>
      </c>
      <c r="DQ26">
        <v>103.873015873</v>
      </c>
    </row>
    <row r="27" spans="2:121" x14ac:dyDescent="0.2">
      <c r="B27" t="s">
        <v>96</v>
      </c>
      <c r="C27">
        <v>107982</v>
      </c>
      <c r="D27">
        <v>66661</v>
      </c>
      <c r="F27" t="s">
        <v>55</v>
      </c>
      <c r="G27">
        <v>625</v>
      </c>
      <c r="H27">
        <v>196.32480000000001</v>
      </c>
      <c r="I27">
        <v>820</v>
      </c>
      <c r="J27">
        <v>220</v>
      </c>
      <c r="K27">
        <v>742</v>
      </c>
      <c r="L27">
        <v>378</v>
      </c>
      <c r="M27">
        <v>267</v>
      </c>
      <c r="N27">
        <v>231</v>
      </c>
      <c r="O27">
        <v>262</v>
      </c>
      <c r="P27">
        <v>184</v>
      </c>
      <c r="Q27">
        <v>458</v>
      </c>
      <c r="R27">
        <v>167</v>
      </c>
      <c r="T27" t="s">
        <v>369</v>
      </c>
      <c r="U27">
        <v>64040</v>
      </c>
      <c r="V27">
        <v>418.26948782009998</v>
      </c>
      <c r="W27">
        <v>72218</v>
      </c>
      <c r="X27">
        <v>16645</v>
      </c>
      <c r="Y27">
        <v>91209</v>
      </c>
      <c r="Z27">
        <v>61196</v>
      </c>
      <c r="AA27">
        <v>35926</v>
      </c>
      <c r="AB27">
        <v>28969</v>
      </c>
      <c r="AC27">
        <v>39800</v>
      </c>
      <c r="AD27">
        <v>27035</v>
      </c>
      <c r="AE27">
        <v>9720</v>
      </c>
      <c r="AF27">
        <v>144</v>
      </c>
      <c r="AH27" t="s">
        <v>389</v>
      </c>
      <c r="AI27">
        <v>3876</v>
      </c>
      <c r="AJ27">
        <v>417.10655314759998</v>
      </c>
      <c r="AK27">
        <v>4692</v>
      </c>
      <c r="AL27">
        <v>1412</v>
      </c>
      <c r="AM27">
        <v>6168</v>
      </c>
      <c r="AN27">
        <v>4729</v>
      </c>
      <c r="AO27">
        <v>1746</v>
      </c>
      <c r="AP27">
        <v>1296</v>
      </c>
      <c r="AQ27">
        <v>1723</v>
      </c>
      <c r="AR27">
        <v>1129</v>
      </c>
      <c r="AS27">
        <v>511</v>
      </c>
      <c r="AT27">
        <v>215</v>
      </c>
      <c r="AV27" t="s">
        <v>374</v>
      </c>
      <c r="AW27">
        <v>474</v>
      </c>
      <c r="AX27">
        <v>101.3734177215</v>
      </c>
      <c r="AY27">
        <v>779</v>
      </c>
      <c r="AZ27">
        <v>148</v>
      </c>
      <c r="BA27">
        <v>631</v>
      </c>
      <c r="BB27">
        <v>185</v>
      </c>
      <c r="BC27">
        <v>1</v>
      </c>
      <c r="BD27">
        <v>1</v>
      </c>
      <c r="BE27">
        <v>42</v>
      </c>
      <c r="BF27">
        <v>11</v>
      </c>
      <c r="BG27">
        <v>77</v>
      </c>
      <c r="BH27">
        <v>164</v>
      </c>
      <c r="BJ27" t="s">
        <v>639</v>
      </c>
      <c r="BK27" t="s">
        <v>390</v>
      </c>
      <c r="BL27">
        <v>2008</v>
      </c>
      <c r="BM27">
        <v>313</v>
      </c>
      <c r="BN27">
        <v>76.427290836699996</v>
      </c>
      <c r="BO27">
        <v>6141</v>
      </c>
      <c r="BP27">
        <v>473</v>
      </c>
      <c r="BQ27">
        <v>123.1095912718</v>
      </c>
      <c r="BR27">
        <v>112.8245243129</v>
      </c>
      <c r="BS27">
        <v>367</v>
      </c>
      <c r="BT27">
        <v>93</v>
      </c>
      <c r="BU27">
        <v>93.098092643100003</v>
      </c>
      <c r="BV27">
        <v>4852</v>
      </c>
      <c r="BW27">
        <v>489</v>
      </c>
      <c r="BX27">
        <v>124.4387881286</v>
      </c>
      <c r="BY27">
        <v>116.5869120654</v>
      </c>
      <c r="CA27" t="s">
        <v>420</v>
      </c>
      <c r="CB27" t="s">
        <v>807</v>
      </c>
      <c r="CC27" t="s">
        <v>1012</v>
      </c>
      <c r="CD27">
        <v>1012</v>
      </c>
      <c r="CE27">
        <v>226</v>
      </c>
      <c r="CF27">
        <v>88.590909090899999</v>
      </c>
      <c r="CG27">
        <v>2156</v>
      </c>
      <c r="CH27">
        <v>260</v>
      </c>
      <c r="CI27">
        <v>105.9039888683</v>
      </c>
      <c r="CJ27">
        <v>100.93461538459999</v>
      </c>
      <c r="CL27" t="s">
        <v>420</v>
      </c>
      <c r="CM27" t="s">
        <v>782</v>
      </c>
      <c r="CN27" t="s">
        <v>792</v>
      </c>
      <c r="CO27">
        <v>76</v>
      </c>
      <c r="CP27">
        <v>2</v>
      </c>
      <c r="CQ27">
        <v>47.697368421100002</v>
      </c>
      <c r="CR27">
        <v>292</v>
      </c>
      <c r="CS27">
        <v>35</v>
      </c>
      <c r="CT27">
        <v>60.808219178100003</v>
      </c>
      <c r="CU27">
        <v>46.371428571400003</v>
      </c>
      <c r="CW27" t="s">
        <v>420</v>
      </c>
      <c r="CX27" t="s">
        <v>795</v>
      </c>
      <c r="CY27" t="s">
        <v>805</v>
      </c>
      <c r="CZ27">
        <v>5</v>
      </c>
      <c r="DA27">
        <v>2</v>
      </c>
      <c r="DB27">
        <v>60.6</v>
      </c>
      <c r="DC27">
        <v>27</v>
      </c>
      <c r="DD27">
        <v>2</v>
      </c>
      <c r="DE27">
        <v>142.7777777778</v>
      </c>
      <c r="DF27">
        <v>100.5</v>
      </c>
      <c r="DH27" t="s">
        <v>420</v>
      </c>
      <c r="DI27" t="s">
        <v>769</v>
      </c>
      <c r="DJ27" t="s">
        <v>779</v>
      </c>
      <c r="DK27">
        <v>8</v>
      </c>
      <c r="DL27">
        <v>2</v>
      </c>
      <c r="DM27">
        <v>81.125</v>
      </c>
      <c r="DN27">
        <v>21</v>
      </c>
      <c r="DO27">
        <v>2</v>
      </c>
      <c r="DP27">
        <v>152</v>
      </c>
      <c r="DQ27">
        <v>144</v>
      </c>
    </row>
    <row r="28" spans="2:121" x14ac:dyDescent="0.2">
      <c r="B28" t="s">
        <v>106</v>
      </c>
      <c r="C28">
        <v>79144</v>
      </c>
      <c r="D28">
        <v>43033</v>
      </c>
      <c r="F28" t="s">
        <v>69</v>
      </c>
      <c r="G28">
        <v>17024</v>
      </c>
      <c r="H28">
        <v>394.41647086469999</v>
      </c>
      <c r="I28">
        <v>10897</v>
      </c>
      <c r="J28">
        <v>2207</v>
      </c>
      <c r="K28">
        <v>20520</v>
      </c>
      <c r="L28">
        <v>13448</v>
      </c>
      <c r="M28">
        <v>8580</v>
      </c>
      <c r="N28">
        <v>7517</v>
      </c>
      <c r="O28">
        <v>4510</v>
      </c>
      <c r="P28">
        <v>3929</v>
      </c>
      <c r="Q28">
        <v>5</v>
      </c>
      <c r="R28">
        <v>9</v>
      </c>
      <c r="T28" t="s">
        <v>8</v>
      </c>
      <c r="U28">
        <v>3387</v>
      </c>
      <c r="V28">
        <v>355.35045763210002</v>
      </c>
      <c r="W28">
        <v>4515</v>
      </c>
      <c r="X28">
        <v>1906</v>
      </c>
      <c r="Y28">
        <v>4686</v>
      </c>
      <c r="Z28">
        <v>3123</v>
      </c>
      <c r="AA28">
        <v>1405</v>
      </c>
      <c r="AB28">
        <v>960</v>
      </c>
      <c r="AC28">
        <v>1228</v>
      </c>
      <c r="AD28">
        <v>823</v>
      </c>
      <c r="AE28">
        <v>489</v>
      </c>
      <c r="AF28">
        <v>159</v>
      </c>
      <c r="AH28" t="s">
        <v>397</v>
      </c>
      <c r="AI28">
        <v>3806</v>
      </c>
      <c r="AJ28">
        <v>247.23594324749999</v>
      </c>
      <c r="AK28">
        <v>5757</v>
      </c>
      <c r="AL28">
        <v>1110</v>
      </c>
      <c r="AM28">
        <v>6017</v>
      </c>
      <c r="AN28">
        <v>3209</v>
      </c>
      <c r="AO28">
        <v>2331</v>
      </c>
      <c r="AP28">
        <v>1927</v>
      </c>
      <c r="AQ28">
        <v>5511</v>
      </c>
      <c r="AR28">
        <v>3774</v>
      </c>
      <c r="AS28">
        <v>957</v>
      </c>
      <c r="AT28">
        <v>52</v>
      </c>
      <c r="AV28" t="s">
        <v>381</v>
      </c>
      <c r="AW28">
        <v>1348</v>
      </c>
      <c r="AX28">
        <v>107.13724035609999</v>
      </c>
      <c r="AY28">
        <v>1767</v>
      </c>
      <c r="AZ28">
        <v>343</v>
      </c>
      <c r="BA28">
        <v>1725</v>
      </c>
      <c r="BB28">
        <v>577</v>
      </c>
      <c r="BC28">
        <v>5</v>
      </c>
      <c r="BD28">
        <v>3</v>
      </c>
      <c r="BE28">
        <v>117</v>
      </c>
      <c r="BF28">
        <v>22</v>
      </c>
      <c r="BG28">
        <v>224</v>
      </c>
      <c r="BH28">
        <v>433</v>
      </c>
      <c r="BJ28" t="s">
        <v>533</v>
      </c>
      <c r="BK28" t="s">
        <v>369</v>
      </c>
      <c r="BL28">
        <v>4746</v>
      </c>
      <c r="BM28">
        <v>1187</v>
      </c>
      <c r="BN28">
        <v>102.5172777075</v>
      </c>
      <c r="BO28">
        <v>9922</v>
      </c>
      <c r="BP28">
        <v>1077</v>
      </c>
      <c r="BQ28">
        <v>142.9156420077</v>
      </c>
      <c r="BR28">
        <v>136.5357474466</v>
      </c>
      <c r="BS28">
        <v>777</v>
      </c>
      <c r="BT28">
        <v>360</v>
      </c>
      <c r="BU28">
        <v>133.9356499356</v>
      </c>
      <c r="BV28">
        <v>5592</v>
      </c>
      <c r="BW28">
        <v>391</v>
      </c>
      <c r="BX28">
        <v>139.29291845489999</v>
      </c>
      <c r="BY28">
        <v>187.1969309463</v>
      </c>
      <c r="CA28" t="s">
        <v>396</v>
      </c>
      <c r="CB28" t="s">
        <v>807</v>
      </c>
      <c r="CC28" t="s">
        <v>1013</v>
      </c>
      <c r="CD28">
        <v>3505</v>
      </c>
      <c r="CE28">
        <v>448</v>
      </c>
      <c r="CF28">
        <v>73.898430813100006</v>
      </c>
      <c r="CG28">
        <v>9542</v>
      </c>
      <c r="CH28">
        <v>1242</v>
      </c>
      <c r="CI28">
        <v>113.5694822888</v>
      </c>
      <c r="CJ28">
        <v>97.331723027400002</v>
      </c>
      <c r="CL28" t="s">
        <v>396</v>
      </c>
      <c r="CM28" t="s">
        <v>782</v>
      </c>
      <c r="CN28" t="s">
        <v>793</v>
      </c>
      <c r="CO28">
        <v>280</v>
      </c>
      <c r="CP28">
        <v>23</v>
      </c>
      <c r="CQ28">
        <v>61.932142857099997</v>
      </c>
      <c r="CR28">
        <v>1472</v>
      </c>
      <c r="CS28">
        <v>167</v>
      </c>
      <c r="CT28">
        <v>59.744565217400002</v>
      </c>
      <c r="CU28">
        <v>59.491017964100003</v>
      </c>
      <c r="CW28" t="s">
        <v>396</v>
      </c>
      <c r="CX28" t="s">
        <v>795</v>
      </c>
      <c r="CY28" t="s">
        <v>806</v>
      </c>
      <c r="CZ28">
        <v>56</v>
      </c>
      <c r="DA28">
        <v>8</v>
      </c>
      <c r="DB28">
        <v>69.017857142899999</v>
      </c>
      <c r="DC28">
        <v>179</v>
      </c>
      <c r="DD28">
        <v>32</v>
      </c>
      <c r="DE28">
        <v>131.94413407819999</v>
      </c>
      <c r="DF28">
        <v>114.0625</v>
      </c>
      <c r="DH28" t="s">
        <v>396</v>
      </c>
      <c r="DI28" t="s">
        <v>769</v>
      </c>
      <c r="DJ28" t="s">
        <v>780</v>
      </c>
      <c r="DK28">
        <v>42</v>
      </c>
      <c r="DL28">
        <v>16</v>
      </c>
      <c r="DM28">
        <v>106.04761904759999</v>
      </c>
      <c r="DN28">
        <v>109</v>
      </c>
      <c r="DO28">
        <v>17</v>
      </c>
      <c r="DP28">
        <v>121.4862385321</v>
      </c>
      <c r="DQ28">
        <v>98.764705882399994</v>
      </c>
    </row>
    <row r="29" spans="2:121" x14ac:dyDescent="0.2">
      <c r="B29" t="s">
        <v>88</v>
      </c>
      <c r="C29">
        <v>78733</v>
      </c>
      <c r="D29">
        <v>18348</v>
      </c>
      <c r="F29" t="s">
        <v>41</v>
      </c>
      <c r="G29">
        <v>671</v>
      </c>
      <c r="H29">
        <v>120.3323397914</v>
      </c>
      <c r="I29">
        <v>2254</v>
      </c>
      <c r="J29">
        <v>341</v>
      </c>
      <c r="K29">
        <v>972</v>
      </c>
      <c r="L29">
        <v>267</v>
      </c>
      <c r="M29">
        <v>154</v>
      </c>
      <c r="N29">
        <v>81</v>
      </c>
      <c r="O29">
        <v>178</v>
      </c>
      <c r="P29">
        <v>108</v>
      </c>
      <c r="Q29">
        <v>0</v>
      </c>
      <c r="R29">
        <v>8</v>
      </c>
      <c r="T29" t="s">
        <v>404</v>
      </c>
      <c r="U29">
        <v>49727</v>
      </c>
      <c r="V29">
        <v>407.86888410720002</v>
      </c>
      <c r="W29">
        <v>59825</v>
      </c>
      <c r="X29">
        <v>11330</v>
      </c>
      <c r="Y29">
        <v>73734</v>
      </c>
      <c r="Z29">
        <v>51549</v>
      </c>
      <c r="AA29">
        <v>23275</v>
      </c>
      <c r="AB29">
        <v>18114</v>
      </c>
      <c r="AC29">
        <v>32441</v>
      </c>
      <c r="AD29">
        <v>21914</v>
      </c>
      <c r="AE29">
        <v>98</v>
      </c>
      <c r="AF29">
        <v>625</v>
      </c>
      <c r="AH29" t="s">
        <v>418</v>
      </c>
      <c r="AI29">
        <v>435</v>
      </c>
      <c r="AJ29">
        <v>307.92873563220002</v>
      </c>
      <c r="AK29">
        <v>679</v>
      </c>
      <c r="AL29">
        <v>47</v>
      </c>
      <c r="AM29">
        <v>719</v>
      </c>
      <c r="AN29">
        <v>329</v>
      </c>
      <c r="AO29">
        <v>385</v>
      </c>
      <c r="AP29">
        <v>241</v>
      </c>
      <c r="AQ29">
        <v>423</v>
      </c>
      <c r="AR29">
        <v>232</v>
      </c>
      <c r="AS29">
        <v>0</v>
      </c>
      <c r="AT29">
        <v>5</v>
      </c>
      <c r="AV29" t="s">
        <v>418</v>
      </c>
      <c r="AW29">
        <v>73</v>
      </c>
      <c r="AX29">
        <v>96.191780821899997</v>
      </c>
      <c r="AY29">
        <v>79</v>
      </c>
      <c r="AZ29">
        <v>4</v>
      </c>
      <c r="BA29">
        <v>97</v>
      </c>
      <c r="BB29">
        <v>9</v>
      </c>
      <c r="BC29">
        <v>0</v>
      </c>
      <c r="BE29">
        <v>2</v>
      </c>
      <c r="BF29">
        <v>1</v>
      </c>
      <c r="BG29">
        <v>129</v>
      </c>
      <c r="BH29">
        <v>16</v>
      </c>
      <c r="BJ29" t="s">
        <v>512</v>
      </c>
      <c r="BK29" t="s">
        <v>369</v>
      </c>
      <c r="BL29">
        <v>3415</v>
      </c>
      <c r="BM29">
        <v>719</v>
      </c>
      <c r="BN29">
        <v>89.351683748200003</v>
      </c>
      <c r="BO29">
        <v>7515</v>
      </c>
      <c r="BP29">
        <v>912</v>
      </c>
      <c r="BQ29">
        <v>131.88356620089999</v>
      </c>
      <c r="BR29">
        <v>124.2072368421</v>
      </c>
      <c r="BS29">
        <v>852</v>
      </c>
      <c r="BT29">
        <v>260</v>
      </c>
      <c r="BU29">
        <v>111.93779342720001</v>
      </c>
      <c r="BV29">
        <v>6305</v>
      </c>
      <c r="BW29">
        <v>567</v>
      </c>
      <c r="BX29">
        <v>130.49246629660001</v>
      </c>
      <c r="BY29">
        <v>146.23985890649999</v>
      </c>
      <c r="CA29" t="s">
        <v>390</v>
      </c>
      <c r="CB29" t="s">
        <v>807</v>
      </c>
      <c r="CD29">
        <v>48767</v>
      </c>
      <c r="CE29">
        <v>9204</v>
      </c>
      <c r="CF29">
        <v>86.1461028975</v>
      </c>
      <c r="CG29">
        <v>121107</v>
      </c>
      <c r="CH29">
        <v>13964</v>
      </c>
      <c r="CI29">
        <v>122.00497081090001</v>
      </c>
      <c r="CJ29">
        <v>113.9760097393</v>
      </c>
      <c r="CL29" t="s">
        <v>390</v>
      </c>
      <c r="CM29" t="s">
        <v>782</v>
      </c>
      <c r="CO29">
        <v>4413</v>
      </c>
      <c r="CP29">
        <v>468</v>
      </c>
      <c r="CQ29">
        <v>66.755268524800002</v>
      </c>
      <c r="CR29">
        <v>20373</v>
      </c>
      <c r="CS29">
        <v>2286</v>
      </c>
      <c r="CT29">
        <v>69.612477298399995</v>
      </c>
      <c r="CU29">
        <v>69.235783027099998</v>
      </c>
      <c r="CW29" t="s">
        <v>390</v>
      </c>
      <c r="CX29" t="s">
        <v>795</v>
      </c>
      <c r="CZ29">
        <v>863</v>
      </c>
      <c r="DA29">
        <v>188</v>
      </c>
      <c r="DB29">
        <v>82.498261877199994</v>
      </c>
      <c r="DC29">
        <v>2339</v>
      </c>
      <c r="DD29">
        <v>381</v>
      </c>
      <c r="DE29">
        <v>136.14878153059999</v>
      </c>
      <c r="DF29">
        <v>127.7532808399</v>
      </c>
      <c r="DH29" t="s">
        <v>390</v>
      </c>
      <c r="DI29" t="s">
        <v>769</v>
      </c>
      <c r="DK29">
        <v>698</v>
      </c>
      <c r="DL29">
        <v>174</v>
      </c>
      <c r="DM29">
        <v>92.425501432700003</v>
      </c>
      <c r="DN29">
        <v>2107</v>
      </c>
      <c r="DO29">
        <v>317</v>
      </c>
      <c r="DP29">
        <v>126.1328903654</v>
      </c>
      <c r="DQ29">
        <v>112.08832807570001</v>
      </c>
    </row>
    <row r="30" spans="2:121" x14ac:dyDescent="0.2">
      <c r="B30" t="s">
        <v>20</v>
      </c>
      <c r="C30">
        <v>302</v>
      </c>
      <c r="D30">
        <v>135</v>
      </c>
      <c r="F30" t="s">
        <v>45</v>
      </c>
      <c r="G30">
        <v>1509</v>
      </c>
      <c r="H30">
        <v>263.43472498339997</v>
      </c>
      <c r="I30">
        <v>2051</v>
      </c>
      <c r="J30">
        <v>314</v>
      </c>
      <c r="K30">
        <v>1910</v>
      </c>
      <c r="L30">
        <v>1092</v>
      </c>
      <c r="M30">
        <v>999</v>
      </c>
      <c r="N30">
        <v>587</v>
      </c>
      <c r="O30">
        <v>188</v>
      </c>
      <c r="P30">
        <v>109</v>
      </c>
      <c r="Q30">
        <v>0</v>
      </c>
      <c r="R30">
        <v>1</v>
      </c>
      <c r="T30" t="s">
        <v>380</v>
      </c>
      <c r="U30">
        <v>63896</v>
      </c>
      <c r="V30">
        <v>367.15526793539999</v>
      </c>
      <c r="W30">
        <v>76859</v>
      </c>
      <c r="X30">
        <v>17431</v>
      </c>
      <c r="Y30">
        <v>91629</v>
      </c>
      <c r="Z30">
        <v>62238</v>
      </c>
      <c r="AA30">
        <v>29923</v>
      </c>
      <c r="AB30">
        <v>24287</v>
      </c>
      <c r="AC30">
        <v>46594</v>
      </c>
      <c r="AD30">
        <v>32361</v>
      </c>
      <c r="AE30">
        <v>6802</v>
      </c>
      <c r="AF30">
        <v>1239</v>
      </c>
      <c r="AH30" t="s">
        <v>400</v>
      </c>
      <c r="AI30">
        <v>815</v>
      </c>
      <c r="AJ30">
        <v>203.42453987729999</v>
      </c>
      <c r="AK30">
        <v>1772</v>
      </c>
      <c r="AL30">
        <v>225</v>
      </c>
      <c r="AM30">
        <v>1457</v>
      </c>
      <c r="AN30">
        <v>649</v>
      </c>
      <c r="AO30">
        <v>777</v>
      </c>
      <c r="AP30">
        <v>534</v>
      </c>
      <c r="AQ30">
        <v>666</v>
      </c>
      <c r="AR30">
        <v>349</v>
      </c>
      <c r="AS30">
        <v>1</v>
      </c>
      <c r="AT30">
        <v>15</v>
      </c>
      <c r="AV30" t="s">
        <v>384</v>
      </c>
      <c r="AW30">
        <v>596</v>
      </c>
      <c r="AX30">
        <v>70.897651006700002</v>
      </c>
      <c r="AY30">
        <v>729</v>
      </c>
      <c r="AZ30">
        <v>73</v>
      </c>
      <c r="BA30">
        <v>864</v>
      </c>
      <c r="BB30">
        <v>116</v>
      </c>
      <c r="BC30">
        <v>1</v>
      </c>
      <c r="BD30">
        <v>1</v>
      </c>
      <c r="BE30">
        <v>80</v>
      </c>
      <c r="BF30">
        <v>17</v>
      </c>
      <c r="BG30">
        <v>150</v>
      </c>
      <c r="BH30">
        <v>86</v>
      </c>
      <c r="BJ30" t="s">
        <v>520</v>
      </c>
      <c r="BK30" t="s">
        <v>369</v>
      </c>
      <c r="BL30">
        <v>3718</v>
      </c>
      <c r="BM30">
        <v>741</v>
      </c>
      <c r="BN30">
        <v>83.442173211400004</v>
      </c>
      <c r="BO30">
        <v>8608</v>
      </c>
      <c r="BP30">
        <v>999</v>
      </c>
      <c r="BQ30">
        <v>135.94319237920001</v>
      </c>
      <c r="BR30">
        <v>119.8868868869</v>
      </c>
      <c r="BS30">
        <v>604</v>
      </c>
      <c r="BT30">
        <v>215</v>
      </c>
      <c r="BU30">
        <v>105.8841059603</v>
      </c>
      <c r="BV30">
        <v>6914</v>
      </c>
      <c r="BW30">
        <v>871</v>
      </c>
      <c r="BX30">
        <v>133.2525310963</v>
      </c>
      <c r="BY30">
        <v>125.36394948340001</v>
      </c>
      <c r="CA30" t="s">
        <v>373</v>
      </c>
      <c r="CB30" t="s">
        <v>856</v>
      </c>
      <c r="CC30" t="s">
        <v>979</v>
      </c>
      <c r="CD30">
        <v>1659</v>
      </c>
      <c r="CE30">
        <v>323</v>
      </c>
      <c r="CF30">
        <v>85.345991561199995</v>
      </c>
      <c r="CG30">
        <v>4454</v>
      </c>
      <c r="CH30">
        <v>496</v>
      </c>
      <c r="CI30">
        <v>114.0345756623</v>
      </c>
      <c r="CJ30">
        <v>109.80443548389999</v>
      </c>
      <c r="CL30" t="s">
        <v>373</v>
      </c>
      <c r="CM30" t="s">
        <v>825</v>
      </c>
      <c r="CN30" t="s">
        <v>824</v>
      </c>
      <c r="CO30">
        <v>265</v>
      </c>
      <c r="CP30">
        <v>17</v>
      </c>
      <c r="CQ30">
        <v>63.4113207547</v>
      </c>
      <c r="CR30">
        <v>555</v>
      </c>
      <c r="CS30">
        <v>58</v>
      </c>
      <c r="CT30">
        <v>97.209009008999999</v>
      </c>
      <c r="CU30">
        <v>130.7586206897</v>
      </c>
      <c r="CW30" t="s">
        <v>373</v>
      </c>
      <c r="CX30" t="s">
        <v>841</v>
      </c>
      <c r="CY30" t="s">
        <v>840</v>
      </c>
      <c r="CZ30">
        <v>50</v>
      </c>
      <c r="DA30">
        <v>3</v>
      </c>
      <c r="DB30">
        <v>54.34</v>
      </c>
      <c r="DC30">
        <v>93</v>
      </c>
      <c r="DD30">
        <v>17</v>
      </c>
      <c r="DE30">
        <v>145.1612903226</v>
      </c>
      <c r="DF30">
        <v>140.0588235294</v>
      </c>
      <c r="DH30" t="s">
        <v>373</v>
      </c>
      <c r="DI30" t="s">
        <v>809</v>
      </c>
      <c r="DJ30" t="s">
        <v>808</v>
      </c>
      <c r="DK30">
        <v>22</v>
      </c>
      <c r="DL30">
        <v>3</v>
      </c>
      <c r="DM30">
        <v>80</v>
      </c>
      <c r="DN30">
        <v>116</v>
      </c>
      <c r="DO30">
        <v>26</v>
      </c>
      <c r="DP30">
        <v>137.5</v>
      </c>
      <c r="DQ30">
        <v>113.69230769230001</v>
      </c>
    </row>
    <row r="31" spans="2:121" x14ac:dyDescent="0.2">
      <c r="B31" t="s">
        <v>22</v>
      </c>
      <c r="C31">
        <v>202702</v>
      </c>
      <c r="D31">
        <v>37963</v>
      </c>
      <c r="F31" t="s">
        <v>65</v>
      </c>
      <c r="G31">
        <v>3637</v>
      </c>
      <c r="H31">
        <v>428.39015672260001</v>
      </c>
      <c r="I31">
        <v>5193</v>
      </c>
      <c r="J31">
        <v>1635</v>
      </c>
      <c r="K31">
        <v>5128</v>
      </c>
      <c r="L31">
        <v>3563</v>
      </c>
      <c r="M31">
        <v>466</v>
      </c>
      <c r="N31">
        <v>341</v>
      </c>
      <c r="O31">
        <v>819</v>
      </c>
      <c r="P31">
        <v>590</v>
      </c>
      <c r="Q31">
        <v>0</v>
      </c>
      <c r="R31">
        <v>2</v>
      </c>
      <c r="T31" t="s">
        <v>461</v>
      </c>
      <c r="U31">
        <v>258430</v>
      </c>
      <c r="V31">
        <v>390.17839260149998</v>
      </c>
      <c r="W31">
        <v>327858</v>
      </c>
      <c r="X31">
        <v>69896</v>
      </c>
      <c r="Y31">
        <v>378905</v>
      </c>
      <c r="Z31">
        <v>251015</v>
      </c>
      <c r="AA31">
        <v>126219</v>
      </c>
      <c r="AB31">
        <v>98948</v>
      </c>
      <c r="AC31">
        <v>175281</v>
      </c>
      <c r="AD31">
        <v>114754</v>
      </c>
      <c r="AE31">
        <v>23806</v>
      </c>
      <c r="AF31">
        <v>4372</v>
      </c>
      <c r="AH31" t="s">
        <v>413</v>
      </c>
      <c r="AI31">
        <v>3121</v>
      </c>
      <c r="AJ31">
        <v>442.18135213070002</v>
      </c>
      <c r="AK31">
        <v>4113</v>
      </c>
      <c r="AL31">
        <v>995</v>
      </c>
      <c r="AM31">
        <v>4254</v>
      </c>
      <c r="AN31">
        <v>3059</v>
      </c>
      <c r="AO31">
        <v>1029</v>
      </c>
      <c r="AP31">
        <v>836</v>
      </c>
      <c r="AQ31">
        <v>2006</v>
      </c>
      <c r="AR31">
        <v>1442</v>
      </c>
      <c r="AS31">
        <v>3</v>
      </c>
      <c r="AT31">
        <v>128</v>
      </c>
      <c r="AV31" t="s">
        <v>405</v>
      </c>
      <c r="AW31">
        <v>106</v>
      </c>
      <c r="AX31">
        <v>96</v>
      </c>
      <c r="AY31">
        <v>146</v>
      </c>
      <c r="AZ31">
        <v>5</v>
      </c>
      <c r="BA31">
        <v>160</v>
      </c>
      <c r="BB31">
        <v>33</v>
      </c>
      <c r="BC31">
        <v>0</v>
      </c>
      <c r="BE31">
        <v>9</v>
      </c>
      <c r="BF31">
        <v>3</v>
      </c>
      <c r="BG31">
        <v>296</v>
      </c>
      <c r="BH31">
        <v>25</v>
      </c>
      <c r="BJ31" t="s">
        <v>522</v>
      </c>
      <c r="BK31" t="s">
        <v>369</v>
      </c>
      <c r="BL31">
        <v>1731</v>
      </c>
      <c r="BM31">
        <v>330</v>
      </c>
      <c r="BN31">
        <v>86.511265164600005</v>
      </c>
      <c r="BO31">
        <v>4322</v>
      </c>
      <c r="BP31">
        <v>486</v>
      </c>
      <c r="BQ31">
        <v>114.7681628876</v>
      </c>
      <c r="BR31">
        <v>109.47325102879999</v>
      </c>
      <c r="BS31">
        <v>604</v>
      </c>
      <c r="BT31">
        <v>146</v>
      </c>
      <c r="BU31">
        <v>92.887417218500005</v>
      </c>
      <c r="BV31">
        <v>6212</v>
      </c>
      <c r="BW31">
        <v>661</v>
      </c>
      <c r="BX31">
        <v>129.6646812621</v>
      </c>
      <c r="BY31">
        <v>103.98335854770001</v>
      </c>
      <c r="CA31" t="s">
        <v>423</v>
      </c>
      <c r="CB31" t="s">
        <v>856</v>
      </c>
      <c r="CC31" t="s">
        <v>980</v>
      </c>
      <c r="CD31">
        <v>873</v>
      </c>
      <c r="CE31">
        <v>194</v>
      </c>
      <c r="CF31">
        <v>89.7720504009</v>
      </c>
      <c r="CG31">
        <v>1995</v>
      </c>
      <c r="CH31">
        <v>215</v>
      </c>
      <c r="CI31">
        <v>137.18897243110001</v>
      </c>
      <c r="CJ31">
        <v>121.5023255814</v>
      </c>
      <c r="CL31" t="s">
        <v>423</v>
      </c>
      <c r="CM31" t="s">
        <v>825</v>
      </c>
      <c r="CN31" t="s">
        <v>826</v>
      </c>
      <c r="CO31">
        <v>79</v>
      </c>
      <c r="CP31">
        <v>11</v>
      </c>
      <c r="CQ31">
        <v>76.962025316500004</v>
      </c>
      <c r="CR31">
        <v>198</v>
      </c>
      <c r="CS31">
        <v>28</v>
      </c>
      <c r="CT31">
        <v>95.545454545499993</v>
      </c>
      <c r="CU31">
        <v>105.07142857140001</v>
      </c>
      <c r="CW31" t="s">
        <v>423</v>
      </c>
      <c r="CX31" t="s">
        <v>841</v>
      </c>
      <c r="CY31" t="s">
        <v>842</v>
      </c>
      <c r="CZ31">
        <v>20</v>
      </c>
      <c r="DA31">
        <v>7</v>
      </c>
      <c r="DB31">
        <v>103.75</v>
      </c>
      <c r="DC31">
        <v>25</v>
      </c>
      <c r="DD31">
        <v>3</v>
      </c>
      <c r="DE31">
        <v>153.68</v>
      </c>
      <c r="DF31">
        <v>235</v>
      </c>
      <c r="DH31" t="s">
        <v>423</v>
      </c>
      <c r="DI31" t="s">
        <v>809</v>
      </c>
      <c r="DJ31" t="s">
        <v>810</v>
      </c>
      <c r="DK31">
        <v>22</v>
      </c>
      <c r="DL31">
        <v>5</v>
      </c>
      <c r="DM31">
        <v>97.272727272699996</v>
      </c>
      <c r="DN31">
        <v>36</v>
      </c>
      <c r="DO31">
        <v>6</v>
      </c>
      <c r="DP31">
        <v>155.2777777778</v>
      </c>
      <c r="DQ31">
        <v>142.6666666667</v>
      </c>
    </row>
    <row r="32" spans="2:121" x14ac:dyDescent="0.2">
      <c r="B32" t="s">
        <v>114</v>
      </c>
      <c r="C32">
        <v>4778</v>
      </c>
      <c r="D32">
        <v>569</v>
      </c>
      <c r="F32" t="s">
        <v>73</v>
      </c>
      <c r="G32">
        <v>9957</v>
      </c>
      <c r="H32">
        <v>393.87837702119998</v>
      </c>
      <c r="I32">
        <v>7439</v>
      </c>
      <c r="J32">
        <v>1063</v>
      </c>
      <c r="K32">
        <v>14782</v>
      </c>
      <c r="L32">
        <v>10213</v>
      </c>
      <c r="M32">
        <v>4159</v>
      </c>
      <c r="N32">
        <v>3031</v>
      </c>
      <c r="O32">
        <v>4230</v>
      </c>
      <c r="P32">
        <v>3455</v>
      </c>
      <c r="Q32">
        <v>3</v>
      </c>
      <c r="R32">
        <v>152</v>
      </c>
      <c r="AH32" t="s">
        <v>415</v>
      </c>
      <c r="AI32">
        <v>1099</v>
      </c>
      <c r="AJ32">
        <v>297.97179253870002</v>
      </c>
      <c r="AK32">
        <v>1208</v>
      </c>
      <c r="AL32">
        <v>188</v>
      </c>
      <c r="AM32">
        <v>1656</v>
      </c>
      <c r="AN32">
        <v>1044</v>
      </c>
      <c r="AO32">
        <v>360</v>
      </c>
      <c r="AP32">
        <v>269</v>
      </c>
      <c r="AQ32">
        <v>309</v>
      </c>
      <c r="AR32">
        <v>176</v>
      </c>
      <c r="AS32">
        <v>190</v>
      </c>
      <c r="AT32">
        <v>4</v>
      </c>
      <c r="AV32" t="s">
        <v>415</v>
      </c>
      <c r="AW32">
        <v>125</v>
      </c>
      <c r="AX32">
        <v>87.888000000000005</v>
      </c>
      <c r="AY32">
        <v>174</v>
      </c>
      <c r="AZ32">
        <v>28</v>
      </c>
      <c r="BA32">
        <v>160</v>
      </c>
      <c r="BB32">
        <v>40</v>
      </c>
      <c r="BC32">
        <v>0</v>
      </c>
      <c r="BE32">
        <v>4</v>
      </c>
      <c r="BF32">
        <v>1</v>
      </c>
      <c r="BG32">
        <v>11</v>
      </c>
      <c r="BH32">
        <v>23</v>
      </c>
      <c r="BJ32" t="s">
        <v>537</v>
      </c>
      <c r="BK32" t="s">
        <v>369</v>
      </c>
      <c r="BL32">
        <v>2587</v>
      </c>
      <c r="BM32">
        <v>482</v>
      </c>
      <c r="BN32">
        <v>82.684190181700004</v>
      </c>
      <c r="BO32">
        <v>5870</v>
      </c>
      <c r="BP32">
        <v>842</v>
      </c>
      <c r="BQ32">
        <v>117.24480408860001</v>
      </c>
      <c r="BR32">
        <v>109.97268408550001</v>
      </c>
      <c r="BS32">
        <v>1890</v>
      </c>
      <c r="BT32">
        <v>333</v>
      </c>
      <c r="BU32">
        <v>80.864021163999993</v>
      </c>
      <c r="BV32">
        <v>11034</v>
      </c>
      <c r="BW32">
        <v>1089</v>
      </c>
      <c r="BX32">
        <v>131.43510966100001</v>
      </c>
      <c r="BY32">
        <v>106.8879706152</v>
      </c>
      <c r="CA32" t="s">
        <v>414</v>
      </c>
      <c r="CB32" t="s">
        <v>856</v>
      </c>
      <c r="CC32" t="s">
        <v>981</v>
      </c>
      <c r="CD32">
        <v>403</v>
      </c>
      <c r="CE32">
        <v>72</v>
      </c>
      <c r="CF32">
        <v>84.315136476399999</v>
      </c>
      <c r="CG32">
        <v>909</v>
      </c>
      <c r="CH32">
        <v>102</v>
      </c>
      <c r="CI32">
        <v>140.85918591859999</v>
      </c>
      <c r="CJ32">
        <v>121.362745098</v>
      </c>
      <c r="CL32" t="s">
        <v>414</v>
      </c>
      <c r="CM32" t="s">
        <v>825</v>
      </c>
      <c r="CN32" t="s">
        <v>827</v>
      </c>
      <c r="CO32">
        <v>63</v>
      </c>
      <c r="CP32">
        <v>10</v>
      </c>
      <c r="CQ32">
        <v>79.587301587300004</v>
      </c>
      <c r="CR32">
        <v>175</v>
      </c>
      <c r="CS32">
        <v>20</v>
      </c>
      <c r="CT32">
        <v>104.85142857140001</v>
      </c>
      <c r="CU32">
        <v>129.05000000000001</v>
      </c>
      <c r="CW32" t="s">
        <v>414</v>
      </c>
      <c r="CX32" t="s">
        <v>841</v>
      </c>
      <c r="CY32" t="s">
        <v>843</v>
      </c>
      <c r="CZ32">
        <v>15</v>
      </c>
      <c r="DA32">
        <v>3</v>
      </c>
      <c r="DB32">
        <v>83.133333333300001</v>
      </c>
      <c r="DC32">
        <v>29</v>
      </c>
      <c r="DD32">
        <v>5</v>
      </c>
      <c r="DE32">
        <v>159.93103448279999</v>
      </c>
      <c r="DF32">
        <v>153</v>
      </c>
      <c r="DH32" t="s">
        <v>414</v>
      </c>
      <c r="DI32" t="s">
        <v>809</v>
      </c>
      <c r="DJ32" t="s">
        <v>811</v>
      </c>
      <c r="DK32">
        <v>15</v>
      </c>
      <c r="DL32">
        <v>4</v>
      </c>
      <c r="DM32">
        <v>83.466666666699993</v>
      </c>
      <c r="DN32">
        <v>39</v>
      </c>
      <c r="DO32">
        <v>6</v>
      </c>
      <c r="DP32">
        <v>137.1794871795</v>
      </c>
      <c r="DQ32">
        <v>106.5</v>
      </c>
    </row>
    <row r="33" spans="2:121" x14ac:dyDescent="0.2">
      <c r="B33" t="s">
        <v>122</v>
      </c>
      <c r="C33">
        <v>713</v>
      </c>
      <c r="D33">
        <v>22</v>
      </c>
      <c r="F33" t="s">
        <v>67</v>
      </c>
      <c r="G33">
        <v>707</v>
      </c>
      <c r="H33">
        <v>233.090523338</v>
      </c>
      <c r="I33">
        <v>2049</v>
      </c>
      <c r="J33">
        <v>396</v>
      </c>
      <c r="K33">
        <v>2474</v>
      </c>
      <c r="L33">
        <v>792</v>
      </c>
      <c r="M33">
        <v>1562</v>
      </c>
      <c r="N33">
        <v>1490</v>
      </c>
      <c r="O33">
        <v>422</v>
      </c>
      <c r="P33">
        <v>254</v>
      </c>
      <c r="Q33">
        <v>0</v>
      </c>
      <c r="R33">
        <v>0</v>
      </c>
      <c r="AH33" t="s">
        <v>374</v>
      </c>
      <c r="AI33">
        <v>1831</v>
      </c>
      <c r="AJ33">
        <v>386.83014746039998</v>
      </c>
      <c r="AK33">
        <v>4499</v>
      </c>
      <c r="AL33">
        <v>1109</v>
      </c>
      <c r="AM33">
        <v>3477</v>
      </c>
      <c r="AN33">
        <v>1988</v>
      </c>
      <c r="AO33">
        <v>1433</v>
      </c>
      <c r="AP33">
        <v>1167</v>
      </c>
      <c r="AQ33">
        <v>2515</v>
      </c>
      <c r="AR33">
        <v>1721</v>
      </c>
      <c r="AS33">
        <v>824</v>
      </c>
      <c r="AT33">
        <v>5</v>
      </c>
      <c r="AV33" t="s">
        <v>426</v>
      </c>
      <c r="AW33">
        <v>323</v>
      </c>
      <c r="AX33">
        <v>107.68111455109999</v>
      </c>
      <c r="AY33">
        <v>462</v>
      </c>
      <c r="AZ33">
        <v>19</v>
      </c>
      <c r="BA33">
        <v>452</v>
      </c>
      <c r="BB33">
        <v>69</v>
      </c>
      <c r="BC33">
        <v>0</v>
      </c>
      <c r="BE33">
        <v>16</v>
      </c>
      <c r="BF33">
        <v>3</v>
      </c>
      <c r="BG33">
        <v>445</v>
      </c>
      <c r="BH33">
        <v>103</v>
      </c>
      <c r="BJ33" t="s">
        <v>622</v>
      </c>
      <c r="BK33" t="s">
        <v>369</v>
      </c>
      <c r="BL33">
        <v>1128</v>
      </c>
      <c r="BM33">
        <v>151</v>
      </c>
      <c r="BN33">
        <v>71.652482269499998</v>
      </c>
      <c r="BO33">
        <v>2639</v>
      </c>
      <c r="BP33">
        <v>295</v>
      </c>
      <c r="BQ33">
        <v>130.4031830239</v>
      </c>
      <c r="BR33">
        <v>107.993220339</v>
      </c>
      <c r="BS33">
        <v>193</v>
      </c>
      <c r="BT33">
        <v>50</v>
      </c>
      <c r="BU33">
        <v>97.751295336799998</v>
      </c>
      <c r="BV33">
        <v>2748</v>
      </c>
      <c r="BW33">
        <v>343</v>
      </c>
      <c r="BX33">
        <v>134.90829694320001</v>
      </c>
      <c r="BY33">
        <v>110.80174927109999</v>
      </c>
      <c r="CA33" t="s">
        <v>416</v>
      </c>
      <c r="CB33" t="s">
        <v>856</v>
      </c>
      <c r="CC33" t="s">
        <v>982</v>
      </c>
      <c r="CD33">
        <v>1180</v>
      </c>
      <c r="CE33">
        <v>166</v>
      </c>
      <c r="CF33">
        <v>73.981355932200003</v>
      </c>
      <c r="CG33">
        <v>3462</v>
      </c>
      <c r="CH33">
        <v>478</v>
      </c>
      <c r="CI33">
        <v>106.1086077412</v>
      </c>
      <c r="CJ33">
        <v>88.744769874499994</v>
      </c>
      <c r="CL33" t="s">
        <v>416</v>
      </c>
      <c r="CM33" t="s">
        <v>825</v>
      </c>
      <c r="CN33" t="s">
        <v>828</v>
      </c>
      <c r="CO33">
        <v>143</v>
      </c>
      <c r="CP33">
        <v>16</v>
      </c>
      <c r="CQ33">
        <v>67.328671328699997</v>
      </c>
      <c r="CR33">
        <v>364</v>
      </c>
      <c r="CS33">
        <v>41</v>
      </c>
      <c r="CT33">
        <v>84.730769230799993</v>
      </c>
      <c r="CU33">
        <v>101</v>
      </c>
      <c r="CW33" t="s">
        <v>416</v>
      </c>
      <c r="CX33" t="s">
        <v>841</v>
      </c>
      <c r="CY33" t="s">
        <v>844</v>
      </c>
      <c r="CZ33">
        <v>11</v>
      </c>
      <c r="DA33">
        <v>3</v>
      </c>
      <c r="DB33">
        <v>67.727272727300004</v>
      </c>
      <c r="DC33">
        <v>43</v>
      </c>
      <c r="DD33">
        <v>10</v>
      </c>
      <c r="DE33">
        <v>147.20930232559999</v>
      </c>
      <c r="DF33">
        <v>121.3</v>
      </c>
      <c r="DH33" t="s">
        <v>416</v>
      </c>
      <c r="DI33" t="s">
        <v>809</v>
      </c>
      <c r="DJ33" t="s">
        <v>812</v>
      </c>
      <c r="DK33">
        <v>7</v>
      </c>
      <c r="DL33">
        <v>1</v>
      </c>
      <c r="DM33">
        <v>81.428571428599994</v>
      </c>
      <c r="DN33">
        <v>44</v>
      </c>
      <c r="DO33">
        <v>8</v>
      </c>
      <c r="DP33">
        <v>141.8409090909</v>
      </c>
      <c r="DQ33">
        <v>104.875</v>
      </c>
    </row>
    <row r="34" spans="2:121" x14ac:dyDescent="0.2">
      <c r="B34" t="s">
        <v>157</v>
      </c>
      <c r="C34">
        <v>3726</v>
      </c>
      <c r="D34">
        <v>3580</v>
      </c>
      <c r="F34" t="s">
        <v>71</v>
      </c>
      <c r="G34">
        <v>5411</v>
      </c>
      <c r="H34">
        <v>349.50785437069999</v>
      </c>
      <c r="I34">
        <v>10643</v>
      </c>
      <c r="J34">
        <v>1802</v>
      </c>
      <c r="K34">
        <v>15479</v>
      </c>
      <c r="L34">
        <v>10450</v>
      </c>
      <c r="M34">
        <v>6376</v>
      </c>
      <c r="N34">
        <v>4414</v>
      </c>
      <c r="O34">
        <v>2453</v>
      </c>
      <c r="P34">
        <v>1733</v>
      </c>
      <c r="Q34">
        <v>0</v>
      </c>
      <c r="R34">
        <v>62</v>
      </c>
      <c r="AH34" t="s">
        <v>405</v>
      </c>
      <c r="AI34">
        <v>1048</v>
      </c>
      <c r="AJ34">
        <v>259.45419847329998</v>
      </c>
      <c r="AK34">
        <v>2593</v>
      </c>
      <c r="AL34">
        <v>498</v>
      </c>
      <c r="AM34">
        <v>1744</v>
      </c>
      <c r="AN34">
        <v>867</v>
      </c>
      <c r="AO34">
        <v>551</v>
      </c>
      <c r="AP34">
        <v>328</v>
      </c>
      <c r="AQ34">
        <v>983</v>
      </c>
      <c r="AR34">
        <v>565</v>
      </c>
      <c r="AS34">
        <v>7</v>
      </c>
      <c r="AT34">
        <v>10</v>
      </c>
      <c r="AV34" t="s">
        <v>395</v>
      </c>
      <c r="AW34">
        <v>671</v>
      </c>
      <c r="AX34">
        <v>65.965722801799998</v>
      </c>
      <c r="AY34">
        <v>989</v>
      </c>
      <c r="AZ34">
        <v>93</v>
      </c>
      <c r="BA34">
        <v>875</v>
      </c>
      <c r="BB34">
        <v>86</v>
      </c>
      <c r="BC34">
        <v>1</v>
      </c>
      <c r="BD34">
        <v>1</v>
      </c>
      <c r="BE34">
        <v>75</v>
      </c>
      <c r="BF34">
        <v>13</v>
      </c>
      <c r="BG34">
        <v>128</v>
      </c>
      <c r="BH34">
        <v>90</v>
      </c>
      <c r="BJ34" t="s">
        <v>518</v>
      </c>
      <c r="BK34" t="s">
        <v>369</v>
      </c>
      <c r="BL34">
        <v>5083</v>
      </c>
      <c r="BM34">
        <v>1303</v>
      </c>
      <c r="BN34">
        <v>100.5040330513</v>
      </c>
      <c r="BO34">
        <v>9396</v>
      </c>
      <c r="BP34">
        <v>896</v>
      </c>
      <c r="BQ34">
        <v>136.11398467430001</v>
      </c>
      <c r="BR34">
        <v>140.92075892860001</v>
      </c>
      <c r="BS34">
        <v>1026</v>
      </c>
      <c r="BT34">
        <v>349</v>
      </c>
      <c r="BU34">
        <v>109.9132553606</v>
      </c>
      <c r="BV34">
        <v>7820</v>
      </c>
      <c r="BW34">
        <v>818</v>
      </c>
      <c r="BX34">
        <v>129.10345268539999</v>
      </c>
      <c r="BY34">
        <v>131.4608801956</v>
      </c>
      <c r="CA34" t="s">
        <v>376</v>
      </c>
      <c r="CB34" t="s">
        <v>856</v>
      </c>
      <c r="CC34" t="s">
        <v>983</v>
      </c>
      <c r="CD34">
        <v>5280</v>
      </c>
      <c r="CE34">
        <v>1328</v>
      </c>
      <c r="CF34">
        <v>101.9005681818</v>
      </c>
      <c r="CG34">
        <v>11581</v>
      </c>
      <c r="CH34">
        <v>1259</v>
      </c>
      <c r="CI34">
        <v>136.41775321649999</v>
      </c>
      <c r="CJ34">
        <v>130.0158856235</v>
      </c>
      <c r="CL34" t="s">
        <v>376</v>
      </c>
      <c r="CM34" t="s">
        <v>825</v>
      </c>
      <c r="CN34" t="s">
        <v>829</v>
      </c>
      <c r="CO34">
        <v>529</v>
      </c>
      <c r="CP34">
        <v>71</v>
      </c>
      <c r="CQ34">
        <v>76.185255198500002</v>
      </c>
      <c r="CR34">
        <v>1236</v>
      </c>
      <c r="CS34">
        <v>127</v>
      </c>
      <c r="CT34">
        <v>98.338996763799997</v>
      </c>
      <c r="CU34">
        <v>107.6692913386</v>
      </c>
      <c r="CW34" t="s">
        <v>376</v>
      </c>
      <c r="CX34" t="s">
        <v>841</v>
      </c>
      <c r="CY34" t="s">
        <v>845</v>
      </c>
      <c r="CZ34">
        <v>167</v>
      </c>
      <c r="DA34">
        <v>33</v>
      </c>
      <c r="DB34">
        <v>85.760479041899998</v>
      </c>
      <c r="DC34">
        <v>399</v>
      </c>
      <c r="DD34">
        <v>64</v>
      </c>
      <c r="DE34">
        <v>150.17293233079999</v>
      </c>
      <c r="DF34">
        <v>142.890625</v>
      </c>
      <c r="DH34" t="s">
        <v>376</v>
      </c>
      <c r="DI34" t="s">
        <v>809</v>
      </c>
      <c r="DJ34" t="s">
        <v>813</v>
      </c>
      <c r="DK34">
        <v>206</v>
      </c>
      <c r="DL34">
        <v>47</v>
      </c>
      <c r="DM34">
        <v>90.966019417499993</v>
      </c>
      <c r="DN34">
        <v>551</v>
      </c>
      <c r="DO34">
        <v>96</v>
      </c>
      <c r="DP34">
        <v>147.45372050820001</v>
      </c>
      <c r="DQ34">
        <v>136.3333333333</v>
      </c>
    </row>
    <row r="35" spans="2:121" x14ac:dyDescent="0.2">
      <c r="B35" t="s">
        <v>93</v>
      </c>
      <c r="C35">
        <v>235</v>
      </c>
      <c r="D35">
        <v>160</v>
      </c>
      <c r="F35" t="s">
        <v>37</v>
      </c>
      <c r="G35">
        <v>4970</v>
      </c>
      <c r="H35">
        <v>510.2219315895</v>
      </c>
      <c r="I35">
        <v>6525</v>
      </c>
      <c r="J35">
        <v>1390</v>
      </c>
      <c r="K35">
        <v>6449</v>
      </c>
      <c r="L35">
        <v>4638</v>
      </c>
      <c r="M35">
        <v>1764</v>
      </c>
      <c r="N35">
        <v>1639</v>
      </c>
      <c r="O35">
        <v>1451</v>
      </c>
      <c r="P35">
        <v>850</v>
      </c>
      <c r="Q35">
        <v>0</v>
      </c>
      <c r="R35">
        <v>215</v>
      </c>
      <c r="AH35" t="s">
        <v>60</v>
      </c>
      <c r="AI35">
        <v>3774</v>
      </c>
      <c r="AJ35">
        <v>313.28961314259999</v>
      </c>
      <c r="AK35">
        <v>9209</v>
      </c>
      <c r="AL35">
        <v>2150</v>
      </c>
      <c r="AM35">
        <v>7298</v>
      </c>
      <c r="AN35">
        <v>3981</v>
      </c>
      <c r="AO35">
        <v>3731</v>
      </c>
      <c r="AP35">
        <v>2964</v>
      </c>
      <c r="AQ35">
        <v>6064</v>
      </c>
      <c r="AR35">
        <v>2854</v>
      </c>
      <c r="AS35">
        <v>1790</v>
      </c>
      <c r="AT35">
        <v>12</v>
      </c>
      <c r="AV35" t="s">
        <v>372</v>
      </c>
      <c r="AW35">
        <v>96</v>
      </c>
      <c r="AX35">
        <v>112.71875</v>
      </c>
      <c r="AY35">
        <v>176</v>
      </c>
      <c r="AZ35">
        <v>28</v>
      </c>
      <c r="BA35">
        <v>120</v>
      </c>
      <c r="BB35">
        <v>39</v>
      </c>
      <c r="BC35">
        <v>0</v>
      </c>
      <c r="BE35">
        <v>18</v>
      </c>
      <c r="BF35">
        <v>6</v>
      </c>
      <c r="BG35">
        <v>9</v>
      </c>
      <c r="BH35">
        <v>22</v>
      </c>
      <c r="BJ35" t="s">
        <v>524</v>
      </c>
      <c r="BK35" t="s">
        <v>369</v>
      </c>
      <c r="BL35">
        <v>2886</v>
      </c>
      <c r="BM35">
        <v>674</v>
      </c>
      <c r="BN35">
        <v>94.287595287599999</v>
      </c>
      <c r="BO35">
        <v>5196</v>
      </c>
      <c r="BP35">
        <v>542</v>
      </c>
      <c r="BQ35">
        <v>137.18379522710001</v>
      </c>
      <c r="BR35">
        <v>124.5442804428</v>
      </c>
      <c r="BS35">
        <v>721</v>
      </c>
      <c r="BT35">
        <v>273</v>
      </c>
      <c r="BU35">
        <v>113.9542302358</v>
      </c>
      <c r="BV35">
        <v>3664</v>
      </c>
      <c r="BW35">
        <v>322</v>
      </c>
      <c r="BX35">
        <v>139.24072052400001</v>
      </c>
      <c r="BY35">
        <v>149.6086956522</v>
      </c>
      <c r="CA35" t="s">
        <v>371</v>
      </c>
      <c r="CB35" t="s">
        <v>856</v>
      </c>
      <c r="CC35" t="s">
        <v>984</v>
      </c>
      <c r="CD35">
        <v>4247</v>
      </c>
      <c r="CE35">
        <v>907</v>
      </c>
      <c r="CF35">
        <v>90.308688485999994</v>
      </c>
      <c r="CG35">
        <v>9309</v>
      </c>
      <c r="CH35">
        <v>1112</v>
      </c>
      <c r="CI35">
        <v>127.7798904286</v>
      </c>
      <c r="CJ35">
        <v>117.3138489209</v>
      </c>
      <c r="CL35" t="s">
        <v>371</v>
      </c>
      <c r="CM35" t="s">
        <v>825</v>
      </c>
      <c r="CN35" t="s">
        <v>830</v>
      </c>
      <c r="CO35">
        <v>465</v>
      </c>
      <c r="CP35">
        <v>57</v>
      </c>
      <c r="CQ35">
        <v>69.984946236599995</v>
      </c>
      <c r="CR35">
        <v>1220</v>
      </c>
      <c r="CS35">
        <v>153</v>
      </c>
      <c r="CT35">
        <v>91.553278688500001</v>
      </c>
      <c r="CU35">
        <v>99.575163398699999</v>
      </c>
      <c r="CW35" t="s">
        <v>371</v>
      </c>
      <c r="CX35" t="s">
        <v>841</v>
      </c>
      <c r="CY35" t="s">
        <v>846</v>
      </c>
      <c r="CZ35">
        <v>57</v>
      </c>
      <c r="DA35">
        <v>13</v>
      </c>
      <c r="DB35">
        <v>77.701754386000005</v>
      </c>
      <c r="DC35">
        <v>157</v>
      </c>
      <c r="DD35">
        <v>24</v>
      </c>
      <c r="DE35">
        <v>144.21656050959999</v>
      </c>
      <c r="DF35">
        <v>127.5</v>
      </c>
      <c r="DH35" t="s">
        <v>371</v>
      </c>
      <c r="DI35" t="s">
        <v>809</v>
      </c>
      <c r="DJ35" t="s">
        <v>814</v>
      </c>
      <c r="DK35">
        <v>33</v>
      </c>
      <c r="DL35">
        <v>1</v>
      </c>
      <c r="DM35">
        <v>56.363636363600001</v>
      </c>
      <c r="DN35">
        <v>94</v>
      </c>
      <c r="DO35">
        <v>12</v>
      </c>
      <c r="DP35">
        <v>133.7340425532</v>
      </c>
      <c r="DQ35">
        <v>125.9166666667</v>
      </c>
    </row>
    <row r="36" spans="2:121" x14ac:dyDescent="0.2">
      <c r="B36" t="s">
        <v>89</v>
      </c>
      <c r="C36">
        <v>11</v>
      </c>
      <c r="F36" t="s">
        <v>47</v>
      </c>
      <c r="G36">
        <v>1930</v>
      </c>
      <c r="H36">
        <v>282.75181347149999</v>
      </c>
      <c r="I36">
        <v>2482</v>
      </c>
      <c r="J36">
        <v>472</v>
      </c>
      <c r="K36">
        <v>3087</v>
      </c>
      <c r="L36">
        <v>2115</v>
      </c>
      <c r="M36">
        <v>443</v>
      </c>
      <c r="N36">
        <v>358</v>
      </c>
      <c r="O36">
        <v>1238</v>
      </c>
      <c r="P36">
        <v>910</v>
      </c>
      <c r="Q36">
        <v>0</v>
      </c>
      <c r="R36">
        <v>10</v>
      </c>
      <c r="T36" t="s">
        <v>646</v>
      </c>
      <c r="U36" t="s">
        <v>306</v>
      </c>
      <c r="V36" t="s">
        <v>133</v>
      </c>
      <c r="W36" t="s">
        <v>214</v>
      </c>
      <c r="X36" t="s">
        <v>459</v>
      </c>
      <c r="Y36" t="s">
        <v>216</v>
      </c>
      <c r="Z36" t="s">
        <v>217</v>
      </c>
      <c r="AA36" t="s">
        <v>218</v>
      </c>
      <c r="AB36" t="s">
        <v>460</v>
      </c>
      <c r="AC36" t="s">
        <v>220</v>
      </c>
      <c r="AD36" t="s">
        <v>221</v>
      </c>
      <c r="AE36" t="s">
        <v>222</v>
      </c>
      <c r="AF36" t="s">
        <v>223</v>
      </c>
      <c r="AH36" t="s">
        <v>382</v>
      </c>
      <c r="AI36">
        <v>14724</v>
      </c>
      <c r="AJ36">
        <v>306.77193697360002</v>
      </c>
      <c r="AK36">
        <v>17266</v>
      </c>
      <c r="AL36">
        <v>4391</v>
      </c>
      <c r="AM36">
        <v>19321</v>
      </c>
      <c r="AN36">
        <v>13083</v>
      </c>
      <c r="AO36">
        <v>9299</v>
      </c>
      <c r="AP36">
        <v>7349</v>
      </c>
      <c r="AQ36">
        <v>7673</v>
      </c>
      <c r="AR36">
        <v>5193</v>
      </c>
      <c r="AS36">
        <v>1301</v>
      </c>
      <c r="AT36">
        <v>45</v>
      </c>
      <c r="AV36" t="s">
        <v>383</v>
      </c>
      <c r="AW36">
        <v>960</v>
      </c>
      <c r="AX36">
        <v>105.85312500000001</v>
      </c>
      <c r="AY36">
        <v>1087</v>
      </c>
      <c r="AZ36">
        <v>173</v>
      </c>
      <c r="BA36">
        <v>1168</v>
      </c>
      <c r="BB36">
        <v>344</v>
      </c>
      <c r="BC36">
        <v>1</v>
      </c>
      <c r="BE36">
        <v>48</v>
      </c>
      <c r="BF36">
        <v>9</v>
      </c>
      <c r="BG36">
        <v>164</v>
      </c>
      <c r="BH36">
        <v>253</v>
      </c>
      <c r="BJ36" t="s">
        <v>369</v>
      </c>
      <c r="BK36" t="s">
        <v>369</v>
      </c>
      <c r="BL36">
        <v>71850</v>
      </c>
      <c r="BM36">
        <v>16776</v>
      </c>
      <c r="BN36">
        <v>93.766903270699999</v>
      </c>
      <c r="BO36">
        <v>153319</v>
      </c>
      <c r="BP36">
        <v>17885</v>
      </c>
      <c r="BQ36">
        <v>131.35415049669999</v>
      </c>
      <c r="BR36">
        <v>124.06228683250001</v>
      </c>
      <c r="BS36">
        <v>17677</v>
      </c>
      <c r="BT36">
        <v>5241</v>
      </c>
      <c r="BU36">
        <v>101.2870962267</v>
      </c>
      <c r="BV36">
        <v>148721</v>
      </c>
      <c r="BW36">
        <v>16814</v>
      </c>
      <c r="BX36">
        <v>130.24127729099999</v>
      </c>
      <c r="BY36">
        <v>122.0820149875</v>
      </c>
      <c r="CA36" t="s">
        <v>415</v>
      </c>
      <c r="CB36" t="s">
        <v>856</v>
      </c>
      <c r="CC36" t="s">
        <v>985</v>
      </c>
      <c r="CD36">
        <v>1203</v>
      </c>
      <c r="CE36">
        <v>181</v>
      </c>
      <c r="CF36">
        <v>75.887780548600006</v>
      </c>
      <c r="CG36">
        <v>2805</v>
      </c>
      <c r="CH36">
        <v>336</v>
      </c>
      <c r="CI36">
        <v>129.14153297679999</v>
      </c>
      <c r="CJ36">
        <v>109.86607142859999</v>
      </c>
      <c r="CL36" t="s">
        <v>415</v>
      </c>
      <c r="CM36" t="s">
        <v>825</v>
      </c>
      <c r="CN36" t="s">
        <v>831</v>
      </c>
      <c r="CO36">
        <v>122</v>
      </c>
      <c r="CP36">
        <v>8</v>
      </c>
      <c r="CQ36">
        <v>63.254098360699999</v>
      </c>
      <c r="CR36">
        <v>291</v>
      </c>
      <c r="CS36">
        <v>39</v>
      </c>
      <c r="CT36">
        <v>95.635738831599994</v>
      </c>
      <c r="CU36">
        <v>100.7435897436</v>
      </c>
      <c r="CW36" t="s">
        <v>415</v>
      </c>
      <c r="CX36" t="s">
        <v>841</v>
      </c>
      <c r="CY36" t="s">
        <v>847</v>
      </c>
      <c r="CZ36">
        <v>21</v>
      </c>
      <c r="DA36">
        <v>2</v>
      </c>
      <c r="DB36">
        <v>64.285714285699996</v>
      </c>
      <c r="DC36">
        <v>40</v>
      </c>
      <c r="DD36">
        <v>7</v>
      </c>
      <c r="DE36">
        <v>151.55000000000001</v>
      </c>
      <c r="DF36">
        <v>165.57142857139999</v>
      </c>
      <c r="DH36" t="s">
        <v>415</v>
      </c>
      <c r="DI36" t="s">
        <v>809</v>
      </c>
      <c r="DJ36" t="s">
        <v>815</v>
      </c>
      <c r="DK36">
        <v>7</v>
      </c>
      <c r="DL36">
        <v>3</v>
      </c>
      <c r="DM36">
        <v>139.28571428570001</v>
      </c>
      <c r="DN36">
        <v>42</v>
      </c>
      <c r="DO36">
        <v>9</v>
      </c>
      <c r="DP36">
        <v>132.21428571429999</v>
      </c>
      <c r="DQ36">
        <v>127.6666666667</v>
      </c>
    </row>
    <row r="37" spans="2:121" x14ac:dyDescent="0.2">
      <c r="B37" t="s">
        <v>95</v>
      </c>
      <c r="C37">
        <v>1182</v>
      </c>
      <c r="D37">
        <v>778</v>
      </c>
      <c r="F37" t="s">
        <v>82</v>
      </c>
      <c r="G37">
        <v>608</v>
      </c>
      <c r="H37">
        <v>424.86513157889999</v>
      </c>
      <c r="I37">
        <v>719</v>
      </c>
      <c r="J37">
        <v>149</v>
      </c>
      <c r="K37">
        <v>689</v>
      </c>
      <c r="L37">
        <v>507</v>
      </c>
      <c r="M37">
        <v>49</v>
      </c>
      <c r="N37">
        <v>47</v>
      </c>
      <c r="O37">
        <v>83</v>
      </c>
      <c r="P37">
        <v>48</v>
      </c>
      <c r="Q37">
        <v>0</v>
      </c>
      <c r="R37">
        <v>0</v>
      </c>
      <c r="T37" t="s">
        <v>390</v>
      </c>
      <c r="U37">
        <v>4267</v>
      </c>
      <c r="V37">
        <v>74.902976330000001</v>
      </c>
      <c r="W37">
        <v>5460</v>
      </c>
      <c r="X37">
        <v>455</v>
      </c>
      <c r="Y37">
        <v>5590</v>
      </c>
      <c r="Z37">
        <v>533</v>
      </c>
      <c r="AA37">
        <v>15</v>
      </c>
      <c r="AB37">
        <v>11</v>
      </c>
      <c r="AC37">
        <v>404</v>
      </c>
      <c r="AD37">
        <v>83</v>
      </c>
      <c r="AE37">
        <v>2399</v>
      </c>
      <c r="AF37">
        <v>676</v>
      </c>
      <c r="AH37" t="s">
        <v>419</v>
      </c>
      <c r="AI37">
        <v>172</v>
      </c>
      <c r="AJ37">
        <v>202.4941860465</v>
      </c>
      <c r="AK37">
        <v>575</v>
      </c>
      <c r="AL37">
        <v>99</v>
      </c>
      <c r="AM37">
        <v>325</v>
      </c>
      <c r="AN37">
        <v>104</v>
      </c>
      <c r="AO37">
        <v>130</v>
      </c>
      <c r="AP37">
        <v>64</v>
      </c>
      <c r="AQ37">
        <v>166</v>
      </c>
      <c r="AR37">
        <v>97</v>
      </c>
      <c r="AS37">
        <v>2</v>
      </c>
      <c r="AT37">
        <v>2</v>
      </c>
      <c r="AV37" t="s">
        <v>391</v>
      </c>
      <c r="AW37">
        <v>702</v>
      </c>
      <c r="AX37">
        <v>68.579772079799994</v>
      </c>
      <c r="AY37">
        <v>1126</v>
      </c>
      <c r="AZ37">
        <v>98</v>
      </c>
      <c r="BA37">
        <v>1009</v>
      </c>
      <c r="BB37">
        <v>112</v>
      </c>
      <c r="BC37">
        <v>6</v>
      </c>
      <c r="BD37">
        <v>4</v>
      </c>
      <c r="BE37">
        <v>101</v>
      </c>
      <c r="BF37">
        <v>15</v>
      </c>
      <c r="BG37">
        <v>143</v>
      </c>
      <c r="BH37">
        <v>120</v>
      </c>
      <c r="BJ37" t="s">
        <v>526</v>
      </c>
      <c r="BK37" t="s">
        <v>369</v>
      </c>
      <c r="BL37">
        <v>8445</v>
      </c>
      <c r="BM37">
        <v>2277</v>
      </c>
      <c r="BN37">
        <v>102.5540556542</v>
      </c>
      <c r="BO37">
        <v>15566</v>
      </c>
      <c r="BP37">
        <v>1618</v>
      </c>
      <c r="BQ37">
        <v>148.56270075809999</v>
      </c>
      <c r="BR37">
        <v>148.3442521632</v>
      </c>
      <c r="BS37">
        <v>2161</v>
      </c>
      <c r="BT37">
        <v>663</v>
      </c>
      <c r="BU37">
        <v>109.4178621009</v>
      </c>
      <c r="BV37">
        <v>16030</v>
      </c>
      <c r="BW37">
        <v>1555</v>
      </c>
      <c r="BX37">
        <v>146.18415470990001</v>
      </c>
      <c r="BY37">
        <v>139.48553054659999</v>
      </c>
      <c r="CA37" t="s">
        <v>374</v>
      </c>
      <c r="CB37" t="s">
        <v>856</v>
      </c>
      <c r="CC37" t="s">
        <v>986</v>
      </c>
      <c r="CD37">
        <v>4269</v>
      </c>
      <c r="CE37">
        <v>1051</v>
      </c>
      <c r="CF37">
        <v>98.426563598000001</v>
      </c>
      <c r="CG37">
        <v>8145</v>
      </c>
      <c r="CH37">
        <v>811</v>
      </c>
      <c r="CI37">
        <v>137.7761817066</v>
      </c>
      <c r="CJ37">
        <v>136.64981504319999</v>
      </c>
      <c r="CL37" t="s">
        <v>374</v>
      </c>
      <c r="CM37" t="s">
        <v>825</v>
      </c>
      <c r="CN37" t="s">
        <v>832</v>
      </c>
      <c r="CO37">
        <v>577</v>
      </c>
      <c r="CP37">
        <v>65</v>
      </c>
      <c r="CQ37">
        <v>72.677642980900004</v>
      </c>
      <c r="CR37">
        <v>1289</v>
      </c>
      <c r="CS37">
        <v>165</v>
      </c>
      <c r="CT37">
        <v>94.190069821600005</v>
      </c>
      <c r="CU37">
        <v>103.0666666667</v>
      </c>
      <c r="CW37" t="s">
        <v>374</v>
      </c>
      <c r="CX37" t="s">
        <v>841</v>
      </c>
      <c r="CY37" t="s">
        <v>848</v>
      </c>
      <c r="CZ37">
        <v>94</v>
      </c>
      <c r="DA37">
        <v>24</v>
      </c>
      <c r="DB37">
        <v>90.648936170200002</v>
      </c>
      <c r="DC37">
        <v>164</v>
      </c>
      <c r="DD37">
        <v>31</v>
      </c>
      <c r="DE37">
        <v>148.73170731709999</v>
      </c>
      <c r="DF37">
        <v>151.45161290319999</v>
      </c>
      <c r="DH37" t="s">
        <v>374</v>
      </c>
      <c r="DI37" t="s">
        <v>809</v>
      </c>
      <c r="DJ37" t="s">
        <v>816</v>
      </c>
      <c r="DK37">
        <v>54</v>
      </c>
      <c r="DL37">
        <v>12</v>
      </c>
      <c r="DM37">
        <v>96.555555555599994</v>
      </c>
      <c r="DN37">
        <v>140</v>
      </c>
      <c r="DO37">
        <v>15</v>
      </c>
      <c r="DP37">
        <v>138.82857142859999</v>
      </c>
      <c r="DQ37">
        <v>120.9333333333</v>
      </c>
    </row>
    <row r="38" spans="2:121" x14ac:dyDescent="0.2">
      <c r="B38" t="s">
        <v>1059</v>
      </c>
      <c r="C38">
        <v>105</v>
      </c>
      <c r="D38">
        <v>103</v>
      </c>
      <c r="F38" t="s">
        <v>49</v>
      </c>
      <c r="G38">
        <v>3527</v>
      </c>
      <c r="H38">
        <v>424.92117947259999</v>
      </c>
      <c r="I38">
        <v>4502</v>
      </c>
      <c r="J38">
        <v>1398</v>
      </c>
      <c r="K38">
        <v>5950</v>
      </c>
      <c r="L38">
        <v>4687</v>
      </c>
      <c r="M38">
        <v>2414</v>
      </c>
      <c r="N38">
        <v>1881</v>
      </c>
      <c r="O38">
        <v>787</v>
      </c>
      <c r="P38">
        <v>626</v>
      </c>
      <c r="Q38">
        <v>45</v>
      </c>
      <c r="R38">
        <v>254</v>
      </c>
      <c r="T38" t="s">
        <v>380</v>
      </c>
      <c r="U38">
        <v>8654</v>
      </c>
      <c r="V38">
        <v>97.882366535700001</v>
      </c>
      <c r="W38">
        <v>9265</v>
      </c>
      <c r="X38">
        <v>1459</v>
      </c>
      <c r="Y38">
        <v>10938</v>
      </c>
      <c r="Z38">
        <v>2961</v>
      </c>
      <c r="AA38">
        <v>37</v>
      </c>
      <c r="AB38">
        <v>32</v>
      </c>
      <c r="AC38">
        <v>531</v>
      </c>
      <c r="AD38">
        <v>124</v>
      </c>
      <c r="AE38">
        <v>1303</v>
      </c>
      <c r="AF38">
        <v>1680</v>
      </c>
      <c r="AH38" t="s">
        <v>391</v>
      </c>
      <c r="AI38">
        <v>4817</v>
      </c>
      <c r="AJ38">
        <v>417.66036952460001</v>
      </c>
      <c r="AK38">
        <v>8210</v>
      </c>
      <c r="AL38">
        <v>1521</v>
      </c>
      <c r="AM38">
        <v>8491</v>
      </c>
      <c r="AN38">
        <v>5261</v>
      </c>
      <c r="AO38">
        <v>2589</v>
      </c>
      <c r="AP38">
        <v>2239</v>
      </c>
      <c r="AQ38">
        <v>4251</v>
      </c>
      <c r="AR38">
        <v>2981</v>
      </c>
      <c r="AS38">
        <v>1082</v>
      </c>
      <c r="AT38">
        <v>334</v>
      </c>
      <c r="AV38" t="s">
        <v>396</v>
      </c>
      <c r="AW38">
        <v>328</v>
      </c>
      <c r="AX38">
        <v>64.115853658500001</v>
      </c>
      <c r="AY38">
        <v>398</v>
      </c>
      <c r="AZ38">
        <v>34</v>
      </c>
      <c r="BA38">
        <v>418</v>
      </c>
      <c r="BB38">
        <v>40</v>
      </c>
      <c r="BC38">
        <v>1</v>
      </c>
      <c r="BD38">
        <v>1</v>
      </c>
      <c r="BE38">
        <v>40</v>
      </c>
      <c r="BF38">
        <v>6</v>
      </c>
      <c r="BG38">
        <v>64</v>
      </c>
      <c r="BH38">
        <v>42</v>
      </c>
      <c r="BJ38" t="s">
        <v>529</v>
      </c>
      <c r="BK38" t="s">
        <v>369</v>
      </c>
      <c r="BL38">
        <v>5007</v>
      </c>
      <c r="BM38">
        <v>1585</v>
      </c>
      <c r="BN38">
        <v>110.83862592369999</v>
      </c>
      <c r="BO38">
        <v>8556</v>
      </c>
      <c r="BP38">
        <v>913</v>
      </c>
      <c r="BQ38">
        <v>157.572113137</v>
      </c>
      <c r="BR38">
        <v>154.5629791895</v>
      </c>
      <c r="BS38">
        <v>510</v>
      </c>
      <c r="BT38">
        <v>250</v>
      </c>
      <c r="BU38">
        <v>147.27843137249999</v>
      </c>
      <c r="BV38">
        <v>7262</v>
      </c>
      <c r="BW38">
        <v>982</v>
      </c>
      <c r="BX38">
        <v>170.63426053430001</v>
      </c>
      <c r="BY38">
        <v>155.70162932790001</v>
      </c>
      <c r="CA38" t="s">
        <v>60</v>
      </c>
      <c r="CB38" t="s">
        <v>856</v>
      </c>
      <c r="CC38" t="s">
        <v>518</v>
      </c>
      <c r="CD38">
        <v>8695</v>
      </c>
      <c r="CE38">
        <v>2022</v>
      </c>
      <c r="CF38">
        <v>92.808855664199996</v>
      </c>
      <c r="CG38">
        <v>18733</v>
      </c>
      <c r="CH38">
        <v>1943</v>
      </c>
      <c r="CI38">
        <v>130.3045961672</v>
      </c>
      <c r="CJ38">
        <v>123.7982501287</v>
      </c>
      <c r="CL38" t="s">
        <v>60</v>
      </c>
      <c r="CM38" t="s">
        <v>825</v>
      </c>
      <c r="CN38" t="s">
        <v>833</v>
      </c>
      <c r="CO38">
        <v>1452</v>
      </c>
      <c r="CP38">
        <v>162</v>
      </c>
      <c r="CQ38">
        <v>71.983471074400001</v>
      </c>
      <c r="CR38">
        <v>3268</v>
      </c>
      <c r="CS38">
        <v>354</v>
      </c>
      <c r="CT38">
        <v>97.6113831089</v>
      </c>
      <c r="CU38">
        <v>105</v>
      </c>
      <c r="CW38" t="s">
        <v>60</v>
      </c>
      <c r="CX38" t="s">
        <v>841</v>
      </c>
      <c r="CY38" t="s">
        <v>849</v>
      </c>
      <c r="CZ38">
        <v>218</v>
      </c>
      <c r="DA38">
        <v>44</v>
      </c>
      <c r="DB38">
        <v>79.504587155999999</v>
      </c>
      <c r="DC38">
        <v>382</v>
      </c>
      <c r="DD38">
        <v>62</v>
      </c>
      <c r="DE38">
        <v>142.18324607330001</v>
      </c>
      <c r="DF38">
        <v>150.29032258059999</v>
      </c>
      <c r="DH38" t="s">
        <v>60</v>
      </c>
      <c r="DI38" t="s">
        <v>809</v>
      </c>
      <c r="DJ38" t="s">
        <v>817</v>
      </c>
      <c r="DK38">
        <v>117</v>
      </c>
      <c r="DL38">
        <v>27</v>
      </c>
      <c r="DM38">
        <v>84.401709401700003</v>
      </c>
      <c r="DN38">
        <v>291</v>
      </c>
      <c r="DO38">
        <v>53</v>
      </c>
      <c r="DP38">
        <v>136.1683848797</v>
      </c>
      <c r="DQ38">
        <v>123.45283018870001</v>
      </c>
    </row>
    <row r="39" spans="2:121" x14ac:dyDescent="0.2">
      <c r="B39" t="s">
        <v>115</v>
      </c>
      <c r="C39">
        <v>6156</v>
      </c>
      <c r="D39">
        <v>1973</v>
      </c>
      <c r="F39" t="s">
        <v>52</v>
      </c>
      <c r="G39">
        <v>7082</v>
      </c>
      <c r="H39">
        <v>423.5987009319</v>
      </c>
      <c r="I39">
        <v>10083</v>
      </c>
      <c r="J39">
        <v>1839</v>
      </c>
      <c r="K39">
        <v>8827</v>
      </c>
      <c r="L39">
        <v>6534</v>
      </c>
      <c r="M39">
        <v>1058</v>
      </c>
      <c r="N39">
        <v>908</v>
      </c>
      <c r="O39">
        <v>4052</v>
      </c>
      <c r="P39">
        <v>3331</v>
      </c>
      <c r="Q39">
        <v>5</v>
      </c>
      <c r="R39">
        <v>34</v>
      </c>
      <c r="T39" t="s">
        <v>369</v>
      </c>
      <c r="U39">
        <v>7560</v>
      </c>
      <c r="V39">
        <v>104.8652116402</v>
      </c>
      <c r="W39">
        <v>10937</v>
      </c>
      <c r="X39">
        <v>2013</v>
      </c>
      <c r="Y39">
        <v>9989</v>
      </c>
      <c r="Z39">
        <v>3243</v>
      </c>
      <c r="AA39">
        <v>182</v>
      </c>
      <c r="AB39">
        <v>178</v>
      </c>
      <c r="AC39">
        <v>536</v>
      </c>
      <c r="AD39">
        <v>144</v>
      </c>
      <c r="AE39">
        <v>1190</v>
      </c>
      <c r="AF39">
        <v>2043</v>
      </c>
      <c r="AH39" t="s">
        <v>412</v>
      </c>
      <c r="AI39">
        <v>1861</v>
      </c>
      <c r="AJ39">
        <v>175.19183234819999</v>
      </c>
      <c r="AK39">
        <v>5701</v>
      </c>
      <c r="AL39">
        <v>640</v>
      </c>
      <c r="AM39">
        <v>2968</v>
      </c>
      <c r="AN39">
        <v>847</v>
      </c>
      <c r="AO39">
        <v>1155</v>
      </c>
      <c r="AP39">
        <v>513</v>
      </c>
      <c r="AQ39">
        <v>2969</v>
      </c>
      <c r="AR39">
        <v>1698</v>
      </c>
      <c r="AS39">
        <v>10</v>
      </c>
      <c r="AT39">
        <v>28</v>
      </c>
      <c r="AV39" t="s">
        <v>414</v>
      </c>
      <c r="AW39">
        <v>39</v>
      </c>
      <c r="AX39">
        <v>104.3333333333</v>
      </c>
      <c r="AY39">
        <v>54</v>
      </c>
      <c r="AZ39">
        <v>8</v>
      </c>
      <c r="BA39">
        <v>57</v>
      </c>
      <c r="BB39">
        <v>18</v>
      </c>
      <c r="BC39">
        <v>2</v>
      </c>
      <c r="BD39">
        <v>2</v>
      </c>
      <c r="BE39">
        <v>0</v>
      </c>
      <c r="BG39">
        <v>7</v>
      </c>
      <c r="BH39">
        <v>17</v>
      </c>
      <c r="BJ39" t="s">
        <v>514</v>
      </c>
      <c r="BK39" t="s">
        <v>369</v>
      </c>
      <c r="BL39">
        <v>2662</v>
      </c>
      <c r="BM39">
        <v>405</v>
      </c>
      <c r="BN39">
        <v>64.917731029300001</v>
      </c>
      <c r="BO39">
        <v>14225</v>
      </c>
      <c r="BP39">
        <v>1819</v>
      </c>
      <c r="BQ39">
        <v>57.102214411200002</v>
      </c>
      <c r="BR39">
        <v>45.887850467299998</v>
      </c>
      <c r="BS39">
        <v>1454</v>
      </c>
      <c r="BT39">
        <v>220</v>
      </c>
      <c r="BU39">
        <v>58.109353507599998</v>
      </c>
      <c r="BV39">
        <v>16966</v>
      </c>
      <c r="BW39">
        <v>2075</v>
      </c>
      <c r="BX39">
        <v>75.2895791583</v>
      </c>
      <c r="BY39">
        <v>50.590361445799999</v>
      </c>
      <c r="CA39" t="s">
        <v>382</v>
      </c>
      <c r="CB39" t="s">
        <v>856</v>
      </c>
      <c r="CC39" t="s">
        <v>987</v>
      </c>
      <c r="CD39">
        <v>16409</v>
      </c>
      <c r="CE39">
        <v>4104</v>
      </c>
      <c r="CF39">
        <v>97.325370223700006</v>
      </c>
      <c r="CG39">
        <v>33202</v>
      </c>
      <c r="CH39">
        <v>4023</v>
      </c>
      <c r="CI39">
        <v>137.2267935667</v>
      </c>
      <c r="CJ39">
        <v>129.83296047729999</v>
      </c>
      <c r="CL39" t="s">
        <v>382</v>
      </c>
      <c r="CM39" t="s">
        <v>825</v>
      </c>
      <c r="CN39" t="s">
        <v>834</v>
      </c>
      <c r="CO39">
        <v>1471</v>
      </c>
      <c r="CP39">
        <v>176</v>
      </c>
      <c r="CQ39">
        <v>73.974167233200006</v>
      </c>
      <c r="CR39">
        <v>3325</v>
      </c>
      <c r="CS39">
        <v>387</v>
      </c>
      <c r="CT39">
        <v>95.917293233099997</v>
      </c>
      <c r="CU39">
        <v>97.643410852700001</v>
      </c>
      <c r="CW39" t="s">
        <v>382</v>
      </c>
      <c r="CX39" t="s">
        <v>841</v>
      </c>
      <c r="CY39" t="s">
        <v>850</v>
      </c>
      <c r="CZ39">
        <v>415</v>
      </c>
      <c r="DA39">
        <v>98</v>
      </c>
      <c r="DB39">
        <v>85.689156626499994</v>
      </c>
      <c r="DC39">
        <v>920</v>
      </c>
      <c r="DD39">
        <v>168</v>
      </c>
      <c r="DE39">
        <v>152.41630434780001</v>
      </c>
      <c r="DF39">
        <v>143.25</v>
      </c>
      <c r="DH39" t="s">
        <v>382</v>
      </c>
      <c r="DI39" t="s">
        <v>809</v>
      </c>
      <c r="DJ39" t="s">
        <v>818</v>
      </c>
      <c r="DK39">
        <v>660</v>
      </c>
      <c r="DL39">
        <v>140</v>
      </c>
      <c r="DM39">
        <v>86.233333333299996</v>
      </c>
      <c r="DN39">
        <v>1597</v>
      </c>
      <c r="DO39">
        <v>289</v>
      </c>
      <c r="DP39">
        <v>145.7908578585</v>
      </c>
      <c r="DQ39">
        <v>138.44636678200001</v>
      </c>
    </row>
    <row r="40" spans="2:121" x14ac:dyDescent="0.2">
      <c r="B40" t="s">
        <v>99</v>
      </c>
      <c r="C40">
        <v>14420</v>
      </c>
      <c r="D40">
        <v>3221</v>
      </c>
      <c r="F40" t="s">
        <v>60</v>
      </c>
      <c r="G40">
        <v>2722</v>
      </c>
      <c r="H40">
        <v>313.82072005880002</v>
      </c>
      <c r="I40">
        <v>5034</v>
      </c>
      <c r="J40">
        <v>1295</v>
      </c>
      <c r="K40">
        <v>3918</v>
      </c>
      <c r="L40">
        <v>2382</v>
      </c>
      <c r="M40">
        <v>2537</v>
      </c>
      <c r="N40">
        <v>2213</v>
      </c>
      <c r="O40">
        <v>3986</v>
      </c>
      <c r="P40">
        <v>1480</v>
      </c>
      <c r="Q40">
        <v>0</v>
      </c>
      <c r="R40">
        <v>3</v>
      </c>
      <c r="T40" t="s">
        <v>8</v>
      </c>
      <c r="U40">
        <v>195</v>
      </c>
      <c r="V40">
        <v>97.553846153799995</v>
      </c>
      <c r="W40">
        <v>213</v>
      </c>
      <c r="X40">
        <v>98</v>
      </c>
      <c r="Y40">
        <v>380</v>
      </c>
      <c r="Z40">
        <v>181</v>
      </c>
      <c r="AA40">
        <v>8</v>
      </c>
      <c r="AB40">
        <v>7</v>
      </c>
      <c r="AC40">
        <v>11</v>
      </c>
      <c r="AD40">
        <v>1</v>
      </c>
      <c r="AE40">
        <v>57</v>
      </c>
      <c r="AF40">
        <v>23</v>
      </c>
      <c r="AH40" t="s">
        <v>409</v>
      </c>
      <c r="AI40">
        <v>5916</v>
      </c>
      <c r="AJ40">
        <v>477.06152805950001</v>
      </c>
      <c r="AK40">
        <v>4694</v>
      </c>
      <c r="AL40">
        <v>880</v>
      </c>
      <c r="AM40">
        <v>8187</v>
      </c>
      <c r="AN40">
        <v>6225</v>
      </c>
      <c r="AO40">
        <v>3010</v>
      </c>
      <c r="AP40">
        <v>2715</v>
      </c>
      <c r="AQ40">
        <v>3225</v>
      </c>
      <c r="AR40">
        <v>2086</v>
      </c>
      <c r="AS40">
        <v>5</v>
      </c>
      <c r="AT40">
        <v>94</v>
      </c>
      <c r="AV40" t="s">
        <v>410</v>
      </c>
      <c r="AW40">
        <v>1332</v>
      </c>
      <c r="AX40">
        <v>104.1711711712</v>
      </c>
      <c r="AY40">
        <v>1446</v>
      </c>
      <c r="AZ40">
        <v>46</v>
      </c>
      <c r="BA40">
        <v>1896</v>
      </c>
      <c r="BB40">
        <v>157</v>
      </c>
      <c r="BC40">
        <v>9</v>
      </c>
      <c r="BD40">
        <v>9</v>
      </c>
      <c r="BE40">
        <v>101</v>
      </c>
      <c r="BF40">
        <v>53</v>
      </c>
      <c r="BG40">
        <v>1592</v>
      </c>
      <c r="BH40">
        <v>416</v>
      </c>
      <c r="BJ40" t="s">
        <v>535</v>
      </c>
      <c r="BK40" t="s">
        <v>369</v>
      </c>
      <c r="BL40">
        <v>11016</v>
      </c>
      <c r="BM40">
        <v>2239</v>
      </c>
      <c r="BN40">
        <v>87.412672476400004</v>
      </c>
      <c r="BO40">
        <v>22748</v>
      </c>
      <c r="BP40">
        <v>2816</v>
      </c>
      <c r="BQ40">
        <v>136.33009495339999</v>
      </c>
      <c r="BR40">
        <v>134.7507102273</v>
      </c>
      <c r="BS40">
        <v>1804</v>
      </c>
      <c r="BT40">
        <v>624</v>
      </c>
      <c r="BU40">
        <v>110.70898004430001</v>
      </c>
      <c r="BV40">
        <v>22744</v>
      </c>
      <c r="BW40">
        <v>2798</v>
      </c>
      <c r="BX40">
        <v>132.63876187130001</v>
      </c>
      <c r="BY40">
        <v>130.71015010720001</v>
      </c>
      <c r="CA40" t="s">
        <v>375</v>
      </c>
      <c r="CB40" t="s">
        <v>856</v>
      </c>
      <c r="CC40" t="s">
        <v>988</v>
      </c>
      <c r="CD40">
        <v>9642</v>
      </c>
      <c r="CE40">
        <v>2474</v>
      </c>
      <c r="CF40">
        <v>100.5702136486</v>
      </c>
      <c r="CG40">
        <v>19072</v>
      </c>
      <c r="CH40">
        <v>1981</v>
      </c>
      <c r="CI40">
        <v>140.18980704699999</v>
      </c>
      <c r="CJ40">
        <v>132.57849570920001</v>
      </c>
      <c r="CL40" t="s">
        <v>375</v>
      </c>
      <c r="CM40" t="s">
        <v>825</v>
      </c>
      <c r="CN40" t="s">
        <v>835</v>
      </c>
      <c r="CO40">
        <v>1721</v>
      </c>
      <c r="CP40">
        <v>194</v>
      </c>
      <c r="CQ40">
        <v>70.182452062799996</v>
      </c>
      <c r="CR40">
        <v>3907</v>
      </c>
      <c r="CS40">
        <v>451</v>
      </c>
      <c r="CT40">
        <v>93.993089326800003</v>
      </c>
      <c r="CU40">
        <v>99.742793791599993</v>
      </c>
      <c r="CW40" t="s">
        <v>375</v>
      </c>
      <c r="CX40" t="s">
        <v>841</v>
      </c>
      <c r="CY40" t="s">
        <v>851</v>
      </c>
      <c r="CZ40">
        <v>133</v>
      </c>
      <c r="DA40">
        <v>33</v>
      </c>
      <c r="DB40">
        <v>89.691729323299995</v>
      </c>
      <c r="DC40">
        <v>334</v>
      </c>
      <c r="DD40">
        <v>65</v>
      </c>
      <c r="DE40">
        <v>143.6766467066</v>
      </c>
      <c r="DF40">
        <v>132.1230769231</v>
      </c>
      <c r="DH40" t="s">
        <v>375</v>
      </c>
      <c r="DI40" t="s">
        <v>809</v>
      </c>
      <c r="DJ40" t="s">
        <v>819</v>
      </c>
      <c r="DK40">
        <v>86</v>
      </c>
      <c r="DL40">
        <v>21</v>
      </c>
      <c r="DM40">
        <v>92.174418604699994</v>
      </c>
      <c r="DN40">
        <v>280</v>
      </c>
      <c r="DO40">
        <v>37</v>
      </c>
      <c r="DP40">
        <v>130.375</v>
      </c>
      <c r="DQ40">
        <v>119.2702702703</v>
      </c>
    </row>
    <row r="41" spans="2:121" x14ac:dyDescent="0.2">
      <c r="B41" t="s">
        <v>124</v>
      </c>
      <c r="C41">
        <v>240</v>
      </c>
      <c r="D41">
        <v>76</v>
      </c>
      <c r="F41" t="s">
        <v>25</v>
      </c>
      <c r="G41">
        <v>11831</v>
      </c>
      <c r="H41">
        <v>369.9333107937</v>
      </c>
      <c r="I41">
        <v>17401</v>
      </c>
      <c r="J41">
        <v>4662</v>
      </c>
      <c r="K41">
        <v>17396</v>
      </c>
      <c r="L41">
        <v>12069</v>
      </c>
      <c r="M41">
        <v>7610</v>
      </c>
      <c r="N41">
        <v>5976</v>
      </c>
      <c r="O41">
        <v>10302</v>
      </c>
      <c r="P41">
        <v>9262</v>
      </c>
      <c r="Q41">
        <v>72</v>
      </c>
      <c r="R41">
        <v>18</v>
      </c>
      <c r="T41" t="s">
        <v>385</v>
      </c>
      <c r="U41">
        <v>3111</v>
      </c>
      <c r="V41">
        <v>88.006428800999998</v>
      </c>
      <c r="W41">
        <v>3239</v>
      </c>
      <c r="X41">
        <v>162</v>
      </c>
      <c r="Y41">
        <v>4293</v>
      </c>
      <c r="Z41">
        <v>445</v>
      </c>
      <c r="AA41">
        <v>26</v>
      </c>
      <c r="AB41">
        <v>21</v>
      </c>
      <c r="AC41">
        <v>248</v>
      </c>
      <c r="AD41">
        <v>90</v>
      </c>
      <c r="AE41">
        <v>3232</v>
      </c>
      <c r="AF41">
        <v>733</v>
      </c>
      <c r="AH41" t="s">
        <v>8</v>
      </c>
      <c r="AI41">
        <v>3387</v>
      </c>
      <c r="AJ41">
        <v>355.35045763210002</v>
      </c>
      <c r="AK41">
        <v>4515</v>
      </c>
      <c r="AL41">
        <v>1906</v>
      </c>
      <c r="AM41">
        <v>4686</v>
      </c>
      <c r="AN41">
        <v>3123</v>
      </c>
      <c r="AO41">
        <v>1405</v>
      </c>
      <c r="AP41">
        <v>960</v>
      </c>
      <c r="AQ41">
        <v>1228</v>
      </c>
      <c r="AR41">
        <v>823</v>
      </c>
      <c r="AS41">
        <v>489</v>
      </c>
      <c r="AT41">
        <v>159</v>
      </c>
      <c r="AV41" t="s">
        <v>60</v>
      </c>
      <c r="AW41">
        <v>1162</v>
      </c>
      <c r="AX41">
        <v>105.49569707400001</v>
      </c>
      <c r="AY41">
        <v>2296</v>
      </c>
      <c r="AZ41">
        <v>465</v>
      </c>
      <c r="BA41">
        <v>1617</v>
      </c>
      <c r="BB41">
        <v>534</v>
      </c>
      <c r="BC41">
        <v>10</v>
      </c>
      <c r="BD41">
        <v>9</v>
      </c>
      <c r="BE41">
        <v>52</v>
      </c>
      <c r="BF41">
        <v>20</v>
      </c>
      <c r="BG41">
        <v>188</v>
      </c>
      <c r="BH41">
        <v>297</v>
      </c>
      <c r="BJ41" t="s">
        <v>627</v>
      </c>
      <c r="BK41" t="s">
        <v>369</v>
      </c>
      <c r="BL41">
        <v>1157</v>
      </c>
      <c r="BM41">
        <v>158</v>
      </c>
      <c r="BN41">
        <v>73.265341400200001</v>
      </c>
      <c r="BO41">
        <v>3379</v>
      </c>
      <c r="BP41">
        <v>469</v>
      </c>
      <c r="BQ41">
        <v>106.19325244159999</v>
      </c>
      <c r="BR41">
        <v>89.522388059700006</v>
      </c>
      <c r="BS41">
        <v>1387</v>
      </c>
      <c r="BT41">
        <v>173</v>
      </c>
      <c r="BU41">
        <v>73.273972602699999</v>
      </c>
      <c r="BV41">
        <v>11500</v>
      </c>
      <c r="BW41">
        <v>1225</v>
      </c>
      <c r="BX41">
        <v>133.7471304348</v>
      </c>
      <c r="BY41">
        <v>88.537959183699996</v>
      </c>
      <c r="CA41" t="s">
        <v>372</v>
      </c>
      <c r="CB41" t="s">
        <v>856</v>
      </c>
      <c r="CC41" t="s">
        <v>989</v>
      </c>
      <c r="CD41">
        <v>891</v>
      </c>
      <c r="CE41">
        <v>172</v>
      </c>
      <c r="CF41">
        <v>78.526374859699999</v>
      </c>
      <c r="CG41">
        <v>2247</v>
      </c>
      <c r="CH41">
        <v>293</v>
      </c>
      <c r="CI41">
        <v>108.1570983534</v>
      </c>
      <c r="CJ41">
        <v>84.996587030699999</v>
      </c>
      <c r="CL41" t="s">
        <v>372</v>
      </c>
      <c r="CM41" t="s">
        <v>825</v>
      </c>
      <c r="CN41" t="s">
        <v>836</v>
      </c>
      <c r="CO41">
        <v>125</v>
      </c>
      <c r="CP41">
        <v>12</v>
      </c>
      <c r="CQ41">
        <v>68.152000000000001</v>
      </c>
      <c r="CR41">
        <v>305</v>
      </c>
      <c r="CS41">
        <v>30</v>
      </c>
      <c r="CT41">
        <v>94.445901639300004</v>
      </c>
      <c r="CU41">
        <v>79.566666666700002</v>
      </c>
      <c r="CW41" t="s">
        <v>372</v>
      </c>
      <c r="CX41" t="s">
        <v>841</v>
      </c>
      <c r="CY41" t="s">
        <v>852</v>
      </c>
      <c r="CZ41">
        <v>4</v>
      </c>
      <c r="DA41">
        <v>1</v>
      </c>
      <c r="DB41">
        <v>84.5</v>
      </c>
      <c r="DC41">
        <v>25</v>
      </c>
      <c r="DD41">
        <v>10</v>
      </c>
      <c r="DE41">
        <v>155.88</v>
      </c>
      <c r="DF41">
        <v>124</v>
      </c>
      <c r="DH41" t="s">
        <v>372</v>
      </c>
      <c r="DI41" t="s">
        <v>809</v>
      </c>
      <c r="DJ41" t="s">
        <v>820</v>
      </c>
      <c r="DK41">
        <v>4</v>
      </c>
      <c r="DL41">
        <v>0</v>
      </c>
      <c r="DM41">
        <v>34</v>
      </c>
      <c r="DN41">
        <v>21</v>
      </c>
      <c r="DO41">
        <v>1</v>
      </c>
      <c r="DP41">
        <v>130.09523809519999</v>
      </c>
      <c r="DQ41">
        <v>67</v>
      </c>
    </row>
    <row r="42" spans="2:121" x14ac:dyDescent="0.2">
      <c r="B42" t="s">
        <v>105</v>
      </c>
      <c r="C42">
        <v>7954</v>
      </c>
      <c r="D42">
        <v>6005</v>
      </c>
      <c r="F42" t="s">
        <v>66</v>
      </c>
      <c r="G42">
        <v>5831</v>
      </c>
      <c r="H42">
        <v>476.31744126220002</v>
      </c>
      <c r="I42">
        <v>4602</v>
      </c>
      <c r="J42">
        <v>829</v>
      </c>
      <c r="K42">
        <v>7175</v>
      </c>
      <c r="L42">
        <v>5434</v>
      </c>
      <c r="M42">
        <v>2899</v>
      </c>
      <c r="N42">
        <v>2721</v>
      </c>
      <c r="O42">
        <v>2156</v>
      </c>
      <c r="P42">
        <v>1443</v>
      </c>
      <c r="Q42">
        <v>0</v>
      </c>
      <c r="R42">
        <v>94</v>
      </c>
      <c r="T42" t="s">
        <v>404</v>
      </c>
      <c r="U42">
        <v>2632</v>
      </c>
      <c r="V42">
        <v>88.654635258400006</v>
      </c>
      <c r="W42">
        <v>3400</v>
      </c>
      <c r="X42">
        <v>121</v>
      </c>
      <c r="Y42">
        <v>3742</v>
      </c>
      <c r="Z42">
        <v>556</v>
      </c>
      <c r="AA42">
        <v>18</v>
      </c>
      <c r="AB42">
        <v>16</v>
      </c>
      <c r="AC42">
        <v>162</v>
      </c>
      <c r="AD42">
        <v>59</v>
      </c>
      <c r="AE42">
        <v>3678</v>
      </c>
      <c r="AF42">
        <v>801</v>
      </c>
      <c r="AH42" t="s">
        <v>375</v>
      </c>
      <c r="AI42">
        <v>6283</v>
      </c>
      <c r="AJ42">
        <v>465.61769855159997</v>
      </c>
      <c r="AK42">
        <v>10147</v>
      </c>
      <c r="AL42">
        <v>2578</v>
      </c>
      <c r="AM42">
        <v>9937</v>
      </c>
      <c r="AN42">
        <v>7324</v>
      </c>
      <c r="AO42">
        <v>1872</v>
      </c>
      <c r="AP42">
        <v>1488</v>
      </c>
      <c r="AQ42">
        <v>6610</v>
      </c>
      <c r="AR42">
        <v>5270</v>
      </c>
      <c r="AS42">
        <v>1682</v>
      </c>
      <c r="AT42">
        <v>15</v>
      </c>
      <c r="AV42" t="s">
        <v>411</v>
      </c>
      <c r="AW42">
        <v>273</v>
      </c>
      <c r="AX42">
        <v>66.677655677700002</v>
      </c>
      <c r="AY42">
        <v>262</v>
      </c>
      <c r="AZ42">
        <v>22</v>
      </c>
      <c r="BA42">
        <v>355</v>
      </c>
      <c r="BB42">
        <v>26</v>
      </c>
      <c r="BC42">
        <v>5</v>
      </c>
      <c r="BD42">
        <v>4</v>
      </c>
      <c r="BE42">
        <v>29</v>
      </c>
      <c r="BF42">
        <v>6</v>
      </c>
      <c r="BG42">
        <v>88</v>
      </c>
      <c r="BH42">
        <v>30</v>
      </c>
      <c r="BJ42" t="s">
        <v>629</v>
      </c>
      <c r="BK42" t="s">
        <v>369</v>
      </c>
      <c r="BL42">
        <v>530</v>
      </c>
      <c r="BM42">
        <v>147</v>
      </c>
      <c r="BN42">
        <v>96.9113207547</v>
      </c>
      <c r="BO42">
        <v>978</v>
      </c>
      <c r="BP42">
        <v>129</v>
      </c>
      <c r="BQ42">
        <v>135.1983640082</v>
      </c>
      <c r="BR42">
        <v>140.7131782946</v>
      </c>
      <c r="BS42">
        <v>169</v>
      </c>
      <c r="BT42">
        <v>68</v>
      </c>
      <c r="BU42">
        <v>109.2366863905</v>
      </c>
      <c r="BV42">
        <v>1442</v>
      </c>
      <c r="BW42">
        <v>200</v>
      </c>
      <c r="BX42">
        <v>146.0506241331</v>
      </c>
      <c r="BY42">
        <v>108.19</v>
      </c>
      <c r="CA42" t="s">
        <v>417</v>
      </c>
      <c r="CB42" t="s">
        <v>856</v>
      </c>
      <c r="CC42" t="s">
        <v>990</v>
      </c>
      <c r="CD42">
        <v>520</v>
      </c>
      <c r="CE42">
        <v>136</v>
      </c>
      <c r="CF42">
        <v>95.25</v>
      </c>
      <c r="CG42">
        <v>960</v>
      </c>
      <c r="CH42">
        <v>116</v>
      </c>
      <c r="CI42">
        <v>130.58125000000001</v>
      </c>
      <c r="CJ42">
        <v>128.61206896549999</v>
      </c>
      <c r="CL42" t="s">
        <v>417</v>
      </c>
      <c r="CM42" t="s">
        <v>825</v>
      </c>
      <c r="CN42" t="s">
        <v>837</v>
      </c>
      <c r="CO42">
        <v>37</v>
      </c>
      <c r="CP42">
        <v>7</v>
      </c>
      <c r="CQ42">
        <v>81.189189189199993</v>
      </c>
      <c r="CR42">
        <v>114</v>
      </c>
      <c r="CS42">
        <v>18</v>
      </c>
      <c r="CT42">
        <v>98.342105263199997</v>
      </c>
      <c r="CU42">
        <v>111.3888888889</v>
      </c>
      <c r="CW42" t="s">
        <v>417</v>
      </c>
      <c r="CX42" t="s">
        <v>841</v>
      </c>
      <c r="CY42" t="s">
        <v>853</v>
      </c>
      <c r="CZ42">
        <v>7</v>
      </c>
      <c r="DA42">
        <v>3</v>
      </c>
      <c r="DB42">
        <v>125.8571428571</v>
      </c>
      <c r="DC42">
        <v>7</v>
      </c>
      <c r="DD42">
        <v>0</v>
      </c>
      <c r="DE42">
        <v>135.42857142860001</v>
      </c>
      <c r="DF42">
        <v>0</v>
      </c>
      <c r="DH42" t="s">
        <v>417</v>
      </c>
      <c r="DI42" t="s">
        <v>809</v>
      </c>
      <c r="DJ42" t="s">
        <v>821</v>
      </c>
      <c r="DK42">
        <v>3</v>
      </c>
      <c r="DL42">
        <v>1</v>
      </c>
      <c r="DM42">
        <v>72.333333333300004</v>
      </c>
      <c r="DN42">
        <v>12</v>
      </c>
      <c r="DO42">
        <v>2</v>
      </c>
      <c r="DP42">
        <v>115.4166666667</v>
      </c>
      <c r="DQ42">
        <v>128</v>
      </c>
    </row>
    <row r="43" spans="2:121" x14ac:dyDescent="0.2">
      <c r="B43" t="s">
        <v>112</v>
      </c>
      <c r="C43">
        <v>7621</v>
      </c>
      <c r="D43">
        <v>544</v>
      </c>
      <c r="F43" t="s">
        <v>75</v>
      </c>
      <c r="G43">
        <v>3545</v>
      </c>
      <c r="H43">
        <v>217.56953455569999</v>
      </c>
      <c r="I43">
        <v>5587</v>
      </c>
      <c r="J43">
        <v>1046</v>
      </c>
      <c r="K43">
        <v>5200</v>
      </c>
      <c r="L43">
        <v>2595</v>
      </c>
      <c r="M43">
        <v>2053</v>
      </c>
      <c r="N43">
        <v>1738</v>
      </c>
      <c r="O43">
        <v>1626</v>
      </c>
      <c r="P43">
        <v>1380</v>
      </c>
      <c r="Q43">
        <v>1</v>
      </c>
      <c r="R43">
        <v>40</v>
      </c>
      <c r="AH43" t="s">
        <v>427</v>
      </c>
      <c r="AI43">
        <v>1269</v>
      </c>
      <c r="AJ43">
        <v>281.20567375889999</v>
      </c>
      <c r="AK43">
        <v>2188</v>
      </c>
      <c r="AL43">
        <v>554</v>
      </c>
      <c r="AM43">
        <v>3388</v>
      </c>
      <c r="AN43">
        <v>2473</v>
      </c>
      <c r="AO43">
        <v>1007</v>
      </c>
      <c r="AP43">
        <v>880</v>
      </c>
      <c r="AQ43">
        <v>2066</v>
      </c>
      <c r="AR43">
        <v>1400</v>
      </c>
      <c r="AS43">
        <v>436</v>
      </c>
      <c r="AT43">
        <v>2</v>
      </c>
      <c r="AV43" t="s">
        <v>416</v>
      </c>
      <c r="AW43">
        <v>125</v>
      </c>
      <c r="AX43">
        <v>120.232</v>
      </c>
      <c r="AY43">
        <v>148</v>
      </c>
      <c r="AZ43">
        <v>32</v>
      </c>
      <c r="BA43">
        <v>157</v>
      </c>
      <c r="BB43">
        <v>56</v>
      </c>
      <c r="BC43">
        <v>1</v>
      </c>
      <c r="BD43">
        <v>1</v>
      </c>
      <c r="BE43">
        <v>13</v>
      </c>
      <c r="BF43">
        <v>4</v>
      </c>
      <c r="BG43">
        <v>38</v>
      </c>
      <c r="BH43">
        <v>30</v>
      </c>
      <c r="BJ43" t="s">
        <v>643</v>
      </c>
      <c r="BK43" t="s">
        <v>369</v>
      </c>
      <c r="BL43">
        <v>735</v>
      </c>
      <c r="BM43">
        <v>152</v>
      </c>
      <c r="BN43">
        <v>87.225850340099996</v>
      </c>
      <c r="BO43">
        <v>1681</v>
      </c>
      <c r="BP43">
        <v>182</v>
      </c>
      <c r="BQ43">
        <v>141.24449732299999</v>
      </c>
      <c r="BR43">
        <v>149.0549450549</v>
      </c>
      <c r="BS43">
        <v>201</v>
      </c>
      <c r="BT43">
        <v>79</v>
      </c>
      <c r="BU43">
        <v>114.08457711440001</v>
      </c>
      <c r="BV43">
        <v>1031</v>
      </c>
      <c r="BW43">
        <v>109</v>
      </c>
      <c r="BX43">
        <v>124.38021338510001</v>
      </c>
      <c r="BY43">
        <v>148.6697247706</v>
      </c>
      <c r="CA43" t="s">
        <v>378</v>
      </c>
      <c r="CB43" t="s">
        <v>856</v>
      </c>
      <c r="CC43" t="s">
        <v>991</v>
      </c>
      <c r="CD43">
        <v>10740</v>
      </c>
      <c r="CE43">
        <v>2054</v>
      </c>
      <c r="CF43">
        <v>85.565456238400003</v>
      </c>
      <c r="CG43">
        <v>23660</v>
      </c>
      <c r="CH43">
        <v>2876</v>
      </c>
      <c r="CI43">
        <v>131.20067624679999</v>
      </c>
      <c r="CJ43">
        <v>127.1063977747</v>
      </c>
      <c r="CL43" t="s">
        <v>378</v>
      </c>
      <c r="CM43" t="s">
        <v>825</v>
      </c>
      <c r="CN43" t="s">
        <v>838</v>
      </c>
      <c r="CO43">
        <v>1002</v>
      </c>
      <c r="CP43">
        <v>122</v>
      </c>
      <c r="CQ43">
        <v>70.712574850300001</v>
      </c>
      <c r="CR43">
        <v>2070</v>
      </c>
      <c r="CS43">
        <v>217</v>
      </c>
      <c r="CT43">
        <v>99.395652173900004</v>
      </c>
      <c r="CU43">
        <v>104.5437788018</v>
      </c>
      <c r="CW43" t="s">
        <v>378</v>
      </c>
      <c r="CX43" t="s">
        <v>841</v>
      </c>
      <c r="CY43" t="s">
        <v>854</v>
      </c>
      <c r="CZ43">
        <v>499</v>
      </c>
      <c r="DA43">
        <v>108</v>
      </c>
      <c r="DB43">
        <v>87.629258516999997</v>
      </c>
      <c r="DC43">
        <v>1012</v>
      </c>
      <c r="DD43">
        <v>163</v>
      </c>
      <c r="DE43">
        <v>158.30138339920001</v>
      </c>
      <c r="DF43">
        <v>139.8895705521</v>
      </c>
      <c r="DH43" t="s">
        <v>378</v>
      </c>
      <c r="DI43" t="s">
        <v>809</v>
      </c>
      <c r="DJ43" t="s">
        <v>822</v>
      </c>
      <c r="DK43">
        <v>634</v>
      </c>
      <c r="DL43">
        <v>172</v>
      </c>
      <c r="DM43">
        <v>99</v>
      </c>
      <c r="DN43">
        <v>1726</v>
      </c>
      <c r="DO43">
        <v>340</v>
      </c>
      <c r="DP43">
        <v>152.77172653529999</v>
      </c>
      <c r="DQ43">
        <v>134.73823529410001</v>
      </c>
    </row>
    <row r="44" spans="2:121" x14ac:dyDescent="0.2">
      <c r="B44" t="s">
        <v>113</v>
      </c>
      <c r="C44">
        <v>16195</v>
      </c>
      <c r="D44">
        <v>3303</v>
      </c>
      <c r="F44" t="s">
        <v>32</v>
      </c>
      <c r="G44">
        <v>1933</v>
      </c>
      <c r="H44">
        <v>486.86394205900001</v>
      </c>
      <c r="I44">
        <v>1083</v>
      </c>
      <c r="J44">
        <v>272</v>
      </c>
      <c r="K44">
        <v>2606</v>
      </c>
      <c r="L44">
        <v>2112</v>
      </c>
      <c r="M44">
        <v>2139</v>
      </c>
      <c r="N44">
        <v>1839</v>
      </c>
      <c r="O44">
        <v>492</v>
      </c>
      <c r="P44">
        <v>318</v>
      </c>
      <c r="Q44">
        <v>0</v>
      </c>
      <c r="R44">
        <v>4</v>
      </c>
      <c r="AH44" t="s">
        <v>372</v>
      </c>
      <c r="AI44">
        <v>273</v>
      </c>
      <c r="AJ44">
        <v>270.46153846150003</v>
      </c>
      <c r="AK44">
        <v>893</v>
      </c>
      <c r="AL44">
        <v>178</v>
      </c>
      <c r="AM44">
        <v>532</v>
      </c>
      <c r="AN44">
        <v>240</v>
      </c>
      <c r="AO44">
        <v>226</v>
      </c>
      <c r="AP44">
        <v>174</v>
      </c>
      <c r="AQ44">
        <v>219</v>
      </c>
      <c r="AR44">
        <v>118</v>
      </c>
      <c r="AS44">
        <v>208</v>
      </c>
      <c r="AT44">
        <v>3</v>
      </c>
      <c r="AV44" t="s">
        <v>394</v>
      </c>
      <c r="AW44">
        <v>577</v>
      </c>
      <c r="AX44">
        <v>87.656845753900001</v>
      </c>
      <c r="AY44">
        <v>779</v>
      </c>
      <c r="AZ44">
        <v>79</v>
      </c>
      <c r="BA44">
        <v>736</v>
      </c>
      <c r="BB44">
        <v>85</v>
      </c>
      <c r="BC44">
        <v>1</v>
      </c>
      <c r="BE44">
        <v>54</v>
      </c>
      <c r="BF44">
        <v>10</v>
      </c>
      <c r="BG44">
        <v>97</v>
      </c>
      <c r="BH44">
        <v>137</v>
      </c>
      <c r="BJ44" t="s">
        <v>543</v>
      </c>
      <c r="BK44" t="s">
        <v>369</v>
      </c>
      <c r="BL44">
        <v>17004</v>
      </c>
      <c r="BM44">
        <v>4226</v>
      </c>
      <c r="BN44">
        <v>97.079922371199999</v>
      </c>
      <c r="BO44">
        <v>32718</v>
      </c>
      <c r="BP44">
        <v>3890</v>
      </c>
      <c r="BQ44">
        <v>144.78079344700001</v>
      </c>
      <c r="BR44">
        <v>137.78997429309999</v>
      </c>
      <c r="BS44">
        <v>3324</v>
      </c>
      <c r="BT44">
        <v>1178</v>
      </c>
      <c r="BU44">
        <v>109.96600481350001</v>
      </c>
      <c r="BV44">
        <v>21457</v>
      </c>
      <c r="BW44">
        <v>2808</v>
      </c>
      <c r="BX44">
        <v>137.33919000789999</v>
      </c>
      <c r="BY44">
        <v>150.18945868949999</v>
      </c>
      <c r="CA44" t="s">
        <v>379</v>
      </c>
      <c r="CB44" t="s">
        <v>856</v>
      </c>
      <c r="CC44" t="s">
        <v>992</v>
      </c>
      <c r="CD44">
        <v>2693</v>
      </c>
      <c r="CE44">
        <v>487</v>
      </c>
      <c r="CF44">
        <v>83.407723728199997</v>
      </c>
      <c r="CG44">
        <v>5999</v>
      </c>
      <c r="CH44">
        <v>886</v>
      </c>
      <c r="CI44">
        <v>118.61143523920001</v>
      </c>
      <c r="CJ44">
        <v>109.81038374720001</v>
      </c>
      <c r="CL44" t="s">
        <v>379</v>
      </c>
      <c r="CM44" t="s">
        <v>825</v>
      </c>
      <c r="CN44" t="s">
        <v>839</v>
      </c>
      <c r="CO44">
        <v>250</v>
      </c>
      <c r="CP44">
        <v>40</v>
      </c>
      <c r="CQ44">
        <v>76.748000000000005</v>
      </c>
      <c r="CR44">
        <v>713</v>
      </c>
      <c r="CS44">
        <v>88</v>
      </c>
      <c r="CT44">
        <v>95.858345021000005</v>
      </c>
      <c r="CU44">
        <v>92.409090909100001</v>
      </c>
      <c r="CW44" t="s">
        <v>379</v>
      </c>
      <c r="CX44" t="s">
        <v>841</v>
      </c>
      <c r="CY44" t="s">
        <v>855</v>
      </c>
      <c r="CZ44">
        <v>19</v>
      </c>
      <c r="DA44">
        <v>3</v>
      </c>
      <c r="DB44">
        <v>71.894736842100002</v>
      </c>
      <c r="DC44">
        <v>35</v>
      </c>
      <c r="DD44">
        <v>5</v>
      </c>
      <c r="DE44">
        <v>148.57142857139999</v>
      </c>
      <c r="DF44">
        <v>140.80000000000001</v>
      </c>
      <c r="DH44" t="s">
        <v>379</v>
      </c>
      <c r="DI44" t="s">
        <v>809</v>
      </c>
      <c r="DJ44" t="s">
        <v>823</v>
      </c>
      <c r="DK44">
        <v>19</v>
      </c>
      <c r="DL44">
        <v>4</v>
      </c>
      <c r="DM44">
        <v>69.947368421099995</v>
      </c>
      <c r="DN44">
        <v>61</v>
      </c>
      <c r="DO44">
        <v>13</v>
      </c>
      <c r="DP44">
        <v>139.96721311479999</v>
      </c>
      <c r="DQ44">
        <v>113.9230769231</v>
      </c>
    </row>
    <row r="45" spans="2:121" x14ac:dyDescent="0.2">
      <c r="B45" t="s">
        <v>127</v>
      </c>
      <c r="C45">
        <v>64509</v>
      </c>
      <c r="D45">
        <v>55242</v>
      </c>
      <c r="F45" t="s">
        <v>63</v>
      </c>
      <c r="G45">
        <v>5393</v>
      </c>
      <c r="H45">
        <v>511.17448544410001</v>
      </c>
      <c r="I45">
        <v>14178</v>
      </c>
      <c r="J45">
        <v>3262</v>
      </c>
      <c r="K45">
        <v>8097</v>
      </c>
      <c r="L45">
        <v>6224</v>
      </c>
      <c r="M45">
        <v>2509</v>
      </c>
      <c r="N45">
        <v>1483</v>
      </c>
      <c r="O45">
        <v>7202</v>
      </c>
      <c r="P45">
        <v>6446</v>
      </c>
      <c r="Q45">
        <v>14530</v>
      </c>
      <c r="R45">
        <v>0</v>
      </c>
      <c r="AH45" t="s">
        <v>383</v>
      </c>
      <c r="AI45">
        <v>7878</v>
      </c>
      <c r="AJ45">
        <v>334.7666920538</v>
      </c>
      <c r="AK45">
        <v>9470</v>
      </c>
      <c r="AL45">
        <v>2550</v>
      </c>
      <c r="AM45">
        <v>11113</v>
      </c>
      <c r="AN45">
        <v>7549</v>
      </c>
      <c r="AO45">
        <v>2896</v>
      </c>
      <c r="AP45">
        <v>2207</v>
      </c>
      <c r="AQ45">
        <v>3800</v>
      </c>
      <c r="AR45">
        <v>2393</v>
      </c>
      <c r="AS45">
        <v>751</v>
      </c>
      <c r="AT45">
        <v>59</v>
      </c>
      <c r="AV45" t="s">
        <v>421</v>
      </c>
      <c r="AW45">
        <v>18</v>
      </c>
      <c r="AX45">
        <v>82.666666666699996</v>
      </c>
      <c r="AY45">
        <v>28</v>
      </c>
      <c r="BA45">
        <v>40</v>
      </c>
      <c r="BB45">
        <v>12</v>
      </c>
      <c r="BC45">
        <v>0</v>
      </c>
      <c r="BE45">
        <v>0</v>
      </c>
      <c r="BG45">
        <v>71</v>
      </c>
      <c r="BH45">
        <v>7</v>
      </c>
      <c r="BJ45" t="s">
        <v>8</v>
      </c>
      <c r="BK45" t="s">
        <v>8</v>
      </c>
      <c r="BL45">
        <v>399</v>
      </c>
      <c r="BM45">
        <v>62</v>
      </c>
      <c r="BN45">
        <v>106.6365914787</v>
      </c>
      <c r="BO45">
        <v>521</v>
      </c>
      <c r="BP45">
        <v>15</v>
      </c>
      <c r="BQ45">
        <v>223.3934740883</v>
      </c>
      <c r="BR45">
        <v>294.53333333329999</v>
      </c>
      <c r="BS45">
        <v>230064</v>
      </c>
      <c r="BT45">
        <v>43026</v>
      </c>
      <c r="BU45">
        <v>86.959328708499996</v>
      </c>
      <c r="BV45">
        <v>12</v>
      </c>
      <c r="BW45">
        <v>3</v>
      </c>
      <c r="BX45">
        <v>147.8333333333</v>
      </c>
      <c r="BY45">
        <v>246.3333333333</v>
      </c>
      <c r="CA45" t="s">
        <v>369</v>
      </c>
      <c r="CB45" t="s">
        <v>856</v>
      </c>
      <c r="CD45">
        <v>68704</v>
      </c>
      <c r="CE45">
        <v>15671</v>
      </c>
      <c r="CF45">
        <v>93.314202957600003</v>
      </c>
      <c r="CG45">
        <v>146533</v>
      </c>
      <c r="CH45">
        <v>16927</v>
      </c>
      <c r="CI45">
        <v>132.29662942819999</v>
      </c>
      <c r="CJ45">
        <v>124.3832338867</v>
      </c>
      <c r="CL45" t="s">
        <v>369</v>
      </c>
      <c r="CM45" t="s">
        <v>825</v>
      </c>
      <c r="CO45">
        <v>8301</v>
      </c>
      <c r="CP45">
        <v>968</v>
      </c>
      <c r="CQ45">
        <v>71.763281532299999</v>
      </c>
      <c r="CR45">
        <v>19030</v>
      </c>
      <c r="CS45">
        <v>2176</v>
      </c>
      <c r="CT45">
        <v>95.838465580700003</v>
      </c>
      <c r="CU45">
        <v>102.1341911765</v>
      </c>
      <c r="CW45" t="s">
        <v>369</v>
      </c>
      <c r="CX45" t="s">
        <v>841</v>
      </c>
      <c r="CZ45">
        <v>1730</v>
      </c>
      <c r="DA45">
        <v>378</v>
      </c>
      <c r="DB45">
        <v>84.705202312099999</v>
      </c>
      <c r="DC45">
        <v>3665</v>
      </c>
      <c r="DD45">
        <v>634</v>
      </c>
      <c r="DE45">
        <v>151.1858117326</v>
      </c>
      <c r="DF45">
        <v>141.70504731860001</v>
      </c>
      <c r="DH45" t="s">
        <v>369</v>
      </c>
      <c r="DI45" t="s">
        <v>809</v>
      </c>
      <c r="DK45">
        <v>1889</v>
      </c>
      <c r="DL45">
        <v>441</v>
      </c>
      <c r="DM45">
        <v>90.880889359400001</v>
      </c>
      <c r="DN45">
        <v>5050</v>
      </c>
      <c r="DO45">
        <v>913</v>
      </c>
      <c r="DP45">
        <v>145.98712871289999</v>
      </c>
      <c r="DQ45">
        <v>133.00547645130001</v>
      </c>
    </row>
    <row r="46" spans="2:121" x14ac:dyDescent="0.2">
      <c r="B46" t="s">
        <v>126</v>
      </c>
      <c r="C46">
        <v>10328</v>
      </c>
      <c r="D46">
        <v>6755</v>
      </c>
      <c r="F46" t="s">
        <v>81</v>
      </c>
      <c r="G46">
        <v>1583</v>
      </c>
      <c r="H46">
        <v>212.1257106759</v>
      </c>
      <c r="I46">
        <v>2111</v>
      </c>
      <c r="J46">
        <v>340</v>
      </c>
      <c r="K46">
        <v>2221</v>
      </c>
      <c r="L46">
        <v>1109</v>
      </c>
      <c r="M46">
        <v>992</v>
      </c>
      <c r="N46">
        <v>517</v>
      </c>
      <c r="O46">
        <v>245</v>
      </c>
      <c r="P46">
        <v>137</v>
      </c>
      <c r="Q46">
        <v>0</v>
      </c>
      <c r="R46">
        <v>6</v>
      </c>
      <c r="AH46" t="s">
        <v>420</v>
      </c>
      <c r="AI46">
        <v>291</v>
      </c>
      <c r="AJ46">
        <v>201.7800687285</v>
      </c>
      <c r="AK46">
        <v>1010</v>
      </c>
      <c r="AL46">
        <v>231</v>
      </c>
      <c r="AM46">
        <v>497</v>
      </c>
      <c r="AN46">
        <v>170</v>
      </c>
      <c r="AO46">
        <v>290</v>
      </c>
      <c r="AP46">
        <v>129</v>
      </c>
      <c r="AQ46">
        <v>165</v>
      </c>
      <c r="AR46">
        <v>84</v>
      </c>
      <c r="AS46">
        <v>4</v>
      </c>
      <c r="AT46">
        <v>0</v>
      </c>
      <c r="AV46" t="s">
        <v>389</v>
      </c>
      <c r="AW46">
        <v>309</v>
      </c>
      <c r="AX46">
        <v>66.741100323599994</v>
      </c>
      <c r="AY46">
        <v>285</v>
      </c>
      <c r="AZ46">
        <v>23</v>
      </c>
      <c r="BA46">
        <v>421</v>
      </c>
      <c r="BB46">
        <v>54</v>
      </c>
      <c r="BC46">
        <v>3</v>
      </c>
      <c r="BD46">
        <v>3</v>
      </c>
      <c r="BE46">
        <v>42</v>
      </c>
      <c r="BF46">
        <v>5</v>
      </c>
      <c r="BG46">
        <v>71</v>
      </c>
      <c r="BH46">
        <v>33</v>
      </c>
      <c r="BJ46" t="s">
        <v>686</v>
      </c>
      <c r="BK46" t="s">
        <v>8</v>
      </c>
      <c r="BL46">
        <v>399</v>
      </c>
      <c r="BM46">
        <v>62</v>
      </c>
      <c r="BN46">
        <v>106.6365914787</v>
      </c>
      <c r="BO46">
        <v>521</v>
      </c>
      <c r="BP46">
        <v>15</v>
      </c>
      <c r="BQ46">
        <v>223.3934740883</v>
      </c>
      <c r="BR46">
        <v>294.53333333329999</v>
      </c>
      <c r="BS46">
        <v>230064</v>
      </c>
      <c r="BT46">
        <v>43026</v>
      </c>
      <c r="BU46">
        <v>86.959328708499996</v>
      </c>
      <c r="BV46">
        <v>12</v>
      </c>
      <c r="BW46">
        <v>3</v>
      </c>
      <c r="BX46">
        <v>147.8333333333</v>
      </c>
      <c r="BY46">
        <v>246.3333333333</v>
      </c>
      <c r="CA46" t="s">
        <v>8</v>
      </c>
      <c r="CB46" t="s">
        <v>686</v>
      </c>
      <c r="CC46" t="s">
        <v>686</v>
      </c>
      <c r="CD46">
        <v>3709</v>
      </c>
      <c r="CE46">
        <v>1435</v>
      </c>
      <c r="CF46">
        <v>123.17875438119999</v>
      </c>
      <c r="CG46">
        <v>6042</v>
      </c>
      <c r="CH46">
        <v>600</v>
      </c>
      <c r="CI46">
        <v>170.43214167490001</v>
      </c>
      <c r="CJ46">
        <v>163.75</v>
      </c>
      <c r="CL46" t="s">
        <v>8</v>
      </c>
      <c r="CM46" t="s">
        <v>858</v>
      </c>
      <c r="CN46" t="s">
        <v>858</v>
      </c>
      <c r="CO46">
        <v>222</v>
      </c>
      <c r="CP46">
        <v>28</v>
      </c>
      <c r="CQ46">
        <v>75.878378378400001</v>
      </c>
      <c r="CR46">
        <v>587</v>
      </c>
      <c r="CS46">
        <v>61</v>
      </c>
      <c r="CT46">
        <v>96.954003407200005</v>
      </c>
      <c r="CU46">
        <v>103.9180327869</v>
      </c>
      <c r="CW46" t="s">
        <v>8</v>
      </c>
      <c r="CX46" t="s">
        <v>859</v>
      </c>
      <c r="CY46" t="s">
        <v>859</v>
      </c>
      <c r="CZ46">
        <v>22</v>
      </c>
      <c r="DA46">
        <v>5</v>
      </c>
      <c r="DB46">
        <v>93.454545454500007</v>
      </c>
      <c r="DC46">
        <v>39</v>
      </c>
      <c r="DD46">
        <v>6</v>
      </c>
      <c r="DE46">
        <v>132.23076923080001</v>
      </c>
      <c r="DF46">
        <v>121.1666666667</v>
      </c>
      <c r="DH46" t="s">
        <v>8</v>
      </c>
      <c r="DI46" t="s">
        <v>857</v>
      </c>
      <c r="DJ46" t="s">
        <v>857</v>
      </c>
      <c r="DK46">
        <v>73</v>
      </c>
      <c r="DL46">
        <v>10</v>
      </c>
      <c r="DM46">
        <v>74.643835616399997</v>
      </c>
      <c r="DN46">
        <v>102</v>
      </c>
      <c r="DO46">
        <v>10</v>
      </c>
      <c r="DP46">
        <v>118.8431372549</v>
      </c>
      <c r="DQ46">
        <v>95.9</v>
      </c>
    </row>
    <row r="47" spans="2:121" x14ac:dyDescent="0.2">
      <c r="B47" t="s">
        <v>108</v>
      </c>
      <c r="C47">
        <v>469</v>
      </c>
      <c r="D47">
        <v>378</v>
      </c>
      <c r="F47" t="s">
        <v>78</v>
      </c>
      <c r="G47">
        <v>1194</v>
      </c>
      <c r="H47">
        <v>297.57286432159998</v>
      </c>
      <c r="I47">
        <v>1095</v>
      </c>
      <c r="J47">
        <v>157</v>
      </c>
      <c r="K47">
        <v>1864</v>
      </c>
      <c r="L47">
        <v>1089</v>
      </c>
      <c r="M47">
        <v>941</v>
      </c>
      <c r="N47">
        <v>740</v>
      </c>
      <c r="O47">
        <v>242</v>
      </c>
      <c r="P47">
        <v>190</v>
      </c>
      <c r="Q47">
        <v>1</v>
      </c>
      <c r="R47">
        <v>0</v>
      </c>
      <c r="AH47" t="s">
        <v>384</v>
      </c>
      <c r="AI47">
        <v>4011</v>
      </c>
      <c r="AJ47">
        <v>299.16130640739999</v>
      </c>
      <c r="AK47">
        <v>8906</v>
      </c>
      <c r="AL47">
        <v>1620</v>
      </c>
      <c r="AM47">
        <v>6928</v>
      </c>
      <c r="AN47">
        <v>3753</v>
      </c>
      <c r="AO47">
        <v>2865</v>
      </c>
      <c r="AP47">
        <v>2334</v>
      </c>
      <c r="AQ47">
        <v>3111</v>
      </c>
      <c r="AR47">
        <v>1936</v>
      </c>
      <c r="AS47">
        <v>762</v>
      </c>
      <c r="AT47">
        <v>282</v>
      </c>
      <c r="AV47" t="s">
        <v>423</v>
      </c>
      <c r="AW47">
        <v>64</v>
      </c>
      <c r="AX47">
        <v>113.421875</v>
      </c>
      <c r="AY47">
        <v>87</v>
      </c>
      <c r="AZ47">
        <v>20</v>
      </c>
      <c r="BA47">
        <v>85</v>
      </c>
      <c r="BB47">
        <v>35</v>
      </c>
      <c r="BC47">
        <v>2</v>
      </c>
      <c r="BD47">
        <v>2</v>
      </c>
      <c r="BE47">
        <v>8</v>
      </c>
      <c r="BF47">
        <v>1</v>
      </c>
      <c r="BG47">
        <v>14</v>
      </c>
      <c r="BH47">
        <v>13</v>
      </c>
      <c r="BJ47" t="s">
        <v>586</v>
      </c>
      <c r="BK47" t="s">
        <v>404</v>
      </c>
      <c r="BL47">
        <v>2793</v>
      </c>
      <c r="BM47">
        <v>497</v>
      </c>
      <c r="BN47">
        <v>81.105263157899998</v>
      </c>
      <c r="BO47">
        <v>6242</v>
      </c>
      <c r="BP47">
        <v>697</v>
      </c>
      <c r="BQ47">
        <v>136.34540211469999</v>
      </c>
      <c r="BR47">
        <v>130.32424677189999</v>
      </c>
      <c r="BS47">
        <v>581</v>
      </c>
      <c r="BT47">
        <v>170</v>
      </c>
      <c r="BU47">
        <v>97.256454388999998</v>
      </c>
      <c r="BV47">
        <v>5794</v>
      </c>
      <c r="BW47">
        <v>766</v>
      </c>
      <c r="BX47">
        <v>135.7038315499</v>
      </c>
      <c r="BY47">
        <v>124.72976501310001</v>
      </c>
      <c r="CA47" t="s">
        <v>8</v>
      </c>
      <c r="CB47" t="s">
        <v>686</v>
      </c>
      <c r="CC47" t="s">
        <v>686</v>
      </c>
      <c r="CD47">
        <v>3709</v>
      </c>
      <c r="CE47">
        <v>1435</v>
      </c>
      <c r="CF47">
        <v>123.17875438119999</v>
      </c>
      <c r="CG47">
        <v>6042</v>
      </c>
      <c r="CH47">
        <v>600</v>
      </c>
      <c r="CI47">
        <v>170.43214167490001</v>
      </c>
      <c r="CJ47">
        <v>163.75</v>
      </c>
      <c r="CL47" t="s">
        <v>8</v>
      </c>
      <c r="CM47" t="s">
        <v>858</v>
      </c>
      <c r="CN47" t="s">
        <v>858</v>
      </c>
      <c r="CO47">
        <v>222</v>
      </c>
      <c r="CP47">
        <v>28</v>
      </c>
      <c r="CQ47">
        <v>75.878378378400001</v>
      </c>
      <c r="CR47">
        <v>587</v>
      </c>
      <c r="CS47">
        <v>61</v>
      </c>
      <c r="CT47">
        <v>96.954003407200005</v>
      </c>
      <c r="CU47">
        <v>103.9180327869</v>
      </c>
      <c r="CW47" t="s">
        <v>8</v>
      </c>
      <c r="CX47" t="s">
        <v>859</v>
      </c>
      <c r="CY47" t="s">
        <v>859</v>
      </c>
      <c r="CZ47">
        <v>22</v>
      </c>
      <c r="DA47">
        <v>5</v>
      </c>
      <c r="DB47">
        <v>93.454545454500007</v>
      </c>
      <c r="DC47">
        <v>39</v>
      </c>
      <c r="DD47">
        <v>6</v>
      </c>
      <c r="DE47">
        <v>132.23076923080001</v>
      </c>
      <c r="DF47">
        <v>121.1666666667</v>
      </c>
      <c r="DH47" t="s">
        <v>8</v>
      </c>
      <c r="DI47" t="s">
        <v>857</v>
      </c>
      <c r="DJ47" t="s">
        <v>857</v>
      </c>
      <c r="DK47">
        <v>73</v>
      </c>
      <c r="DL47">
        <v>10</v>
      </c>
      <c r="DM47">
        <v>74.643835616399997</v>
      </c>
      <c r="DN47">
        <v>102</v>
      </c>
      <c r="DO47">
        <v>10</v>
      </c>
      <c r="DP47">
        <v>118.8431372549</v>
      </c>
      <c r="DQ47">
        <v>95.9</v>
      </c>
    </row>
    <row r="48" spans="2:121" x14ac:dyDescent="0.2">
      <c r="B48" t="s">
        <v>102</v>
      </c>
      <c r="C48">
        <v>22358</v>
      </c>
      <c r="D48">
        <v>15679</v>
      </c>
      <c r="F48" t="s">
        <v>40</v>
      </c>
      <c r="G48">
        <v>6049</v>
      </c>
      <c r="H48">
        <v>441.87948421229999</v>
      </c>
      <c r="I48">
        <v>7115</v>
      </c>
      <c r="J48">
        <v>2304</v>
      </c>
      <c r="K48">
        <v>8356</v>
      </c>
      <c r="L48">
        <v>5658</v>
      </c>
      <c r="M48">
        <v>3531</v>
      </c>
      <c r="N48">
        <v>2854</v>
      </c>
      <c r="O48">
        <v>713</v>
      </c>
      <c r="P48">
        <v>454</v>
      </c>
      <c r="Q48">
        <v>0</v>
      </c>
      <c r="R48">
        <v>54</v>
      </c>
      <c r="AH48" t="s">
        <v>410</v>
      </c>
      <c r="AI48">
        <v>24170</v>
      </c>
      <c r="AJ48">
        <v>363.14642118329999</v>
      </c>
      <c r="AK48">
        <v>35525</v>
      </c>
      <c r="AL48">
        <v>7281</v>
      </c>
      <c r="AM48">
        <v>34011</v>
      </c>
      <c r="AN48">
        <v>21642</v>
      </c>
      <c r="AO48">
        <v>9147</v>
      </c>
      <c r="AP48">
        <v>6458</v>
      </c>
      <c r="AQ48">
        <v>17793</v>
      </c>
      <c r="AR48">
        <v>9597</v>
      </c>
      <c r="AS48">
        <v>21</v>
      </c>
      <c r="AT48">
        <v>432</v>
      </c>
      <c r="AV48" t="s">
        <v>419</v>
      </c>
      <c r="AW48">
        <v>43</v>
      </c>
      <c r="AX48">
        <v>172.97674418599999</v>
      </c>
      <c r="AY48">
        <v>33</v>
      </c>
      <c r="BA48">
        <v>56</v>
      </c>
      <c r="BB48">
        <v>6</v>
      </c>
      <c r="BC48">
        <v>0</v>
      </c>
      <c r="BE48">
        <v>3</v>
      </c>
      <c r="BF48">
        <v>1</v>
      </c>
      <c r="BG48">
        <v>63</v>
      </c>
      <c r="BH48">
        <v>6</v>
      </c>
      <c r="BJ48" t="s">
        <v>645</v>
      </c>
      <c r="BK48" t="s">
        <v>404</v>
      </c>
      <c r="BL48">
        <v>1150</v>
      </c>
      <c r="BM48">
        <v>276</v>
      </c>
      <c r="BN48">
        <v>100.1417391304</v>
      </c>
      <c r="BO48">
        <v>2062</v>
      </c>
      <c r="BP48">
        <v>249</v>
      </c>
      <c r="BQ48">
        <v>140.44568380210001</v>
      </c>
      <c r="BR48">
        <v>133.3815261044</v>
      </c>
      <c r="BS48">
        <v>175</v>
      </c>
      <c r="BT48">
        <v>63</v>
      </c>
      <c r="BU48">
        <v>122.6</v>
      </c>
      <c r="BV48">
        <v>1758</v>
      </c>
      <c r="BW48">
        <v>182</v>
      </c>
      <c r="BX48">
        <v>149.8486916951</v>
      </c>
      <c r="BY48">
        <v>143.47252747249999</v>
      </c>
      <c r="CA48" t="s">
        <v>8</v>
      </c>
      <c r="CB48" t="s">
        <v>686</v>
      </c>
      <c r="CC48" t="s">
        <v>686</v>
      </c>
      <c r="CD48">
        <v>3709</v>
      </c>
      <c r="CE48">
        <v>1435</v>
      </c>
      <c r="CF48">
        <v>123.17875438119999</v>
      </c>
      <c r="CG48">
        <v>6042</v>
      </c>
      <c r="CH48">
        <v>600</v>
      </c>
      <c r="CI48">
        <v>170.43214167490001</v>
      </c>
      <c r="CJ48">
        <v>163.75</v>
      </c>
      <c r="CL48" t="s">
        <v>8</v>
      </c>
      <c r="CM48" t="s">
        <v>858</v>
      </c>
      <c r="CN48" t="s">
        <v>858</v>
      </c>
      <c r="CO48">
        <v>222</v>
      </c>
      <c r="CP48">
        <v>28</v>
      </c>
      <c r="CQ48">
        <v>75.878378378400001</v>
      </c>
      <c r="CR48">
        <v>587</v>
      </c>
      <c r="CS48">
        <v>61</v>
      </c>
      <c r="CT48">
        <v>96.954003407200005</v>
      </c>
      <c r="CU48">
        <v>103.9180327869</v>
      </c>
      <c r="CW48" t="s">
        <v>8</v>
      </c>
      <c r="CX48" t="s">
        <v>859</v>
      </c>
      <c r="CY48" t="s">
        <v>859</v>
      </c>
      <c r="CZ48">
        <v>22</v>
      </c>
      <c r="DA48">
        <v>5</v>
      </c>
      <c r="DB48">
        <v>93.454545454500007</v>
      </c>
      <c r="DC48">
        <v>39</v>
      </c>
      <c r="DD48">
        <v>6</v>
      </c>
      <c r="DE48">
        <v>132.23076923080001</v>
      </c>
      <c r="DF48">
        <v>121.1666666667</v>
      </c>
      <c r="DH48" t="s">
        <v>8</v>
      </c>
      <c r="DI48" t="s">
        <v>857</v>
      </c>
      <c r="DJ48" t="s">
        <v>857</v>
      </c>
      <c r="DK48">
        <v>73</v>
      </c>
      <c r="DL48">
        <v>10</v>
      </c>
      <c r="DM48">
        <v>74.643835616399997</v>
      </c>
      <c r="DN48">
        <v>102</v>
      </c>
      <c r="DO48">
        <v>10</v>
      </c>
      <c r="DP48">
        <v>118.8431372549</v>
      </c>
      <c r="DQ48">
        <v>95.9</v>
      </c>
    </row>
    <row r="49" spans="2:121" x14ac:dyDescent="0.2">
      <c r="B49" t="s">
        <v>21</v>
      </c>
      <c r="C49">
        <v>33798</v>
      </c>
      <c r="D49">
        <v>10706</v>
      </c>
      <c r="F49" t="s">
        <v>76</v>
      </c>
      <c r="G49">
        <v>3275</v>
      </c>
      <c r="H49">
        <v>208.66473282440001</v>
      </c>
      <c r="I49">
        <v>10493</v>
      </c>
      <c r="J49">
        <v>1489</v>
      </c>
      <c r="K49">
        <v>8377</v>
      </c>
      <c r="L49">
        <v>4067</v>
      </c>
      <c r="M49">
        <v>3329</v>
      </c>
      <c r="N49">
        <v>2255</v>
      </c>
      <c r="O49">
        <v>1119</v>
      </c>
      <c r="P49">
        <v>670</v>
      </c>
      <c r="Q49">
        <v>38</v>
      </c>
      <c r="R49">
        <v>0</v>
      </c>
      <c r="AH49" t="s">
        <v>406</v>
      </c>
      <c r="AI49">
        <v>925</v>
      </c>
      <c r="AJ49">
        <v>294.27567567569997</v>
      </c>
      <c r="AK49">
        <v>2169</v>
      </c>
      <c r="AL49">
        <v>554</v>
      </c>
      <c r="AM49">
        <v>1399</v>
      </c>
      <c r="AN49">
        <v>759</v>
      </c>
      <c r="AO49">
        <v>417</v>
      </c>
      <c r="AP49">
        <v>275</v>
      </c>
      <c r="AQ49">
        <v>550</v>
      </c>
      <c r="AR49">
        <v>301</v>
      </c>
      <c r="AS49">
        <v>0</v>
      </c>
      <c r="AT49">
        <v>3</v>
      </c>
      <c r="AV49" t="s">
        <v>378</v>
      </c>
      <c r="AW49">
        <v>863</v>
      </c>
      <c r="AX49">
        <v>104.9188876014</v>
      </c>
      <c r="AY49">
        <v>939</v>
      </c>
      <c r="AZ49">
        <v>132</v>
      </c>
      <c r="BA49">
        <v>1180</v>
      </c>
      <c r="BB49">
        <v>383</v>
      </c>
      <c r="BC49">
        <v>134</v>
      </c>
      <c r="BD49">
        <v>133</v>
      </c>
      <c r="BE49">
        <v>58</v>
      </c>
      <c r="BF49">
        <v>19</v>
      </c>
      <c r="BG49">
        <v>200</v>
      </c>
      <c r="BH49">
        <v>272</v>
      </c>
      <c r="BJ49" t="s">
        <v>601</v>
      </c>
      <c r="BK49" t="s">
        <v>404</v>
      </c>
      <c r="BL49">
        <v>1534</v>
      </c>
      <c r="BM49">
        <v>344</v>
      </c>
      <c r="BN49">
        <v>92.371577575000003</v>
      </c>
      <c r="BO49">
        <v>3159</v>
      </c>
      <c r="BP49">
        <v>245</v>
      </c>
      <c r="BQ49">
        <v>113.13801836019999</v>
      </c>
      <c r="BR49">
        <v>123.57142857140001</v>
      </c>
      <c r="BS49">
        <v>439</v>
      </c>
      <c r="BT49">
        <v>122</v>
      </c>
      <c r="BU49">
        <v>95.945330296099996</v>
      </c>
      <c r="BV49">
        <v>4037</v>
      </c>
      <c r="BW49">
        <v>458</v>
      </c>
      <c r="BX49">
        <v>117.67203368840001</v>
      </c>
      <c r="BY49">
        <v>105.172489083</v>
      </c>
      <c r="CA49" t="s">
        <v>8</v>
      </c>
      <c r="CB49" t="s">
        <v>686</v>
      </c>
      <c r="CD49">
        <v>3709</v>
      </c>
      <c r="CE49">
        <v>1435</v>
      </c>
      <c r="CF49">
        <v>123.17875438119999</v>
      </c>
      <c r="CG49">
        <v>6042</v>
      </c>
      <c r="CH49">
        <v>600</v>
      </c>
      <c r="CI49">
        <v>170.43214167490001</v>
      </c>
      <c r="CJ49">
        <v>163.75</v>
      </c>
      <c r="CL49" t="s">
        <v>8</v>
      </c>
      <c r="CM49" t="s">
        <v>858</v>
      </c>
      <c r="CO49">
        <v>222</v>
      </c>
      <c r="CP49">
        <v>28</v>
      </c>
      <c r="CQ49">
        <v>75.878378378400001</v>
      </c>
      <c r="CR49">
        <v>587</v>
      </c>
      <c r="CS49">
        <v>61</v>
      </c>
      <c r="CT49">
        <v>96.954003407200005</v>
      </c>
      <c r="CU49">
        <v>103.9180327869</v>
      </c>
      <c r="CW49" t="s">
        <v>8</v>
      </c>
      <c r="CX49" t="s">
        <v>859</v>
      </c>
      <c r="CZ49">
        <v>22</v>
      </c>
      <c r="DA49">
        <v>5</v>
      </c>
      <c r="DB49">
        <v>93.454545454500007</v>
      </c>
      <c r="DC49">
        <v>39</v>
      </c>
      <c r="DD49">
        <v>6</v>
      </c>
      <c r="DE49">
        <v>132.23076923080001</v>
      </c>
      <c r="DF49">
        <v>121.1666666667</v>
      </c>
      <c r="DH49" t="s">
        <v>8</v>
      </c>
      <c r="DI49" t="s">
        <v>857</v>
      </c>
      <c r="DK49">
        <v>73</v>
      </c>
      <c r="DL49">
        <v>10</v>
      </c>
      <c r="DM49">
        <v>74.643835616399997</v>
      </c>
      <c r="DN49">
        <v>102</v>
      </c>
      <c r="DO49">
        <v>10</v>
      </c>
      <c r="DP49">
        <v>118.8431372549</v>
      </c>
      <c r="DQ49">
        <v>95.9</v>
      </c>
    </row>
    <row r="50" spans="2:121" x14ac:dyDescent="0.2">
      <c r="B50" t="s">
        <v>117</v>
      </c>
      <c r="C50">
        <v>5484</v>
      </c>
      <c r="D50">
        <v>1057</v>
      </c>
      <c r="F50" t="s">
        <v>53</v>
      </c>
      <c r="G50">
        <v>7904</v>
      </c>
      <c r="H50">
        <v>505.13246457489998</v>
      </c>
      <c r="I50">
        <v>3997</v>
      </c>
      <c r="J50">
        <v>842</v>
      </c>
      <c r="K50">
        <v>10485</v>
      </c>
      <c r="L50">
        <v>8067</v>
      </c>
      <c r="M50">
        <v>3235</v>
      </c>
      <c r="N50">
        <v>3035</v>
      </c>
      <c r="O50">
        <v>1579</v>
      </c>
      <c r="P50">
        <v>978</v>
      </c>
      <c r="Q50">
        <v>86</v>
      </c>
      <c r="R50">
        <v>297</v>
      </c>
      <c r="AH50" t="s">
        <v>417</v>
      </c>
      <c r="AI50">
        <v>489</v>
      </c>
      <c r="AJ50">
        <v>372.5766871166</v>
      </c>
      <c r="AK50">
        <v>500</v>
      </c>
      <c r="AL50">
        <v>144</v>
      </c>
      <c r="AM50">
        <v>855</v>
      </c>
      <c r="AN50">
        <v>511</v>
      </c>
      <c r="AO50">
        <v>224</v>
      </c>
      <c r="AP50">
        <v>148</v>
      </c>
      <c r="AQ50">
        <v>184</v>
      </c>
      <c r="AR50">
        <v>87</v>
      </c>
      <c r="AS50">
        <v>70</v>
      </c>
      <c r="AT50">
        <v>1</v>
      </c>
      <c r="AV50" t="s">
        <v>406</v>
      </c>
      <c r="AW50">
        <v>112</v>
      </c>
      <c r="AX50">
        <v>116.4732142857</v>
      </c>
      <c r="AY50">
        <v>153</v>
      </c>
      <c r="AZ50">
        <v>9</v>
      </c>
      <c r="BA50">
        <v>154</v>
      </c>
      <c r="BB50">
        <v>17</v>
      </c>
      <c r="BC50">
        <v>0</v>
      </c>
      <c r="BE50">
        <v>9</v>
      </c>
      <c r="BF50">
        <v>3</v>
      </c>
      <c r="BG50">
        <v>169</v>
      </c>
      <c r="BH50">
        <v>24</v>
      </c>
      <c r="BJ50" t="s">
        <v>641</v>
      </c>
      <c r="BK50" t="s">
        <v>404</v>
      </c>
      <c r="BL50">
        <v>2066</v>
      </c>
      <c r="BM50">
        <v>304</v>
      </c>
      <c r="BN50">
        <v>75.163601161700001</v>
      </c>
      <c r="BO50">
        <v>4857</v>
      </c>
      <c r="BP50">
        <v>475</v>
      </c>
      <c r="BQ50">
        <v>126.91640930619999</v>
      </c>
      <c r="BR50">
        <v>116.0042105263</v>
      </c>
      <c r="BS50">
        <v>457</v>
      </c>
      <c r="BT50">
        <v>109</v>
      </c>
      <c r="BU50">
        <v>84.501094091900001</v>
      </c>
      <c r="BV50">
        <v>4330</v>
      </c>
      <c r="BW50">
        <v>436</v>
      </c>
      <c r="BX50">
        <v>121.52771362590001</v>
      </c>
      <c r="BY50">
        <v>134.36238532109999</v>
      </c>
      <c r="CA50" t="s">
        <v>424</v>
      </c>
      <c r="CB50" t="s">
        <v>890</v>
      </c>
      <c r="CC50" t="s">
        <v>1014</v>
      </c>
      <c r="CD50">
        <v>1147</v>
      </c>
      <c r="CE50">
        <v>283</v>
      </c>
      <c r="CF50">
        <v>98.915431560599998</v>
      </c>
      <c r="CG50">
        <v>2589</v>
      </c>
      <c r="CH50">
        <v>296</v>
      </c>
      <c r="CI50">
        <v>113.1100811124</v>
      </c>
      <c r="CJ50">
        <v>107.30743243240001</v>
      </c>
      <c r="CL50" t="s">
        <v>424</v>
      </c>
      <c r="CM50" t="s">
        <v>871</v>
      </c>
      <c r="CN50" t="s">
        <v>870</v>
      </c>
      <c r="CO50">
        <v>35</v>
      </c>
      <c r="CP50">
        <v>5</v>
      </c>
      <c r="CQ50">
        <v>68.771428571399994</v>
      </c>
      <c r="CR50">
        <v>135</v>
      </c>
      <c r="CS50">
        <v>15</v>
      </c>
      <c r="CT50">
        <v>73.762962963000007</v>
      </c>
      <c r="CU50">
        <v>77.666666666699996</v>
      </c>
      <c r="CW50" t="s">
        <v>424</v>
      </c>
      <c r="CX50" t="s">
        <v>881</v>
      </c>
      <c r="CY50" t="s">
        <v>880</v>
      </c>
      <c r="CZ50">
        <v>18</v>
      </c>
      <c r="DA50">
        <v>2</v>
      </c>
      <c r="DB50">
        <v>63.555555555600002</v>
      </c>
      <c r="DC50">
        <v>42</v>
      </c>
      <c r="DD50">
        <v>10</v>
      </c>
      <c r="DE50">
        <v>121.9761904762</v>
      </c>
      <c r="DF50">
        <v>98.3</v>
      </c>
      <c r="DH50" t="s">
        <v>424</v>
      </c>
      <c r="DI50" t="s">
        <v>861</v>
      </c>
      <c r="DJ50" t="s">
        <v>860</v>
      </c>
      <c r="DK50">
        <v>27</v>
      </c>
      <c r="DL50">
        <v>4</v>
      </c>
      <c r="DM50">
        <v>74.2962962963</v>
      </c>
      <c r="DN50">
        <v>75</v>
      </c>
      <c r="DO50">
        <v>8</v>
      </c>
      <c r="DP50">
        <v>128.4933333333</v>
      </c>
      <c r="DQ50">
        <v>121</v>
      </c>
    </row>
    <row r="51" spans="2:121" x14ac:dyDescent="0.2">
      <c r="B51" t="s">
        <v>101</v>
      </c>
      <c r="C51">
        <v>156620</v>
      </c>
      <c r="D51">
        <v>103217</v>
      </c>
      <c r="F51" t="s">
        <v>72</v>
      </c>
      <c r="G51">
        <v>884</v>
      </c>
      <c r="H51">
        <v>284.94457013570002</v>
      </c>
      <c r="I51">
        <v>2010</v>
      </c>
      <c r="J51">
        <v>523</v>
      </c>
      <c r="K51">
        <v>1963</v>
      </c>
      <c r="L51">
        <v>1291</v>
      </c>
      <c r="M51">
        <v>868</v>
      </c>
      <c r="N51">
        <v>795</v>
      </c>
      <c r="O51">
        <v>1261</v>
      </c>
      <c r="P51">
        <v>992</v>
      </c>
      <c r="Q51">
        <v>0</v>
      </c>
      <c r="R51">
        <v>2</v>
      </c>
      <c r="AH51" t="s">
        <v>378</v>
      </c>
      <c r="AI51">
        <v>17577</v>
      </c>
      <c r="AJ51">
        <v>385.83108607840001</v>
      </c>
      <c r="AK51">
        <v>11448</v>
      </c>
      <c r="AL51">
        <v>2222</v>
      </c>
      <c r="AM51">
        <v>22286</v>
      </c>
      <c r="AN51">
        <v>14537</v>
      </c>
      <c r="AO51">
        <v>9148</v>
      </c>
      <c r="AP51">
        <v>7631</v>
      </c>
      <c r="AQ51">
        <v>7829</v>
      </c>
      <c r="AR51">
        <v>5762</v>
      </c>
      <c r="AS51">
        <v>1118</v>
      </c>
      <c r="AT51">
        <v>21</v>
      </c>
      <c r="AV51" t="s">
        <v>373</v>
      </c>
      <c r="AW51">
        <v>211</v>
      </c>
      <c r="AX51">
        <v>104.6208530806</v>
      </c>
      <c r="AY51">
        <v>367</v>
      </c>
      <c r="AZ51">
        <v>55</v>
      </c>
      <c r="BA51">
        <v>280</v>
      </c>
      <c r="BB51">
        <v>88</v>
      </c>
      <c r="BC51">
        <v>1</v>
      </c>
      <c r="BE51">
        <v>22</v>
      </c>
      <c r="BF51">
        <v>2</v>
      </c>
      <c r="BG51">
        <v>26</v>
      </c>
      <c r="BH51">
        <v>51</v>
      </c>
      <c r="BJ51" t="s">
        <v>593</v>
      </c>
      <c r="BK51" t="s">
        <v>404</v>
      </c>
      <c r="BL51">
        <v>10181</v>
      </c>
      <c r="BM51">
        <v>1987</v>
      </c>
      <c r="BN51">
        <v>84.758962773799993</v>
      </c>
      <c r="BO51">
        <v>18905</v>
      </c>
      <c r="BP51">
        <v>2051</v>
      </c>
      <c r="BQ51">
        <v>133.62062946309999</v>
      </c>
      <c r="BR51">
        <v>121.34275962940001</v>
      </c>
      <c r="BS51">
        <v>2036</v>
      </c>
      <c r="BT51">
        <v>702</v>
      </c>
      <c r="BU51">
        <v>104.1399803536</v>
      </c>
      <c r="BV51">
        <v>15717</v>
      </c>
      <c r="BW51">
        <v>1894</v>
      </c>
      <c r="BX51">
        <v>120.97168670870001</v>
      </c>
      <c r="BY51">
        <v>127.0834213305</v>
      </c>
      <c r="CA51" t="s">
        <v>426</v>
      </c>
      <c r="CB51" t="s">
        <v>890</v>
      </c>
      <c r="CC51" t="s">
        <v>1015</v>
      </c>
      <c r="CD51">
        <v>5034</v>
      </c>
      <c r="CE51">
        <v>896</v>
      </c>
      <c r="CF51">
        <v>83.704608661099996</v>
      </c>
      <c r="CG51">
        <v>14493</v>
      </c>
      <c r="CH51">
        <v>1525</v>
      </c>
      <c r="CI51">
        <v>122.8401297178</v>
      </c>
      <c r="CJ51">
        <v>112.4314754098</v>
      </c>
      <c r="CL51" t="s">
        <v>426</v>
      </c>
      <c r="CM51" t="s">
        <v>871</v>
      </c>
      <c r="CN51" t="s">
        <v>872</v>
      </c>
      <c r="CO51">
        <v>542</v>
      </c>
      <c r="CP51">
        <v>44</v>
      </c>
      <c r="CQ51">
        <v>58.047970479699998</v>
      </c>
      <c r="CR51">
        <v>2283</v>
      </c>
      <c r="CS51">
        <v>248</v>
      </c>
      <c r="CT51">
        <v>67.4607971967</v>
      </c>
      <c r="CU51">
        <v>63.7258064516</v>
      </c>
      <c r="CW51" t="s">
        <v>426</v>
      </c>
      <c r="CX51" t="s">
        <v>881</v>
      </c>
      <c r="CY51" t="s">
        <v>882</v>
      </c>
      <c r="CZ51">
        <v>118</v>
      </c>
      <c r="DA51">
        <v>17</v>
      </c>
      <c r="DB51">
        <v>69.745762711899999</v>
      </c>
      <c r="DC51">
        <v>384</v>
      </c>
      <c r="DD51">
        <v>52</v>
      </c>
      <c r="DE51">
        <v>132.8802083333</v>
      </c>
      <c r="DF51">
        <v>111</v>
      </c>
      <c r="DH51" t="s">
        <v>426</v>
      </c>
      <c r="DI51" t="s">
        <v>861</v>
      </c>
      <c r="DJ51" t="s">
        <v>862</v>
      </c>
      <c r="DK51">
        <v>85</v>
      </c>
      <c r="DL51">
        <v>22</v>
      </c>
      <c r="DM51">
        <v>89.376470588199993</v>
      </c>
      <c r="DN51">
        <v>286</v>
      </c>
      <c r="DO51">
        <v>47</v>
      </c>
      <c r="DP51">
        <v>125.9615384615</v>
      </c>
      <c r="DQ51">
        <v>97.191489361699993</v>
      </c>
    </row>
    <row r="52" spans="2:121" x14ac:dyDescent="0.2">
      <c r="B52" t="s">
        <v>125</v>
      </c>
      <c r="C52">
        <v>35665</v>
      </c>
      <c r="D52">
        <v>6063</v>
      </c>
      <c r="F52" t="s">
        <v>48</v>
      </c>
      <c r="G52">
        <v>6273</v>
      </c>
      <c r="H52">
        <v>572.99888410649999</v>
      </c>
      <c r="I52">
        <v>4385</v>
      </c>
      <c r="J52">
        <v>797</v>
      </c>
      <c r="K52">
        <v>9985</v>
      </c>
      <c r="L52">
        <v>7777</v>
      </c>
      <c r="M52">
        <v>2155</v>
      </c>
      <c r="N52">
        <v>1594</v>
      </c>
      <c r="O52">
        <v>2307</v>
      </c>
      <c r="P52">
        <v>1655</v>
      </c>
      <c r="Q52">
        <v>1</v>
      </c>
      <c r="R52">
        <v>231</v>
      </c>
      <c r="AH52" t="s">
        <v>80</v>
      </c>
      <c r="AI52">
        <v>9407</v>
      </c>
      <c r="AJ52">
        <v>394.10045710639997</v>
      </c>
      <c r="AK52">
        <v>6870</v>
      </c>
      <c r="AL52">
        <v>1009</v>
      </c>
      <c r="AM52">
        <v>13888</v>
      </c>
      <c r="AN52">
        <v>9860</v>
      </c>
      <c r="AO52">
        <v>3886</v>
      </c>
      <c r="AP52">
        <v>2747</v>
      </c>
      <c r="AQ52">
        <v>6025</v>
      </c>
      <c r="AR52">
        <v>4410</v>
      </c>
      <c r="AS52">
        <v>12</v>
      </c>
      <c r="AT52">
        <v>142</v>
      </c>
      <c r="AV52" t="s">
        <v>379</v>
      </c>
      <c r="AW52">
        <v>305</v>
      </c>
      <c r="AX52">
        <v>101.0819672131</v>
      </c>
      <c r="AY52">
        <v>262</v>
      </c>
      <c r="AZ52">
        <v>61</v>
      </c>
      <c r="BA52">
        <v>395</v>
      </c>
      <c r="BB52">
        <v>112</v>
      </c>
      <c r="BC52">
        <v>0</v>
      </c>
      <c r="BE52">
        <v>22</v>
      </c>
      <c r="BF52">
        <v>8</v>
      </c>
      <c r="BG52">
        <v>55</v>
      </c>
      <c r="BH52">
        <v>73</v>
      </c>
      <c r="BJ52" t="s">
        <v>615</v>
      </c>
      <c r="BK52" t="s">
        <v>404</v>
      </c>
      <c r="BL52">
        <v>727</v>
      </c>
      <c r="BM52">
        <v>206</v>
      </c>
      <c r="BN52">
        <v>110.4511691884</v>
      </c>
      <c r="BO52">
        <v>1833</v>
      </c>
      <c r="BP52">
        <v>142</v>
      </c>
      <c r="BQ52">
        <v>127.62902345880001</v>
      </c>
      <c r="BR52">
        <v>126.19718309859999</v>
      </c>
      <c r="BS52">
        <v>608</v>
      </c>
      <c r="BT52">
        <v>159</v>
      </c>
      <c r="BU52">
        <v>92.120065789500003</v>
      </c>
      <c r="BV52">
        <v>3788</v>
      </c>
      <c r="BW52">
        <v>527</v>
      </c>
      <c r="BX52">
        <v>164.33843716999999</v>
      </c>
      <c r="BY52">
        <v>132.6546489564</v>
      </c>
      <c r="CA52" t="s">
        <v>407</v>
      </c>
      <c r="CB52" t="s">
        <v>890</v>
      </c>
      <c r="CC52" t="s">
        <v>1016</v>
      </c>
      <c r="CD52">
        <v>30293</v>
      </c>
      <c r="CE52">
        <v>5916</v>
      </c>
      <c r="CF52">
        <v>85.4897170964</v>
      </c>
      <c r="CG52">
        <v>61699</v>
      </c>
      <c r="CH52">
        <v>6915</v>
      </c>
      <c r="CI52">
        <v>131.4382729056</v>
      </c>
      <c r="CJ52">
        <v>121.2549530007</v>
      </c>
      <c r="CL52" t="s">
        <v>407</v>
      </c>
      <c r="CM52" t="s">
        <v>871</v>
      </c>
      <c r="CN52" t="s">
        <v>873</v>
      </c>
      <c r="CO52">
        <v>2111</v>
      </c>
      <c r="CP52">
        <v>136</v>
      </c>
      <c r="CQ52">
        <v>56.952629085700003</v>
      </c>
      <c r="CR52">
        <v>9199</v>
      </c>
      <c r="CS52">
        <v>970</v>
      </c>
      <c r="CT52">
        <v>66.168605283199994</v>
      </c>
      <c r="CU52">
        <v>64.197938144299997</v>
      </c>
      <c r="CW52" t="s">
        <v>407</v>
      </c>
      <c r="CX52" t="s">
        <v>881</v>
      </c>
      <c r="CY52" t="s">
        <v>883</v>
      </c>
      <c r="CZ52">
        <v>952</v>
      </c>
      <c r="DA52">
        <v>156</v>
      </c>
      <c r="DB52">
        <v>75.964285714300004</v>
      </c>
      <c r="DC52">
        <v>2524</v>
      </c>
      <c r="DD52">
        <v>423</v>
      </c>
      <c r="DE52">
        <v>131.31259904909999</v>
      </c>
      <c r="DF52">
        <v>113.061465721</v>
      </c>
      <c r="DH52" t="s">
        <v>407</v>
      </c>
      <c r="DI52" t="s">
        <v>861</v>
      </c>
      <c r="DJ52" t="s">
        <v>863</v>
      </c>
      <c r="DK52">
        <v>538</v>
      </c>
      <c r="DL52">
        <v>87</v>
      </c>
      <c r="DM52">
        <v>81.661710037199995</v>
      </c>
      <c r="DN52">
        <v>1471</v>
      </c>
      <c r="DO52">
        <v>157</v>
      </c>
      <c r="DP52">
        <v>121.4690686608</v>
      </c>
      <c r="DQ52">
        <v>118.82165605100001</v>
      </c>
    </row>
    <row r="53" spans="2:121" x14ac:dyDescent="0.2">
      <c r="B53" t="s">
        <v>120</v>
      </c>
      <c r="C53">
        <v>204</v>
      </c>
      <c r="D53">
        <v>203</v>
      </c>
      <c r="F53" t="s">
        <v>42</v>
      </c>
      <c r="G53">
        <v>3065</v>
      </c>
      <c r="H53">
        <v>342.29298531810002</v>
      </c>
      <c r="I53">
        <v>7322</v>
      </c>
      <c r="J53">
        <v>1911</v>
      </c>
      <c r="K53">
        <v>8547</v>
      </c>
      <c r="L53">
        <v>4223</v>
      </c>
      <c r="M53">
        <v>2574</v>
      </c>
      <c r="N53">
        <v>2156</v>
      </c>
      <c r="O53">
        <v>1820</v>
      </c>
      <c r="P53">
        <v>498</v>
      </c>
      <c r="Q53">
        <v>2</v>
      </c>
      <c r="R53">
        <v>216</v>
      </c>
      <c r="AH53" t="s">
        <v>379</v>
      </c>
      <c r="AI53">
        <v>2070</v>
      </c>
      <c r="AJ53">
        <v>307.63333333330002</v>
      </c>
      <c r="AK53">
        <v>2756</v>
      </c>
      <c r="AL53">
        <v>516</v>
      </c>
      <c r="AM53">
        <v>3184</v>
      </c>
      <c r="AN53">
        <v>2190</v>
      </c>
      <c r="AO53">
        <v>464</v>
      </c>
      <c r="AP53">
        <v>328</v>
      </c>
      <c r="AQ53">
        <v>1505</v>
      </c>
      <c r="AR53">
        <v>1012</v>
      </c>
      <c r="AS53">
        <v>372</v>
      </c>
      <c r="AT53">
        <v>13</v>
      </c>
      <c r="AV53" t="s">
        <v>401</v>
      </c>
      <c r="AW53">
        <v>377</v>
      </c>
      <c r="AX53">
        <v>99.360742705600003</v>
      </c>
      <c r="AY53">
        <v>297</v>
      </c>
      <c r="AZ53">
        <v>2</v>
      </c>
      <c r="BA53">
        <v>438</v>
      </c>
      <c r="BB53">
        <v>26</v>
      </c>
      <c r="BC53">
        <v>1</v>
      </c>
      <c r="BD53">
        <v>1</v>
      </c>
      <c r="BE53">
        <v>17</v>
      </c>
      <c r="BF53">
        <v>4</v>
      </c>
      <c r="BG53">
        <v>824</v>
      </c>
      <c r="BH53">
        <v>61</v>
      </c>
      <c r="BJ53" t="s">
        <v>591</v>
      </c>
      <c r="BK53" t="s">
        <v>404</v>
      </c>
      <c r="BL53">
        <v>11559</v>
      </c>
      <c r="BM53">
        <v>2501</v>
      </c>
      <c r="BN53">
        <v>90.966346569799995</v>
      </c>
      <c r="BO53">
        <v>20304</v>
      </c>
      <c r="BP53">
        <v>2603</v>
      </c>
      <c r="BQ53">
        <v>147.5869779354</v>
      </c>
      <c r="BR53">
        <v>138.0449481368</v>
      </c>
      <c r="BS53">
        <v>1964</v>
      </c>
      <c r="BT53">
        <v>660</v>
      </c>
      <c r="BU53">
        <v>108.6283095723</v>
      </c>
      <c r="BV53">
        <v>11805</v>
      </c>
      <c r="BW53">
        <v>1371</v>
      </c>
      <c r="BX53">
        <v>148.40940279540001</v>
      </c>
      <c r="BY53">
        <v>159.61560904449999</v>
      </c>
      <c r="CA53" t="s">
        <v>428</v>
      </c>
      <c r="CB53" t="s">
        <v>890</v>
      </c>
      <c r="CC53" t="s">
        <v>1017</v>
      </c>
      <c r="CD53">
        <v>1664</v>
      </c>
      <c r="CE53">
        <v>245</v>
      </c>
      <c r="CF53">
        <v>74.364783653800004</v>
      </c>
      <c r="CG53">
        <v>4978</v>
      </c>
      <c r="CH53">
        <v>499</v>
      </c>
      <c r="CI53">
        <v>108.93893129769999</v>
      </c>
      <c r="CJ53">
        <v>100.53707414829999</v>
      </c>
      <c r="CL53" t="s">
        <v>428</v>
      </c>
      <c r="CM53" t="s">
        <v>871</v>
      </c>
      <c r="CN53" t="s">
        <v>874</v>
      </c>
      <c r="CO53">
        <v>66</v>
      </c>
      <c r="CP53">
        <v>10</v>
      </c>
      <c r="CQ53">
        <v>78.303030303</v>
      </c>
      <c r="CR53">
        <v>284</v>
      </c>
      <c r="CS53">
        <v>29</v>
      </c>
      <c r="CT53">
        <v>71.024647887300006</v>
      </c>
      <c r="CU53">
        <v>72.206896551699998</v>
      </c>
      <c r="CW53" t="s">
        <v>428</v>
      </c>
      <c r="CX53" t="s">
        <v>881</v>
      </c>
      <c r="CY53" t="s">
        <v>884</v>
      </c>
      <c r="CZ53">
        <v>21</v>
      </c>
      <c r="DA53">
        <v>4</v>
      </c>
      <c r="DB53">
        <v>77.238095238100001</v>
      </c>
      <c r="DC53">
        <v>79</v>
      </c>
      <c r="DD53">
        <v>14</v>
      </c>
      <c r="DE53">
        <v>128.6708860759</v>
      </c>
      <c r="DF53">
        <v>122.8571428571</v>
      </c>
      <c r="DH53" t="s">
        <v>428</v>
      </c>
      <c r="DI53" t="s">
        <v>861</v>
      </c>
      <c r="DJ53" t="s">
        <v>864</v>
      </c>
      <c r="DK53">
        <v>56</v>
      </c>
      <c r="DL53">
        <v>10</v>
      </c>
      <c r="DM53">
        <v>68.732142857100001</v>
      </c>
      <c r="DN53">
        <v>153</v>
      </c>
      <c r="DO53">
        <v>19</v>
      </c>
      <c r="DP53">
        <v>117.6928104575</v>
      </c>
      <c r="DQ53">
        <v>108.6315789474</v>
      </c>
    </row>
    <row r="54" spans="2:121" x14ac:dyDescent="0.2">
      <c r="F54" t="s">
        <v>430</v>
      </c>
      <c r="G54">
        <v>5527</v>
      </c>
      <c r="H54">
        <v>481.90573548039998</v>
      </c>
      <c r="I54">
        <v>723</v>
      </c>
      <c r="J54">
        <v>274</v>
      </c>
      <c r="K54">
        <v>5878</v>
      </c>
      <c r="L54">
        <v>4839</v>
      </c>
      <c r="M54">
        <v>1141</v>
      </c>
      <c r="N54">
        <v>759</v>
      </c>
      <c r="O54">
        <v>1267</v>
      </c>
      <c r="P54">
        <v>1234</v>
      </c>
      <c r="Q54">
        <v>0</v>
      </c>
      <c r="R54">
        <v>0</v>
      </c>
      <c r="AH54" t="s">
        <v>396</v>
      </c>
      <c r="AI54">
        <v>3195</v>
      </c>
      <c r="AJ54">
        <v>239.19593114240001</v>
      </c>
      <c r="AK54">
        <v>3585</v>
      </c>
      <c r="AL54">
        <v>487</v>
      </c>
      <c r="AM54">
        <v>4340</v>
      </c>
      <c r="AN54">
        <v>2456</v>
      </c>
      <c r="AO54">
        <v>882</v>
      </c>
      <c r="AP54">
        <v>682</v>
      </c>
      <c r="AQ54">
        <v>1098</v>
      </c>
      <c r="AR54">
        <v>593</v>
      </c>
      <c r="AS54">
        <v>573</v>
      </c>
      <c r="AT54">
        <v>7</v>
      </c>
      <c r="AV54" t="s">
        <v>392</v>
      </c>
      <c r="AW54">
        <v>358</v>
      </c>
      <c r="AX54">
        <v>78.262569832400004</v>
      </c>
      <c r="AY54">
        <v>530</v>
      </c>
      <c r="AZ54">
        <v>58</v>
      </c>
      <c r="BA54">
        <v>496</v>
      </c>
      <c r="BB54">
        <v>65</v>
      </c>
      <c r="BC54">
        <v>2</v>
      </c>
      <c r="BD54">
        <v>2</v>
      </c>
      <c r="BE54">
        <v>43</v>
      </c>
      <c r="BF54">
        <v>16</v>
      </c>
      <c r="BG54">
        <v>61</v>
      </c>
      <c r="BH54">
        <v>76</v>
      </c>
      <c r="BJ54" t="s">
        <v>404</v>
      </c>
      <c r="BK54" t="s">
        <v>404</v>
      </c>
      <c r="BL54">
        <v>60094</v>
      </c>
      <c r="BM54">
        <v>11184</v>
      </c>
      <c r="BN54">
        <v>84.012031151200006</v>
      </c>
      <c r="BO54">
        <v>145709</v>
      </c>
      <c r="BP54">
        <v>16170</v>
      </c>
      <c r="BQ54">
        <v>115.8109588289</v>
      </c>
      <c r="BR54">
        <v>105.3795918367</v>
      </c>
      <c r="BS54">
        <v>15780</v>
      </c>
      <c r="BT54">
        <v>3973</v>
      </c>
      <c r="BU54">
        <v>91.950253485399998</v>
      </c>
      <c r="BV54">
        <v>142038</v>
      </c>
      <c r="BW54">
        <v>16441</v>
      </c>
      <c r="BX54">
        <v>113.7416606824</v>
      </c>
      <c r="BY54">
        <v>104.5255763031</v>
      </c>
      <c r="CA54" t="s">
        <v>408</v>
      </c>
      <c r="CB54" t="s">
        <v>890</v>
      </c>
      <c r="CC54" t="s">
        <v>1018</v>
      </c>
      <c r="CD54">
        <v>1575</v>
      </c>
      <c r="CE54">
        <v>360</v>
      </c>
      <c r="CF54">
        <v>93.198095238099995</v>
      </c>
      <c r="CG54">
        <v>3434</v>
      </c>
      <c r="CH54">
        <v>282</v>
      </c>
      <c r="CI54">
        <v>111.43011065810001</v>
      </c>
      <c r="CJ54">
        <v>117.804964539</v>
      </c>
      <c r="CL54" t="s">
        <v>408</v>
      </c>
      <c r="CM54" t="s">
        <v>871</v>
      </c>
      <c r="CN54" t="s">
        <v>875</v>
      </c>
      <c r="CO54">
        <v>116</v>
      </c>
      <c r="CP54">
        <v>14</v>
      </c>
      <c r="CQ54">
        <v>66.931034482800001</v>
      </c>
      <c r="CR54">
        <v>540</v>
      </c>
      <c r="CS54">
        <v>67</v>
      </c>
      <c r="CT54">
        <v>64.040740740700002</v>
      </c>
      <c r="CU54">
        <v>65.552238806000005</v>
      </c>
      <c r="CW54" t="s">
        <v>408</v>
      </c>
      <c r="CX54" t="s">
        <v>881</v>
      </c>
      <c r="CY54" t="s">
        <v>885</v>
      </c>
      <c r="CZ54">
        <v>37</v>
      </c>
      <c r="DA54">
        <v>10</v>
      </c>
      <c r="DB54">
        <v>102.5405405405</v>
      </c>
      <c r="DC54">
        <v>63</v>
      </c>
      <c r="DD54">
        <v>8</v>
      </c>
      <c r="DE54">
        <v>137.28571428570001</v>
      </c>
      <c r="DF54">
        <v>146.25</v>
      </c>
      <c r="DH54" t="s">
        <v>408</v>
      </c>
      <c r="DI54" t="s">
        <v>861</v>
      </c>
      <c r="DJ54" t="s">
        <v>865</v>
      </c>
      <c r="DK54">
        <v>29</v>
      </c>
      <c r="DL54">
        <v>6</v>
      </c>
      <c r="DM54">
        <v>75</v>
      </c>
      <c r="DN54">
        <v>105</v>
      </c>
      <c r="DO54">
        <v>19</v>
      </c>
      <c r="DP54">
        <v>117.3904761905</v>
      </c>
      <c r="DQ54">
        <v>122.05263157890001</v>
      </c>
    </row>
    <row r="55" spans="2:121" x14ac:dyDescent="0.2">
      <c r="F55" t="s">
        <v>50</v>
      </c>
      <c r="G55">
        <v>1791</v>
      </c>
      <c r="H55">
        <v>136.55164712449999</v>
      </c>
      <c r="I55">
        <v>1717</v>
      </c>
      <c r="J55">
        <v>211</v>
      </c>
      <c r="K55">
        <v>2756</v>
      </c>
      <c r="L55">
        <v>1128</v>
      </c>
      <c r="M55">
        <v>823</v>
      </c>
      <c r="N55">
        <v>563</v>
      </c>
      <c r="O55">
        <v>575</v>
      </c>
      <c r="P55">
        <v>377</v>
      </c>
      <c r="Q55">
        <v>1</v>
      </c>
      <c r="R55">
        <v>18</v>
      </c>
      <c r="AH55" t="s">
        <v>421</v>
      </c>
      <c r="AI55">
        <v>341</v>
      </c>
      <c r="AJ55">
        <v>392.4838709677</v>
      </c>
      <c r="AK55">
        <v>672</v>
      </c>
      <c r="AL55">
        <v>90</v>
      </c>
      <c r="AM55">
        <v>636</v>
      </c>
      <c r="AN55">
        <v>375</v>
      </c>
      <c r="AO55">
        <v>198</v>
      </c>
      <c r="AP55">
        <v>115</v>
      </c>
      <c r="AQ55">
        <v>198</v>
      </c>
      <c r="AR55">
        <v>119</v>
      </c>
      <c r="AS55">
        <v>2</v>
      </c>
      <c r="AT55">
        <v>1</v>
      </c>
      <c r="AV55" t="s">
        <v>424</v>
      </c>
      <c r="AW55">
        <v>20</v>
      </c>
      <c r="AX55">
        <v>168.3</v>
      </c>
      <c r="AY55">
        <v>17</v>
      </c>
      <c r="BA55">
        <v>33</v>
      </c>
      <c r="BB55">
        <v>10</v>
      </c>
      <c r="BC55">
        <v>0</v>
      </c>
      <c r="BE55">
        <v>4</v>
      </c>
      <c r="BF55">
        <v>1</v>
      </c>
      <c r="BG55">
        <v>45</v>
      </c>
      <c r="BH55">
        <v>9</v>
      </c>
      <c r="BJ55" t="s">
        <v>595</v>
      </c>
      <c r="BK55" t="s">
        <v>404</v>
      </c>
      <c r="BL55">
        <v>4166</v>
      </c>
      <c r="BM55">
        <v>687</v>
      </c>
      <c r="BN55">
        <v>78.527604416700001</v>
      </c>
      <c r="BO55">
        <v>11033</v>
      </c>
      <c r="BP55">
        <v>1113</v>
      </c>
      <c r="BQ55">
        <v>125.49188797239999</v>
      </c>
      <c r="BR55">
        <v>113.7592093441</v>
      </c>
      <c r="BS55">
        <v>1723</v>
      </c>
      <c r="BT55">
        <v>411</v>
      </c>
      <c r="BU55">
        <v>106.17991874640001</v>
      </c>
      <c r="BV55">
        <v>16226</v>
      </c>
      <c r="BW55">
        <v>1868</v>
      </c>
      <c r="BX55">
        <v>129.820165167</v>
      </c>
      <c r="BY55">
        <v>108.32815845819999</v>
      </c>
      <c r="CA55" t="s">
        <v>413</v>
      </c>
      <c r="CB55" t="s">
        <v>890</v>
      </c>
      <c r="CC55" t="s">
        <v>1019</v>
      </c>
      <c r="CD55">
        <v>4043</v>
      </c>
      <c r="CE55">
        <v>987</v>
      </c>
      <c r="CF55">
        <v>95.900074202300004</v>
      </c>
      <c r="CG55">
        <v>7514</v>
      </c>
      <c r="CH55">
        <v>917</v>
      </c>
      <c r="CI55">
        <v>138.65837104069999</v>
      </c>
      <c r="CJ55">
        <v>129.58451472190001</v>
      </c>
      <c r="CL55" t="s">
        <v>413</v>
      </c>
      <c r="CM55" t="s">
        <v>871</v>
      </c>
      <c r="CN55" t="s">
        <v>876</v>
      </c>
      <c r="CO55">
        <v>234</v>
      </c>
      <c r="CP55">
        <v>24</v>
      </c>
      <c r="CQ55">
        <v>66.880341880299994</v>
      </c>
      <c r="CR55">
        <v>1011</v>
      </c>
      <c r="CS55">
        <v>123</v>
      </c>
      <c r="CT55">
        <v>66.427299703299994</v>
      </c>
      <c r="CU55">
        <v>66.260162601600001</v>
      </c>
      <c r="CW55" t="s">
        <v>413</v>
      </c>
      <c r="CX55" t="s">
        <v>881</v>
      </c>
      <c r="CY55" t="s">
        <v>886</v>
      </c>
      <c r="CZ55">
        <v>63</v>
      </c>
      <c r="DA55">
        <v>14</v>
      </c>
      <c r="DB55">
        <v>77.571428571400006</v>
      </c>
      <c r="DC55">
        <v>198</v>
      </c>
      <c r="DD55">
        <v>31</v>
      </c>
      <c r="DE55">
        <v>133.06565656570001</v>
      </c>
      <c r="DF55">
        <v>108.9677419355</v>
      </c>
      <c r="DH55" t="s">
        <v>413</v>
      </c>
      <c r="DI55" t="s">
        <v>861</v>
      </c>
      <c r="DJ55" t="s">
        <v>866</v>
      </c>
      <c r="DK55">
        <v>73</v>
      </c>
      <c r="DL55">
        <v>12</v>
      </c>
      <c r="DM55">
        <v>78.780821917799997</v>
      </c>
      <c r="DN55">
        <v>223</v>
      </c>
      <c r="DO55">
        <v>41</v>
      </c>
      <c r="DP55">
        <v>117.2825112108</v>
      </c>
      <c r="DQ55">
        <v>78.292682926799998</v>
      </c>
    </row>
    <row r="56" spans="2:121" x14ac:dyDescent="0.2">
      <c r="F56" t="s">
        <v>62</v>
      </c>
      <c r="G56">
        <v>9394</v>
      </c>
      <c r="H56">
        <v>461.71162444110001</v>
      </c>
      <c r="I56">
        <v>11659</v>
      </c>
      <c r="J56">
        <v>2472</v>
      </c>
      <c r="K56">
        <v>12549</v>
      </c>
      <c r="L56">
        <v>9803</v>
      </c>
      <c r="M56">
        <v>3802</v>
      </c>
      <c r="N56">
        <v>3439</v>
      </c>
      <c r="O56">
        <v>2620</v>
      </c>
      <c r="P56">
        <v>2100</v>
      </c>
      <c r="Q56">
        <v>0</v>
      </c>
      <c r="R56">
        <v>42</v>
      </c>
      <c r="BJ56" t="s">
        <v>603</v>
      </c>
      <c r="BK56" t="s">
        <v>404</v>
      </c>
      <c r="BL56">
        <v>4817</v>
      </c>
      <c r="BM56">
        <v>832</v>
      </c>
      <c r="BN56">
        <v>86.549304546399995</v>
      </c>
      <c r="BO56">
        <v>10208</v>
      </c>
      <c r="BP56">
        <v>1166</v>
      </c>
      <c r="BQ56">
        <v>137.3083855799</v>
      </c>
      <c r="BR56">
        <v>124.5943396226</v>
      </c>
      <c r="BS56">
        <v>1328</v>
      </c>
      <c r="BT56">
        <v>312</v>
      </c>
      <c r="BU56">
        <v>94.619728915699994</v>
      </c>
      <c r="BV56">
        <v>10219</v>
      </c>
      <c r="BW56">
        <v>1089</v>
      </c>
      <c r="BX56">
        <v>135.8636852921</v>
      </c>
      <c r="BY56">
        <v>128.19651056009999</v>
      </c>
      <c r="CA56" t="s">
        <v>405</v>
      </c>
      <c r="CB56" t="s">
        <v>890</v>
      </c>
      <c r="CC56" t="s">
        <v>1020</v>
      </c>
      <c r="CD56">
        <v>2511</v>
      </c>
      <c r="CE56">
        <v>475</v>
      </c>
      <c r="CF56">
        <v>84.126642771799993</v>
      </c>
      <c r="CG56">
        <v>5850</v>
      </c>
      <c r="CH56">
        <v>676</v>
      </c>
      <c r="CI56">
        <v>135.80307692310001</v>
      </c>
      <c r="CJ56">
        <v>123.5843195266</v>
      </c>
      <c r="CL56" t="s">
        <v>405</v>
      </c>
      <c r="CM56" t="s">
        <v>871</v>
      </c>
      <c r="CN56" t="s">
        <v>877</v>
      </c>
      <c r="CO56">
        <v>194</v>
      </c>
      <c r="CP56">
        <v>19</v>
      </c>
      <c r="CQ56">
        <v>66.783505154599993</v>
      </c>
      <c r="CR56">
        <v>812</v>
      </c>
      <c r="CS56">
        <v>102</v>
      </c>
      <c r="CT56">
        <v>58.876847290599997</v>
      </c>
      <c r="CU56">
        <v>60.009803921600003</v>
      </c>
      <c r="CW56" t="s">
        <v>405</v>
      </c>
      <c r="CX56" t="s">
        <v>881</v>
      </c>
      <c r="CY56" t="s">
        <v>887</v>
      </c>
      <c r="CZ56">
        <v>53</v>
      </c>
      <c r="DA56">
        <v>9</v>
      </c>
      <c r="DB56">
        <v>79.716981132100003</v>
      </c>
      <c r="DC56">
        <v>102</v>
      </c>
      <c r="DD56">
        <v>17</v>
      </c>
      <c r="DE56">
        <v>153.29411764709999</v>
      </c>
      <c r="DF56">
        <v>139.5882352941</v>
      </c>
      <c r="DH56" t="s">
        <v>405</v>
      </c>
      <c r="DI56" t="s">
        <v>861</v>
      </c>
      <c r="DJ56" t="s">
        <v>867</v>
      </c>
      <c r="DK56">
        <v>37</v>
      </c>
      <c r="DL56">
        <v>8</v>
      </c>
      <c r="DM56">
        <v>80.702702702699995</v>
      </c>
      <c r="DN56">
        <v>147</v>
      </c>
      <c r="DO56">
        <v>26</v>
      </c>
      <c r="DP56">
        <v>127.4421768707</v>
      </c>
      <c r="DQ56">
        <v>101.26923076920001</v>
      </c>
    </row>
    <row r="57" spans="2:121" x14ac:dyDescent="0.2">
      <c r="F57" t="s">
        <v>64</v>
      </c>
      <c r="G57">
        <v>3210</v>
      </c>
      <c r="H57">
        <v>241.7074766355</v>
      </c>
      <c r="I57">
        <v>3977</v>
      </c>
      <c r="J57">
        <v>687</v>
      </c>
      <c r="K57">
        <v>4124</v>
      </c>
      <c r="L57">
        <v>2077</v>
      </c>
      <c r="M57">
        <v>853</v>
      </c>
      <c r="N57">
        <v>593</v>
      </c>
      <c r="O57">
        <v>1252</v>
      </c>
      <c r="P57">
        <v>676</v>
      </c>
      <c r="Q57">
        <v>0</v>
      </c>
      <c r="R57">
        <v>71</v>
      </c>
      <c r="BJ57" t="s">
        <v>611</v>
      </c>
      <c r="BK57" t="s">
        <v>404</v>
      </c>
      <c r="BL57">
        <v>3943</v>
      </c>
      <c r="BM57">
        <v>970</v>
      </c>
      <c r="BN57">
        <v>96.562008622899995</v>
      </c>
      <c r="BO57">
        <v>6881</v>
      </c>
      <c r="BP57">
        <v>842</v>
      </c>
      <c r="BQ57">
        <v>143.23746548470001</v>
      </c>
      <c r="BR57">
        <v>134.81472684089999</v>
      </c>
      <c r="BS57">
        <v>435</v>
      </c>
      <c r="BT57">
        <v>152</v>
      </c>
      <c r="BU57">
        <v>109.6114942529</v>
      </c>
      <c r="BV57">
        <v>6094</v>
      </c>
      <c r="BW57">
        <v>858</v>
      </c>
      <c r="BX57">
        <v>128.52149655400001</v>
      </c>
      <c r="BY57">
        <v>127.12470862470001</v>
      </c>
      <c r="CA57" t="s">
        <v>409</v>
      </c>
      <c r="CB57" t="s">
        <v>890</v>
      </c>
      <c r="CC57" t="s">
        <v>1021</v>
      </c>
      <c r="CD57">
        <v>4713</v>
      </c>
      <c r="CE57">
        <v>847</v>
      </c>
      <c r="CF57">
        <v>86.141099087599997</v>
      </c>
      <c r="CG57">
        <v>10323</v>
      </c>
      <c r="CH57">
        <v>1155</v>
      </c>
      <c r="CI57">
        <v>137.07681875419999</v>
      </c>
      <c r="CJ57">
        <v>125.2614718615</v>
      </c>
      <c r="CL57" t="s">
        <v>409</v>
      </c>
      <c r="CM57" t="s">
        <v>871</v>
      </c>
      <c r="CN57" t="s">
        <v>878</v>
      </c>
      <c r="CO57">
        <v>345</v>
      </c>
      <c r="CP57">
        <v>24</v>
      </c>
      <c r="CQ57">
        <v>57.588405797100002</v>
      </c>
      <c r="CR57">
        <v>1492</v>
      </c>
      <c r="CS57">
        <v>168</v>
      </c>
      <c r="CT57">
        <v>68.053619302900003</v>
      </c>
      <c r="CU57">
        <v>64.303571428599994</v>
      </c>
      <c r="CW57" t="s">
        <v>409</v>
      </c>
      <c r="CX57" t="s">
        <v>881</v>
      </c>
      <c r="CY57" t="s">
        <v>888</v>
      </c>
      <c r="CZ57">
        <v>56</v>
      </c>
      <c r="DA57">
        <v>13</v>
      </c>
      <c r="DB57">
        <v>91.660714285699996</v>
      </c>
      <c r="DC57">
        <v>185</v>
      </c>
      <c r="DD57">
        <v>32</v>
      </c>
      <c r="DE57">
        <v>138.91351351349999</v>
      </c>
      <c r="DF57">
        <v>105.125</v>
      </c>
      <c r="DH57" t="s">
        <v>409</v>
      </c>
      <c r="DI57" t="s">
        <v>861</v>
      </c>
      <c r="DJ57" t="s">
        <v>868</v>
      </c>
      <c r="DK57">
        <v>31</v>
      </c>
      <c r="DL57">
        <v>8</v>
      </c>
      <c r="DM57">
        <v>97.322580645200006</v>
      </c>
      <c r="DN57">
        <v>101</v>
      </c>
      <c r="DO57">
        <v>12</v>
      </c>
      <c r="DP57">
        <v>122.78217821779999</v>
      </c>
      <c r="DQ57">
        <v>107.5</v>
      </c>
    </row>
    <row r="58" spans="2:121" x14ac:dyDescent="0.2">
      <c r="F58" t="s">
        <v>54</v>
      </c>
      <c r="G58">
        <v>1035</v>
      </c>
      <c r="H58">
        <v>287.1246376812</v>
      </c>
      <c r="I58">
        <v>1076</v>
      </c>
      <c r="J58">
        <v>150</v>
      </c>
      <c r="K58">
        <v>1467</v>
      </c>
      <c r="L58">
        <v>935</v>
      </c>
      <c r="M58">
        <v>210</v>
      </c>
      <c r="N58">
        <v>165</v>
      </c>
      <c r="O58">
        <v>120</v>
      </c>
      <c r="P58">
        <v>47</v>
      </c>
      <c r="Q58">
        <v>0</v>
      </c>
      <c r="R58">
        <v>1</v>
      </c>
      <c r="BJ58" t="s">
        <v>624</v>
      </c>
      <c r="BK58" t="s">
        <v>404</v>
      </c>
      <c r="BL58">
        <v>9486</v>
      </c>
      <c r="BM58">
        <v>1589</v>
      </c>
      <c r="BN58">
        <v>78.514442336100004</v>
      </c>
      <c r="BO58">
        <v>22463</v>
      </c>
      <c r="BP58">
        <v>2251</v>
      </c>
      <c r="BQ58">
        <v>123.24845301160001</v>
      </c>
      <c r="BR58">
        <v>112.6206130609</v>
      </c>
      <c r="BS58">
        <v>2837</v>
      </c>
      <c r="BT58">
        <v>672</v>
      </c>
      <c r="BU58">
        <v>88.678886147300005</v>
      </c>
      <c r="BV58">
        <v>22824</v>
      </c>
      <c r="BW58">
        <v>2432</v>
      </c>
      <c r="BX58">
        <v>127.8427970557</v>
      </c>
      <c r="BY58">
        <v>106.2294407895</v>
      </c>
      <c r="CA58" t="s">
        <v>80</v>
      </c>
      <c r="CB58" t="s">
        <v>890</v>
      </c>
      <c r="CC58" t="s">
        <v>1022</v>
      </c>
      <c r="CD58">
        <v>6407</v>
      </c>
      <c r="CE58">
        <v>907</v>
      </c>
      <c r="CF58">
        <v>77.392539409999998</v>
      </c>
      <c r="CG58">
        <v>16475</v>
      </c>
      <c r="CH58">
        <v>1495</v>
      </c>
      <c r="CI58">
        <v>109.1727465857</v>
      </c>
      <c r="CJ58">
        <v>100.4240802676</v>
      </c>
      <c r="CL58" t="s">
        <v>80</v>
      </c>
      <c r="CM58" t="s">
        <v>871</v>
      </c>
      <c r="CN58" t="s">
        <v>879</v>
      </c>
      <c r="CO58">
        <v>539</v>
      </c>
      <c r="CP58">
        <v>41</v>
      </c>
      <c r="CQ58">
        <v>61.858998144700003</v>
      </c>
      <c r="CR58">
        <v>2266</v>
      </c>
      <c r="CS58">
        <v>265</v>
      </c>
      <c r="CT58">
        <v>70.417034421899999</v>
      </c>
      <c r="CU58">
        <v>65.049056603799997</v>
      </c>
      <c r="CW58" t="s">
        <v>80</v>
      </c>
      <c r="CX58" t="s">
        <v>881</v>
      </c>
      <c r="CY58" t="s">
        <v>889</v>
      </c>
      <c r="CZ58">
        <v>254</v>
      </c>
      <c r="DA58">
        <v>36</v>
      </c>
      <c r="DB58">
        <v>68.106299212600007</v>
      </c>
      <c r="DC58">
        <v>588</v>
      </c>
      <c r="DD58">
        <v>106</v>
      </c>
      <c r="DE58">
        <v>128.8112244898</v>
      </c>
      <c r="DF58">
        <v>117.5849056604</v>
      </c>
      <c r="DH58" t="s">
        <v>80</v>
      </c>
      <c r="DI58" t="s">
        <v>861</v>
      </c>
      <c r="DJ58" t="s">
        <v>869</v>
      </c>
      <c r="DK58">
        <v>287</v>
      </c>
      <c r="DL58">
        <v>36</v>
      </c>
      <c r="DM58">
        <v>67.682926829300001</v>
      </c>
      <c r="DN58">
        <v>953</v>
      </c>
      <c r="DO58">
        <v>80</v>
      </c>
      <c r="DP58">
        <v>120.3955928646</v>
      </c>
      <c r="DQ58">
        <v>112.825</v>
      </c>
    </row>
    <row r="59" spans="2:121" x14ac:dyDescent="0.2">
      <c r="F59" t="s">
        <v>46</v>
      </c>
      <c r="G59">
        <v>11651</v>
      </c>
      <c r="H59">
        <v>388.41026521330002</v>
      </c>
      <c r="I59">
        <v>16773</v>
      </c>
      <c r="J59">
        <v>4110</v>
      </c>
      <c r="K59">
        <v>15528</v>
      </c>
      <c r="L59">
        <v>11245</v>
      </c>
      <c r="M59">
        <v>3500</v>
      </c>
      <c r="N59">
        <v>2760</v>
      </c>
      <c r="O59">
        <v>3444</v>
      </c>
      <c r="P59">
        <v>2797</v>
      </c>
      <c r="Q59">
        <v>1</v>
      </c>
      <c r="R59">
        <v>240</v>
      </c>
      <c r="BJ59" t="s">
        <v>597</v>
      </c>
      <c r="BK59" t="s">
        <v>404</v>
      </c>
      <c r="BL59">
        <v>7672</v>
      </c>
      <c r="BM59">
        <v>991</v>
      </c>
      <c r="BN59">
        <v>71.1220020855</v>
      </c>
      <c r="BO59">
        <v>37762</v>
      </c>
      <c r="BP59">
        <v>4336</v>
      </c>
      <c r="BQ59">
        <v>65.229728298300003</v>
      </c>
      <c r="BR59">
        <v>52.934501845</v>
      </c>
      <c r="BS59">
        <v>3197</v>
      </c>
      <c r="BT59">
        <v>441</v>
      </c>
      <c r="BU59">
        <v>63.5054738818</v>
      </c>
      <c r="BV59">
        <v>39446</v>
      </c>
      <c r="BW59">
        <v>4560</v>
      </c>
      <c r="BX59">
        <v>66.747781777599997</v>
      </c>
      <c r="BY59">
        <v>55.104166666700003</v>
      </c>
      <c r="CA59" t="s">
        <v>404</v>
      </c>
      <c r="CB59" t="s">
        <v>890</v>
      </c>
      <c r="CD59">
        <v>57387</v>
      </c>
      <c r="CE59">
        <v>10916</v>
      </c>
      <c r="CF59">
        <v>85.313712164799995</v>
      </c>
      <c r="CG59">
        <v>127355</v>
      </c>
      <c r="CH59">
        <v>13760</v>
      </c>
      <c r="CI59">
        <v>126.87146166230001</v>
      </c>
      <c r="CJ59">
        <v>117.8976017442</v>
      </c>
      <c r="CL59" t="s">
        <v>404</v>
      </c>
      <c r="CM59" t="s">
        <v>871</v>
      </c>
      <c r="CO59">
        <v>4182</v>
      </c>
      <c r="CP59">
        <v>317</v>
      </c>
      <c r="CQ59">
        <v>59.503586800599997</v>
      </c>
      <c r="CR59">
        <v>18022</v>
      </c>
      <c r="CS59">
        <v>1987</v>
      </c>
      <c r="CT59">
        <v>66.778160026600005</v>
      </c>
      <c r="CU59">
        <v>64.438349270299994</v>
      </c>
      <c r="CW59" t="s">
        <v>404</v>
      </c>
      <c r="CX59" t="s">
        <v>881</v>
      </c>
      <c r="CZ59">
        <v>1572</v>
      </c>
      <c r="DA59">
        <v>261</v>
      </c>
      <c r="DB59">
        <v>75.478371501300003</v>
      </c>
      <c r="DC59">
        <v>4165</v>
      </c>
      <c r="DD59">
        <v>693</v>
      </c>
      <c r="DE59">
        <v>132.0093637455</v>
      </c>
      <c r="DF59">
        <v>114.0678210678</v>
      </c>
      <c r="DH59" t="s">
        <v>404</v>
      </c>
      <c r="DI59" t="s">
        <v>861</v>
      </c>
      <c r="DK59">
        <v>1163</v>
      </c>
      <c r="DL59">
        <v>193</v>
      </c>
      <c r="DM59">
        <v>78.022355975899998</v>
      </c>
      <c r="DN59">
        <v>3514</v>
      </c>
      <c r="DO59">
        <v>409</v>
      </c>
      <c r="DP59">
        <v>121.4291405805</v>
      </c>
      <c r="DQ59">
        <v>109.37163814180001</v>
      </c>
    </row>
    <row r="60" spans="2:121" x14ac:dyDescent="0.2">
      <c r="F60" t="s">
        <v>135</v>
      </c>
      <c r="G60">
        <v>567</v>
      </c>
      <c r="H60">
        <v>356.5255731922</v>
      </c>
      <c r="I60">
        <v>482</v>
      </c>
      <c r="J60">
        <v>145</v>
      </c>
      <c r="K60">
        <v>820</v>
      </c>
      <c r="L60">
        <v>476</v>
      </c>
      <c r="M60">
        <v>152</v>
      </c>
      <c r="N60">
        <v>81</v>
      </c>
      <c r="O60">
        <v>175</v>
      </c>
      <c r="P60">
        <v>80</v>
      </c>
      <c r="Q60">
        <v>0</v>
      </c>
      <c r="R60">
        <v>1</v>
      </c>
      <c r="BJ60" t="s">
        <v>539</v>
      </c>
      <c r="BK60" t="s">
        <v>380</v>
      </c>
      <c r="BL60">
        <v>16947</v>
      </c>
      <c r="BM60">
        <v>4561</v>
      </c>
      <c r="BN60">
        <v>100.10261403200001</v>
      </c>
      <c r="BO60">
        <v>30646</v>
      </c>
      <c r="BP60">
        <v>2850</v>
      </c>
      <c r="BQ60">
        <v>145.91943483649999</v>
      </c>
      <c r="BR60">
        <v>141.16736842110001</v>
      </c>
      <c r="BS60">
        <v>3602</v>
      </c>
      <c r="BT60">
        <v>1475</v>
      </c>
      <c r="BU60">
        <v>120.1715713493</v>
      </c>
      <c r="BV60">
        <v>25558</v>
      </c>
      <c r="BW60">
        <v>2434</v>
      </c>
      <c r="BX60">
        <v>136.57649268329999</v>
      </c>
      <c r="BY60">
        <v>141.22432210349999</v>
      </c>
      <c r="CA60" t="s">
        <v>388</v>
      </c>
      <c r="CB60" t="s">
        <v>915</v>
      </c>
      <c r="CC60" t="s">
        <v>1023</v>
      </c>
      <c r="CD60">
        <v>7990</v>
      </c>
      <c r="CE60">
        <v>2076</v>
      </c>
      <c r="CF60">
        <v>106.50400500630001</v>
      </c>
      <c r="CG60">
        <v>15998</v>
      </c>
      <c r="CH60">
        <v>1779</v>
      </c>
      <c r="CI60">
        <v>143.1325165646</v>
      </c>
      <c r="CJ60">
        <v>161.4969083755</v>
      </c>
      <c r="CL60" t="s">
        <v>388</v>
      </c>
      <c r="CM60" t="s">
        <v>900</v>
      </c>
      <c r="CN60" t="s">
        <v>899</v>
      </c>
      <c r="CO60">
        <v>648</v>
      </c>
      <c r="CP60">
        <v>90</v>
      </c>
      <c r="CQ60">
        <v>72.682098765399999</v>
      </c>
      <c r="CR60">
        <v>3103</v>
      </c>
      <c r="CS60">
        <v>360</v>
      </c>
      <c r="CT60">
        <v>66.702223654500003</v>
      </c>
      <c r="CU60">
        <v>66.599999999999994</v>
      </c>
      <c r="CW60" t="s">
        <v>388</v>
      </c>
      <c r="CX60" t="s">
        <v>908</v>
      </c>
      <c r="CY60" t="s">
        <v>907</v>
      </c>
      <c r="CZ60">
        <v>133</v>
      </c>
      <c r="DA60">
        <v>32</v>
      </c>
      <c r="DB60">
        <v>94.639097744400004</v>
      </c>
      <c r="DC60">
        <v>280</v>
      </c>
      <c r="DD60">
        <v>48</v>
      </c>
      <c r="DE60">
        <v>157.1285714286</v>
      </c>
      <c r="DF60">
        <v>154.3958333333</v>
      </c>
      <c r="DH60" t="s">
        <v>388</v>
      </c>
      <c r="DI60" t="s">
        <v>892</v>
      </c>
      <c r="DJ60" t="s">
        <v>891</v>
      </c>
      <c r="DK60">
        <v>128</v>
      </c>
      <c r="DL60">
        <v>37</v>
      </c>
      <c r="DM60">
        <v>95.734375</v>
      </c>
      <c r="DN60">
        <v>336</v>
      </c>
      <c r="DO60">
        <v>52</v>
      </c>
      <c r="DP60">
        <v>148.69047619049999</v>
      </c>
      <c r="DQ60">
        <v>132.38461538460001</v>
      </c>
    </row>
    <row r="61" spans="2:121" x14ac:dyDescent="0.2">
      <c r="F61" t="s">
        <v>56</v>
      </c>
      <c r="G61">
        <v>4354</v>
      </c>
      <c r="H61">
        <v>191.94970142400001</v>
      </c>
      <c r="I61">
        <v>6246</v>
      </c>
      <c r="J61">
        <v>873</v>
      </c>
      <c r="K61">
        <v>5729</v>
      </c>
      <c r="L61">
        <v>2533</v>
      </c>
      <c r="M61">
        <v>712</v>
      </c>
      <c r="N61">
        <v>515</v>
      </c>
      <c r="O61">
        <v>654</v>
      </c>
      <c r="P61">
        <v>348</v>
      </c>
      <c r="Q61">
        <v>8541</v>
      </c>
      <c r="R61">
        <v>0</v>
      </c>
      <c r="BJ61" t="s">
        <v>547</v>
      </c>
      <c r="BK61" t="s">
        <v>380</v>
      </c>
      <c r="BL61">
        <v>8986</v>
      </c>
      <c r="BM61">
        <v>2341</v>
      </c>
      <c r="BN61">
        <v>99.254507010899999</v>
      </c>
      <c r="BO61">
        <v>17220</v>
      </c>
      <c r="BP61">
        <v>1842</v>
      </c>
      <c r="BQ61">
        <v>133.61666666670001</v>
      </c>
      <c r="BR61">
        <v>129.02877307270001</v>
      </c>
      <c r="BS61">
        <v>2710</v>
      </c>
      <c r="BT61">
        <v>1000</v>
      </c>
      <c r="BU61">
        <v>111.5232472325</v>
      </c>
      <c r="BV61">
        <v>17959</v>
      </c>
      <c r="BW61">
        <v>2070</v>
      </c>
      <c r="BX61">
        <v>131.23119327360001</v>
      </c>
      <c r="BY61">
        <v>123.78647343</v>
      </c>
      <c r="CA61" t="s">
        <v>425</v>
      </c>
      <c r="CB61" t="s">
        <v>915</v>
      </c>
      <c r="CC61" t="s">
        <v>1024</v>
      </c>
      <c r="CD61">
        <v>23512</v>
      </c>
      <c r="CE61">
        <v>5171</v>
      </c>
      <c r="CF61">
        <v>93.239877509400003</v>
      </c>
      <c r="CG61">
        <v>48574</v>
      </c>
      <c r="CH61">
        <v>4721</v>
      </c>
      <c r="CI61">
        <v>138.9597109565</v>
      </c>
      <c r="CJ61">
        <v>131.46685024359999</v>
      </c>
      <c r="CL61" t="s">
        <v>425</v>
      </c>
      <c r="CM61" t="s">
        <v>900</v>
      </c>
      <c r="CN61" t="s">
        <v>901</v>
      </c>
      <c r="CO61">
        <v>2992</v>
      </c>
      <c r="CP61">
        <v>282</v>
      </c>
      <c r="CQ61">
        <v>68.531751336900001</v>
      </c>
      <c r="CR61">
        <v>6799</v>
      </c>
      <c r="CS61">
        <v>787</v>
      </c>
      <c r="CT61">
        <v>93.343727018699994</v>
      </c>
      <c r="CU61">
        <v>95.466327827200004</v>
      </c>
      <c r="CW61" t="s">
        <v>425</v>
      </c>
      <c r="CX61" t="s">
        <v>908</v>
      </c>
      <c r="CY61" t="s">
        <v>909</v>
      </c>
      <c r="CZ61">
        <v>640</v>
      </c>
      <c r="DA61">
        <v>161</v>
      </c>
      <c r="DB61">
        <v>87.689062500000006</v>
      </c>
      <c r="DC61">
        <v>1232</v>
      </c>
      <c r="DD61">
        <v>195</v>
      </c>
      <c r="DE61">
        <v>154.8149350649</v>
      </c>
      <c r="DF61">
        <v>144.81538461540001</v>
      </c>
      <c r="DH61" t="s">
        <v>425</v>
      </c>
      <c r="DI61" t="s">
        <v>892</v>
      </c>
      <c r="DJ61" t="s">
        <v>893</v>
      </c>
      <c r="DK61">
        <v>696</v>
      </c>
      <c r="DL61">
        <v>175</v>
      </c>
      <c r="DM61">
        <v>95.576149425300002</v>
      </c>
      <c r="DN61">
        <v>1722</v>
      </c>
      <c r="DO61">
        <v>294</v>
      </c>
      <c r="DP61">
        <v>145.5481997677</v>
      </c>
      <c r="DQ61">
        <v>134.10884353739999</v>
      </c>
    </row>
    <row r="62" spans="2:121" x14ac:dyDescent="0.2">
      <c r="BJ62" t="s">
        <v>563</v>
      </c>
      <c r="BK62" t="s">
        <v>380</v>
      </c>
      <c r="BL62">
        <v>3860</v>
      </c>
      <c r="BM62">
        <v>682</v>
      </c>
      <c r="BN62">
        <v>89.865803108799994</v>
      </c>
      <c r="BO62">
        <v>10690</v>
      </c>
      <c r="BP62">
        <v>1007</v>
      </c>
      <c r="BQ62">
        <v>132.1199251637</v>
      </c>
      <c r="BR62">
        <v>113.1678252234</v>
      </c>
      <c r="BS62">
        <v>1271</v>
      </c>
      <c r="BT62">
        <v>610</v>
      </c>
      <c r="BU62">
        <v>155.2572777341</v>
      </c>
      <c r="BV62">
        <v>14537</v>
      </c>
      <c r="BW62">
        <v>1581</v>
      </c>
      <c r="BX62">
        <v>154.32097406619999</v>
      </c>
      <c r="BY62">
        <v>132.0708412397</v>
      </c>
      <c r="CA62" t="s">
        <v>381</v>
      </c>
      <c r="CB62" t="s">
        <v>915</v>
      </c>
      <c r="CC62" t="s">
        <v>1025</v>
      </c>
      <c r="CD62">
        <v>18657</v>
      </c>
      <c r="CE62">
        <v>4784</v>
      </c>
      <c r="CF62">
        <v>96.532936699399997</v>
      </c>
      <c r="CG62">
        <v>34390</v>
      </c>
      <c r="CH62">
        <v>3340</v>
      </c>
      <c r="CI62">
        <v>137.27775516139999</v>
      </c>
      <c r="CJ62">
        <v>128.8574850299</v>
      </c>
      <c r="CL62" t="s">
        <v>381</v>
      </c>
      <c r="CM62" t="s">
        <v>900</v>
      </c>
      <c r="CN62" t="s">
        <v>902</v>
      </c>
      <c r="CO62">
        <v>1473</v>
      </c>
      <c r="CP62">
        <v>185</v>
      </c>
      <c r="CQ62">
        <v>72.847250509199995</v>
      </c>
      <c r="CR62">
        <v>3441</v>
      </c>
      <c r="CS62">
        <v>401</v>
      </c>
      <c r="CT62">
        <v>95.984016274300004</v>
      </c>
      <c r="CU62">
        <v>103.9376558603</v>
      </c>
      <c r="CW62" t="s">
        <v>381</v>
      </c>
      <c r="CX62" t="s">
        <v>908</v>
      </c>
      <c r="CY62" t="s">
        <v>910</v>
      </c>
      <c r="CZ62">
        <v>405</v>
      </c>
      <c r="DA62">
        <v>97</v>
      </c>
      <c r="DB62">
        <v>89.841975308599999</v>
      </c>
      <c r="DC62">
        <v>710</v>
      </c>
      <c r="DD62">
        <v>130</v>
      </c>
      <c r="DE62">
        <v>156.72676056340001</v>
      </c>
      <c r="DF62">
        <v>139.42307692310001</v>
      </c>
      <c r="DH62" t="s">
        <v>381</v>
      </c>
      <c r="DI62" t="s">
        <v>892</v>
      </c>
      <c r="DJ62" t="s">
        <v>894</v>
      </c>
      <c r="DK62">
        <v>365</v>
      </c>
      <c r="DL62">
        <v>85</v>
      </c>
      <c r="DM62">
        <v>88.482191780799994</v>
      </c>
      <c r="DN62">
        <v>872</v>
      </c>
      <c r="DO62">
        <v>149</v>
      </c>
      <c r="DP62">
        <v>143.51834862390001</v>
      </c>
      <c r="DQ62">
        <v>119.1409395973</v>
      </c>
    </row>
    <row r="63" spans="2:121" x14ac:dyDescent="0.2">
      <c r="BJ63" t="s">
        <v>553</v>
      </c>
      <c r="BK63" t="s">
        <v>380</v>
      </c>
      <c r="BL63">
        <v>7972</v>
      </c>
      <c r="BM63">
        <v>2268</v>
      </c>
      <c r="BN63">
        <v>112.4278725539</v>
      </c>
      <c r="BO63">
        <v>15301</v>
      </c>
      <c r="BP63">
        <v>1660</v>
      </c>
      <c r="BQ63">
        <v>148.53519377820001</v>
      </c>
      <c r="BR63">
        <v>175.35481927710001</v>
      </c>
      <c r="BS63">
        <v>1701</v>
      </c>
      <c r="BT63">
        <v>602</v>
      </c>
      <c r="BU63">
        <v>121.4326866549</v>
      </c>
      <c r="BV63">
        <v>14514</v>
      </c>
      <c r="BW63">
        <v>1692</v>
      </c>
      <c r="BX63">
        <v>144.78896238109999</v>
      </c>
      <c r="BY63">
        <v>159.46867612290001</v>
      </c>
      <c r="CA63" t="s">
        <v>393</v>
      </c>
      <c r="CB63" t="s">
        <v>915</v>
      </c>
      <c r="CC63" t="s">
        <v>1026</v>
      </c>
      <c r="CD63">
        <v>3430</v>
      </c>
      <c r="CE63">
        <v>433</v>
      </c>
      <c r="CF63">
        <v>75.479591836699996</v>
      </c>
      <c r="CG63">
        <v>10866</v>
      </c>
      <c r="CH63">
        <v>1044</v>
      </c>
      <c r="CI63">
        <v>117.40889011599999</v>
      </c>
      <c r="CJ63">
        <v>102.7729885057</v>
      </c>
      <c r="CL63" t="s">
        <v>393</v>
      </c>
      <c r="CM63" t="s">
        <v>900</v>
      </c>
      <c r="CN63" t="s">
        <v>903</v>
      </c>
      <c r="CO63">
        <v>341</v>
      </c>
      <c r="CP63">
        <v>38</v>
      </c>
      <c r="CQ63">
        <v>66.612903225799997</v>
      </c>
      <c r="CR63">
        <v>1660</v>
      </c>
      <c r="CS63">
        <v>169</v>
      </c>
      <c r="CT63">
        <v>70.801807228900003</v>
      </c>
      <c r="CU63">
        <v>70.100591715999997</v>
      </c>
      <c r="CW63" t="s">
        <v>393</v>
      </c>
      <c r="CX63" t="s">
        <v>908</v>
      </c>
      <c r="CY63" t="s">
        <v>911</v>
      </c>
      <c r="CZ63">
        <v>88</v>
      </c>
      <c r="DA63">
        <v>17</v>
      </c>
      <c r="DB63">
        <v>84.534090909100001</v>
      </c>
      <c r="DC63">
        <v>170</v>
      </c>
      <c r="DD63">
        <v>20</v>
      </c>
      <c r="DE63">
        <v>149.29411764709999</v>
      </c>
      <c r="DF63">
        <v>135.44999999999999</v>
      </c>
      <c r="DH63" t="s">
        <v>393</v>
      </c>
      <c r="DI63" t="s">
        <v>892</v>
      </c>
      <c r="DJ63" t="s">
        <v>895</v>
      </c>
      <c r="DK63">
        <v>133</v>
      </c>
      <c r="DL63">
        <v>17</v>
      </c>
      <c r="DM63">
        <v>77.308270676700005</v>
      </c>
      <c r="DN63">
        <v>262</v>
      </c>
      <c r="DO63">
        <v>43</v>
      </c>
      <c r="DP63">
        <v>146.44274809160001</v>
      </c>
      <c r="DQ63">
        <v>119.3720930233</v>
      </c>
    </row>
    <row r="64" spans="2:121" x14ac:dyDescent="0.2">
      <c r="BJ64" t="s">
        <v>549</v>
      </c>
      <c r="BK64" t="s">
        <v>380</v>
      </c>
      <c r="BL64">
        <v>8390</v>
      </c>
      <c r="BM64">
        <v>1405</v>
      </c>
      <c r="BN64">
        <v>76.889868891500001</v>
      </c>
      <c r="BO64">
        <v>21192</v>
      </c>
      <c r="BP64">
        <v>2118</v>
      </c>
      <c r="BQ64">
        <v>121.0415722914</v>
      </c>
      <c r="BR64">
        <v>108.0056657224</v>
      </c>
      <c r="BS64">
        <v>2557</v>
      </c>
      <c r="BT64">
        <v>621</v>
      </c>
      <c r="BU64">
        <v>92.258506061800006</v>
      </c>
      <c r="BV64">
        <v>21931</v>
      </c>
      <c r="BW64">
        <v>2152</v>
      </c>
      <c r="BX64">
        <v>125.93133008069999</v>
      </c>
      <c r="BY64">
        <v>110.1742565056</v>
      </c>
      <c r="CA64" t="s">
        <v>427</v>
      </c>
      <c r="CB64" t="s">
        <v>915</v>
      </c>
      <c r="CC64" t="s">
        <v>1027</v>
      </c>
      <c r="CD64">
        <v>2086</v>
      </c>
      <c r="CE64">
        <v>534</v>
      </c>
      <c r="CF64">
        <v>110.8120805369</v>
      </c>
      <c r="CG64">
        <v>6389</v>
      </c>
      <c r="CH64">
        <v>776</v>
      </c>
      <c r="CI64">
        <v>151.16058851150001</v>
      </c>
      <c r="CJ64">
        <v>144.3608247423</v>
      </c>
      <c r="CL64" t="s">
        <v>427</v>
      </c>
      <c r="CM64" t="s">
        <v>900</v>
      </c>
      <c r="CN64" t="s">
        <v>904</v>
      </c>
      <c r="CO64">
        <v>546</v>
      </c>
      <c r="CP64">
        <v>67</v>
      </c>
      <c r="CQ64">
        <v>75.461538461499998</v>
      </c>
      <c r="CR64">
        <v>1236</v>
      </c>
      <c r="CS64">
        <v>136</v>
      </c>
      <c r="CT64">
        <v>104.21116504850001</v>
      </c>
      <c r="CU64">
        <v>112.23529411760001</v>
      </c>
      <c r="CW64" t="s">
        <v>427</v>
      </c>
      <c r="CX64" t="s">
        <v>908</v>
      </c>
      <c r="CY64" t="s">
        <v>912</v>
      </c>
      <c r="CZ64">
        <v>17</v>
      </c>
      <c r="DA64">
        <v>3</v>
      </c>
      <c r="DB64">
        <v>72.941176470599999</v>
      </c>
      <c r="DC64">
        <v>13</v>
      </c>
      <c r="DD64">
        <v>5</v>
      </c>
      <c r="DE64">
        <v>145.5384615385</v>
      </c>
      <c r="DF64">
        <v>139.4</v>
      </c>
      <c r="DH64" t="s">
        <v>427</v>
      </c>
      <c r="DI64" t="s">
        <v>892</v>
      </c>
      <c r="DJ64" t="s">
        <v>896</v>
      </c>
      <c r="DK64">
        <v>13</v>
      </c>
      <c r="DL64">
        <v>4</v>
      </c>
      <c r="DM64">
        <v>110.3846153846</v>
      </c>
      <c r="DN64">
        <v>33</v>
      </c>
      <c r="DO64">
        <v>8</v>
      </c>
      <c r="DP64">
        <v>116.4848484848</v>
      </c>
      <c r="DQ64">
        <v>115.75</v>
      </c>
    </row>
    <row r="65" spans="62:121" x14ac:dyDescent="0.2">
      <c r="BJ65" t="s">
        <v>613</v>
      </c>
      <c r="BK65" t="s">
        <v>380</v>
      </c>
      <c r="BL65">
        <v>2049</v>
      </c>
      <c r="BM65">
        <v>543</v>
      </c>
      <c r="BN65">
        <v>112.10688140560001</v>
      </c>
      <c r="BO65">
        <v>6333</v>
      </c>
      <c r="BP65">
        <v>771</v>
      </c>
      <c r="BQ65">
        <v>153.8555187115</v>
      </c>
      <c r="BR65">
        <v>146.53566796370001</v>
      </c>
      <c r="BS65">
        <v>472</v>
      </c>
      <c r="BT65">
        <v>157</v>
      </c>
      <c r="BU65">
        <v>125.7309322034</v>
      </c>
      <c r="BV65">
        <v>6706</v>
      </c>
      <c r="BW65">
        <v>999</v>
      </c>
      <c r="BX65">
        <v>157.06024455709999</v>
      </c>
      <c r="BY65">
        <v>132.3663663664</v>
      </c>
      <c r="CA65" t="s">
        <v>383</v>
      </c>
      <c r="CB65" t="s">
        <v>915</v>
      </c>
      <c r="CC65" t="s">
        <v>1028</v>
      </c>
      <c r="CD65">
        <v>9031</v>
      </c>
      <c r="CE65">
        <v>2417</v>
      </c>
      <c r="CF65">
        <v>100.7357989148</v>
      </c>
      <c r="CG65">
        <v>18405</v>
      </c>
      <c r="CH65">
        <v>1922</v>
      </c>
      <c r="CI65">
        <v>131.1032871502</v>
      </c>
      <c r="CJ65">
        <v>125.8949011446</v>
      </c>
      <c r="CL65" t="s">
        <v>383</v>
      </c>
      <c r="CM65" t="s">
        <v>900</v>
      </c>
      <c r="CN65" t="s">
        <v>905</v>
      </c>
      <c r="CO65">
        <v>976</v>
      </c>
      <c r="CP65">
        <v>93</v>
      </c>
      <c r="CQ65">
        <v>70.968237704900005</v>
      </c>
      <c r="CR65">
        <v>2028</v>
      </c>
      <c r="CS65">
        <v>229</v>
      </c>
      <c r="CT65">
        <v>93.071005917199997</v>
      </c>
      <c r="CU65">
        <v>104.8427947598</v>
      </c>
      <c r="CW65" t="s">
        <v>383</v>
      </c>
      <c r="CX65" t="s">
        <v>908</v>
      </c>
      <c r="CY65" t="s">
        <v>913</v>
      </c>
      <c r="CZ65">
        <v>193</v>
      </c>
      <c r="DA65">
        <v>53</v>
      </c>
      <c r="DB65">
        <v>103.6580310881</v>
      </c>
      <c r="DC65">
        <v>367</v>
      </c>
      <c r="DD65">
        <v>55</v>
      </c>
      <c r="DE65">
        <v>161.44959128069999</v>
      </c>
      <c r="DF65">
        <v>155.29090909089999</v>
      </c>
      <c r="DH65" t="s">
        <v>383</v>
      </c>
      <c r="DI65" t="s">
        <v>892</v>
      </c>
      <c r="DJ65" t="s">
        <v>897</v>
      </c>
      <c r="DK65">
        <v>190</v>
      </c>
      <c r="DL65">
        <v>45</v>
      </c>
      <c r="DM65">
        <v>99.326315789500001</v>
      </c>
      <c r="DN65">
        <v>432</v>
      </c>
      <c r="DO65">
        <v>63</v>
      </c>
      <c r="DP65">
        <v>144.7453703704</v>
      </c>
      <c r="DQ65">
        <v>131.42857142860001</v>
      </c>
    </row>
    <row r="66" spans="62:121" x14ac:dyDescent="0.2">
      <c r="BJ66" t="s">
        <v>380</v>
      </c>
      <c r="BK66" t="s">
        <v>380</v>
      </c>
      <c r="BL66">
        <v>70150</v>
      </c>
      <c r="BM66">
        <v>16698</v>
      </c>
      <c r="BN66">
        <v>96.1389736279</v>
      </c>
      <c r="BO66">
        <v>145637</v>
      </c>
      <c r="BP66">
        <v>14386</v>
      </c>
      <c r="BQ66">
        <v>139.60845801549999</v>
      </c>
      <c r="BR66">
        <v>135.87884053939999</v>
      </c>
      <c r="BS66">
        <v>19638</v>
      </c>
      <c r="BT66">
        <v>6571</v>
      </c>
      <c r="BU66">
        <v>109.10810673180001</v>
      </c>
      <c r="BV66">
        <v>141492</v>
      </c>
      <c r="BW66">
        <v>14542</v>
      </c>
      <c r="BX66">
        <v>137.3808695898</v>
      </c>
      <c r="BY66">
        <v>135.68704442309999</v>
      </c>
      <c r="CA66" t="s">
        <v>384</v>
      </c>
      <c r="CB66" t="s">
        <v>915</v>
      </c>
      <c r="CC66" t="s">
        <v>1029</v>
      </c>
      <c r="CD66">
        <v>8625</v>
      </c>
      <c r="CE66">
        <v>1461</v>
      </c>
      <c r="CF66">
        <v>78.522086956500004</v>
      </c>
      <c r="CG66">
        <v>21627</v>
      </c>
      <c r="CH66">
        <v>2285</v>
      </c>
      <c r="CI66">
        <v>118.32038655380001</v>
      </c>
      <c r="CJ66">
        <v>105.4122538293</v>
      </c>
      <c r="CL66" t="s">
        <v>384</v>
      </c>
      <c r="CM66" t="s">
        <v>900</v>
      </c>
      <c r="CN66" t="s">
        <v>906</v>
      </c>
      <c r="CO66">
        <v>640</v>
      </c>
      <c r="CP66">
        <v>88</v>
      </c>
      <c r="CQ66">
        <v>74.673437500000006</v>
      </c>
      <c r="CR66">
        <v>2786</v>
      </c>
      <c r="CS66">
        <v>318</v>
      </c>
      <c r="CT66">
        <v>68.170495333800005</v>
      </c>
      <c r="CU66">
        <v>70.704402515699996</v>
      </c>
      <c r="CW66" t="s">
        <v>384</v>
      </c>
      <c r="CX66" t="s">
        <v>908</v>
      </c>
      <c r="CY66" t="s">
        <v>914</v>
      </c>
      <c r="CZ66">
        <v>200</v>
      </c>
      <c r="DA66">
        <v>59</v>
      </c>
      <c r="DB66">
        <v>101.005</v>
      </c>
      <c r="DC66">
        <v>356</v>
      </c>
      <c r="DD66">
        <v>49</v>
      </c>
      <c r="DE66">
        <v>157.0337078652</v>
      </c>
      <c r="DF66">
        <v>149.34693877550001</v>
      </c>
      <c r="DH66" t="s">
        <v>384</v>
      </c>
      <c r="DI66" t="s">
        <v>892</v>
      </c>
      <c r="DJ66" t="s">
        <v>898</v>
      </c>
      <c r="DK66">
        <v>298</v>
      </c>
      <c r="DL66">
        <v>55</v>
      </c>
      <c r="DM66">
        <v>83.399328859099995</v>
      </c>
      <c r="DN66">
        <v>713</v>
      </c>
      <c r="DO66">
        <v>128</v>
      </c>
      <c r="DP66">
        <v>146.98877980360001</v>
      </c>
      <c r="DQ66">
        <v>142.9375</v>
      </c>
    </row>
    <row r="67" spans="62:121" x14ac:dyDescent="0.2">
      <c r="BJ67" t="s">
        <v>541</v>
      </c>
      <c r="BK67" t="s">
        <v>380</v>
      </c>
      <c r="BL67">
        <v>21946</v>
      </c>
      <c r="BM67">
        <v>4898</v>
      </c>
      <c r="BN67">
        <v>92.856967101099997</v>
      </c>
      <c r="BO67">
        <v>44255</v>
      </c>
      <c r="BP67">
        <v>4138</v>
      </c>
      <c r="BQ67">
        <v>143.14432267539999</v>
      </c>
      <c r="BR67">
        <v>137.2573707105</v>
      </c>
      <c r="BS67">
        <v>7325</v>
      </c>
      <c r="BT67">
        <v>2106</v>
      </c>
      <c r="BU67">
        <v>96.7153583618</v>
      </c>
      <c r="BV67">
        <v>40287</v>
      </c>
      <c r="BW67">
        <v>3614</v>
      </c>
      <c r="BX67">
        <v>134.8081018691</v>
      </c>
      <c r="BY67">
        <v>145.33176535690001</v>
      </c>
      <c r="CA67" t="s">
        <v>380</v>
      </c>
      <c r="CB67" t="s">
        <v>915</v>
      </c>
      <c r="CD67">
        <v>73331</v>
      </c>
      <c r="CE67">
        <v>16876</v>
      </c>
      <c r="CF67">
        <v>94.384162223299995</v>
      </c>
      <c r="CG67">
        <v>156249</v>
      </c>
      <c r="CH67">
        <v>15867</v>
      </c>
      <c r="CI67">
        <v>134.2347535024</v>
      </c>
      <c r="CJ67">
        <v>128.600113443</v>
      </c>
      <c r="CL67" t="s">
        <v>380</v>
      </c>
      <c r="CM67" t="s">
        <v>900</v>
      </c>
      <c r="CO67">
        <v>7616</v>
      </c>
      <c r="CP67">
        <v>843</v>
      </c>
      <c r="CQ67">
        <v>70.958771008400007</v>
      </c>
      <c r="CR67">
        <v>21053</v>
      </c>
      <c r="CS67">
        <v>2400</v>
      </c>
      <c r="CT67">
        <v>85.351683845500006</v>
      </c>
      <c r="CU67">
        <v>89.329583333299993</v>
      </c>
      <c r="CW67" t="s">
        <v>380</v>
      </c>
      <c r="CX67" t="s">
        <v>908</v>
      </c>
      <c r="CZ67">
        <v>1676</v>
      </c>
      <c r="DA67">
        <v>422</v>
      </c>
      <c r="DB67">
        <v>91.873508353199995</v>
      </c>
      <c r="DC67">
        <v>3128</v>
      </c>
      <c r="DD67">
        <v>502</v>
      </c>
      <c r="DE67">
        <v>156.14833759589999</v>
      </c>
      <c r="DF67">
        <v>145.49800796810001</v>
      </c>
      <c r="DH67" t="s">
        <v>380</v>
      </c>
      <c r="DI67" t="s">
        <v>892</v>
      </c>
      <c r="DK67">
        <v>1823</v>
      </c>
      <c r="DL67">
        <v>418</v>
      </c>
      <c r="DM67">
        <v>91.3400987383</v>
      </c>
      <c r="DN67">
        <v>4370</v>
      </c>
      <c r="DO67">
        <v>737</v>
      </c>
      <c r="DP67">
        <v>145.37459954229999</v>
      </c>
      <c r="DQ67">
        <v>131.2062415197</v>
      </c>
    </row>
    <row r="68" spans="62:121" x14ac:dyDescent="0.2">
      <c r="BJ68" t="s">
        <v>308</v>
      </c>
      <c r="BK68" t="s">
        <v>695</v>
      </c>
      <c r="BL68">
        <v>6021</v>
      </c>
      <c r="BM68">
        <v>1240</v>
      </c>
      <c r="BN68">
        <v>86.540109616300001</v>
      </c>
      <c r="BO68">
        <v>15953</v>
      </c>
      <c r="BP68">
        <v>2376</v>
      </c>
      <c r="BQ68">
        <v>131.847301448</v>
      </c>
      <c r="BR68">
        <v>118.15824915819999</v>
      </c>
      <c r="BS68">
        <v>6188</v>
      </c>
      <c r="BT68">
        <v>1204</v>
      </c>
      <c r="BU68">
        <v>82.526664511999996</v>
      </c>
      <c r="BV68">
        <v>4378</v>
      </c>
      <c r="BW68">
        <v>1545</v>
      </c>
      <c r="BX68">
        <v>129.570123344</v>
      </c>
      <c r="BY68">
        <v>113.0187702265</v>
      </c>
      <c r="CA68" t="s">
        <v>698</v>
      </c>
      <c r="CD68">
        <v>356878</v>
      </c>
      <c r="CE68">
        <v>73049</v>
      </c>
      <c r="CF68">
        <v>88.609264230400001</v>
      </c>
      <c r="CG68">
        <v>836391</v>
      </c>
      <c r="CH68">
        <v>95957</v>
      </c>
      <c r="CI68">
        <v>123.5537637301</v>
      </c>
      <c r="CJ68">
        <v>117.1651052034</v>
      </c>
      <c r="CL68" t="s">
        <v>698</v>
      </c>
      <c r="CO68">
        <v>356878</v>
      </c>
      <c r="CP68">
        <v>73049</v>
      </c>
      <c r="CQ68">
        <v>88.609264230400001</v>
      </c>
      <c r="CR68">
        <v>836391</v>
      </c>
      <c r="CS68">
        <v>95957</v>
      </c>
      <c r="CT68">
        <v>123.5537637301</v>
      </c>
      <c r="CU68">
        <v>117.1651052034</v>
      </c>
      <c r="CW68" t="s">
        <v>698</v>
      </c>
      <c r="CZ68">
        <v>356878</v>
      </c>
      <c r="DA68">
        <v>73049</v>
      </c>
      <c r="DB68">
        <v>88.609264230400001</v>
      </c>
      <c r="DC68">
        <v>836391</v>
      </c>
      <c r="DD68">
        <v>95957</v>
      </c>
      <c r="DE68">
        <v>123.5537637301</v>
      </c>
      <c r="DF68">
        <v>117.1651052034</v>
      </c>
      <c r="DH68" t="s">
        <v>698</v>
      </c>
      <c r="DK68">
        <v>356878</v>
      </c>
      <c r="DL68">
        <v>73049</v>
      </c>
      <c r="DM68">
        <v>88.609264230400001</v>
      </c>
      <c r="DN68">
        <v>836391</v>
      </c>
      <c r="DO68">
        <v>95957</v>
      </c>
      <c r="DP68">
        <v>123.5537637301</v>
      </c>
      <c r="DQ68">
        <v>117.1651052034</v>
      </c>
    </row>
    <row r="69" spans="62:121" x14ac:dyDescent="0.2">
      <c r="BJ69" t="s">
        <v>211</v>
      </c>
      <c r="BK69" t="s">
        <v>695</v>
      </c>
      <c r="BL69">
        <v>54</v>
      </c>
      <c r="BM69">
        <v>11</v>
      </c>
      <c r="BN69">
        <v>92.759259259299995</v>
      </c>
      <c r="BO69">
        <v>145</v>
      </c>
      <c r="BP69">
        <v>22</v>
      </c>
      <c r="BQ69">
        <v>125.9517241379</v>
      </c>
      <c r="BR69">
        <v>84.318181818200003</v>
      </c>
      <c r="BS69">
        <v>245</v>
      </c>
      <c r="BT69">
        <v>64</v>
      </c>
      <c r="BU69">
        <v>109.8734693878</v>
      </c>
      <c r="BV69">
        <v>7734</v>
      </c>
      <c r="BW69">
        <v>801</v>
      </c>
      <c r="BX69">
        <v>119.7923454875</v>
      </c>
      <c r="BY69">
        <v>112.5755305868</v>
      </c>
    </row>
    <row r="70" spans="62:121" x14ac:dyDescent="0.2">
      <c r="BJ70" t="s">
        <v>695</v>
      </c>
      <c r="BK70" t="s">
        <v>695</v>
      </c>
      <c r="BL70">
        <v>7030</v>
      </c>
      <c r="BM70">
        <v>1509</v>
      </c>
      <c r="BN70">
        <v>87.744950213400003</v>
      </c>
      <c r="BO70">
        <v>19204</v>
      </c>
      <c r="BP70">
        <v>2971</v>
      </c>
      <c r="BQ70">
        <v>134.17199541759999</v>
      </c>
      <c r="BR70">
        <v>120.997980478</v>
      </c>
      <c r="BS70">
        <v>7030</v>
      </c>
      <c r="BT70">
        <v>1509</v>
      </c>
      <c r="BU70">
        <v>87.744950213400003</v>
      </c>
      <c r="BV70">
        <v>19204</v>
      </c>
      <c r="BW70">
        <v>2971</v>
      </c>
      <c r="BX70">
        <v>134.17199541759999</v>
      </c>
      <c r="BY70">
        <v>120.997980478</v>
      </c>
    </row>
    <row r="71" spans="62:121" x14ac:dyDescent="0.2">
      <c r="BJ71" t="s">
        <v>213</v>
      </c>
      <c r="BK71" t="s">
        <v>695</v>
      </c>
      <c r="BL71">
        <v>955</v>
      </c>
      <c r="BM71">
        <v>258</v>
      </c>
      <c r="BN71">
        <v>95.057591622999993</v>
      </c>
      <c r="BO71">
        <v>3106</v>
      </c>
      <c r="BP71">
        <v>573</v>
      </c>
      <c r="BQ71">
        <v>146.49581455250001</v>
      </c>
      <c r="BR71">
        <v>134.1815008726</v>
      </c>
      <c r="BS71">
        <v>597</v>
      </c>
      <c r="BT71">
        <v>241</v>
      </c>
      <c r="BU71">
        <v>132.75209380230001</v>
      </c>
      <c r="BV71">
        <v>7092</v>
      </c>
      <c r="BW71">
        <v>625</v>
      </c>
      <c r="BX71">
        <v>152.69416243649999</v>
      </c>
      <c r="BY71">
        <v>151.51679999999999</v>
      </c>
    </row>
    <row r="72" spans="62:121" x14ac:dyDescent="0.2">
      <c r="BJ72" t="s">
        <v>209</v>
      </c>
      <c r="BK72" t="s">
        <v>696</v>
      </c>
      <c r="BL72">
        <v>5830</v>
      </c>
      <c r="BM72">
        <v>647</v>
      </c>
      <c r="BN72">
        <v>66.798284734099994</v>
      </c>
      <c r="BO72">
        <v>27431</v>
      </c>
      <c r="BP72">
        <v>3031</v>
      </c>
      <c r="BQ72">
        <v>70.622981298499994</v>
      </c>
      <c r="BR72">
        <v>69.273177169299998</v>
      </c>
      <c r="BS72">
        <v>5809</v>
      </c>
      <c r="BT72">
        <v>633</v>
      </c>
      <c r="BU72">
        <v>65.987605439800006</v>
      </c>
      <c r="BV72">
        <v>27590</v>
      </c>
      <c r="BW72">
        <v>3055</v>
      </c>
      <c r="BX72">
        <v>70.813918086300006</v>
      </c>
      <c r="BY72">
        <v>69.4314238953</v>
      </c>
    </row>
    <row r="73" spans="62:121" x14ac:dyDescent="0.2">
      <c r="BJ73" t="s">
        <v>224</v>
      </c>
      <c r="BK73" t="s">
        <v>696</v>
      </c>
      <c r="BL73">
        <v>880</v>
      </c>
      <c r="BM73">
        <v>410</v>
      </c>
      <c r="BN73">
        <v>171.87727272730001</v>
      </c>
      <c r="BO73">
        <v>3529</v>
      </c>
      <c r="BP73">
        <v>436</v>
      </c>
      <c r="BQ73">
        <v>58.116746953800003</v>
      </c>
      <c r="BR73">
        <v>70.0298165138</v>
      </c>
      <c r="BS73">
        <v>815</v>
      </c>
      <c r="BT73">
        <v>426</v>
      </c>
      <c r="BU73">
        <v>188.9349693252</v>
      </c>
      <c r="BV73">
        <v>2914</v>
      </c>
      <c r="BW73">
        <v>345</v>
      </c>
      <c r="BX73">
        <v>44.956760466699997</v>
      </c>
      <c r="BY73">
        <v>56.4782608696</v>
      </c>
    </row>
    <row r="74" spans="62:121" x14ac:dyDescent="0.2">
      <c r="BJ74" t="s">
        <v>210</v>
      </c>
      <c r="BK74" t="s">
        <v>696</v>
      </c>
      <c r="BL74">
        <v>13976</v>
      </c>
      <c r="BM74">
        <v>1414</v>
      </c>
      <c r="BN74">
        <v>68.169361762999998</v>
      </c>
      <c r="BO74">
        <v>30965</v>
      </c>
      <c r="BP74">
        <v>3588</v>
      </c>
      <c r="BQ74">
        <v>96.810624899100006</v>
      </c>
      <c r="BR74">
        <v>103.38433667779999</v>
      </c>
      <c r="BS74">
        <v>14063</v>
      </c>
      <c r="BT74">
        <v>1422</v>
      </c>
      <c r="BU74">
        <v>68.216952286099996</v>
      </c>
      <c r="BV74">
        <v>31154</v>
      </c>
      <c r="BW74">
        <v>3612</v>
      </c>
      <c r="BX74">
        <v>97.214290299799998</v>
      </c>
      <c r="BY74">
        <v>103.7918050941</v>
      </c>
    </row>
    <row r="75" spans="62:121" x14ac:dyDescent="0.2">
      <c r="BJ75" t="s">
        <v>212</v>
      </c>
      <c r="BK75" t="s">
        <v>696</v>
      </c>
      <c r="BL75">
        <v>8158</v>
      </c>
      <c r="BM75">
        <v>516</v>
      </c>
      <c r="BN75">
        <v>56.470703603799997</v>
      </c>
      <c r="BO75">
        <v>34395</v>
      </c>
      <c r="BP75">
        <v>3820</v>
      </c>
      <c r="BQ75">
        <v>67.4524204099</v>
      </c>
      <c r="BR75">
        <v>64.703141361299998</v>
      </c>
      <c r="BS75">
        <v>8156</v>
      </c>
      <c r="BT75">
        <v>505</v>
      </c>
      <c r="BU75">
        <v>56.032859244699999</v>
      </c>
      <c r="BV75">
        <v>34662</v>
      </c>
      <c r="BW75">
        <v>3863</v>
      </c>
      <c r="BX75">
        <v>67.703710114800003</v>
      </c>
      <c r="BY75">
        <v>65.264043489499997</v>
      </c>
    </row>
    <row r="76" spans="62:121" x14ac:dyDescent="0.2">
      <c r="BJ76" t="s">
        <v>696</v>
      </c>
      <c r="BK76" t="s">
        <v>696</v>
      </c>
      <c r="BL76">
        <v>28844</v>
      </c>
      <c r="BM76">
        <v>2987</v>
      </c>
      <c r="BN76">
        <v>67.747503813600005</v>
      </c>
      <c r="BO76">
        <v>96320</v>
      </c>
      <c r="BP76">
        <v>10875</v>
      </c>
      <c r="BQ76">
        <v>77.451411960100003</v>
      </c>
      <c r="BR76">
        <v>78.952551724100005</v>
      </c>
      <c r="BS76">
        <v>28843</v>
      </c>
      <c r="BT76">
        <v>2986</v>
      </c>
      <c r="BU76">
        <v>67.733696217499997</v>
      </c>
      <c r="BV76">
        <v>96320</v>
      </c>
      <c r="BW76">
        <v>10875</v>
      </c>
      <c r="BX76">
        <v>77.451411960100003</v>
      </c>
      <c r="BY76">
        <v>78.952551724100005</v>
      </c>
    </row>
    <row r="77" spans="62:121" x14ac:dyDescent="0.2">
      <c r="BJ77" t="s">
        <v>307</v>
      </c>
      <c r="BK77" t="s">
        <v>697</v>
      </c>
      <c r="BL77">
        <v>5264</v>
      </c>
      <c r="BM77">
        <v>1120</v>
      </c>
      <c r="BN77">
        <v>85.003609422500006</v>
      </c>
      <c r="BO77">
        <v>10655</v>
      </c>
      <c r="BP77">
        <v>1838</v>
      </c>
      <c r="BQ77">
        <v>143.99258564050001</v>
      </c>
      <c r="BR77">
        <v>132.09684439610001</v>
      </c>
      <c r="BS77">
        <v>5714</v>
      </c>
      <c r="BT77">
        <v>1012</v>
      </c>
      <c r="BU77">
        <v>76.298564928199994</v>
      </c>
      <c r="BV77">
        <v>3238</v>
      </c>
      <c r="BW77">
        <v>1104</v>
      </c>
      <c r="BX77">
        <v>135.16429894999999</v>
      </c>
      <c r="BY77">
        <v>123.9184782609</v>
      </c>
    </row>
    <row r="78" spans="62:121" x14ac:dyDescent="0.2">
      <c r="BJ78" t="s">
        <v>956</v>
      </c>
      <c r="BK78" t="s">
        <v>697</v>
      </c>
      <c r="BL78">
        <v>1031</v>
      </c>
      <c r="BM78">
        <v>163</v>
      </c>
      <c r="BN78">
        <v>73.533462657599998</v>
      </c>
      <c r="BO78">
        <v>3272</v>
      </c>
      <c r="BP78">
        <v>447</v>
      </c>
      <c r="BQ78">
        <v>126.7545843521</v>
      </c>
      <c r="BR78">
        <v>105.966442953</v>
      </c>
      <c r="BS78">
        <v>970</v>
      </c>
      <c r="BT78">
        <v>226</v>
      </c>
      <c r="BU78">
        <v>92.827835051500003</v>
      </c>
      <c r="BV78">
        <v>7225</v>
      </c>
      <c r="BW78">
        <v>1084</v>
      </c>
      <c r="BX78">
        <v>129.1871280277</v>
      </c>
      <c r="BY78">
        <v>123.19188191879999</v>
      </c>
    </row>
    <row r="79" spans="62:121" x14ac:dyDescent="0.2">
      <c r="BJ79" t="s">
        <v>697</v>
      </c>
      <c r="BK79" t="s">
        <v>697</v>
      </c>
      <c r="BL79">
        <v>7323</v>
      </c>
      <c r="BM79">
        <v>1544</v>
      </c>
      <c r="BN79">
        <v>83.510173426199998</v>
      </c>
      <c r="BO79">
        <v>16633</v>
      </c>
      <c r="BP79">
        <v>2724</v>
      </c>
      <c r="BQ79">
        <v>142.31172969400001</v>
      </c>
      <c r="BR79">
        <v>129.7525697504</v>
      </c>
      <c r="BS79">
        <v>7323</v>
      </c>
      <c r="BT79">
        <v>1544</v>
      </c>
      <c r="BU79">
        <v>83.510173426199998</v>
      </c>
      <c r="BV79">
        <v>16633</v>
      </c>
      <c r="BW79">
        <v>2724</v>
      </c>
      <c r="BX79">
        <v>142.31172969400001</v>
      </c>
      <c r="BY79">
        <v>129.7525697504</v>
      </c>
    </row>
    <row r="80" spans="62:121" x14ac:dyDescent="0.2">
      <c r="BJ80" t="s">
        <v>957</v>
      </c>
      <c r="BK80" t="s">
        <v>697</v>
      </c>
      <c r="BL80">
        <v>1028</v>
      </c>
      <c r="BM80">
        <v>261</v>
      </c>
      <c r="BN80">
        <v>85.868677042800002</v>
      </c>
      <c r="BO80">
        <v>2706</v>
      </c>
      <c r="BP80">
        <v>439</v>
      </c>
      <c r="BQ80">
        <v>154.50443458980001</v>
      </c>
      <c r="BR80">
        <v>144.1571753986</v>
      </c>
      <c r="BS80">
        <v>639</v>
      </c>
      <c r="BT80">
        <v>306</v>
      </c>
      <c r="BU80">
        <v>133.85289514869999</v>
      </c>
      <c r="BV80">
        <v>6170</v>
      </c>
      <c r="BW80">
        <v>536</v>
      </c>
      <c r="BX80">
        <v>161.43144246349999</v>
      </c>
      <c r="BY80">
        <v>155.0373134328</v>
      </c>
    </row>
    <row r="81" spans="62:77" x14ac:dyDescent="0.2">
      <c r="BJ81" t="s">
        <v>698</v>
      </c>
      <c r="BL81">
        <v>356878</v>
      </c>
      <c r="BM81">
        <v>73049</v>
      </c>
      <c r="BN81" s="153">
        <v>88.609264230400001</v>
      </c>
      <c r="BO81">
        <v>836391</v>
      </c>
      <c r="BP81">
        <v>95957</v>
      </c>
      <c r="BQ81">
        <v>123.5537637301</v>
      </c>
      <c r="BR81">
        <v>117.1651052034</v>
      </c>
      <c r="BS81">
        <v>356878</v>
      </c>
      <c r="BT81">
        <v>73049</v>
      </c>
      <c r="BU81">
        <v>88.609264230400001</v>
      </c>
      <c r="BV81">
        <v>836391</v>
      </c>
      <c r="BW81">
        <v>95957</v>
      </c>
      <c r="BX81">
        <v>123.5537637301</v>
      </c>
      <c r="BY81">
        <v>117.1651052034</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356878</CP_Inventory>
    <Fiscal_Year xmlns="c9744be7-b815-40bc-84fa-afc9c406d9bc">2016</Fiscal_Year>
    <CP_Backlog xmlns="c9744be7-b815-40bc-84fa-afc9c406d9bc">73049</CP_Backlog>
    <Creation_date xmlns="c9744be7-b815-40bc-84fa-afc9c406d9bc">2016-05-31T01:00:00</Creation_date>
    <Data_date xmlns="c9744be7-b815-40bc-84fa-afc9c406d9bc">2016-05-28T01:00:00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c9744be7-b815-40bc-84fa-afc9c406d9bc"/>
    <ds:schemaRef ds:uri="fef9c9dc-374b-4157-9e06-089f148416e5"/>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30,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2016-05-31T11:34:41Z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