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<sst xmlns="http://schemas.openxmlformats.org/spreadsheetml/2006/main" count="4089" uniqueCount="1064">
  <si>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</si>
  <si>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</si>
  <si>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</si>
  <si>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</si>
  <si>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</si>
  <si>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</si>
  <si>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</si>
  <si>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</si>
  <si>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</si>
  <si>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</si>
  <si>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</si>
  <si>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</si>
  <si>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</si>
  <si>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</si>
  <si>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</si>
  <si>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</si>
  <si>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</si>
  <si>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</si>
  <si>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</si>
  <si>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</si>
  <si>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</si>
  <si>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</si>
  <si>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</si>
  <si>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</si>
  <si>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</si>
  <si>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</si>
  <si>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</si>
  <si>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</si>
  <si>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</si>
  <si>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</si>
  <si>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</si>
  <si>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</si>
  <si>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</si>
  <si>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</si>
  <si>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</si>
  <si>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</si>
  <si>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</si>
  <si>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</si>
  <si>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</si>
  <si>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</si>
  <si>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</si>
  <si>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</si>
  <si>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</si>
  <si>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</si>
  <si>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</si>
  <si>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</si>
  <si>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</si>
  <si>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</si>
  <si>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</si>
  <si>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</si>
  <si>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</si>
  <si>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</si>
  <si>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</si>
  <si>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</si>
  <si>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</si>
  <si>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</si>
  <si>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</si>
  <si>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</si>
  <si>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</si>
  <si>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</si>
  <si>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</si>
  <si>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</si>
  <si>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</si>
  <si>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</si>
  <si>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</si>
  <si>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</si>
  <si>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</si>
  <si>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</si>
  <si>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</si>
  <si>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</si>
  <si>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</si>
  <si>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</si>
  <si>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</si>
  <si>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</si>
  <si>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</si>
  <si>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</si>
  <si>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</si>
  <si>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</si>
  <si>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</si>
  <si>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</si>
  <si>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</si>
  <si>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</si>
  <si>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</si>
  <si>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</si>
  <si>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</si>
  <si>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</si>
  <si>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</si>
  <si>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</si>
  <si>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</si>
  <si>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</si>
  <si>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</si>
  <si>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</si>
  <si>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</si>
  <si>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</si>
  <si>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</si>
  <si>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</si>
  <si>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</si>
  <si>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</si>
  <si>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</si>
  <si>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</si>
  <si>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</si>
  <si>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</si>
  <si>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</si>
  <si>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</si>
  <si>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</si>
  <si>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</si>
  <si>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</si>
  <si>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</si>
  <si>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</si>
  <si>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</si>
  <si>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</si>
  <si>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</si>
  <si>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</si>
  <si>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</si>
  <si>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</si>
  <si>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</si>
  <si>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</si>
  <si>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</si>
  <si>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</si>
  <si>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</si>
  <si>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</si>
  <si>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</si>
  <si>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</si>
  <si>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</si>
  <si>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</si>
  <si>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</si>
  <si>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</si>
  <si>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</si>
  <si>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</si>
  <si>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</si>
  <si>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</si>
  <si>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</si>
  <si>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</si>
  <si>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</si>
  <si>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</si>
  <si>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</si>
  <si>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</si>
  <si>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</si>
  <si>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</si>
  <si>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</si>
  <si>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</si>
  <si>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</si>
  <si>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</si>
  <si>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</si>
  <si>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</si>
  <si>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</si>
  <si>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</si>
  <si>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</si>
  <si>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</si>
  <si>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</si>
  <si>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</si>
  <si>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</si>
  <si>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</si>
  <si>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</si>
  <si>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</si>
  <si>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</si>
  <si>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</si>
  <si>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</si>
  <si>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</si>
  <si>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</si>
  <si>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</si>
  <si>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</si>
  <si>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</si>
  <si>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</si>
  <si>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</si>
  <si>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</si>
  <si>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</si>
  <si>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</si>
  <si>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</si>
  <si>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</si>
  <si>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</si>
  <si>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</si>
  <si>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</si>
  <si>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</si>
  <si>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</si>
  <si>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</si>
  <si>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</si>
  <si>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</si>
  <si>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</si>
  <si>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</si>
  <si>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</si>
  <si>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</si>
  <si>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</si>
  <si>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</si>
  <si>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</si>
  <si>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</si>
  <si>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</si>
  <si>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</si>
  <si>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</si>
  <si>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</si>
  <si>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</si>
  <si>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</si>
  <si>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</si>
  <si>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</si>
  <si>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</si>
  <si>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</si>
  <si>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</si>
  <si>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</si>
  <si>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</si>
  <si>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</si>
  <si>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</si>
  <si>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</si>
  <si>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</si>
  <si>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</si>
  <si>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</si>
  <si>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</si>
  <si>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</si>
  <si>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</si>
  <si>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</si>
  <si>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</si>
  <si>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</si>
  <si>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</si>
  <si>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</si>
  <si>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</si>
  <si>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</si>
  <si>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</si>
  <si>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</si>
  <si>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</si>
  <si>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</si>
  <si>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</si>
  <si>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</si>
  <si>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</si>
  <si>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</si>
  <si>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</si>
  <si>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</si>
  <si>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</si>
  <si>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</si>
  <si>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</si>
  <si>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</si>
  <si>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</si>
  <si>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</si>
  <si>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</si>
  <si>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</si>
  <si>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</si>
  <si>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</si>
  <si>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</si>
  <si>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</si>
  <si>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</si>
  <si>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</si>
  <si>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</si>
  <si>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</si>
  <si>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</si>
  <si>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</si>
  <si>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</si>
  <si>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</si>
  <si>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</si>
  <si>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</si>
  <si>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</si>
  <si>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</si>
  <si>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</si>
  <si>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</si>
  <si>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</si>
  <si>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</si>
  <si>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</si>
  <si>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</si>
  <si>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</si>
  <si>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</si>
  <si>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</si>
  <si>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</si>
  <si>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</si>
  <si>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</si>
  <si>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</si>
  <si>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</si>
  <si>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</si>
  <si>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</si>
  <si>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</si>
  <si>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</si>
  <si>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</si>
  <si>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</si>
  <si>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</si>
  <si>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</si>
  <si>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</si>
  <si>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</si>
  <si>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</si>
  <si>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</si>
  <si>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</si>
  <si>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</si>
  <si>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</si>
  <si>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</si>
  <si>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</si>
  <si>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</si>
  <si>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</si>
  <si>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</si>
  <si>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</si>
  <si>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</si>
  <si>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</si>
  <si>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</si>
  <si>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</si>
  <si>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</si>
  <si>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</si>
  <si>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</si>
  <si>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</si>
  <si>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</si>
  <si>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</si>
  <si>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</si>
  <si>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</si>
  <si>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</si>
  <si>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</si>
  <si>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</si>
  <si>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</si>
  <si>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</si>
  <si>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</si>
  <si>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</si>
  <si>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</si>
  <si>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</si>
  <si>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</si>
  <si>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</si>
  <si>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</si>
  <si>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</si>
  <si>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</si>
  <si>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</si>
  <si>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</si>
  <si>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</si>
  <si>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</si>
  <si>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</si>
  <si>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</si>
  <si>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</si>
  <si>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</si>
  <si>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</si>
  <si>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</si>
  <si>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</si>
  <si>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</si>
  <si>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</si>
  <si>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</si>
  <si>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</si>
  <si>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</si>
  <si>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</si>
  <si>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</si>
  <si>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</si>
  <si>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</si>
  <si>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</si>
  <si>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</si>
  <si>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</si>
  <si>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</si>
  <si>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</si>
  <si>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</si>
  <si>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</si>
  <si>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</si>
  <si>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</si>
  <si>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</si>
  <si>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</si>
  <si>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</si>
  <si>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</si>
  <si>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</si>
  <si>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</si>
  <si>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</si>
  <si>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</si>
  <si>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</si>
  <si>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</si>
  <si>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</si>
  <si>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</si>
  <si>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</si>
  <si>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</si>
  <si>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</si>
  <si>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</si>
  <si>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</si>
  <si>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</si>
  <si>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</si>
  <si>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</si>
  <si>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</si>
  <si>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</si>
  <si>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</si>
  <si>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</si>
  <si>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</si>
  <si>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</si>
  <si>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</si>
  <si>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</si>
  <si>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</si>
  <si>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</si>
  <si>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</si>
  <si>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</si>
  <si>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</si>
  <si>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</si>
  <si>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</si>
  <si>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</si>
  <si>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</si>
  <si>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</si>
  <si>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</si>
  <si>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</si>
  <si>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</si>
  <si>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</si>
  <si>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</si>
  <si>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</si>
  <si>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</si>
  <si>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</si>
  <si>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</si>
  <si>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</si>
  <si>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</si>
  <si>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</si>
  <si>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</si>
  <si>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</si>
  <si>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</si>
  <si>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</si>
  <si>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</si>
  <si>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</si>
  <si>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</si>
  <si>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</si>
  <si>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</si>
  <si>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</si>
  <si>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</si>
  <si>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</si>
  <si>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</si>
  <si>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</si>
  <si>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</si>
  <si>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</si>
  <si>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</si>
  <si>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</si>
  <si>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</si>
  <si>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</si>
  <si>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</si>
  <si>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</si>
  <si>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</si>
  <si>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</si>
  <si>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</si>
  <si>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</si>
  <si>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</si>
  <si>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</si>
  <si>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</si>
  <si>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</si>
  <si>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</si>
  <si>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</si>
  <si>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</si>
  <si>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</si>
  <si>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</si>
  <si>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</si>
  <si>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</si>
  <si>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</si>
  <si>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</si>
  <si>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</si>
  <si>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</si>
  <si>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</si>
  <si>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</si>
  <si>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</si>
  <si>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</si>
  <si>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</si>
  <si>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</si>
  <si>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</si>
  <si>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</si>
  <si>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</si>
  <si>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</si>
  <si>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</si>
  <si>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</si>
  <si>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</si>
  <si>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</si>
  <si>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</si>
  <si>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</si>
  <si>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</si>
  <si>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</si>
  <si>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</si>
  <si>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</si>
  <si>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</si>
  <si>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</si>
  <si>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</si>
  <si>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</si>
  <si>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</si>
  <si>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</si>
  <si>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</si>
  <si>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</si>
  <si>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</si>
  <si>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</si>
  <si>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</si>
  <si>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</si>
  <si>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</si>
  <si>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</si>
  <si>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</si>
  <si>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</si>
  <si>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</si>
  <si>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</si>
  <si>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</si>
  <si>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</si>
  <si>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</si>
  <si>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</si>
  <si>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</si>
  <si>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</si>
  <si>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</si>
  <si>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</si>
  <si>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</si>
  <si>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</si>
  <si>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</si>
  <si>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</si>
  <si>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</si>
  <si>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</si>
  <si>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</si>
  <si>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</si>
  <si>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</si>
  <si>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</si>
  <si>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</si>
  <si>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</si>
  <si>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</si>
  <si>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</si>
  <si>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</si>
  <si>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</si>
  <si>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</si>
  <si>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</si>
  <si>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</si>
  <si>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</si>
  <si>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</si>
  <si>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</si>
  <si>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</si>
  <si>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</si>
  <si>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</si>
  <si>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</si>
  <si>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</si>
  <si>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</si>
  <si>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</si>
  <si>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</si>
  <si>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</si>
  <si>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</si>
  <si>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</si>
  <si>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</si>
  <si>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</si>
  <si>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</si>
  <si>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</si>
  <si>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</si>
  <si>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</si>
  <si>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</si>
  <si>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</si>
  <si>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</si>
  <si>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</si>
  <si>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</si>
  <si>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</si>
  <si>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</si>
  <si>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</si>
  <si>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</si>
  <si>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</si>
  <si>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</si>
  <si>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</si>
  <si>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</si>
  <si>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</si>
  <si>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</si>
  <si>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</si>
  <si>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</si>
  <si>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</si>
  <si>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</si>
  <si>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</si>
  <si>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</si>
  <si>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</si>
  <si>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</si>
  <si>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</si>
  <si>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</si>
  <si>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</si>
  <si>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</si>
  <si>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</si>
  <si>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</si>
  <si>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</si>
  <si>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</si>
  <si>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</si>
  <si>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</si>
  <si>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</si>
  <si>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</si>
  <si>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</si>
  <si>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</si>
  <si>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</si>
  <si>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</si>
  <si>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</si>
  <si>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</si>
  <si>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</si>
  <si>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</si>
  <si>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</si>
  <si>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</si>
  <si>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</si>
  <si>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</si>
  <si>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</si>
  <si>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</si>
  <si>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</si>
  <si>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</si>
  <si>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</si>
  <si>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</si>
  <si>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</si>
  <si>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</si>
  <si>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</si>
  <si>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</si>
  <si>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</si>
  <si>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</si>
  <si>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</si>
  <si>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</si>
  <si>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</si>
  <si>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</si>
  <si>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</si>
  <si>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</si>
  <si>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</si>
  <si>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</si>
  <si>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</si>
  <si>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</si>
  <si>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</si>
  <si>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</si>
  <si>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</si>
  <si>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</si>
  <si>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</si>
  <si>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</si>
  <si>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</si>
  <si>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</si>
  <si>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</si>
  <si>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</si>
  <si>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</si>
  <si>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</si>
  <si>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</si>
  <si>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</si>
  <si>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</si>
  <si>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</si>
  <si>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</si>
  <si>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</si>
  <si>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</si>
  <si>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</si>
  <si>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</si>
  <si>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</si>
  <si>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</si>
  <si>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</si>
  <si>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</si>
  <si>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</si>
  <si>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</si>
  <si>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</si>
  <si>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</si>
  <si>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</si>
  <si>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</si>
  <si>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</si>
  <si>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</si>
  <si>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</si>
  <si>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</si>
  <si>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</si>
  <si>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</si>
  <si>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</si>
  <si>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</si>
  <si>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</si>
  <si>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</si>
  <si>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</si>
  <si>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</si>
  <si>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</si>
  <si>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</si>
  <si>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</si>
  <si>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</si>
  <si>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</si>
  <si>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</si>
  <si>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</si>
  <si>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</si>
  <si>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</si>
  <si>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</si>
  <si>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</si>
  <si>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</si>
  <si>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</si>
  <si>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</si>
  <si>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</si>
  <si>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</si>
  <si>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</si>
  <si>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</si>
  <si>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</si>
  <si>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</si>
  <si>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</si>
  <si>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</si>
  <si>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</si>
  <si>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</si>
  <si>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</si>
  <si>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</si>
  <si>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</si>
  <si>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</si>
  <si>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</si>
  <si>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</si>
  <si>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</si>
  <si>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</si>
  <si>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</si>
  <si>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</si>
  <si>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</si>
  <si>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</si>
  <si>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</si>
  <si>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</si>
  <si>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</si>
  <si>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</si>
  <si>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</si>
  <si>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</si>
  <si>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</si>
  <si>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</si>
  <si>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</si>
  <si>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</si>
  <si>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</si>
  <si>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</si>
  <si>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</si>
  <si>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</si>
  <si>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</si>
  <si>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</si>
  <si>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</si>
  <si>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</si>
  <si>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</si>
  <si>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</si>
  <si>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</si>
  <si>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</si>
  <si>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</si>
  <si>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</si>
  <si>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</si>
  <si>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</si>
  <si>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</si>
  <si>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</si>
  <si>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</si>
  <si>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</si>
  <si>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</si>
  <si>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</si>
  <si>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</si>
  <si>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</si>
  <si>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</si>
  <si>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</si>
  <si>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</si>
  <si>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</si>
  <si>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</si>
  <si>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</si>
  <si>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</si>
  <si>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</si>
  <si>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</si>
  <si>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</si>
  <si>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</si>
  <si>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</si>
  <si>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</si>
  <si>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</si>
  <si>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</si>
  <si>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</si>
  <si>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</si>
  <si>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</si>
  <si>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</si>
  <si>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</si>
  <si>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</si>
  <si>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</si>
  <si>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</si>
  <si>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</si>
  <si>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</si>
  <si>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</si>
  <si>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</si>
  <si>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</si>
  <si>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</si>
  <si>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</si>
  <si>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</si>
  <si>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</si>
  <si>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</si>
  <si>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</si>
  <si>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</si>
  <si>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</si>
  <si>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</si>
  <si>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</si>
  <si>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</si>
  <si>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</si>
  <si>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</si>
  <si>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</si>
  <si>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</si>
  <si>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</si>
  <si>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</si>
  <si>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</si>
  <si>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</si>
  <si>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</si>
  <si>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</si>
  <si>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</si>
  <si>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</si>
  <si>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</si>
  <si>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</si>
  <si>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</si>
  <si>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</si>
  <si>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</si>
  <si>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</si>
  <si>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</si>
  <si>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</si>
  <si>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</si>
  <si>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</si>
  <si>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</si>
  <si>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</si>
  <si>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</si>
  <si>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</si>
  <si>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</si>
  <si>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</si>
  <si>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</si>
  <si>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</si>
  <si>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</si>
  <si>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</si>
  <si>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</si>
  <si>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</si>
  <si>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</si>
  <si>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</si>
  <si>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</si>
  <si>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</si>
  <si>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</si>
  <si>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</si>
  <si>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</si>
  <si>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</si>
  <si>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</si>
  <si>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</si>
  <si>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</si>
  <si>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</si>
  <si>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</si>
  <si>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</si>
  <si>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</si>
  <si>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</si>
  <si>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</si>
  <si>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</si>
  <si>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</si>
  <si>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</si>
  <si>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</si>
  <si>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</si>
  <si>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</si>
  <si>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</si>
  <si>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</si>
  <si>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</si>
  <si>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</si>
  <si>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</si>
  <si>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</si>
  <si>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</si>
  <si>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</si>
  <si>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</si>
  <si>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</si>
  <si>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</si>
  <si>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</si>
  <si>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</si>
  <si>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</si>
  <si>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</si>
  <si>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</si>
  <si>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</si>
  <si>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</si>
  <si>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</si>
  <si>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</si>
  <si>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</si>
  <si>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</si>
  <si>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</si>
  <si>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</si>
  <si>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</si>
  <si>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</si>
  <si>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</si>
  <si>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</si>
  <si>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</si>
  <si>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</si>
  <si>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</si>
  <si>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</si>
  <si>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</si>
  <si>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</si>
  <si>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</si>
  <si>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</si>
  <si>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</si>
  <si>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</si>
  <si>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</si>
  <si>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</si>
  <si>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</si>
  <si>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</si>
  <si>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</si>
  <si>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</si>
  <si>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</si>
  <si>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</si>
  <si>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</si>
  <si>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</si>
  <si>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</si>
  <si>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</si>
  <si>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</si>
  <si>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</si>
  <si>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</si>
  <si>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</si>
  <si>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</si>
  <si>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</si>
  <si>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</si>
  <si>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</si>
  <si>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</si>
  <si>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</si>
  <si>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</si>
  <si>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</si>
  <si>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</si>
  <si>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</si>
  <si>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</si>
  <si>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</si>
  <si>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</si>
  <si>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</si>
  <si>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</si>
  <si>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</si>
  <si>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</si>
  <si>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</si>
  <si>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</si>
  <si>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</si>
  <si>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</si>
  <si>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</si>
  <si>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</si>
  <si>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</si>
  <si>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</si>
  <si>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</si>
  <si>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</si>
  <si>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</si>
  <si>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</si>
  <si>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</si>
  <si>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</si>
  <si>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</si>
  <si>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</si>
  <si>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</si>
  <si>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</si>
  <si>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</si>
  <si>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</si>
  <si>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</si>
  <si>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</si>
  <si>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</si>
  <si>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</si>
  <si>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</si>
  <si>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</si>
  <si>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</si>
  <si>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</si>
  <si>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</si>
  <si>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</si>
  <si>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</si>
  <si>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</si>
  <si>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</si>
  <si>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</si>
  <si>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</si>
  <si>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</si>
  <si>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</si>
  <si>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</si>
  <si>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</si>
  <si>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</si>
  <si>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</si>
  <si>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</si>
  <si>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</si>
  <si>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</si>
  <si>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</si>
  <si>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</si>
  <si>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</si>
  <si>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</si>
  <si>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</si>
  <si>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</si>
  <si>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</si>
  <si>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</si>
  <si>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</si>
  <si>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</si>
  <si>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</si>
  <si>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</si>
  <si>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</si>
  <si>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</si>
  <si>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</si>
  <si>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</si>
  <si>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</si>
  <si>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</si>
  <si>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</si>
  <si>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</si>
  <si>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</si>
  <si>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</si>
  <si>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</si>
  <si>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</si>
  <si>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</si>
  <si>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</si>
  <si>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</si>
  <si>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</si>
  <si>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</si>
  <si>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</si>
  <si>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</si>
  <si>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</si>
  <si>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</si>
  <si>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</si>
  <si>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</si>
  <si>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</si>
  <si>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</si>
  <si>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</si>
  <si>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</si>
  <si>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</si>
  <si>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</si>
  <si>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</si>
  <si>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</si>
  <si>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</si>
  <si>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</si>
  <si>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</si>
  <si>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</si>
  <si>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</si>
  <si>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</si>
  <si>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</si>
  <si>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</si>
  <si>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</si>
  <si>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</si>
  <si>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</si>
  <si>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</si>
  <si>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</si>
  <si>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</si>
  <si>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</si>
  <si>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</si>
  <si>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</si>
  <si>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</si>
  <si>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</si>
  <si>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</si>
  <si>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</si>
  <si>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</si>
  <si>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</si>
  <si>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</si>
  <si>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</si>
  <si>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</si>
  <si>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</si>
  <si>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</si>
  <si>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</si>
  <si>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</si>
  <si>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</si>
  <si>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</si>
  <si>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</si>
  <si>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</si>
  <si>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</si>
  <si>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</si>
  <si>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</si>
  <si>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</si>
  <si>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</si>
  <si>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</si>
  <si>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</si>
  <si>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</si>
  <si>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</si>
  <si>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</si>
  <si>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</si>
  <si>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</si>
  <si>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</si>
  <si>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</si>
  <si>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</si>
  <si>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</si>
  <si>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</si>
  <si>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</si>
  <si>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</si>
  <si>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</si>
  <si>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</si>
  <si>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</si>
  <si>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</si>
  <si>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</si>
  <si>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</si>
  <si>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</si>
  <si>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</si>
  <si>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</si>
  <si>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</si>
  <si>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</si>
  <si>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</si>
  <si>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</si>
  <si>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</si>
  <si>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</si>
  <si>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</si>
  <si>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</si>
  <si>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</si>
  <si>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</si>
  <si>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</si>
  <si>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</si>
  <si>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</si>
  <si>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</si>
  <si>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</si>
  <si>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</si>
  <si>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</si>
  <si>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</si>
  <si>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</si>
  <si>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</si>
  <si>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</si>
  <si>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</si>
  <si>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</si>
  <si>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</si>
  <si>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</si>
  <si>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</si>
  <si>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</si>
  <si>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</si>
  <si>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</si>
  <si>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</si>
  <si>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</si>
  <si>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</si>
  <si>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</si>
  <si>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</si>
  <si>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</si>
  <si>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</si>
  <si>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</si>
  <si>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</si>
  <si>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</si>
  <si>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</si>
  <si>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</si>
  <si>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</si>
  <si>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</si>
  <si>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</si>
  <si>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</si>
  <si>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</si>
  <si>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</si>
  <si>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</si>
  <si>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687</t>
  </si>
  <si>
    <t>Current Pending on 08/13/2016</t>
  </si>
  <si>
    <t>Prior Pending on 08/06/2016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</si>
</sst>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42584.751192129632</v>
      </c>
      <c r="E3" t="s">
        <v>163</v>
      </c>
      <c r="F3" s="19">
        <v>0.92104935384138498</v>
      </c>
      <c r="G3" s="19">
        <v>0.72925752579512804</v>
      </c>
      <c r="H3" s="19">
        <v>0.88272816713040503</v>
      </c>
      <c r="I3" s="19">
        <v>4.7418521890686301E-2</v>
      </c>
      <c r="J3" s="19">
        <v>0.89673232886904797</v>
      </c>
      <c r="K3" s="19">
        <v>5.2022814670275197E-2</v>
      </c>
      <c r="L3" s="19"/>
      <c r="M3" s="19"/>
      <c r="N3" s="19"/>
      <c r="O3" s="19"/>
      <c r="P3" s="19"/>
    </row>
    <row r="4" spans="2:16" x14ac:dyDescent="0.2">
      <c r="B4" t="s">
        <v>644</v>
      </c>
      <c r="C4" t="s">
        <v>403</v>
      </c>
      <c r="D4" s="18">
        <v>42584.751192129632</v>
      </c>
      <c r="E4" t="s">
        <v>188</v>
      </c>
      <c r="F4" s="19">
        <v>0.93387373253145101</v>
      </c>
      <c r="G4" s="19">
        <v>0.838023088023088</v>
      </c>
      <c r="H4" s="19">
        <v>0.89838289631838997</v>
      </c>
      <c r="I4" s="19">
        <v>4.2937357412119501E-2</v>
      </c>
      <c r="J4" s="19">
        <v>0.96158686908005697</v>
      </c>
      <c r="K4" s="19">
        <v>3.7884263005439199E-2</v>
      </c>
      <c r="L4" s="19"/>
      <c r="M4" s="19"/>
      <c r="N4" s="19"/>
      <c r="O4" s="19"/>
      <c r="P4" s="19"/>
    </row>
    <row r="5" spans="2:16" x14ac:dyDescent="0.2">
      <c r="B5" t="s">
        <v>538</v>
      </c>
      <c r="C5" t="s">
        <v>379</v>
      </c>
      <c r="D5" s="18">
        <v>42584.751192129632</v>
      </c>
      <c r="E5" t="s">
        <v>145</v>
      </c>
      <c r="F5" s="19">
        <v>0.96330255354749195</v>
      </c>
      <c r="G5" s="19">
        <v>0.87996316449877598</v>
      </c>
      <c r="H5" s="19">
        <v>0.84586120702057299</v>
      </c>
      <c r="I5" s="19">
        <v>5.52000674157637E-2</v>
      </c>
      <c r="J5" s="19">
        <v>0.83747599964228703</v>
      </c>
      <c r="K5" s="19">
        <v>6.5331346143701605E-2</v>
      </c>
      <c r="L5" s="19"/>
      <c r="M5" s="19"/>
      <c r="N5" s="19"/>
      <c r="O5" s="19"/>
      <c r="P5" s="19"/>
    </row>
    <row r="6" spans="2:16" x14ac:dyDescent="0.2">
      <c r="B6" t="s">
        <v>532</v>
      </c>
      <c r="C6" t="s">
        <v>368</v>
      </c>
      <c r="D6" s="18">
        <v>42584.751192129632</v>
      </c>
      <c r="E6" t="s">
        <v>143</v>
      </c>
      <c r="F6" s="19">
        <v>0.90407995479671899</v>
      </c>
      <c r="G6" s="19">
        <v>0.76155029585798795</v>
      </c>
      <c r="H6" s="19">
        <v>0.80773220598491002</v>
      </c>
      <c r="I6" s="19">
        <v>4.6629541584565302E-2</v>
      </c>
      <c r="J6" s="19">
        <v>0.85954970185053403</v>
      </c>
      <c r="K6" s="19">
        <v>6.1770249450616203E-2</v>
      </c>
      <c r="L6" s="19"/>
      <c r="M6" s="19"/>
      <c r="N6" s="19"/>
      <c r="O6" s="19"/>
      <c r="P6" s="19"/>
    </row>
    <row r="7" spans="2:16" x14ac:dyDescent="0.2">
      <c r="B7" t="s">
        <v>600</v>
      </c>
      <c r="C7" t="s">
        <v>403</v>
      </c>
      <c r="D7" s="18">
        <v>42584.751192129632</v>
      </c>
      <c r="E7" t="s">
        <v>169</v>
      </c>
      <c r="F7" s="19">
        <v>0.97628100923037597</v>
      </c>
      <c r="G7" s="19">
        <v>0.92196924004825098</v>
      </c>
      <c r="H7" s="19">
        <v>0.91583508794317203</v>
      </c>
      <c r="I7" s="19">
        <v>4.5012225653454203E-2</v>
      </c>
      <c r="J7" s="19">
        <v>0.98071605813541296</v>
      </c>
      <c r="K7" s="19">
        <v>1.8180350296380501E-2</v>
      </c>
      <c r="L7" s="19"/>
      <c r="M7" s="19"/>
      <c r="N7" s="19"/>
      <c r="O7" s="19"/>
      <c r="P7" s="19"/>
    </row>
    <row r="8" spans="2:16" x14ac:dyDescent="0.2">
      <c r="B8" t="s">
        <v>511</v>
      </c>
      <c r="C8" t="s">
        <v>368</v>
      </c>
      <c r="D8" s="18">
        <v>42584.751192129632</v>
      </c>
      <c r="E8" t="s">
        <v>136</v>
      </c>
      <c r="F8" s="19">
        <v>0.93993653791471199</v>
      </c>
      <c r="G8" s="19">
        <v>0.87754362015272402</v>
      </c>
      <c r="H8" s="19">
        <v>0.81057562598789401</v>
      </c>
      <c r="I8" s="19">
        <v>5.9019322463691001E-2</v>
      </c>
      <c r="J8" s="19">
        <v>0.93119690973250602</v>
      </c>
      <c r="K8" s="19">
        <v>4.4909233852820897E-2</v>
      </c>
      <c r="L8" s="19"/>
      <c r="M8" s="19"/>
      <c r="N8" s="19"/>
      <c r="O8" s="19"/>
      <c r="P8" s="19"/>
    </row>
    <row r="9" spans="2:16" x14ac:dyDescent="0.2">
      <c r="B9" t="s">
        <v>519</v>
      </c>
      <c r="C9" t="s">
        <v>368</v>
      </c>
      <c r="D9" s="18">
        <v>42584.751192129632</v>
      </c>
      <c r="E9" t="s">
        <v>139</v>
      </c>
      <c r="F9" s="19">
        <v>0.95683022306212695</v>
      </c>
      <c r="G9" s="19">
        <v>0.862222222222222</v>
      </c>
      <c r="H9" s="19">
        <v>0.91044379374078499</v>
      </c>
      <c r="I9" s="19">
        <v>4.2015666606576803E-2</v>
      </c>
      <c r="J9" s="19">
        <v>0.83242717175484804</v>
      </c>
      <c r="K9" s="19">
        <v>6.4505543587498507E-2</v>
      </c>
      <c r="L9" s="19"/>
      <c r="M9" s="19"/>
      <c r="N9" s="19"/>
      <c r="O9" s="19"/>
      <c r="P9" s="19"/>
    </row>
    <row r="10" spans="2:16" x14ac:dyDescent="0.2">
      <c r="B10" t="s">
        <v>636</v>
      </c>
      <c r="C10" t="s">
        <v>384</v>
      </c>
      <c r="D10" s="18">
        <v>42584.751192129632</v>
      </c>
      <c r="E10" t="s">
        <v>672</v>
      </c>
      <c r="F10" s="19">
        <v>0.959598654798824</v>
      </c>
      <c r="G10" s="19">
        <v>0.926084474885845</v>
      </c>
      <c r="H10" s="19">
        <v>0.89925339664951798</v>
      </c>
      <c r="I10" s="19">
        <v>4.4302588745122398E-2</v>
      </c>
      <c r="J10" s="19">
        <v>0.83938744818779798</v>
      </c>
      <c r="K10" s="19">
        <v>6.7911065257578396E-2</v>
      </c>
      <c r="L10" s="19"/>
      <c r="M10" s="19"/>
      <c r="N10" s="19"/>
      <c r="O10" s="19"/>
      <c r="P10" s="19"/>
    </row>
    <row r="11" spans="2:16" x14ac:dyDescent="0.2">
      <c r="B11" t="s">
        <v>566</v>
      </c>
      <c r="C11" t="s">
        <v>389</v>
      </c>
      <c r="D11" s="18">
        <v>42584.751192129632</v>
      </c>
      <c r="E11" t="s">
        <v>155</v>
      </c>
      <c r="F11" s="19">
        <v>0.93613856950873497</v>
      </c>
      <c r="G11" s="19">
        <v>0.88680521729717998</v>
      </c>
      <c r="H11" s="19">
        <v>0.88424158660956398</v>
      </c>
      <c r="I11" s="19">
        <v>4.5278153066709299E-2</v>
      </c>
      <c r="J11" s="19">
        <v>0.86703175875889904</v>
      </c>
      <c r="K11" s="19">
        <v>8.1003051289297801E-2</v>
      </c>
      <c r="L11" s="252"/>
      <c r="M11" s="252"/>
      <c r="N11" s="252"/>
      <c r="O11" s="252"/>
      <c r="P11" s="252"/>
    </row>
    <row r="12" spans="2:16" x14ac:dyDescent="0.2">
      <c r="B12" t="s">
        <v>558</v>
      </c>
      <c r="C12" t="s">
        <v>389</v>
      </c>
      <c r="D12" s="18">
        <v>42584.751192129632</v>
      </c>
      <c r="E12" t="s">
        <v>152</v>
      </c>
      <c r="F12" s="19">
        <v>0.98928756671741902</v>
      </c>
      <c r="G12" s="19">
        <v>0.97583427071616002</v>
      </c>
      <c r="H12" s="19">
        <v>0.92479255872215305</v>
      </c>
      <c r="I12" s="19">
        <v>4.1045287456426903E-2</v>
      </c>
      <c r="J12" s="19">
        <v>0.88158201397129599</v>
      </c>
      <c r="K12" s="19">
        <v>5.1516310072086201E-2</v>
      </c>
      <c r="L12" s="19"/>
      <c r="M12" s="19"/>
      <c r="N12" s="19"/>
      <c r="O12" s="19"/>
      <c r="P12" s="19"/>
    </row>
    <row r="13" spans="2:16" x14ac:dyDescent="0.2">
      <c r="B13" t="s">
        <v>546</v>
      </c>
      <c r="C13" t="s">
        <v>379</v>
      </c>
      <c r="D13" s="18">
        <v>42584.751192129632</v>
      </c>
      <c r="E13" t="s">
        <v>148</v>
      </c>
      <c r="F13" s="19">
        <v>0.93859776537500395</v>
      </c>
      <c r="G13" s="19">
        <v>0.85084695311472502</v>
      </c>
      <c r="H13" s="19">
        <v>0.917776113151621</v>
      </c>
      <c r="I13" s="19">
        <v>4.2177393346934502E-2</v>
      </c>
      <c r="J13" s="19">
        <v>0.91754917567328498</v>
      </c>
      <c r="K13" s="19">
        <v>5.1552248982042297E-2</v>
      </c>
      <c r="L13" s="19"/>
      <c r="M13" s="19"/>
      <c r="N13" s="19"/>
      <c r="O13" s="19"/>
      <c r="P13" s="19"/>
    </row>
    <row r="14" spans="2:16" x14ac:dyDescent="0.2">
      <c r="B14" t="s">
        <v>384</v>
      </c>
      <c r="C14" t="s">
        <v>384</v>
      </c>
      <c r="D14" s="18">
        <v>42584.751192129632</v>
      </c>
      <c r="E14" t="s">
        <v>663</v>
      </c>
      <c r="F14" s="19">
        <v>0.94908787881316803</v>
      </c>
      <c r="G14" s="19">
        <v>0.85700483185618204</v>
      </c>
      <c r="H14" s="19">
        <v>0.88002085650197104</v>
      </c>
      <c r="I14" s="19">
        <v>1.8388590423976101E-2</v>
      </c>
      <c r="J14" s="19">
        <v>0.91500867232178495</v>
      </c>
      <c r="K14" s="19">
        <v>1.8579355910150398E-2</v>
      </c>
      <c r="L14" s="19"/>
      <c r="M14" s="19"/>
      <c r="N14" s="19"/>
      <c r="O14" s="19"/>
      <c r="P14" s="19"/>
    </row>
    <row r="15" spans="2:16" x14ac:dyDescent="0.2">
      <c r="B15" t="s">
        <v>583</v>
      </c>
      <c r="C15" t="s">
        <v>384</v>
      </c>
      <c r="D15" s="18">
        <v>42584.751192129632</v>
      </c>
      <c r="E15" t="s">
        <v>162</v>
      </c>
      <c r="F15" s="19">
        <v>0.95493910788684</v>
      </c>
      <c r="G15" s="19">
        <v>0.85304685961803495</v>
      </c>
      <c r="H15" s="19">
        <v>0.91328622578622598</v>
      </c>
      <c r="I15" s="19">
        <v>4.2831944804956099E-2</v>
      </c>
      <c r="J15" s="19">
        <v>0.91137319848718601</v>
      </c>
      <c r="K15" s="19">
        <v>4.1108169480772998E-2</v>
      </c>
      <c r="L15" s="19"/>
      <c r="M15" s="19"/>
      <c r="N15" s="19"/>
      <c r="O15" s="19"/>
      <c r="P15" s="19"/>
    </row>
    <row r="16" spans="2:16" x14ac:dyDescent="0.2">
      <c r="B16" t="s">
        <v>575</v>
      </c>
      <c r="C16" t="s">
        <v>389</v>
      </c>
      <c r="D16" s="18">
        <v>42584.751192129632</v>
      </c>
      <c r="E16" t="s">
        <v>159</v>
      </c>
      <c r="F16" s="19">
        <v>0.92184382923407604</v>
      </c>
      <c r="G16" s="19">
        <v>0.89107871370290404</v>
      </c>
      <c r="H16" s="19">
        <v>0.93911895571995296</v>
      </c>
      <c r="I16" s="19">
        <v>5.15241183507609E-2</v>
      </c>
      <c r="J16" s="19">
        <v>0.97686414426374601</v>
      </c>
      <c r="K16" s="19">
        <v>2.2827105818648299E-2</v>
      </c>
      <c r="L16" s="252"/>
      <c r="M16" s="252"/>
      <c r="N16" s="252"/>
      <c r="O16" s="252"/>
      <c r="P16" s="252"/>
    </row>
    <row r="17" spans="2:16" x14ac:dyDescent="0.2">
      <c r="B17" t="s">
        <v>568</v>
      </c>
      <c r="C17" t="s">
        <v>389</v>
      </c>
      <c r="D17" s="18">
        <v>42584.751192129632</v>
      </c>
      <c r="E17" t="s">
        <v>156</v>
      </c>
      <c r="F17" s="19">
        <v>0.89802846025343297</v>
      </c>
      <c r="G17" s="19">
        <v>0.77978252501924605</v>
      </c>
      <c r="H17" s="19">
        <v>0.89448325468661705</v>
      </c>
      <c r="I17" s="19">
        <v>4.3289321542875597E-2</v>
      </c>
      <c r="J17" s="19">
        <v>0.91858708373231202</v>
      </c>
      <c r="K17" s="19">
        <v>4.5179654983702001E-2</v>
      </c>
      <c r="L17" s="19"/>
      <c r="M17" s="19"/>
      <c r="N17" s="19"/>
      <c r="O17" s="19"/>
      <c r="P17" s="19"/>
    </row>
    <row r="18" spans="2:16" x14ac:dyDescent="0.2">
      <c r="B18" t="s">
        <v>632</v>
      </c>
      <c r="C18" t="s">
        <v>389</v>
      </c>
      <c r="D18" s="18">
        <v>42584.751192129632</v>
      </c>
      <c r="E18" t="s">
        <v>183</v>
      </c>
      <c r="F18" s="19">
        <v>0.90081791388360899</v>
      </c>
      <c r="G18" s="19">
        <v>0.88625709351098003</v>
      </c>
      <c r="H18" s="19">
        <v>0.88371055406830501</v>
      </c>
      <c r="I18" s="19">
        <v>5.2927696681556703E-2</v>
      </c>
      <c r="J18" s="19">
        <v>0.89355060943296305</v>
      </c>
      <c r="K18" s="19">
        <v>0.101988222408391</v>
      </c>
      <c r="L18" s="19"/>
      <c r="M18" s="19"/>
      <c r="N18" s="19"/>
      <c r="O18" s="19"/>
      <c r="P18" s="19"/>
    </row>
    <row r="19" spans="2:16" x14ac:dyDescent="0.2">
      <c r="B19" t="s">
        <v>630</v>
      </c>
      <c r="C19" t="s">
        <v>384</v>
      </c>
      <c r="D19" s="18">
        <v>42584.751192129632</v>
      </c>
      <c r="E19" t="s">
        <v>182</v>
      </c>
      <c r="F19" s="19">
        <v>0.97433287282774705</v>
      </c>
      <c r="G19" s="19">
        <v>0.91539440203562406</v>
      </c>
      <c r="H19" s="19">
        <v>0.929725062485799</v>
      </c>
      <c r="I19" s="19">
        <v>4.4932874438705001E-2</v>
      </c>
      <c r="J19" s="19">
        <v>0.92559295748950898</v>
      </c>
      <c r="K19" s="19">
        <v>6.5679739284348906E-2</v>
      </c>
      <c r="L19" s="19"/>
      <c r="M19" s="19"/>
      <c r="N19" s="19"/>
      <c r="O19" s="19"/>
      <c r="P19" s="19"/>
    </row>
    <row r="20" spans="2:16" x14ac:dyDescent="0.2">
      <c r="B20" t="s">
        <v>521</v>
      </c>
      <c r="C20" t="s">
        <v>368</v>
      </c>
      <c r="D20" s="18">
        <v>42584.751192129632</v>
      </c>
      <c r="E20" t="s">
        <v>140</v>
      </c>
      <c r="F20" s="19">
        <v>0.95444451993320401</v>
      </c>
      <c r="G20" s="19">
        <v>0.841482965931864</v>
      </c>
      <c r="H20" s="19">
        <v>0.91157882570503901</v>
      </c>
      <c r="I20" s="19">
        <v>4.6667229917174001E-2</v>
      </c>
      <c r="J20" s="19">
        <v>0.95342977007736696</v>
      </c>
      <c r="K20" s="19">
        <v>3.8443017085524001E-2</v>
      </c>
      <c r="L20" s="19"/>
      <c r="M20" s="19"/>
      <c r="N20" s="19"/>
      <c r="O20" s="19"/>
      <c r="P20" s="19"/>
    </row>
    <row r="21" spans="2:16" x14ac:dyDescent="0.2">
      <c r="B21" t="s">
        <v>640</v>
      </c>
      <c r="C21" t="s">
        <v>403</v>
      </c>
      <c r="D21" s="18">
        <v>42584.751192129632</v>
      </c>
      <c r="E21" t="s">
        <v>186</v>
      </c>
      <c r="F21" s="19">
        <v>0.91922446897070298</v>
      </c>
      <c r="G21" s="19">
        <v>0.87039728682170503</v>
      </c>
      <c r="H21" s="19">
        <v>0.89201330847370397</v>
      </c>
      <c r="I21" s="19">
        <v>4.4034825560490397E-2</v>
      </c>
      <c r="J21" s="19">
        <v>0.92249751984127004</v>
      </c>
      <c r="K21" s="19">
        <v>8.3048744338026503E-2</v>
      </c>
      <c r="L21" s="19"/>
      <c r="M21" s="19"/>
      <c r="N21" s="19"/>
      <c r="O21" s="19"/>
      <c r="P21" s="19"/>
    </row>
    <row r="22" spans="2:16" x14ac:dyDescent="0.2">
      <c r="B22" t="s">
        <v>618</v>
      </c>
      <c r="C22" t="s">
        <v>384</v>
      </c>
      <c r="D22" s="18">
        <v>42584.751192129632</v>
      </c>
      <c r="E22" t="s">
        <v>177</v>
      </c>
      <c r="F22" s="19">
        <v>0.94045071133250202</v>
      </c>
      <c r="G22" s="19">
        <v>0.83392417114695305</v>
      </c>
      <c r="H22" s="19">
        <v>0.83102929683950399</v>
      </c>
      <c r="I22" s="19">
        <v>5.1483422741362E-2</v>
      </c>
      <c r="J22" s="19">
        <v>0.86582899300460303</v>
      </c>
      <c r="K22" s="19">
        <v>7.6253318054137598E-2</v>
      </c>
      <c r="L22" s="19"/>
      <c r="M22" s="19"/>
      <c r="N22" s="19"/>
      <c r="O22" s="19"/>
      <c r="P22" s="19"/>
    </row>
    <row r="23" spans="2:16" x14ac:dyDescent="0.2">
      <c r="B23" t="s">
        <v>536</v>
      </c>
      <c r="C23" t="s">
        <v>368</v>
      </c>
      <c r="D23" s="18">
        <v>42584.751192129632</v>
      </c>
      <c r="E23" t="s">
        <v>144</v>
      </c>
      <c r="F23" s="19">
        <v>0.95910347412561203</v>
      </c>
      <c r="G23" s="19">
        <v>0.87954737732656496</v>
      </c>
      <c r="H23" s="19">
        <v>0.89319556179471904</v>
      </c>
      <c r="I23" s="19">
        <v>4.4956646518152503E-2</v>
      </c>
      <c r="J23" s="19">
        <v>0.89692599093827796</v>
      </c>
      <c r="K23" s="19">
        <v>5.0598798231345901E-2</v>
      </c>
      <c r="L23" s="19"/>
      <c r="M23" s="19"/>
      <c r="N23" s="19"/>
      <c r="O23" s="19"/>
      <c r="P23" s="19"/>
    </row>
    <row r="24" spans="2:16" x14ac:dyDescent="0.2">
      <c r="B24" t="s">
        <v>560</v>
      </c>
      <c r="C24" t="s">
        <v>389</v>
      </c>
      <c r="D24" s="18">
        <v>42584.751192129632</v>
      </c>
      <c r="E24" t="s">
        <v>153</v>
      </c>
      <c r="F24" s="19">
        <v>0.95896300977456805</v>
      </c>
      <c r="G24" s="19">
        <v>0.82859945654239398</v>
      </c>
      <c r="H24" s="19">
        <v>0.87789796784361995</v>
      </c>
      <c r="I24" s="19">
        <v>5.2082759545568999E-2</v>
      </c>
      <c r="J24" s="19">
        <v>0.92836509231471498</v>
      </c>
      <c r="K24" s="19">
        <v>4.8301788850881502E-2</v>
      </c>
      <c r="L24" s="19"/>
      <c r="M24" s="19"/>
      <c r="N24" s="19"/>
      <c r="O24" s="19"/>
      <c r="P24" s="19"/>
    </row>
    <row r="25" spans="2:16" x14ac:dyDescent="0.2">
      <c r="B25" t="s">
        <v>554</v>
      </c>
      <c r="C25" t="s">
        <v>384</v>
      </c>
      <c r="D25" s="18">
        <v>42584.751192129632</v>
      </c>
      <c r="E25" t="s">
        <v>151</v>
      </c>
      <c r="F25" s="19">
        <v>0.91602754142563303</v>
      </c>
      <c r="G25" s="19">
        <v>0.81039785050662005</v>
      </c>
      <c r="H25" s="19">
        <v>0.87540206368346196</v>
      </c>
      <c r="I25" s="19">
        <v>5.1005147322944602E-2</v>
      </c>
      <c r="J25" s="19">
        <v>0.85769892122748104</v>
      </c>
      <c r="K25" s="19">
        <v>6.3392193977086897E-2</v>
      </c>
      <c r="L25" s="19"/>
      <c r="M25" s="19"/>
      <c r="N25" s="19"/>
      <c r="O25" s="19"/>
      <c r="P25" s="19"/>
    </row>
    <row r="26" spans="2:16" x14ac:dyDescent="0.2">
      <c r="B26" t="s">
        <v>577</v>
      </c>
      <c r="C26" t="s">
        <v>389</v>
      </c>
      <c r="D26" s="18">
        <v>42584.751192129632</v>
      </c>
      <c r="E26" t="s">
        <v>160</v>
      </c>
      <c r="F26" s="19">
        <v>0.99172918908384</v>
      </c>
      <c r="G26" s="19">
        <v>0.98097068354812</v>
      </c>
      <c r="H26" s="19">
        <v>0.93395403294359203</v>
      </c>
      <c r="I26" s="19">
        <v>4.1425206876060099E-2</v>
      </c>
      <c r="J26" s="19">
        <v>0.98799111481327195</v>
      </c>
      <c r="K26" s="19">
        <v>1.7865895333821699E-2</v>
      </c>
      <c r="L26" s="19"/>
      <c r="M26" s="19"/>
      <c r="N26" s="19"/>
      <c r="O26" s="19"/>
      <c r="P26" s="19"/>
    </row>
    <row r="27" spans="2:16" x14ac:dyDescent="0.2">
      <c r="B27" t="s">
        <v>606</v>
      </c>
      <c r="C27" t="s">
        <v>384</v>
      </c>
      <c r="D27" s="18">
        <v>42584.751192129632</v>
      </c>
      <c r="E27" t="s">
        <v>172</v>
      </c>
      <c r="F27" s="19">
        <v>0.91862568807844702</v>
      </c>
      <c r="G27" s="19">
        <v>0.78700520144582597</v>
      </c>
      <c r="H27" s="19">
        <v>0.86321011836748796</v>
      </c>
      <c r="I27" s="19">
        <v>5.1342859378608101E-2</v>
      </c>
      <c r="J27" s="19">
        <v>0.93633106093119001</v>
      </c>
      <c r="K27" s="19">
        <v>4.33494080195942E-2</v>
      </c>
      <c r="L27" s="19"/>
      <c r="M27" s="19"/>
      <c r="N27" s="19"/>
      <c r="O27" s="19"/>
      <c r="P27" s="19"/>
    </row>
    <row r="28" spans="2:16" x14ac:dyDescent="0.2">
      <c r="B28" t="s">
        <v>592</v>
      </c>
      <c r="C28" t="s">
        <v>403</v>
      </c>
      <c r="D28" s="18">
        <v>42584.751192129632</v>
      </c>
      <c r="E28" t="s">
        <v>166</v>
      </c>
      <c r="F28" s="19">
        <v>0.94728243803033296</v>
      </c>
      <c r="G28" s="19">
        <v>0.92221574613747803</v>
      </c>
      <c r="H28" s="19">
        <v>0.87697169600875302</v>
      </c>
      <c r="I28" s="19">
        <v>4.3244071558683199E-2</v>
      </c>
      <c r="J28" s="19">
        <v>0.79575081219822996</v>
      </c>
      <c r="K28" s="19">
        <v>9.8788463340836505E-2</v>
      </c>
      <c r="L28" s="19"/>
      <c r="M28" s="19"/>
      <c r="N28" s="19"/>
      <c r="O28" s="19"/>
      <c r="P28" s="19"/>
    </row>
    <row r="29" spans="2:16" x14ac:dyDescent="0.2">
      <c r="B29" t="s">
        <v>562</v>
      </c>
      <c r="C29" t="s">
        <v>379</v>
      </c>
      <c r="D29" s="18">
        <v>42584.751192129632</v>
      </c>
      <c r="E29" t="s">
        <v>154</v>
      </c>
      <c r="F29" s="19">
        <v>0.923200601769395</v>
      </c>
      <c r="G29" s="19">
        <v>0.79571718591395302</v>
      </c>
      <c r="H29" s="19">
        <v>0.88003431329785697</v>
      </c>
      <c r="I29" s="19">
        <v>4.5312106459232102E-2</v>
      </c>
      <c r="J29" s="19">
        <v>0.92948120921234301</v>
      </c>
      <c r="K29" s="19">
        <v>4.0708738455880397E-2</v>
      </c>
      <c r="L29" s="19"/>
      <c r="M29" s="19"/>
      <c r="N29" s="19"/>
      <c r="O29" s="19"/>
      <c r="P29" s="19"/>
    </row>
    <row r="30" spans="2:16" x14ac:dyDescent="0.2">
      <c r="B30" t="s">
        <v>621</v>
      </c>
      <c r="C30" t="s">
        <v>368</v>
      </c>
      <c r="D30" s="18">
        <v>42584.751192129632</v>
      </c>
      <c r="E30" t="s">
        <v>178</v>
      </c>
      <c r="F30" s="19">
        <v>0.96060578092207405</v>
      </c>
      <c r="G30" s="19">
        <v>0.82818592018224002</v>
      </c>
      <c r="H30" s="19">
        <v>0.878746700905913</v>
      </c>
      <c r="I30" s="19">
        <v>4.9961380588676399E-2</v>
      </c>
      <c r="J30" s="19">
        <v>0.86798598227169599</v>
      </c>
      <c r="K30" s="19">
        <v>7.7975301228531399E-2</v>
      </c>
      <c r="L30" s="19"/>
      <c r="M30" s="19"/>
      <c r="N30" s="19"/>
      <c r="O30" s="19"/>
      <c r="P30" s="19"/>
    </row>
    <row r="31" spans="2:16" x14ac:dyDescent="0.2">
      <c r="B31" t="s">
        <v>614</v>
      </c>
      <c r="C31" t="s">
        <v>403</v>
      </c>
      <c r="D31" s="18">
        <v>42584.751192129632</v>
      </c>
      <c r="E31" t="s">
        <v>176</v>
      </c>
      <c r="F31" s="19">
        <v>0.93954021342118499</v>
      </c>
      <c r="G31" s="19">
        <v>0.86424809830310101</v>
      </c>
      <c r="H31" s="19">
        <v>0.88376693683103402</v>
      </c>
      <c r="I31" s="19">
        <v>5.2919749113650598E-2</v>
      </c>
      <c r="J31" s="19">
        <v>0.95980776972624804</v>
      </c>
      <c r="K31" s="19">
        <v>4.1180106764709699E-2</v>
      </c>
      <c r="L31" s="19"/>
      <c r="M31" s="19"/>
      <c r="N31" s="19"/>
      <c r="O31" s="19"/>
      <c r="P31" s="19"/>
    </row>
    <row r="32" spans="2:16" x14ac:dyDescent="0.2">
      <c r="B32" t="s">
        <v>389</v>
      </c>
      <c r="C32" t="s">
        <v>389</v>
      </c>
      <c r="D32" s="18">
        <v>42584.751192129632</v>
      </c>
      <c r="E32" t="s">
        <v>662</v>
      </c>
      <c r="F32" s="19">
        <v>0.94761421149926095</v>
      </c>
      <c r="G32" s="19">
        <v>0.88440972537066098</v>
      </c>
      <c r="H32" s="19">
        <v>0.91949912112507803</v>
      </c>
      <c r="I32" s="19">
        <v>1.32587355009699E-2</v>
      </c>
      <c r="J32" s="19">
        <v>0.91212673340706796</v>
      </c>
      <c r="K32" s="19">
        <v>1.69409766741501E-2</v>
      </c>
      <c r="L32" s="19"/>
      <c r="M32" s="19"/>
      <c r="N32" s="19"/>
      <c r="O32" s="19"/>
      <c r="P32" s="19"/>
    </row>
    <row r="33" spans="2:16" x14ac:dyDescent="0.2">
      <c r="B33" t="s">
        <v>209</v>
      </c>
      <c r="C33" t="s">
        <v>389</v>
      </c>
      <c r="D33" s="18">
        <v>42584.751192129632</v>
      </c>
      <c r="E33" t="s">
        <v>157</v>
      </c>
      <c r="F33" s="19">
        <v>0.98800687117249897</v>
      </c>
      <c r="G33" s="19">
        <v>0.95106837606837602</v>
      </c>
      <c r="H33" s="19">
        <v>0.97049729767670401</v>
      </c>
      <c r="I33" s="19">
        <v>3.23770724754937E-2</v>
      </c>
      <c r="J33" s="19">
        <v>0.88554703766455301</v>
      </c>
      <c r="K33" s="19">
        <v>4.7538378818697602E-2</v>
      </c>
      <c r="L33" s="19">
        <v>0.96110552763819102</v>
      </c>
      <c r="M33" s="19">
        <v>0.96239967637540502</v>
      </c>
      <c r="N33" s="19">
        <v>3.7286651021739302E-2</v>
      </c>
      <c r="O33" s="19">
        <v>0.98548792369622096</v>
      </c>
      <c r="P33" s="19">
        <v>1.6383998244628401E-2</v>
      </c>
    </row>
    <row r="34" spans="2:16" x14ac:dyDescent="0.2">
      <c r="B34" t="s">
        <v>570</v>
      </c>
      <c r="C34" t="s">
        <v>389</v>
      </c>
      <c r="D34" s="18">
        <v>42584.751192129632</v>
      </c>
      <c r="E34" t="s">
        <v>157</v>
      </c>
      <c r="F34" s="19">
        <v>0.98800687117249897</v>
      </c>
      <c r="G34" s="19">
        <v>0.95106837606837602</v>
      </c>
      <c r="H34" s="19">
        <v>0.97049729767670401</v>
      </c>
      <c r="I34" s="19">
        <v>3.23770724754937E-2</v>
      </c>
      <c r="J34" s="19">
        <v>0.88554703766455301</v>
      </c>
      <c r="K34" s="19">
        <v>4.7538378818697602E-2</v>
      </c>
      <c r="L34" s="19">
        <v>0.96110552763819102</v>
      </c>
      <c r="M34" s="19">
        <v>0.96239967637540502</v>
      </c>
      <c r="N34" s="19">
        <v>3.7286651021739302E-2</v>
      </c>
      <c r="O34" s="19">
        <v>0.98548792369622096</v>
      </c>
      <c r="P34" s="19">
        <v>1.6383998244628401E-2</v>
      </c>
    </row>
    <row r="35" spans="2:16" x14ac:dyDescent="0.2">
      <c r="B35" t="s">
        <v>552</v>
      </c>
      <c r="C35" t="s">
        <v>379</v>
      </c>
      <c r="D35" s="18">
        <v>42584.751192129632</v>
      </c>
      <c r="E35" t="s">
        <v>150</v>
      </c>
      <c r="F35" s="19">
        <v>0.91896714897143394</v>
      </c>
      <c r="G35" s="19">
        <v>0.846998951598812</v>
      </c>
      <c r="H35" s="19">
        <v>0.80941058330014903</v>
      </c>
      <c r="I35" s="19">
        <v>5.7738368098199398E-2</v>
      </c>
      <c r="J35" s="19">
        <v>0.94229759741570795</v>
      </c>
      <c r="K35" s="19">
        <v>3.9520746817903199E-2</v>
      </c>
      <c r="L35" s="19"/>
      <c r="M35" s="19"/>
      <c r="N35" s="19"/>
      <c r="O35" s="19"/>
      <c r="P35" s="19"/>
    </row>
    <row r="36" spans="2:16" x14ac:dyDescent="0.2">
      <c r="B36" t="s">
        <v>608</v>
      </c>
      <c r="C36" t="s">
        <v>384</v>
      </c>
      <c r="D36" s="18">
        <v>42584.751192129632</v>
      </c>
      <c r="E36" t="s">
        <v>173</v>
      </c>
      <c r="F36" s="19">
        <v>0.95989480022669305</v>
      </c>
      <c r="G36" s="19">
        <v>0.90650371884403602</v>
      </c>
      <c r="H36" s="19">
        <v>0.88099082872699397</v>
      </c>
      <c r="I36" s="19">
        <v>5.12302944870872E-2</v>
      </c>
      <c r="J36" s="19">
        <v>0.92982441481005096</v>
      </c>
      <c r="K36" s="19">
        <v>4.8987007159121299E-2</v>
      </c>
      <c r="L36" s="19"/>
      <c r="M36" s="19"/>
      <c r="N36" s="19"/>
      <c r="O36" s="19"/>
      <c r="P36" s="19"/>
    </row>
    <row r="37" spans="2:16" x14ac:dyDescent="0.2">
      <c r="B37" t="s">
        <v>548</v>
      </c>
      <c r="C37" t="s">
        <v>379</v>
      </c>
      <c r="D37" s="18">
        <v>42584.751192129632</v>
      </c>
      <c r="E37" t="s">
        <v>91</v>
      </c>
      <c r="F37" s="19">
        <v>0.96591657692131405</v>
      </c>
      <c r="G37" s="19">
        <v>0.84277475022706605</v>
      </c>
      <c r="H37" s="19">
        <v>0.91357784702171696</v>
      </c>
      <c r="I37" s="19">
        <v>4.93448635578368E-2</v>
      </c>
      <c r="J37" s="19">
        <v>0.921256112300611</v>
      </c>
      <c r="K37" s="19">
        <v>4.4348176592261403E-2</v>
      </c>
      <c r="L37" s="19"/>
      <c r="M37" s="19"/>
      <c r="N37" s="19"/>
      <c r="O37" s="19"/>
      <c r="P37" s="19"/>
    </row>
    <row r="38" spans="2:16" x14ac:dyDescent="0.2">
      <c r="B38" t="s">
        <v>550</v>
      </c>
      <c r="C38" t="s">
        <v>384</v>
      </c>
      <c r="D38" s="18">
        <v>42584.751192129632</v>
      </c>
      <c r="E38" t="s">
        <v>149</v>
      </c>
      <c r="F38" s="19">
        <v>0.93970777468764299</v>
      </c>
      <c r="G38" s="19">
        <v>0.80017301038062305</v>
      </c>
      <c r="H38" s="19">
        <v>0.89524771390760105</v>
      </c>
      <c r="I38" s="19">
        <v>4.5015086181634599E-2</v>
      </c>
      <c r="J38" s="19">
        <v>0.88902092131449895</v>
      </c>
      <c r="K38" s="19">
        <v>0.100732040057814</v>
      </c>
      <c r="L38" s="19"/>
      <c r="M38" s="19"/>
      <c r="N38" s="19"/>
      <c r="O38" s="19"/>
      <c r="P38" s="19"/>
    </row>
    <row r="39" spans="2:16" x14ac:dyDescent="0.2">
      <c r="B39" t="s">
        <v>517</v>
      </c>
      <c r="C39" t="s">
        <v>368</v>
      </c>
      <c r="D39" s="18">
        <v>42584.751192129632</v>
      </c>
      <c r="E39" t="s">
        <v>138</v>
      </c>
      <c r="F39" s="19">
        <v>0.90861043125821706</v>
      </c>
      <c r="G39" s="19">
        <v>0.83947763451539104</v>
      </c>
      <c r="H39" s="19">
        <v>0.85876523062754795</v>
      </c>
      <c r="I39" s="19">
        <v>5.4947744562224503E-2</v>
      </c>
      <c r="J39" s="19">
        <v>0.88885208623191703</v>
      </c>
      <c r="K39" s="19">
        <v>7.2089607893006599E-2</v>
      </c>
      <c r="L39" s="19"/>
      <c r="M39" s="19"/>
      <c r="N39" s="19"/>
      <c r="O39" s="19"/>
      <c r="P39" s="19"/>
    </row>
    <row r="40" spans="2:16" x14ac:dyDescent="0.2">
      <c r="B40" t="s">
        <v>523</v>
      </c>
      <c r="C40" t="s">
        <v>368</v>
      </c>
      <c r="D40" s="18">
        <v>42584.751192129632</v>
      </c>
      <c r="E40" t="s">
        <v>141</v>
      </c>
      <c r="F40" s="19">
        <v>0.95636910732196601</v>
      </c>
      <c r="G40" s="19">
        <v>0.86222627737226298</v>
      </c>
      <c r="H40" s="19">
        <v>0.89074793938739505</v>
      </c>
      <c r="I40" s="19">
        <v>4.2339201024592703E-2</v>
      </c>
      <c r="J40" s="19">
        <v>0.814498572544615</v>
      </c>
      <c r="K40" s="19">
        <v>7.5651181020405897E-2</v>
      </c>
      <c r="L40" s="19"/>
      <c r="M40" s="19"/>
      <c r="N40" s="19"/>
      <c r="O40" s="19"/>
      <c r="P40" s="19"/>
    </row>
    <row r="41" spans="2:16" x14ac:dyDescent="0.2">
      <c r="B41" t="s">
        <v>368</v>
      </c>
      <c r="C41" t="s">
        <v>368</v>
      </c>
      <c r="D41" s="18">
        <v>42584.751192129632</v>
      </c>
      <c r="E41" t="s">
        <v>661</v>
      </c>
      <c r="F41" s="19">
        <v>0.95335853088436695</v>
      </c>
      <c r="G41" s="19">
        <v>0.84907046356133897</v>
      </c>
      <c r="H41" s="19">
        <v>0.87383267458712599</v>
      </c>
      <c r="I41" s="19">
        <v>1.5346714540121801E-2</v>
      </c>
      <c r="J41" s="19">
        <v>0.87593245858850399</v>
      </c>
      <c r="K41" s="19">
        <v>3.1626362895585798E-2</v>
      </c>
      <c r="L41" s="19"/>
      <c r="M41" s="19"/>
      <c r="N41" s="19"/>
      <c r="O41" s="19"/>
      <c r="P41" s="19"/>
    </row>
    <row r="42" spans="2:16" x14ac:dyDescent="0.2">
      <c r="B42" t="s">
        <v>590</v>
      </c>
      <c r="C42" t="s">
        <v>403</v>
      </c>
      <c r="D42" s="18">
        <v>42584.751192129632</v>
      </c>
      <c r="E42" t="s">
        <v>165</v>
      </c>
      <c r="F42" s="19">
        <v>0.91806379647978997</v>
      </c>
      <c r="G42" s="19">
        <v>0.76052934407364803</v>
      </c>
      <c r="H42" s="19">
        <v>0.87453527349996896</v>
      </c>
      <c r="I42" s="19">
        <v>4.8080434968708202E-2</v>
      </c>
      <c r="J42" s="19">
        <v>0.89230064734274495</v>
      </c>
      <c r="K42" s="19">
        <v>5.6360483237143003E-2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42584.751192129632</v>
      </c>
      <c r="E44" t="s">
        <v>664</v>
      </c>
      <c r="F44" s="19">
        <v>0.95644376804726705</v>
      </c>
      <c r="G44" s="19">
        <v>0.85650539999154496</v>
      </c>
      <c r="H44" s="19">
        <v>0.87583755358890503</v>
      </c>
      <c r="I44" s="19">
        <v>1.7961108971639699E-2</v>
      </c>
      <c r="J44" s="19">
        <v>0.90305586490144996</v>
      </c>
      <c r="K44" s="19">
        <v>2.0128284813304101E-2</v>
      </c>
      <c r="L44" s="19"/>
      <c r="M44" s="19"/>
      <c r="N44" s="19"/>
      <c r="O44" s="19"/>
      <c r="P44" s="19"/>
    </row>
    <row r="45" spans="2:16" x14ac:dyDescent="0.2">
      <c r="B45" t="s">
        <v>210</v>
      </c>
      <c r="C45" t="s">
        <v>368</v>
      </c>
      <c r="D45" s="18">
        <v>42584.751192129632</v>
      </c>
      <c r="E45" t="s">
        <v>99</v>
      </c>
      <c r="F45" s="19">
        <v>0.92772431972499003</v>
      </c>
      <c r="G45" s="19">
        <v>0.84681366347370302</v>
      </c>
      <c r="H45" s="19">
        <v>0.89513162669833102</v>
      </c>
      <c r="I45" s="19">
        <v>4.1778757658643299E-2</v>
      </c>
      <c r="J45" s="19">
        <v>0.88658462018541395</v>
      </c>
      <c r="K45" s="19">
        <v>4.7840515973508697E-2</v>
      </c>
      <c r="L45" s="19">
        <v>1</v>
      </c>
      <c r="M45" s="19">
        <v>0.94032486922637104</v>
      </c>
      <c r="N45" s="19">
        <v>4.0677243867986802E-2</v>
      </c>
      <c r="O45" s="19">
        <v>0.94630224150561704</v>
      </c>
      <c r="P45" s="19">
        <v>3.7678527632225102E-2</v>
      </c>
    </row>
    <row r="46" spans="2:16" x14ac:dyDescent="0.2">
      <c r="B46" t="s">
        <v>525</v>
      </c>
      <c r="C46" t="s">
        <v>368</v>
      </c>
      <c r="D46" s="18">
        <v>42584.751192129632</v>
      </c>
      <c r="E46" t="s">
        <v>99</v>
      </c>
      <c r="F46" s="19">
        <v>0.92772431972499003</v>
      </c>
      <c r="G46" s="19">
        <v>0.84681366347370302</v>
      </c>
      <c r="H46" s="19">
        <v>0.89513162669833102</v>
      </c>
      <c r="I46" s="19">
        <v>4.1778757658643299E-2</v>
      </c>
      <c r="J46" s="19">
        <v>0.88658462018541395</v>
      </c>
      <c r="K46" s="19">
        <v>4.7840515973508697E-2</v>
      </c>
      <c r="L46" s="19">
        <v>1</v>
      </c>
      <c r="M46" s="19">
        <v>0.94032486922637104</v>
      </c>
      <c r="N46" s="19">
        <v>4.0677243867986802E-2</v>
      </c>
      <c r="O46" s="19">
        <v>0.94630224150561704</v>
      </c>
      <c r="P46" s="19">
        <v>3.7678527632225102E-2</v>
      </c>
    </row>
    <row r="47" spans="2:16" x14ac:dyDescent="0.2">
      <c r="B47" t="s">
        <v>594</v>
      </c>
      <c r="C47" t="s">
        <v>403</v>
      </c>
      <c r="D47" s="18">
        <v>42584.751192129632</v>
      </c>
      <c r="E47" t="s">
        <v>167</v>
      </c>
      <c r="F47" s="19">
        <v>0.93501505277869901</v>
      </c>
      <c r="G47" s="19">
        <v>0.87263357743422798</v>
      </c>
      <c r="H47" s="19">
        <v>0.89035927942461501</v>
      </c>
      <c r="I47" s="19">
        <v>4.8839069473178801E-2</v>
      </c>
      <c r="J47" s="19">
        <v>0.91939902839022003</v>
      </c>
      <c r="K47" s="19">
        <v>5.2589665198175803E-2</v>
      </c>
      <c r="L47" s="19"/>
      <c r="M47" s="19"/>
      <c r="N47" s="19"/>
      <c r="O47" s="19"/>
      <c r="P47" s="19"/>
    </row>
    <row r="48" spans="2:16" x14ac:dyDescent="0.2">
      <c r="B48" t="s">
        <v>528</v>
      </c>
      <c r="C48" t="s">
        <v>368</v>
      </c>
      <c r="D48" s="18">
        <v>42584.751192129632</v>
      </c>
      <c r="E48" t="s">
        <v>142</v>
      </c>
      <c r="F48" s="19">
        <v>0.95074676675146796</v>
      </c>
      <c r="G48" s="19">
        <v>0.82597560975609796</v>
      </c>
      <c r="H48" s="19">
        <v>0.865898794915685</v>
      </c>
      <c r="I48" s="19">
        <v>4.9207413160781602E-2</v>
      </c>
      <c r="J48" s="19">
        <v>0.90190910120751699</v>
      </c>
      <c r="K48" s="19">
        <v>4.9962499115161901E-2</v>
      </c>
      <c r="L48" s="19"/>
      <c r="M48" s="19"/>
      <c r="N48" s="19"/>
      <c r="O48" s="19"/>
      <c r="P48" s="19"/>
    </row>
    <row r="49" spans="2:16" x14ac:dyDescent="0.2">
      <c r="B49" t="s">
        <v>602</v>
      </c>
      <c r="C49" t="s">
        <v>403</v>
      </c>
      <c r="D49" s="18">
        <v>42584.751192129632</v>
      </c>
      <c r="E49" t="s">
        <v>170</v>
      </c>
      <c r="F49" s="19">
        <v>0.98479937233339998</v>
      </c>
      <c r="G49" s="19">
        <v>0.98117918902802603</v>
      </c>
      <c r="H49" s="19">
        <v>0.91475675989784</v>
      </c>
      <c r="I49" s="19">
        <v>4.8872395526493598E-2</v>
      </c>
      <c r="J49" s="19">
        <v>0.90617337371989004</v>
      </c>
      <c r="K49" s="19">
        <v>6.5005171396284506E-2</v>
      </c>
      <c r="L49" s="19"/>
      <c r="M49" s="19"/>
      <c r="N49" s="19"/>
      <c r="O49" s="19"/>
      <c r="P49" s="19"/>
    </row>
    <row r="50" spans="2:16" x14ac:dyDescent="0.2">
      <c r="B50" t="s">
        <v>513</v>
      </c>
      <c r="C50" t="s">
        <v>368</v>
      </c>
      <c r="D50" s="18">
        <v>42584.751192129632</v>
      </c>
      <c r="E50" t="s">
        <v>137</v>
      </c>
      <c r="F50" s="19">
        <v>0.96736135185518601</v>
      </c>
      <c r="G50" s="19">
        <v>0.86104246831644704</v>
      </c>
      <c r="H50" s="19">
        <v>0.86782637976757904</v>
      </c>
      <c r="I50" s="19">
        <v>5.4538171765275298E-2</v>
      </c>
      <c r="J50" s="19">
        <v>0.92296878068812804</v>
      </c>
      <c r="K50" s="19">
        <v>5.5376387136924297E-2</v>
      </c>
      <c r="L50" s="19"/>
      <c r="M50" s="19"/>
      <c r="N50" s="19"/>
      <c r="O50" s="19"/>
      <c r="P50" s="19"/>
    </row>
    <row r="51" spans="2:16" x14ac:dyDescent="0.2">
      <c r="B51" t="s">
        <v>610</v>
      </c>
      <c r="C51" t="s">
        <v>403</v>
      </c>
      <c r="D51" s="18">
        <v>42584.751192129632</v>
      </c>
      <c r="E51" t="s">
        <v>174</v>
      </c>
      <c r="F51" s="19">
        <v>0.95469065624953098</v>
      </c>
      <c r="G51" s="19">
        <v>0.839751243781095</v>
      </c>
      <c r="H51" s="19">
        <v>0.86789596695293003</v>
      </c>
      <c r="I51" s="19">
        <v>5.1510842107216799E-2</v>
      </c>
      <c r="J51" s="19">
        <v>0.90654465867979905</v>
      </c>
      <c r="K51" s="19">
        <v>5.2769412600228799E-2</v>
      </c>
      <c r="L51" s="19"/>
      <c r="M51" s="19"/>
      <c r="N51" s="19"/>
      <c r="O51" s="19"/>
      <c r="P51" s="19"/>
    </row>
    <row r="52" spans="2:16" x14ac:dyDescent="0.2">
      <c r="B52" t="s">
        <v>534</v>
      </c>
      <c r="C52" t="s">
        <v>368</v>
      </c>
      <c r="D52" s="18">
        <v>42584.751192129632</v>
      </c>
      <c r="E52" t="s">
        <v>103</v>
      </c>
      <c r="F52" s="19">
        <v>0.95898587897020404</v>
      </c>
      <c r="G52" s="19">
        <v>0.81915152780677902</v>
      </c>
      <c r="H52" s="19">
        <v>0.88073942800484195</v>
      </c>
      <c r="I52" s="19">
        <v>4.7679236017720401E-2</v>
      </c>
      <c r="J52" s="19">
        <v>0.90782617926809495</v>
      </c>
      <c r="K52" s="19">
        <v>4.4541584950891902E-2</v>
      </c>
      <c r="L52" s="19"/>
      <c r="M52" s="19"/>
      <c r="N52" s="19"/>
      <c r="O52" s="19"/>
      <c r="P52" s="19"/>
    </row>
    <row r="53" spans="2:16" x14ac:dyDescent="0.2">
      <c r="B53" t="s">
        <v>587</v>
      </c>
      <c r="C53" t="s">
        <v>384</v>
      </c>
      <c r="D53" s="18">
        <v>42584.751192129632</v>
      </c>
      <c r="E53" t="s">
        <v>164</v>
      </c>
      <c r="F53" s="19">
        <v>0.96023925657922804</v>
      </c>
      <c r="G53" s="19">
        <v>0.80242292248009295</v>
      </c>
      <c r="H53" s="19">
        <v>0.89663144171863896</v>
      </c>
      <c r="I53" s="19">
        <v>4.8075365302181802E-2</v>
      </c>
      <c r="J53" s="19">
        <v>0.96989691390806598</v>
      </c>
      <c r="K53" s="19">
        <v>3.0785831251215801E-2</v>
      </c>
      <c r="L53" s="252"/>
      <c r="M53" s="252"/>
      <c r="N53" s="252"/>
      <c r="O53" s="252"/>
      <c r="P53" s="252"/>
    </row>
    <row r="54" spans="2:16" x14ac:dyDescent="0.2">
      <c r="B54" t="s">
        <v>623</v>
      </c>
      <c r="C54" t="s">
        <v>403</v>
      </c>
      <c r="D54" s="18">
        <v>42584.751192129632</v>
      </c>
      <c r="E54" t="s">
        <v>179</v>
      </c>
      <c r="F54" s="19">
        <v>0.96395318917032502</v>
      </c>
      <c r="G54" s="19">
        <v>0.79816478792886403</v>
      </c>
      <c r="H54" s="19">
        <v>0.82158327805127795</v>
      </c>
      <c r="I54" s="19">
        <v>5.4128314957837001E-2</v>
      </c>
      <c r="J54" s="19">
        <v>0.91121143465408005</v>
      </c>
      <c r="K54" s="19">
        <v>4.1901794093732903E-2</v>
      </c>
      <c r="L54" s="19"/>
      <c r="M54" s="19"/>
      <c r="N54" s="19"/>
      <c r="O54" s="19"/>
      <c r="P54" s="19"/>
    </row>
    <row r="55" spans="2:16" x14ac:dyDescent="0.2">
      <c r="B55" t="s">
        <v>612</v>
      </c>
      <c r="C55" t="s">
        <v>379</v>
      </c>
      <c r="D55" s="18">
        <v>42584.751192129632</v>
      </c>
      <c r="E55" t="s">
        <v>175</v>
      </c>
      <c r="F55" s="19">
        <v>0.925152462308791</v>
      </c>
      <c r="G55" s="19">
        <v>0.785621326042379</v>
      </c>
      <c r="H55" s="19">
        <v>0.81591556804690402</v>
      </c>
      <c r="I55" s="19">
        <v>5.1722402372054603E-2</v>
      </c>
      <c r="J55" s="19">
        <v>0.85026685361496201</v>
      </c>
      <c r="K55" s="19">
        <v>7.7511098704103096E-2</v>
      </c>
      <c r="L55" s="19"/>
      <c r="M55" s="19"/>
      <c r="N55" s="19"/>
      <c r="O55" s="19"/>
      <c r="P55" s="19"/>
    </row>
    <row r="56" spans="2:16" x14ac:dyDescent="0.2">
      <c r="B56" t="s">
        <v>596</v>
      </c>
      <c r="C56" t="s">
        <v>403</v>
      </c>
      <c r="D56" s="18">
        <v>42584.751192129632</v>
      </c>
      <c r="E56" t="s">
        <v>168</v>
      </c>
      <c r="F56" s="19">
        <v>0.97275646507978897</v>
      </c>
      <c r="G56" s="19">
        <v>0.89535206061726103</v>
      </c>
      <c r="H56" s="19">
        <v>0.89484244269603297</v>
      </c>
      <c r="I56" s="19">
        <v>4.4192604820413803E-2</v>
      </c>
      <c r="J56" s="19">
        <v>0.91543445316219196</v>
      </c>
      <c r="K56" s="19">
        <v>5.3028833687820097E-2</v>
      </c>
      <c r="L56" s="19"/>
      <c r="M56" s="19"/>
      <c r="N56" s="19"/>
      <c r="O56" s="19"/>
      <c r="P56" s="19"/>
    </row>
    <row r="57" spans="2:16" x14ac:dyDescent="0.2">
      <c r="B57" t="s">
        <v>634</v>
      </c>
      <c r="C57" t="s">
        <v>389</v>
      </c>
      <c r="D57" s="18">
        <v>42584.751192129632</v>
      </c>
      <c r="E57" t="s">
        <v>184</v>
      </c>
      <c r="F57" s="19">
        <v>0.94302385048119397</v>
      </c>
      <c r="G57" s="19">
        <v>0.73242217160212597</v>
      </c>
      <c r="H57" s="19">
        <v>0.842639922355225</v>
      </c>
      <c r="I57" s="19">
        <v>6.10990790525828E-2</v>
      </c>
      <c r="J57" s="19">
        <v>0.91095416383026995</v>
      </c>
      <c r="K57" s="19">
        <v>9.4213366297531298E-2</v>
      </c>
      <c r="L57" s="19"/>
      <c r="M57" s="19"/>
      <c r="N57" s="19"/>
      <c r="O57" s="19"/>
      <c r="P57" s="19"/>
    </row>
    <row r="58" spans="2:16" x14ac:dyDescent="0.2">
      <c r="B58" t="s">
        <v>379</v>
      </c>
      <c r="C58" t="s">
        <v>379</v>
      </c>
      <c r="D58" s="18">
        <v>42584.751192129632</v>
      </c>
      <c r="E58" t="s">
        <v>660</v>
      </c>
      <c r="F58" s="19">
        <v>0.945371465366311</v>
      </c>
      <c r="G58" s="19">
        <v>0.84308706024441804</v>
      </c>
      <c r="H58" s="19">
        <v>0.86470119757070396</v>
      </c>
      <c r="I58" s="19">
        <v>2.2213018129089199E-2</v>
      </c>
      <c r="J58" s="19">
        <v>0.89465850415319303</v>
      </c>
      <c r="K58" s="19">
        <v>2.38465537076211E-2</v>
      </c>
      <c r="L58" s="19"/>
      <c r="M58" s="19"/>
      <c r="N58" s="19"/>
      <c r="O58" s="19"/>
      <c r="P58" s="19"/>
    </row>
    <row r="59" spans="2:16" x14ac:dyDescent="0.2">
      <c r="B59" t="s">
        <v>573</v>
      </c>
      <c r="C59" t="s">
        <v>389</v>
      </c>
      <c r="D59" s="18">
        <v>42584.751192129632</v>
      </c>
      <c r="E59" t="s">
        <v>158</v>
      </c>
      <c r="F59" s="19">
        <v>0.95493202689232504</v>
      </c>
      <c r="G59" s="19">
        <v>0.85264245515300696</v>
      </c>
      <c r="H59" s="19">
        <v>0.91846835170212304</v>
      </c>
      <c r="I59" s="19">
        <v>3.9100268771815903E-2</v>
      </c>
      <c r="J59" s="19">
        <v>0.83119256360990601</v>
      </c>
      <c r="K59" s="19">
        <v>5.8385178917865002E-2</v>
      </c>
      <c r="L59" s="19"/>
      <c r="M59" s="19"/>
      <c r="N59" s="19"/>
      <c r="O59" s="19"/>
      <c r="P59" s="19"/>
    </row>
    <row r="60" spans="2:16" x14ac:dyDescent="0.2">
      <c r="B60" t="s">
        <v>212</v>
      </c>
      <c r="C60" t="s">
        <v>389</v>
      </c>
      <c r="D60" s="18">
        <v>42584.751192129632</v>
      </c>
      <c r="E60" t="s">
        <v>161</v>
      </c>
      <c r="F60" s="19">
        <v>0.92150030381270198</v>
      </c>
      <c r="G60" s="19">
        <v>0.877269064884592</v>
      </c>
      <c r="H60" s="19">
        <v>0.95673166481386895</v>
      </c>
      <c r="I60" s="19">
        <v>3.4507619813907799E-2</v>
      </c>
      <c r="J60" s="19">
        <v>0.92879581726340699</v>
      </c>
      <c r="K60" s="19">
        <v>3.8422477958479098E-2</v>
      </c>
      <c r="L60" s="19">
        <v>1</v>
      </c>
      <c r="M60" s="19">
        <v>0.99137898774441002</v>
      </c>
      <c r="N60" s="19">
        <v>1.28793727116459E-2</v>
      </c>
      <c r="O60" s="19">
        <v>0.98073203423033295</v>
      </c>
      <c r="P60" s="19">
        <v>2.3364044644334801E-2</v>
      </c>
    </row>
    <row r="61" spans="2:16" x14ac:dyDescent="0.2">
      <c r="B61" t="s">
        <v>579</v>
      </c>
      <c r="C61" t="s">
        <v>389</v>
      </c>
      <c r="D61" s="18">
        <v>42584.751192129632</v>
      </c>
      <c r="E61" t="s">
        <v>161</v>
      </c>
      <c r="F61" s="19">
        <v>0.92150030381270198</v>
      </c>
      <c r="G61" s="19">
        <v>0.877269064884592</v>
      </c>
      <c r="H61" s="19">
        <v>0.95673166481386895</v>
      </c>
      <c r="I61" s="19">
        <v>3.4507619813907799E-2</v>
      </c>
      <c r="J61" s="19">
        <v>0.92879581726340699</v>
      </c>
      <c r="K61" s="19">
        <v>3.8422477958479098E-2</v>
      </c>
      <c r="L61" s="19">
        <v>1</v>
      </c>
      <c r="M61" s="19">
        <v>0.99137898774441002</v>
      </c>
      <c r="N61" s="19">
        <v>1.28793727116459E-2</v>
      </c>
      <c r="O61" s="19">
        <v>0.98073203423033295</v>
      </c>
      <c r="P61" s="19">
        <v>2.3364044644334801E-2</v>
      </c>
    </row>
    <row r="62" spans="2:16" x14ac:dyDescent="0.2">
      <c r="B62" t="s">
        <v>540</v>
      </c>
      <c r="C62" t="s">
        <v>379</v>
      </c>
      <c r="D62" s="18">
        <v>42584.751192129632</v>
      </c>
      <c r="E62" t="s">
        <v>146</v>
      </c>
      <c r="F62" s="19">
        <v>0.94497340783296002</v>
      </c>
      <c r="G62" s="19">
        <v>0.85187520433422104</v>
      </c>
      <c r="H62" s="19">
        <v>0.84893903572531004</v>
      </c>
      <c r="I62" s="19">
        <v>5.6198642934354802E-2</v>
      </c>
      <c r="J62" s="19">
        <v>0.87542846915699002</v>
      </c>
      <c r="K62" s="19">
        <v>6.0670182231341803E-2</v>
      </c>
      <c r="L62" s="19"/>
      <c r="M62" s="19"/>
      <c r="N62" s="19"/>
      <c r="O62" s="19"/>
      <c r="P62" s="19"/>
    </row>
    <row r="63" spans="2:16" x14ac:dyDescent="0.2">
      <c r="B63" t="s">
        <v>626</v>
      </c>
      <c r="C63" t="s">
        <v>368</v>
      </c>
      <c r="D63" s="18">
        <v>42584.751192129632</v>
      </c>
      <c r="E63" t="s">
        <v>180</v>
      </c>
      <c r="F63" s="19">
        <v>0.94678323075158999</v>
      </c>
      <c r="G63" s="19">
        <v>0.86753516691161103</v>
      </c>
      <c r="H63" s="19">
        <v>0.899253271220113</v>
      </c>
      <c r="I63" s="19">
        <v>4.4797839732621698E-2</v>
      </c>
      <c r="J63" s="19">
        <v>0.92462705526085798</v>
      </c>
      <c r="K63" s="19">
        <v>5.1063707128127897E-2</v>
      </c>
      <c r="L63" s="19"/>
      <c r="M63" s="19"/>
      <c r="N63" s="19"/>
      <c r="O63" s="19"/>
      <c r="P63" s="19"/>
    </row>
    <row r="64" spans="2:16" x14ac:dyDescent="0.2">
      <c r="B64" t="s">
        <v>695</v>
      </c>
      <c r="C64" t="s">
        <v>6</v>
      </c>
      <c r="D64" s="18">
        <v>42584.751192129632</v>
      </c>
      <c r="E64" t="s">
        <v>436</v>
      </c>
      <c r="F64" s="19"/>
      <c r="G64" s="19"/>
      <c r="H64" s="19"/>
      <c r="I64" s="19"/>
      <c r="J64" s="19"/>
      <c r="K64" s="19"/>
      <c r="L64" s="19">
        <v>0.98861798182406402</v>
      </c>
      <c r="M64" s="19">
        <v>0.96596963758717302</v>
      </c>
      <c r="N64" s="19">
        <v>1.8343995693259299E-2</v>
      </c>
      <c r="O64" s="19">
        <v>0.96864495028045905</v>
      </c>
      <c r="P64" s="19">
        <v>1.7727389141889E-2</v>
      </c>
    </row>
    <row r="65" spans="2:16" x14ac:dyDescent="0.2">
      <c r="B65" t="s">
        <v>697</v>
      </c>
      <c r="C65" t="s">
        <v>6</v>
      </c>
      <c r="D65" s="18">
        <v>42584.751192129632</v>
      </c>
      <c r="E65" t="s">
        <v>436</v>
      </c>
      <c r="F65" s="19">
        <v>0.95094960200766199</v>
      </c>
      <c r="G65" s="19">
        <v>0.85807148250309495</v>
      </c>
      <c r="H65" s="19">
        <v>0.88238313577417604</v>
      </c>
      <c r="I65" s="19">
        <v>7.8748943047496304E-3</v>
      </c>
      <c r="J65" s="19">
        <v>0.897546515808477</v>
      </c>
      <c r="K65" s="19">
        <v>1.18264562793959E-2</v>
      </c>
      <c r="L65" s="19">
        <v>0.98861798182406402</v>
      </c>
      <c r="M65" s="19">
        <v>0.96596963758717302</v>
      </c>
      <c r="N65" s="19">
        <v>1.8343995693259299E-2</v>
      </c>
      <c r="O65" s="19">
        <v>0.96864495028045905</v>
      </c>
      <c r="P65" s="19">
        <v>1.7727389141889E-2</v>
      </c>
    </row>
    <row r="66" spans="2:16" x14ac:dyDescent="0.2">
      <c r="B66" t="s">
        <v>604</v>
      </c>
      <c r="C66" t="s">
        <v>384</v>
      </c>
      <c r="D66" s="18">
        <v>42584.751192129632</v>
      </c>
      <c r="E66" t="s">
        <v>171</v>
      </c>
      <c r="F66" s="19">
        <v>0.94960591849143094</v>
      </c>
      <c r="G66" s="19">
        <v>0.91043400011801501</v>
      </c>
      <c r="H66" s="19">
        <v>0.88608190783869001</v>
      </c>
      <c r="I66" s="19">
        <v>4.7601408293891402E-2</v>
      </c>
      <c r="J66" s="19">
        <v>0.88427488932320097</v>
      </c>
      <c r="K66" s="19">
        <v>4.6185417301871999E-2</v>
      </c>
      <c r="L66" s="19"/>
      <c r="M66" s="19"/>
      <c r="N66" s="19"/>
      <c r="O66" s="19"/>
      <c r="P66" s="19"/>
    </row>
    <row r="67" spans="2:16" x14ac:dyDescent="0.2">
      <c r="B67" t="s">
        <v>669</v>
      </c>
      <c r="C67" t="s">
        <v>368</v>
      </c>
      <c r="D67" s="18">
        <v>42584.751192129632</v>
      </c>
      <c r="E67" t="s">
        <v>668</v>
      </c>
      <c r="F67" s="152"/>
      <c r="G67" s="152"/>
      <c r="H67" s="152">
        <v>0.88882935929979301</v>
      </c>
      <c r="I67" s="152">
        <v>0.122765579445424</v>
      </c>
      <c r="J67" s="152">
        <v>0.83280059390964101</v>
      </c>
      <c r="K67" s="152">
        <v>6.9714272031192404E-2</v>
      </c>
      <c r="L67" s="152"/>
      <c r="M67" s="152"/>
      <c r="N67" s="152"/>
      <c r="O67" s="152"/>
      <c r="P67" s="152"/>
    </row>
    <row r="68" spans="2:16" x14ac:dyDescent="0.2">
      <c r="B68" t="s">
        <v>628</v>
      </c>
      <c r="C68" t="s">
        <v>368</v>
      </c>
      <c r="D68" s="18">
        <v>42584.751192129632</v>
      </c>
      <c r="E68" t="s">
        <v>89</v>
      </c>
      <c r="F68" s="152">
        <v>0.94781434257032005</v>
      </c>
      <c r="G68" s="152">
        <v>0.87560940636650397</v>
      </c>
      <c r="H68" s="152">
        <v>0.85696304103726595</v>
      </c>
      <c r="I68" s="152">
        <v>4.5675954794637701E-2</v>
      </c>
      <c r="J68" s="152">
        <v>0.866091921155973</v>
      </c>
      <c r="K68" s="152">
        <v>0.115923375956293</v>
      </c>
      <c r="L68" s="152"/>
      <c r="M68" s="152"/>
      <c r="N68" s="152"/>
      <c r="O68" s="152"/>
      <c r="P68" s="152"/>
    </row>
    <row r="69" spans="2:16" x14ac:dyDescent="0.2">
      <c r="B69" t="s">
        <v>638</v>
      </c>
      <c r="C69" t="s">
        <v>389</v>
      </c>
      <c r="D69" s="18">
        <v>42584.751192129632</v>
      </c>
      <c r="E69" t="s">
        <v>185</v>
      </c>
      <c r="F69" s="152">
        <v>0.89973586412359097</v>
      </c>
      <c r="G69" s="152">
        <v>0.82118713319961401</v>
      </c>
      <c r="H69" s="152">
        <v>0.887756775115359</v>
      </c>
      <c r="I69" s="152">
        <v>5.0030656721340099E-2</v>
      </c>
      <c r="J69" s="152">
        <v>0.89940159802475905</v>
      </c>
      <c r="K69" s="152">
        <v>6.2788446009709606E-2</v>
      </c>
      <c r="L69" s="152"/>
      <c r="M69" s="152"/>
      <c r="N69" s="152"/>
      <c r="O69" s="152"/>
      <c r="P69" s="152"/>
    </row>
    <row r="70" spans="2:16" x14ac:dyDescent="0.2">
      <c r="B70" t="s">
        <v>642</v>
      </c>
      <c r="C70" t="s">
        <v>368</v>
      </c>
      <c r="D70" s="18">
        <v>42584.751192129632</v>
      </c>
      <c r="E70" t="s">
        <v>187</v>
      </c>
      <c r="F70" s="152">
        <v>0.91730563326770997</v>
      </c>
      <c r="G70" s="152">
        <v>0.83668300653594796</v>
      </c>
      <c r="H70" s="152">
        <v>0.872024457507802</v>
      </c>
      <c r="I70" s="152">
        <v>4.6132350672263102E-2</v>
      </c>
      <c r="J70" s="152">
        <v>0.89237000753579498</v>
      </c>
      <c r="K70" s="152">
        <v>7.1771077985603102E-2</v>
      </c>
      <c r="L70" s="152"/>
      <c r="M70" s="152"/>
      <c r="N70" s="152"/>
      <c r="O70" s="152"/>
      <c r="P70" s="152"/>
    </row>
    <row r="71" spans="2:16" x14ac:dyDescent="0.2">
      <c r="B71" t="s">
        <v>542</v>
      </c>
      <c r="C71" t="s">
        <v>368</v>
      </c>
      <c r="D71" s="18">
        <v>42584.751192129632</v>
      </c>
      <c r="E71" t="s">
        <v>147</v>
      </c>
      <c r="F71" s="152">
        <v>0.96188619376942197</v>
      </c>
      <c r="G71" s="152">
        <v>0.86729710634399304</v>
      </c>
      <c r="H71" s="152">
        <v>0.85716717161620004</v>
      </c>
      <c r="I71" s="152">
        <v>4.7966038447227001E-2</v>
      </c>
      <c r="J71" s="152">
        <v>0.94065368739644595</v>
      </c>
      <c r="K71" s="152">
        <v>4.7287604697840102E-2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404691</v>
      </c>
      <c r="D3">
        <v>398.30929407280001</v>
      </c>
      <c r="F3" t="s">
        <v>8</v>
      </c>
      <c r="G3">
        <v>11312</v>
      </c>
      <c r="P3">
        <v>11312</v>
      </c>
      <c r="Q3">
        <v>183.10237821589999</v>
      </c>
      <c r="V3" t="s">
        <v>309</v>
      </c>
      <c r="W3">
        <v>344</v>
      </c>
      <c r="X3">
        <v>217</v>
      </c>
      <c r="Y3">
        <v>336.19354838710001</v>
      </c>
      <c r="Z3">
        <v>58</v>
      </c>
      <c r="AA3">
        <v>446.12068965520001</v>
      </c>
      <c r="AB3">
        <v>92</v>
      </c>
      <c r="AC3">
        <v>392.29347826089997</v>
      </c>
      <c r="AD3">
        <v>23</v>
      </c>
      <c r="AE3">
        <v>725.82608695650003</v>
      </c>
      <c r="AF3">
        <v>11</v>
      </c>
      <c r="AG3">
        <v>266.45454545450002</v>
      </c>
      <c r="AH3">
        <v>1</v>
      </c>
      <c r="AI3">
        <v>555</v>
      </c>
      <c r="AL3" t="s">
        <v>309</v>
      </c>
      <c r="AM3">
        <v>1</v>
      </c>
      <c r="AT3">
        <v>1</v>
      </c>
      <c r="AU3">
        <v>376</v>
      </c>
    </row>
    <row r="4" spans="2:51" x14ac:dyDescent="0.2">
      <c r="B4" t="s">
        <v>951</v>
      </c>
      <c r="C4">
        <v>34105</v>
      </c>
      <c r="D4">
        <v>398.30929407280001</v>
      </c>
      <c r="F4" t="s">
        <v>8</v>
      </c>
      <c r="G4">
        <v>11312</v>
      </c>
      <c r="P4">
        <v>11312</v>
      </c>
      <c r="Q4">
        <v>183.10237821589999</v>
      </c>
      <c r="V4" t="s">
        <v>8</v>
      </c>
      <c r="W4">
        <v>4225</v>
      </c>
      <c r="X4">
        <v>3118</v>
      </c>
      <c r="Y4">
        <v>483.68270773180001</v>
      </c>
      <c r="Z4">
        <v>528</v>
      </c>
      <c r="AA4">
        <v>444.93939393940002</v>
      </c>
      <c r="AB4">
        <v>464</v>
      </c>
      <c r="AC4">
        <v>399.87931034479999</v>
      </c>
      <c r="AD4">
        <v>607</v>
      </c>
      <c r="AE4">
        <v>836.29818780890002</v>
      </c>
      <c r="AF4">
        <v>34</v>
      </c>
      <c r="AG4">
        <v>395.0882352941</v>
      </c>
      <c r="AH4">
        <v>2</v>
      </c>
      <c r="AI4">
        <v>140</v>
      </c>
      <c r="AL4" t="s">
        <v>8</v>
      </c>
      <c r="AM4">
        <v>31</v>
      </c>
      <c r="AN4">
        <v>27</v>
      </c>
      <c r="AO4">
        <v>193.4814814815</v>
      </c>
      <c r="AP4">
        <v>14</v>
      </c>
      <c r="AQ4">
        <v>385.35714285709997</v>
      </c>
      <c r="AR4">
        <v>4</v>
      </c>
      <c r="AS4">
        <v>164</v>
      </c>
    </row>
    <row r="5" spans="2:51" x14ac:dyDescent="0.2">
      <c r="B5" t="s">
        <v>963</v>
      </c>
      <c r="C5">
        <v>27984</v>
      </c>
      <c r="D5">
        <v>544.04234562609997</v>
      </c>
      <c r="F5" t="s">
        <v>43</v>
      </c>
      <c r="G5">
        <v>570</v>
      </c>
      <c r="H5">
        <v>486</v>
      </c>
      <c r="I5">
        <v>274.78806584360001</v>
      </c>
      <c r="J5">
        <v>42</v>
      </c>
      <c r="K5">
        <v>579.69047619050002</v>
      </c>
      <c r="L5">
        <v>70</v>
      </c>
      <c r="M5">
        <v>175.1428571429</v>
      </c>
      <c r="N5">
        <v>14</v>
      </c>
      <c r="O5">
        <v>367.85714285709997</v>
      </c>
      <c r="V5" t="s">
        <v>8</v>
      </c>
      <c r="W5">
        <v>4569</v>
      </c>
      <c r="X5">
        <v>3335</v>
      </c>
      <c r="Y5">
        <v>474.08308338329999</v>
      </c>
      <c r="Z5">
        <v>586</v>
      </c>
      <c r="AA5">
        <v>445.05631399319998</v>
      </c>
      <c r="AB5">
        <v>556</v>
      </c>
      <c r="AC5">
        <v>398.62410071940002</v>
      </c>
      <c r="AD5">
        <v>630</v>
      </c>
      <c r="AE5">
        <v>832.26507936509995</v>
      </c>
      <c r="AF5">
        <v>45</v>
      </c>
      <c r="AG5">
        <v>363.64444444439999</v>
      </c>
      <c r="AH5">
        <v>3</v>
      </c>
      <c r="AI5">
        <v>278.3333333333</v>
      </c>
      <c r="AL5" t="s">
        <v>8</v>
      </c>
      <c r="AM5">
        <v>32</v>
      </c>
      <c r="AN5">
        <v>27</v>
      </c>
      <c r="AO5">
        <v>193.4814814815</v>
      </c>
      <c r="AP5">
        <v>14</v>
      </c>
      <c r="AQ5">
        <v>385.35714285709997</v>
      </c>
      <c r="AR5">
        <v>4</v>
      </c>
      <c r="AS5">
        <v>164</v>
      </c>
      <c r="AT5">
        <v>1</v>
      </c>
      <c r="AU5">
        <v>376</v>
      </c>
    </row>
    <row r="6" spans="2:51" x14ac:dyDescent="0.2">
      <c r="B6" t="s">
        <v>241</v>
      </c>
      <c r="C6">
        <v>51303</v>
      </c>
      <c r="D6">
        <v>523.75716819679997</v>
      </c>
      <c r="F6" t="s">
        <v>37</v>
      </c>
      <c r="G6">
        <v>8191</v>
      </c>
      <c r="H6">
        <v>6656</v>
      </c>
      <c r="I6">
        <v>447.17653245190002</v>
      </c>
      <c r="J6">
        <v>372</v>
      </c>
      <c r="K6">
        <v>961.20161290320004</v>
      </c>
      <c r="L6">
        <v>1032</v>
      </c>
      <c r="M6">
        <v>639.79748062019996</v>
      </c>
      <c r="N6">
        <v>483</v>
      </c>
      <c r="O6">
        <v>591.87991718429998</v>
      </c>
      <c r="R6">
        <v>20</v>
      </c>
      <c r="S6">
        <v>575.5</v>
      </c>
      <c r="V6" t="s">
        <v>398</v>
      </c>
      <c r="W6">
        <v>1538</v>
      </c>
      <c r="X6">
        <v>901</v>
      </c>
      <c r="Y6">
        <v>196.8179800222</v>
      </c>
      <c r="Z6">
        <v>142</v>
      </c>
      <c r="AA6">
        <v>300.70422535210002</v>
      </c>
      <c r="AB6">
        <v>451</v>
      </c>
      <c r="AC6">
        <v>316.06208425720001</v>
      </c>
      <c r="AD6">
        <v>120</v>
      </c>
      <c r="AE6">
        <v>317.86666666669998</v>
      </c>
      <c r="AF6">
        <v>63</v>
      </c>
      <c r="AG6">
        <v>193.03174603170001</v>
      </c>
      <c r="AH6">
        <v>3</v>
      </c>
      <c r="AI6">
        <v>386.6666666667</v>
      </c>
      <c r="AL6" t="s">
        <v>398</v>
      </c>
      <c r="AM6">
        <v>26</v>
      </c>
      <c r="AN6">
        <v>18</v>
      </c>
      <c r="AO6">
        <v>138.8888888889</v>
      </c>
      <c r="AP6">
        <v>20</v>
      </c>
      <c r="AQ6">
        <v>218.4</v>
      </c>
      <c r="AR6">
        <v>8</v>
      </c>
      <c r="AS6">
        <v>277.5</v>
      </c>
    </row>
    <row r="7" spans="2:51" x14ac:dyDescent="0.2">
      <c r="B7" t="s">
        <v>240</v>
      </c>
      <c r="C7">
        <v>230579</v>
      </c>
      <c r="D7">
        <v>410.05038773140001</v>
      </c>
      <c r="F7" t="s">
        <v>42</v>
      </c>
      <c r="G7">
        <v>4787</v>
      </c>
      <c r="H7">
        <v>3337</v>
      </c>
      <c r="I7">
        <v>374.61792028769997</v>
      </c>
      <c r="J7">
        <v>934</v>
      </c>
      <c r="K7">
        <v>438.58351177729998</v>
      </c>
      <c r="L7">
        <v>880</v>
      </c>
      <c r="M7">
        <v>428.89886363639999</v>
      </c>
      <c r="N7">
        <v>537</v>
      </c>
      <c r="O7">
        <v>415.5176908752</v>
      </c>
      <c r="R7">
        <v>33</v>
      </c>
      <c r="S7">
        <v>447.3333333333</v>
      </c>
      <c r="V7" t="s">
        <v>390</v>
      </c>
      <c r="W7">
        <v>12446</v>
      </c>
      <c r="X7">
        <v>9235</v>
      </c>
      <c r="Y7">
        <v>648.72874932319996</v>
      </c>
      <c r="Z7">
        <v>659</v>
      </c>
      <c r="AA7">
        <v>925.70713201820001</v>
      </c>
      <c r="AB7">
        <v>2245</v>
      </c>
      <c r="AC7">
        <v>1110.0409799555</v>
      </c>
      <c r="AD7">
        <v>708</v>
      </c>
      <c r="AE7">
        <v>908.13418079099995</v>
      </c>
      <c r="AF7">
        <v>245</v>
      </c>
      <c r="AG7">
        <v>171.87755102040001</v>
      </c>
      <c r="AH7">
        <v>13</v>
      </c>
      <c r="AI7">
        <v>582.23076923079998</v>
      </c>
      <c r="AL7" t="s">
        <v>390</v>
      </c>
      <c r="AM7">
        <v>287</v>
      </c>
      <c r="AN7">
        <v>187</v>
      </c>
      <c r="AO7">
        <v>385.16577540110001</v>
      </c>
      <c r="AP7">
        <v>28</v>
      </c>
      <c r="AQ7">
        <v>836.25</v>
      </c>
      <c r="AR7">
        <v>96</v>
      </c>
      <c r="AS7">
        <v>349.96875</v>
      </c>
      <c r="AT7">
        <v>4</v>
      </c>
      <c r="AU7">
        <v>607.25</v>
      </c>
    </row>
    <row r="8" spans="2:51" x14ac:dyDescent="0.2">
      <c r="B8" t="s">
        <v>242</v>
      </c>
      <c r="C8">
        <v>22216</v>
      </c>
      <c r="D8">
        <v>506.85424827769998</v>
      </c>
      <c r="F8" t="s">
        <v>50</v>
      </c>
      <c r="G8">
        <v>1157</v>
      </c>
      <c r="H8">
        <v>531</v>
      </c>
      <c r="I8">
        <v>301.63276836159997</v>
      </c>
      <c r="J8">
        <v>484</v>
      </c>
      <c r="K8">
        <v>345.13636363640001</v>
      </c>
      <c r="L8">
        <v>464</v>
      </c>
      <c r="M8">
        <v>171.1875</v>
      </c>
      <c r="N8">
        <v>161</v>
      </c>
      <c r="O8">
        <v>215.59627329189999</v>
      </c>
      <c r="R8">
        <v>1</v>
      </c>
      <c r="S8">
        <v>264</v>
      </c>
      <c r="V8" t="s">
        <v>421</v>
      </c>
      <c r="W8">
        <v>1362</v>
      </c>
      <c r="X8">
        <v>964</v>
      </c>
      <c r="Y8">
        <v>219.93983402489999</v>
      </c>
      <c r="Z8">
        <v>141</v>
      </c>
      <c r="AA8">
        <v>329.96453900709997</v>
      </c>
      <c r="AB8">
        <v>139</v>
      </c>
      <c r="AC8">
        <v>199.38848920859999</v>
      </c>
      <c r="AD8">
        <v>156</v>
      </c>
      <c r="AE8">
        <v>397.18589743590002</v>
      </c>
      <c r="AF8">
        <v>98</v>
      </c>
      <c r="AG8">
        <v>161.48979591840001</v>
      </c>
      <c r="AH8">
        <v>5</v>
      </c>
      <c r="AI8">
        <v>392.2</v>
      </c>
      <c r="AL8" t="s">
        <v>421</v>
      </c>
      <c r="AM8">
        <v>27</v>
      </c>
      <c r="AN8">
        <v>21</v>
      </c>
      <c r="AO8">
        <v>143.19047619049999</v>
      </c>
      <c r="AP8">
        <v>8</v>
      </c>
      <c r="AQ8">
        <v>384.25</v>
      </c>
      <c r="AR8">
        <v>6</v>
      </c>
      <c r="AS8">
        <v>220</v>
      </c>
    </row>
    <row r="9" spans="2:51" x14ac:dyDescent="0.2">
      <c r="B9" t="s">
        <v>243</v>
      </c>
      <c r="C9">
        <v>11312</v>
      </c>
      <c r="D9">
        <v>183.10237821589999</v>
      </c>
      <c r="F9" t="s">
        <v>81</v>
      </c>
      <c r="G9">
        <v>1328</v>
      </c>
      <c r="H9">
        <v>1036</v>
      </c>
      <c r="I9">
        <v>244.7712355212</v>
      </c>
      <c r="J9">
        <v>184</v>
      </c>
      <c r="K9">
        <v>393.04347826089997</v>
      </c>
      <c r="L9">
        <v>124</v>
      </c>
      <c r="M9">
        <v>152.63709677419999</v>
      </c>
      <c r="N9">
        <v>164</v>
      </c>
      <c r="O9">
        <v>381.97560975610003</v>
      </c>
      <c r="R9">
        <v>4</v>
      </c>
      <c r="S9">
        <v>222.25</v>
      </c>
      <c r="V9" t="s">
        <v>391</v>
      </c>
      <c r="W9">
        <v>8116</v>
      </c>
      <c r="X9">
        <v>6272</v>
      </c>
      <c r="Y9">
        <v>501.44116709180003</v>
      </c>
      <c r="Z9">
        <v>397</v>
      </c>
      <c r="AA9">
        <v>911.75566750630003</v>
      </c>
      <c r="AB9">
        <v>1338</v>
      </c>
      <c r="AC9">
        <v>893.89536621820002</v>
      </c>
      <c r="AD9">
        <v>383</v>
      </c>
      <c r="AE9">
        <v>697.49347258490002</v>
      </c>
      <c r="AF9">
        <v>122</v>
      </c>
      <c r="AG9">
        <v>154.5819672131</v>
      </c>
      <c r="AH9">
        <v>1</v>
      </c>
      <c r="AI9">
        <v>387</v>
      </c>
      <c r="AL9" t="s">
        <v>391</v>
      </c>
      <c r="AM9">
        <v>140</v>
      </c>
      <c r="AN9">
        <v>104</v>
      </c>
      <c r="AO9">
        <v>328.02884615379998</v>
      </c>
      <c r="AP9">
        <v>17</v>
      </c>
      <c r="AQ9">
        <v>738.1764705882</v>
      </c>
      <c r="AR9">
        <v>32</v>
      </c>
      <c r="AS9">
        <v>207.9375</v>
      </c>
      <c r="AT9">
        <v>4</v>
      </c>
      <c r="AU9">
        <v>31</v>
      </c>
    </row>
    <row r="10" spans="2:51" x14ac:dyDescent="0.2">
      <c r="B10" t="s">
        <v>947</v>
      </c>
      <c r="C10">
        <v>577</v>
      </c>
      <c r="D10">
        <v>439.09012131719999</v>
      </c>
      <c r="F10" t="s">
        <v>76</v>
      </c>
      <c r="G10">
        <v>3569</v>
      </c>
      <c r="H10">
        <v>1617</v>
      </c>
      <c r="I10">
        <v>204.30117501550001</v>
      </c>
      <c r="J10">
        <v>933</v>
      </c>
      <c r="K10">
        <v>297.45123258310002</v>
      </c>
      <c r="L10">
        <v>1880</v>
      </c>
      <c r="M10">
        <v>357.63989361699998</v>
      </c>
      <c r="N10">
        <v>72</v>
      </c>
      <c r="O10">
        <v>260.44444444440001</v>
      </c>
      <c r="V10" t="s">
        <v>393</v>
      </c>
      <c r="W10">
        <v>8335</v>
      </c>
      <c r="X10">
        <v>6554</v>
      </c>
      <c r="Y10">
        <v>446.71376258769999</v>
      </c>
      <c r="Z10">
        <v>376</v>
      </c>
      <c r="AA10">
        <v>928.85638297870003</v>
      </c>
      <c r="AB10">
        <v>1037</v>
      </c>
      <c r="AC10">
        <v>633.91610414659999</v>
      </c>
      <c r="AD10">
        <v>478</v>
      </c>
      <c r="AE10">
        <v>577.40167364019999</v>
      </c>
      <c r="AF10">
        <v>247</v>
      </c>
      <c r="AG10">
        <v>176.8380566802</v>
      </c>
      <c r="AH10">
        <v>19</v>
      </c>
      <c r="AI10">
        <v>587.68421052630003</v>
      </c>
      <c r="AL10" t="s">
        <v>393</v>
      </c>
      <c r="AM10">
        <v>303</v>
      </c>
      <c r="AN10">
        <v>190</v>
      </c>
      <c r="AO10">
        <v>388.18947368419998</v>
      </c>
      <c r="AP10">
        <v>35</v>
      </c>
      <c r="AQ10">
        <v>592.74285714289999</v>
      </c>
      <c r="AR10">
        <v>102</v>
      </c>
      <c r="AS10">
        <v>395.8431372549</v>
      </c>
      <c r="AT10">
        <v>11</v>
      </c>
      <c r="AU10">
        <v>175.63636363640001</v>
      </c>
    </row>
    <row r="11" spans="2:51" x14ac:dyDescent="0.2">
      <c r="F11" t="s">
        <v>38</v>
      </c>
      <c r="G11">
        <v>12359</v>
      </c>
      <c r="H11">
        <v>9330</v>
      </c>
      <c r="I11">
        <v>656.19774919609995</v>
      </c>
      <c r="J11">
        <v>599</v>
      </c>
      <c r="K11">
        <v>962.85308848080001</v>
      </c>
      <c r="L11">
        <v>2300</v>
      </c>
      <c r="M11">
        <v>1123.3165217390999</v>
      </c>
      <c r="N11">
        <v>717</v>
      </c>
      <c r="O11">
        <v>918.13668061370004</v>
      </c>
      <c r="R11">
        <v>12</v>
      </c>
      <c r="S11">
        <v>586</v>
      </c>
      <c r="V11" t="s">
        <v>394</v>
      </c>
      <c r="W11">
        <v>4937</v>
      </c>
      <c r="X11">
        <v>3194</v>
      </c>
      <c r="Y11">
        <v>363.8813400125</v>
      </c>
      <c r="Z11">
        <v>836</v>
      </c>
      <c r="AA11">
        <v>412.40191387559997</v>
      </c>
      <c r="AB11">
        <v>879</v>
      </c>
      <c r="AC11">
        <v>445.28668941979998</v>
      </c>
      <c r="AD11">
        <v>530</v>
      </c>
      <c r="AE11">
        <v>423.82830188679998</v>
      </c>
      <c r="AF11">
        <v>299</v>
      </c>
      <c r="AG11">
        <v>181.90301003339999</v>
      </c>
      <c r="AH11">
        <v>35</v>
      </c>
      <c r="AI11">
        <v>431.4857142857</v>
      </c>
      <c r="AL11" t="s">
        <v>394</v>
      </c>
      <c r="AM11">
        <v>228</v>
      </c>
      <c r="AN11">
        <v>170</v>
      </c>
      <c r="AO11">
        <v>361.98823529409998</v>
      </c>
      <c r="AP11">
        <v>19</v>
      </c>
      <c r="AQ11">
        <v>513.10526315790003</v>
      </c>
      <c r="AR11">
        <v>49</v>
      </c>
      <c r="AS11">
        <v>310.28571428570001</v>
      </c>
      <c r="AT11">
        <v>8</v>
      </c>
      <c r="AU11">
        <v>515.5</v>
      </c>
      <c r="AV11">
        <v>1</v>
      </c>
      <c r="AW11">
        <v>2171</v>
      </c>
    </row>
    <row r="12" spans="2:51" x14ac:dyDescent="0.2">
      <c r="F12" t="s">
        <v>56</v>
      </c>
      <c r="G12">
        <v>3036</v>
      </c>
      <c r="H12">
        <v>2584</v>
      </c>
      <c r="I12">
        <v>347.94465944270002</v>
      </c>
      <c r="J12">
        <v>409</v>
      </c>
      <c r="K12">
        <v>303.59168704159998</v>
      </c>
      <c r="L12">
        <v>405</v>
      </c>
      <c r="M12">
        <v>325.99012345680001</v>
      </c>
      <c r="N12">
        <v>46</v>
      </c>
      <c r="O12">
        <v>117.78260869570001</v>
      </c>
      <c r="R12">
        <v>1</v>
      </c>
      <c r="S12">
        <v>550</v>
      </c>
      <c r="V12" t="s">
        <v>396</v>
      </c>
      <c r="W12">
        <v>6065</v>
      </c>
      <c r="X12">
        <v>5110</v>
      </c>
      <c r="Y12">
        <v>287.34892367909998</v>
      </c>
      <c r="Z12">
        <v>605</v>
      </c>
      <c r="AA12">
        <v>547.79504132229999</v>
      </c>
      <c r="AB12">
        <v>354</v>
      </c>
      <c r="AC12">
        <v>201.0536723164</v>
      </c>
      <c r="AD12">
        <v>339</v>
      </c>
      <c r="AE12">
        <v>401.28023598819999</v>
      </c>
      <c r="AF12">
        <v>250</v>
      </c>
      <c r="AG12">
        <v>196.04400000000001</v>
      </c>
      <c r="AH12">
        <v>12</v>
      </c>
      <c r="AI12">
        <v>289.1666666667</v>
      </c>
      <c r="AL12" t="s">
        <v>396</v>
      </c>
      <c r="AM12">
        <v>206</v>
      </c>
      <c r="AN12">
        <v>164</v>
      </c>
      <c r="AO12">
        <v>313.71341463409999</v>
      </c>
      <c r="AP12">
        <v>21</v>
      </c>
      <c r="AQ12">
        <v>680.42857142859998</v>
      </c>
      <c r="AR12">
        <v>40</v>
      </c>
      <c r="AS12">
        <v>267.875</v>
      </c>
      <c r="AT12">
        <v>2</v>
      </c>
      <c r="AU12">
        <v>52.5</v>
      </c>
    </row>
    <row r="13" spans="2:51" x14ac:dyDescent="0.2">
      <c r="F13" t="s">
        <v>75</v>
      </c>
      <c r="G13">
        <v>5722</v>
      </c>
      <c r="H13">
        <v>5078</v>
      </c>
      <c r="I13">
        <v>281.60831035839999</v>
      </c>
      <c r="J13">
        <v>589</v>
      </c>
      <c r="K13">
        <v>547.78777589130004</v>
      </c>
      <c r="L13">
        <v>288</v>
      </c>
      <c r="M13">
        <v>118.6875</v>
      </c>
      <c r="N13">
        <v>343</v>
      </c>
      <c r="O13">
        <v>395.48104956269998</v>
      </c>
      <c r="R13">
        <v>13</v>
      </c>
      <c r="S13">
        <v>291.76923076920002</v>
      </c>
      <c r="V13" t="s">
        <v>399</v>
      </c>
      <c r="W13">
        <v>1060</v>
      </c>
      <c r="X13">
        <v>286</v>
      </c>
      <c r="Y13">
        <v>140.2167832168</v>
      </c>
      <c r="Z13">
        <v>276</v>
      </c>
      <c r="AA13">
        <v>202.43115942029999</v>
      </c>
      <c r="AB13">
        <v>482</v>
      </c>
      <c r="AC13">
        <v>218.45228215770001</v>
      </c>
      <c r="AD13">
        <v>163</v>
      </c>
      <c r="AE13">
        <v>216.41717791409999</v>
      </c>
      <c r="AF13">
        <v>128</v>
      </c>
      <c r="AG13">
        <v>180.78125</v>
      </c>
      <c r="AH13">
        <v>1</v>
      </c>
      <c r="AI13">
        <v>264</v>
      </c>
      <c r="AL13" t="s">
        <v>399</v>
      </c>
      <c r="AM13">
        <v>15</v>
      </c>
      <c r="AN13">
        <v>9</v>
      </c>
      <c r="AO13">
        <v>90.888888888899999</v>
      </c>
      <c r="AP13">
        <v>3</v>
      </c>
      <c r="AQ13">
        <v>217.6666666667</v>
      </c>
      <c r="AR13">
        <v>4</v>
      </c>
      <c r="AS13">
        <v>48</v>
      </c>
      <c r="AT13">
        <v>2</v>
      </c>
      <c r="AU13">
        <v>143.5</v>
      </c>
    </row>
    <row r="14" spans="2:51" x14ac:dyDescent="0.2">
      <c r="F14" t="s">
        <v>41</v>
      </c>
      <c r="G14">
        <v>1507</v>
      </c>
      <c r="H14">
        <v>918</v>
      </c>
      <c r="I14">
        <v>194.4586056645</v>
      </c>
      <c r="J14">
        <v>176</v>
      </c>
      <c r="K14">
        <v>380.42045454549998</v>
      </c>
      <c r="L14">
        <v>463</v>
      </c>
      <c r="M14">
        <v>307.56371490279997</v>
      </c>
      <c r="N14">
        <v>124</v>
      </c>
      <c r="O14">
        <v>320.3951612903</v>
      </c>
      <c r="R14">
        <v>2</v>
      </c>
      <c r="S14">
        <v>408</v>
      </c>
      <c r="V14" t="s">
        <v>400</v>
      </c>
      <c r="W14">
        <v>2036</v>
      </c>
      <c r="X14">
        <v>948</v>
      </c>
      <c r="Y14">
        <v>181.36286919829999</v>
      </c>
      <c r="Z14">
        <v>567</v>
      </c>
      <c r="AA14">
        <v>209.61199294529999</v>
      </c>
      <c r="AB14">
        <v>861</v>
      </c>
      <c r="AC14">
        <v>277.54006968639999</v>
      </c>
      <c r="AD14">
        <v>62</v>
      </c>
      <c r="AE14">
        <v>261.8548387097</v>
      </c>
      <c r="AF14">
        <v>165</v>
      </c>
      <c r="AG14">
        <v>155.07272727270001</v>
      </c>
      <c r="AL14" t="s">
        <v>400</v>
      </c>
      <c r="AM14">
        <v>32</v>
      </c>
      <c r="AN14">
        <v>23</v>
      </c>
      <c r="AO14">
        <v>95.217391304299994</v>
      </c>
      <c r="AP14">
        <v>16</v>
      </c>
      <c r="AQ14">
        <v>266.875</v>
      </c>
      <c r="AR14">
        <v>5</v>
      </c>
      <c r="AS14">
        <v>138.19999999999999</v>
      </c>
      <c r="AT14">
        <v>4</v>
      </c>
      <c r="AU14">
        <v>148.5</v>
      </c>
    </row>
    <row r="15" spans="2:51" x14ac:dyDescent="0.2">
      <c r="F15" t="s">
        <v>74</v>
      </c>
      <c r="G15">
        <v>223</v>
      </c>
      <c r="H15">
        <v>99</v>
      </c>
      <c r="I15">
        <v>246.28282828280001</v>
      </c>
      <c r="J15">
        <v>134</v>
      </c>
      <c r="K15">
        <v>281.97014925370001</v>
      </c>
      <c r="L15">
        <v>78</v>
      </c>
      <c r="M15">
        <v>272.10256410260001</v>
      </c>
      <c r="N15">
        <v>42</v>
      </c>
      <c r="O15">
        <v>206.19047619049999</v>
      </c>
      <c r="R15">
        <v>4</v>
      </c>
      <c r="S15">
        <v>412</v>
      </c>
      <c r="V15" t="s">
        <v>395</v>
      </c>
      <c r="W15">
        <v>3132</v>
      </c>
      <c r="X15">
        <v>2555</v>
      </c>
      <c r="Y15">
        <v>352.46379647750001</v>
      </c>
      <c r="Z15">
        <v>400</v>
      </c>
      <c r="AA15">
        <v>310.79000000000002</v>
      </c>
      <c r="AB15">
        <v>409</v>
      </c>
      <c r="AC15">
        <v>323.39853300729999</v>
      </c>
      <c r="AD15">
        <v>58</v>
      </c>
      <c r="AE15">
        <v>224.13793103450001</v>
      </c>
      <c r="AF15">
        <v>108</v>
      </c>
      <c r="AG15">
        <v>151.64814814810001</v>
      </c>
      <c r="AH15">
        <v>2</v>
      </c>
      <c r="AI15">
        <v>413.5</v>
      </c>
      <c r="AL15" t="s">
        <v>395</v>
      </c>
      <c r="AM15">
        <v>90</v>
      </c>
      <c r="AN15">
        <v>69</v>
      </c>
      <c r="AO15">
        <v>358.37681159419998</v>
      </c>
      <c r="AP15">
        <v>7</v>
      </c>
      <c r="AQ15">
        <v>586.85714285710003</v>
      </c>
      <c r="AR15">
        <v>19</v>
      </c>
      <c r="AS15">
        <v>461.36842105260001</v>
      </c>
      <c r="AT15">
        <v>2</v>
      </c>
      <c r="AU15">
        <v>344.5</v>
      </c>
    </row>
    <row r="16" spans="2:51" x14ac:dyDescent="0.2">
      <c r="F16" t="s">
        <v>48</v>
      </c>
      <c r="G16">
        <v>8060</v>
      </c>
      <c r="H16">
        <v>6355</v>
      </c>
      <c r="I16">
        <v>508.26058221869999</v>
      </c>
      <c r="J16">
        <v>335</v>
      </c>
      <c r="K16">
        <v>1003.9014925373</v>
      </c>
      <c r="L16">
        <v>1319</v>
      </c>
      <c r="M16">
        <v>928.84306292650001</v>
      </c>
      <c r="N16">
        <v>385</v>
      </c>
      <c r="O16">
        <v>705.41038961039999</v>
      </c>
      <c r="R16">
        <v>1</v>
      </c>
      <c r="S16">
        <v>387</v>
      </c>
      <c r="V16" t="s">
        <v>418</v>
      </c>
      <c r="W16">
        <v>449</v>
      </c>
      <c r="X16">
        <v>367</v>
      </c>
      <c r="Y16">
        <v>282.23978201630001</v>
      </c>
      <c r="Z16">
        <v>36</v>
      </c>
      <c r="AA16">
        <v>603.66666666670005</v>
      </c>
      <c r="AB16">
        <v>59</v>
      </c>
      <c r="AC16">
        <v>316.59322033900003</v>
      </c>
      <c r="AD16">
        <v>9</v>
      </c>
      <c r="AE16">
        <v>433</v>
      </c>
      <c r="AF16">
        <v>14</v>
      </c>
      <c r="AG16">
        <v>206</v>
      </c>
      <c r="AL16" t="s">
        <v>418</v>
      </c>
      <c r="AM16">
        <v>4</v>
      </c>
      <c r="AN16">
        <v>3</v>
      </c>
      <c r="AO16">
        <v>79</v>
      </c>
      <c r="AP16">
        <v>3</v>
      </c>
      <c r="AQ16">
        <v>179.6666666667</v>
      </c>
      <c r="AR16">
        <v>1</v>
      </c>
      <c r="AS16">
        <v>152</v>
      </c>
    </row>
    <row r="17" spans="6:49" x14ac:dyDescent="0.2">
      <c r="F17" t="s">
        <v>389</v>
      </c>
      <c r="G17">
        <v>50509</v>
      </c>
      <c r="H17">
        <v>38027</v>
      </c>
      <c r="I17">
        <v>446.74760038919999</v>
      </c>
      <c r="J17">
        <v>5191</v>
      </c>
      <c r="K17">
        <v>534.20323637060005</v>
      </c>
      <c r="L17">
        <v>9303</v>
      </c>
      <c r="M17">
        <v>640.57712565839995</v>
      </c>
      <c r="N17">
        <v>3088</v>
      </c>
      <c r="O17">
        <v>566.58419689120001</v>
      </c>
      <c r="R17">
        <v>91</v>
      </c>
      <c r="S17">
        <v>457.7032967033</v>
      </c>
      <c r="V17" t="s">
        <v>419</v>
      </c>
      <c r="W17">
        <v>192</v>
      </c>
      <c r="X17">
        <v>52</v>
      </c>
      <c r="Y17">
        <v>248.80769230769999</v>
      </c>
      <c r="Z17">
        <v>42</v>
      </c>
      <c r="AA17">
        <v>253.8571428571</v>
      </c>
      <c r="AB17">
        <v>46</v>
      </c>
      <c r="AC17">
        <v>349.04347826089997</v>
      </c>
      <c r="AD17">
        <v>44</v>
      </c>
      <c r="AE17">
        <v>272.84090909090003</v>
      </c>
      <c r="AF17">
        <v>46</v>
      </c>
      <c r="AG17">
        <v>255.84782608699999</v>
      </c>
      <c r="AH17">
        <v>4</v>
      </c>
      <c r="AI17">
        <v>412</v>
      </c>
      <c r="AL17" t="s">
        <v>419</v>
      </c>
      <c r="AM17">
        <v>7</v>
      </c>
      <c r="AN17">
        <v>3</v>
      </c>
      <c r="AO17">
        <v>225.6666666667</v>
      </c>
      <c r="AP17">
        <v>2</v>
      </c>
      <c r="AQ17">
        <v>213</v>
      </c>
      <c r="AR17">
        <v>4</v>
      </c>
      <c r="AS17">
        <v>79.75</v>
      </c>
    </row>
    <row r="18" spans="6:49" x14ac:dyDescent="0.2">
      <c r="F18" t="s">
        <v>68</v>
      </c>
      <c r="G18">
        <v>2898</v>
      </c>
      <c r="H18">
        <v>2393</v>
      </c>
      <c r="I18">
        <v>315.969912244</v>
      </c>
      <c r="J18">
        <v>358</v>
      </c>
      <c r="K18">
        <v>500.35754189940002</v>
      </c>
      <c r="L18">
        <v>339</v>
      </c>
      <c r="M18">
        <v>272.5044247788</v>
      </c>
      <c r="N18">
        <v>163</v>
      </c>
      <c r="O18">
        <v>516.91411042940001</v>
      </c>
      <c r="R18">
        <v>3</v>
      </c>
      <c r="S18">
        <v>141.3333333333</v>
      </c>
      <c r="V18" t="s">
        <v>389</v>
      </c>
      <c r="W18">
        <v>49668</v>
      </c>
      <c r="X18">
        <v>36438</v>
      </c>
      <c r="Y18">
        <v>447.68799055929998</v>
      </c>
      <c r="Z18">
        <v>4477</v>
      </c>
      <c r="AA18">
        <v>540.11570247930001</v>
      </c>
      <c r="AB18">
        <v>8300</v>
      </c>
      <c r="AC18">
        <v>661.39096385539995</v>
      </c>
      <c r="AD18">
        <v>3050</v>
      </c>
      <c r="AE18">
        <v>566.32065573770001</v>
      </c>
      <c r="AF18">
        <v>1785</v>
      </c>
      <c r="AG18">
        <v>176.91484593839999</v>
      </c>
      <c r="AH18">
        <v>95</v>
      </c>
      <c r="AI18">
        <v>458.46315789469998</v>
      </c>
      <c r="AL18" t="s">
        <v>389</v>
      </c>
      <c r="AM18">
        <v>1365</v>
      </c>
      <c r="AN18">
        <v>961</v>
      </c>
      <c r="AO18">
        <v>340.31321540059997</v>
      </c>
      <c r="AP18">
        <v>179</v>
      </c>
      <c r="AQ18">
        <v>548.52513966480001</v>
      </c>
      <c r="AR18">
        <v>366</v>
      </c>
      <c r="AS18">
        <v>328.43169398909998</v>
      </c>
      <c r="AT18">
        <v>37</v>
      </c>
      <c r="AU18">
        <v>277.94594594590001</v>
      </c>
      <c r="AV18">
        <v>1</v>
      </c>
      <c r="AW18">
        <v>2171</v>
      </c>
    </row>
    <row r="19" spans="6:49" x14ac:dyDescent="0.2">
      <c r="F19" t="s">
        <v>34</v>
      </c>
      <c r="G19">
        <v>773</v>
      </c>
      <c r="H19">
        <v>493</v>
      </c>
      <c r="I19">
        <v>244.23935091280001</v>
      </c>
      <c r="J19">
        <v>136</v>
      </c>
      <c r="K19">
        <v>337.91911764709999</v>
      </c>
      <c r="L19">
        <v>136</v>
      </c>
      <c r="M19">
        <v>208.8529411765</v>
      </c>
      <c r="N19">
        <v>141</v>
      </c>
      <c r="O19">
        <v>574.09219858159997</v>
      </c>
      <c r="R19">
        <v>3</v>
      </c>
      <c r="S19">
        <v>217</v>
      </c>
      <c r="V19" t="s">
        <v>407</v>
      </c>
      <c r="W19">
        <v>855</v>
      </c>
      <c r="X19">
        <v>509</v>
      </c>
      <c r="Y19">
        <v>261.98624754420001</v>
      </c>
      <c r="Z19">
        <v>139</v>
      </c>
      <c r="AA19">
        <v>364.89208633089999</v>
      </c>
      <c r="AB19">
        <v>136</v>
      </c>
      <c r="AC19">
        <v>234.8529411765</v>
      </c>
      <c r="AD19">
        <v>137</v>
      </c>
      <c r="AE19">
        <v>554.6131386861</v>
      </c>
      <c r="AF19">
        <v>70</v>
      </c>
      <c r="AG19">
        <v>187.25714285710001</v>
      </c>
      <c r="AH19">
        <v>3</v>
      </c>
      <c r="AI19">
        <v>217</v>
      </c>
      <c r="AL19" t="s">
        <v>407</v>
      </c>
      <c r="AM19">
        <v>7</v>
      </c>
      <c r="AN19">
        <v>4</v>
      </c>
      <c r="AO19">
        <v>71</v>
      </c>
      <c r="AP19">
        <v>4</v>
      </c>
      <c r="AQ19">
        <v>257.75</v>
      </c>
      <c r="AR19">
        <v>3</v>
      </c>
      <c r="AS19">
        <v>91.666666666699996</v>
      </c>
    </row>
    <row r="20" spans="6:49" x14ac:dyDescent="0.2">
      <c r="F20" t="s">
        <v>55</v>
      </c>
      <c r="G20">
        <v>815</v>
      </c>
      <c r="H20">
        <v>315</v>
      </c>
      <c r="I20">
        <v>254.52698412699999</v>
      </c>
      <c r="J20">
        <v>298</v>
      </c>
      <c r="K20">
        <v>304.6174496644</v>
      </c>
      <c r="L20">
        <v>214</v>
      </c>
      <c r="M20">
        <v>227.16822429909999</v>
      </c>
      <c r="N20">
        <v>284</v>
      </c>
      <c r="O20">
        <v>594.66901408449996</v>
      </c>
      <c r="R20">
        <v>2</v>
      </c>
      <c r="S20">
        <v>149.5</v>
      </c>
      <c r="V20" t="s">
        <v>423</v>
      </c>
      <c r="W20">
        <v>249</v>
      </c>
      <c r="X20">
        <v>108</v>
      </c>
      <c r="Y20">
        <v>188.0925925926</v>
      </c>
      <c r="Z20">
        <v>107</v>
      </c>
      <c r="AA20">
        <v>241.9719626168</v>
      </c>
      <c r="AB20">
        <v>58</v>
      </c>
      <c r="AC20">
        <v>272.9827586207</v>
      </c>
      <c r="AD20">
        <v>48</v>
      </c>
      <c r="AE20">
        <v>462.7083333333</v>
      </c>
      <c r="AF20">
        <v>33</v>
      </c>
      <c r="AG20">
        <v>231.2727272727</v>
      </c>
      <c r="AH20">
        <v>2</v>
      </c>
      <c r="AI20">
        <v>556</v>
      </c>
      <c r="AL20" t="s">
        <v>423</v>
      </c>
      <c r="AM20">
        <v>2</v>
      </c>
      <c r="AN20">
        <v>1</v>
      </c>
      <c r="AO20">
        <v>213</v>
      </c>
      <c r="AP20">
        <v>1</v>
      </c>
      <c r="AQ20">
        <v>282</v>
      </c>
      <c r="AR20">
        <v>1</v>
      </c>
      <c r="AS20">
        <v>151</v>
      </c>
    </row>
    <row r="21" spans="6:49" x14ac:dyDescent="0.2">
      <c r="F21" t="s">
        <v>62</v>
      </c>
      <c r="G21">
        <v>8271</v>
      </c>
      <c r="H21">
        <v>7107</v>
      </c>
      <c r="I21">
        <v>393.86449978889999</v>
      </c>
      <c r="J21">
        <v>588</v>
      </c>
      <c r="K21">
        <v>647.02380952379997</v>
      </c>
      <c r="L21">
        <v>856</v>
      </c>
      <c r="M21">
        <v>486.93341121499998</v>
      </c>
      <c r="N21">
        <v>303</v>
      </c>
      <c r="O21">
        <v>485.16171617160001</v>
      </c>
      <c r="R21">
        <v>5</v>
      </c>
      <c r="S21">
        <v>393.6</v>
      </c>
      <c r="V21" t="s">
        <v>427</v>
      </c>
      <c r="W21">
        <v>1119</v>
      </c>
      <c r="X21">
        <v>776</v>
      </c>
      <c r="Y21">
        <v>323.50128865980003</v>
      </c>
      <c r="Z21">
        <v>150</v>
      </c>
      <c r="AA21">
        <v>366.81333333330002</v>
      </c>
      <c r="AB21">
        <v>260</v>
      </c>
      <c r="AC21">
        <v>273.33846153849998</v>
      </c>
      <c r="AD21">
        <v>48</v>
      </c>
      <c r="AE21">
        <v>509.5208333333</v>
      </c>
      <c r="AF21">
        <v>32</v>
      </c>
      <c r="AG21">
        <v>194.8125</v>
      </c>
      <c r="AH21">
        <v>3</v>
      </c>
      <c r="AI21">
        <v>370</v>
      </c>
      <c r="AL21" t="s">
        <v>427</v>
      </c>
      <c r="AM21">
        <v>8</v>
      </c>
      <c r="AN21">
        <v>7</v>
      </c>
      <c r="AO21">
        <v>217.71428571429999</v>
      </c>
      <c r="AP21">
        <v>5</v>
      </c>
      <c r="AQ21">
        <v>305</v>
      </c>
      <c r="AR21">
        <v>1</v>
      </c>
      <c r="AS21">
        <v>36</v>
      </c>
    </row>
    <row r="22" spans="6:49" x14ac:dyDescent="0.2">
      <c r="F22" t="s">
        <v>64</v>
      </c>
      <c r="G22">
        <v>6680</v>
      </c>
      <c r="H22">
        <v>5085</v>
      </c>
      <c r="I22">
        <v>428.39331366760001</v>
      </c>
      <c r="J22">
        <v>556</v>
      </c>
      <c r="K22">
        <v>628.00539568349996</v>
      </c>
      <c r="L22">
        <v>1234</v>
      </c>
      <c r="M22">
        <v>670.92949756890005</v>
      </c>
      <c r="N22">
        <v>350</v>
      </c>
      <c r="O22">
        <v>492.61428571430002</v>
      </c>
      <c r="R22">
        <v>11</v>
      </c>
      <c r="S22">
        <v>634.90909090909997</v>
      </c>
      <c r="V22" t="s">
        <v>412</v>
      </c>
      <c r="W22">
        <v>2944</v>
      </c>
      <c r="X22">
        <v>2345</v>
      </c>
      <c r="Y22">
        <v>322.18848614069998</v>
      </c>
      <c r="Z22">
        <v>346</v>
      </c>
      <c r="AA22">
        <v>507.56069364159998</v>
      </c>
      <c r="AB22">
        <v>363</v>
      </c>
      <c r="AC22">
        <v>312.42148760330002</v>
      </c>
      <c r="AD22">
        <v>164</v>
      </c>
      <c r="AE22">
        <v>506.63414634150001</v>
      </c>
      <c r="AF22">
        <v>69</v>
      </c>
      <c r="AG22">
        <v>246.69565217389999</v>
      </c>
      <c r="AH22">
        <v>3</v>
      </c>
      <c r="AI22">
        <v>359.3333333333</v>
      </c>
      <c r="AL22" t="s">
        <v>412</v>
      </c>
      <c r="AM22">
        <v>29</v>
      </c>
      <c r="AN22">
        <v>21</v>
      </c>
      <c r="AO22">
        <v>147.23809523809999</v>
      </c>
      <c r="AP22">
        <v>14</v>
      </c>
      <c r="AQ22">
        <v>189.5</v>
      </c>
      <c r="AR22">
        <v>5</v>
      </c>
      <c r="AS22">
        <v>123</v>
      </c>
      <c r="AT22">
        <v>3</v>
      </c>
      <c r="AU22">
        <v>311.6666666667</v>
      </c>
    </row>
    <row r="23" spans="6:49" x14ac:dyDescent="0.2">
      <c r="F23" t="s">
        <v>73</v>
      </c>
      <c r="G23">
        <v>4609</v>
      </c>
      <c r="H23">
        <v>3397</v>
      </c>
      <c r="I23">
        <v>287.43214601120002</v>
      </c>
      <c r="J23">
        <v>780</v>
      </c>
      <c r="K23">
        <v>371.0807692308</v>
      </c>
      <c r="L23">
        <v>944</v>
      </c>
      <c r="M23">
        <v>264.58050847459998</v>
      </c>
      <c r="N23">
        <v>246</v>
      </c>
      <c r="O23">
        <v>484.48373983739998</v>
      </c>
      <c r="R23">
        <v>22</v>
      </c>
      <c r="S23">
        <v>345.95454545450002</v>
      </c>
      <c r="V23" t="s">
        <v>408</v>
      </c>
      <c r="W23">
        <v>4714</v>
      </c>
      <c r="X23">
        <v>3434</v>
      </c>
      <c r="Y23">
        <v>392.15579499130001</v>
      </c>
      <c r="Z23">
        <v>411</v>
      </c>
      <c r="AA23">
        <v>511.8077858881</v>
      </c>
      <c r="AB23">
        <v>876</v>
      </c>
      <c r="AC23">
        <v>574.08561643840005</v>
      </c>
      <c r="AD23">
        <v>247</v>
      </c>
      <c r="AE23">
        <v>480.68016194329999</v>
      </c>
      <c r="AF23">
        <v>146</v>
      </c>
      <c r="AG23">
        <v>173.02739726030001</v>
      </c>
      <c r="AH23">
        <v>11</v>
      </c>
      <c r="AI23">
        <v>305.90909090909997</v>
      </c>
      <c r="AL23" t="s">
        <v>408</v>
      </c>
      <c r="AM23">
        <v>36</v>
      </c>
      <c r="AN23">
        <v>30</v>
      </c>
      <c r="AO23">
        <v>166.2</v>
      </c>
      <c r="AP23">
        <v>12</v>
      </c>
      <c r="AQ23">
        <v>188.5</v>
      </c>
      <c r="AR23">
        <v>6</v>
      </c>
      <c r="AS23">
        <v>83</v>
      </c>
    </row>
    <row r="24" spans="6:49" x14ac:dyDescent="0.2">
      <c r="F24" t="s">
        <v>45</v>
      </c>
      <c r="G24">
        <v>1319</v>
      </c>
      <c r="H24">
        <v>932</v>
      </c>
      <c r="I24">
        <v>312.75536480689999</v>
      </c>
      <c r="J24">
        <v>193</v>
      </c>
      <c r="K24">
        <v>355.61658031090002</v>
      </c>
      <c r="L24">
        <v>332</v>
      </c>
      <c r="M24">
        <v>287.0692771084</v>
      </c>
      <c r="N24">
        <v>52</v>
      </c>
      <c r="O24">
        <v>554.65384615380003</v>
      </c>
      <c r="R24">
        <v>3</v>
      </c>
      <c r="S24">
        <v>370</v>
      </c>
      <c r="V24" t="s">
        <v>425</v>
      </c>
      <c r="W24">
        <v>6903</v>
      </c>
      <c r="X24">
        <v>5104</v>
      </c>
      <c r="Y24">
        <v>428.69788401250003</v>
      </c>
      <c r="Z24">
        <v>565</v>
      </c>
      <c r="AA24">
        <v>612.01238938050005</v>
      </c>
      <c r="AB24">
        <v>1236</v>
      </c>
      <c r="AC24">
        <v>645.52427184470002</v>
      </c>
      <c r="AD24">
        <v>359</v>
      </c>
      <c r="AE24">
        <v>503.00278551529999</v>
      </c>
      <c r="AF24">
        <v>193</v>
      </c>
      <c r="AG24">
        <v>170.98445595850001</v>
      </c>
      <c r="AH24">
        <v>11</v>
      </c>
      <c r="AI24">
        <v>712</v>
      </c>
      <c r="AL24" t="s">
        <v>425</v>
      </c>
      <c r="AM24">
        <v>56</v>
      </c>
      <c r="AN24">
        <v>44</v>
      </c>
      <c r="AO24">
        <v>164.1590909091</v>
      </c>
      <c r="AP24">
        <v>35</v>
      </c>
      <c r="AQ24">
        <v>275.5142857143</v>
      </c>
      <c r="AR24">
        <v>10</v>
      </c>
      <c r="AS24">
        <v>59.4</v>
      </c>
      <c r="AT24">
        <v>2</v>
      </c>
      <c r="AU24">
        <v>273</v>
      </c>
    </row>
    <row r="25" spans="6:49" x14ac:dyDescent="0.2">
      <c r="F25" t="s">
        <v>66</v>
      </c>
      <c r="G25">
        <v>4621</v>
      </c>
      <c r="H25">
        <v>3478</v>
      </c>
      <c r="I25">
        <v>397.81914893620001</v>
      </c>
      <c r="J25">
        <v>410</v>
      </c>
      <c r="K25">
        <v>507.9024390244</v>
      </c>
      <c r="L25">
        <v>879</v>
      </c>
      <c r="M25">
        <v>587.33219567690003</v>
      </c>
      <c r="N25">
        <v>251</v>
      </c>
      <c r="O25">
        <v>523.98007968130003</v>
      </c>
      <c r="R25">
        <v>13</v>
      </c>
      <c r="S25">
        <v>317.46153846150003</v>
      </c>
      <c r="V25" t="s">
        <v>406</v>
      </c>
      <c r="W25">
        <v>17899</v>
      </c>
      <c r="X25">
        <v>14486</v>
      </c>
      <c r="Y25">
        <v>333.2762667403</v>
      </c>
      <c r="Z25">
        <v>2089</v>
      </c>
      <c r="AA25">
        <v>484.57539492580003</v>
      </c>
      <c r="AB25">
        <v>1908</v>
      </c>
      <c r="AC25">
        <v>352.53459119500002</v>
      </c>
      <c r="AD25">
        <v>759</v>
      </c>
      <c r="AE25">
        <v>413.54808959159999</v>
      </c>
      <c r="AF25">
        <v>736</v>
      </c>
      <c r="AG25">
        <v>180.94157608699999</v>
      </c>
      <c r="AH25">
        <v>10</v>
      </c>
      <c r="AI25">
        <v>357.5</v>
      </c>
      <c r="AL25" t="s">
        <v>406</v>
      </c>
      <c r="AM25">
        <v>257</v>
      </c>
      <c r="AN25">
        <v>183</v>
      </c>
      <c r="AO25">
        <v>156.31693989070001</v>
      </c>
      <c r="AP25">
        <v>133</v>
      </c>
      <c r="AQ25">
        <v>217.2932330827</v>
      </c>
      <c r="AR25">
        <v>63</v>
      </c>
      <c r="AS25">
        <v>132.06349206350001</v>
      </c>
      <c r="AT25">
        <v>11</v>
      </c>
      <c r="AU25">
        <v>216.36363636359999</v>
      </c>
    </row>
    <row r="26" spans="6:49" x14ac:dyDescent="0.2">
      <c r="F26" t="s">
        <v>32</v>
      </c>
      <c r="G26">
        <v>179</v>
      </c>
      <c r="H26">
        <v>83</v>
      </c>
      <c r="I26">
        <v>185.93975903610001</v>
      </c>
      <c r="J26">
        <v>120</v>
      </c>
      <c r="K26">
        <v>261.03333333329999</v>
      </c>
      <c r="L26">
        <v>46</v>
      </c>
      <c r="M26">
        <v>128.13043478259999</v>
      </c>
      <c r="N26">
        <v>48</v>
      </c>
      <c r="O26">
        <v>482.6666666667</v>
      </c>
      <c r="R26">
        <v>2</v>
      </c>
      <c r="S26">
        <v>556</v>
      </c>
      <c r="V26" t="s">
        <v>404</v>
      </c>
      <c r="W26">
        <v>1638</v>
      </c>
      <c r="X26">
        <v>1206</v>
      </c>
      <c r="Y26">
        <v>303.33665008290001</v>
      </c>
      <c r="Z26">
        <v>295</v>
      </c>
      <c r="AA26">
        <v>362.71525423729997</v>
      </c>
      <c r="AB26">
        <v>312</v>
      </c>
      <c r="AC26">
        <v>267.65064102560001</v>
      </c>
      <c r="AD26">
        <v>57</v>
      </c>
      <c r="AE26">
        <v>300.10526315790003</v>
      </c>
      <c r="AF26">
        <v>63</v>
      </c>
      <c r="AG26">
        <v>215.71428571429999</v>
      </c>
      <c r="AL26" t="s">
        <v>404</v>
      </c>
      <c r="AM26">
        <v>16</v>
      </c>
      <c r="AN26">
        <v>11</v>
      </c>
      <c r="AO26">
        <v>96.727272727300004</v>
      </c>
      <c r="AP26">
        <v>9</v>
      </c>
      <c r="AQ26">
        <v>217.1111111111</v>
      </c>
      <c r="AR26">
        <v>5</v>
      </c>
      <c r="AS26">
        <v>49.8</v>
      </c>
    </row>
    <row r="27" spans="6:49" x14ac:dyDescent="0.2">
      <c r="F27" t="s">
        <v>71</v>
      </c>
      <c r="G27">
        <v>3699</v>
      </c>
      <c r="H27">
        <v>3421</v>
      </c>
      <c r="I27">
        <v>231.71528792749999</v>
      </c>
      <c r="J27">
        <v>855</v>
      </c>
      <c r="K27">
        <v>396.20467836260002</v>
      </c>
      <c r="L27">
        <v>130</v>
      </c>
      <c r="M27">
        <v>89.1</v>
      </c>
      <c r="N27">
        <v>145</v>
      </c>
      <c r="O27">
        <v>244.44827586209999</v>
      </c>
      <c r="R27">
        <v>3</v>
      </c>
      <c r="S27">
        <v>226</v>
      </c>
      <c r="V27" t="s">
        <v>80</v>
      </c>
      <c r="W27">
        <v>4860</v>
      </c>
      <c r="X27">
        <v>3454</v>
      </c>
      <c r="Y27">
        <v>294.77591198610003</v>
      </c>
      <c r="Z27">
        <v>790</v>
      </c>
      <c r="AA27">
        <v>381.0075949367</v>
      </c>
      <c r="AB27">
        <v>967</v>
      </c>
      <c r="AC27">
        <v>277.41261633919999</v>
      </c>
      <c r="AD27">
        <v>254</v>
      </c>
      <c r="AE27">
        <v>511.48031496060003</v>
      </c>
      <c r="AF27">
        <v>164</v>
      </c>
      <c r="AG27">
        <v>176.0975609756</v>
      </c>
      <c r="AH27">
        <v>21</v>
      </c>
      <c r="AI27">
        <v>316.3333333333</v>
      </c>
      <c r="AL27" t="s">
        <v>80</v>
      </c>
      <c r="AM27">
        <v>51</v>
      </c>
      <c r="AN27">
        <v>37</v>
      </c>
      <c r="AO27">
        <v>148.1351351351</v>
      </c>
      <c r="AP27">
        <v>28</v>
      </c>
      <c r="AQ27">
        <v>245.8928571429</v>
      </c>
      <c r="AR27">
        <v>10</v>
      </c>
      <c r="AS27">
        <v>99.4</v>
      </c>
      <c r="AT27">
        <v>4</v>
      </c>
      <c r="AU27">
        <v>328.75</v>
      </c>
    </row>
    <row r="28" spans="6:49" x14ac:dyDescent="0.2">
      <c r="F28" t="s">
        <v>31</v>
      </c>
      <c r="G28">
        <v>1468</v>
      </c>
      <c r="H28">
        <v>1143</v>
      </c>
      <c r="I28">
        <v>293.63429571299997</v>
      </c>
      <c r="J28">
        <v>327</v>
      </c>
      <c r="K28">
        <v>373.42201834859998</v>
      </c>
      <c r="L28">
        <v>279</v>
      </c>
      <c r="M28">
        <v>228.2222222222</v>
      </c>
      <c r="N28">
        <v>46</v>
      </c>
      <c r="O28">
        <v>218.69565217389999</v>
      </c>
      <c r="V28" t="s">
        <v>403</v>
      </c>
      <c r="W28">
        <v>41181</v>
      </c>
      <c r="X28">
        <v>31422</v>
      </c>
      <c r="Y28">
        <v>347.10683597479999</v>
      </c>
      <c r="Z28">
        <v>4892</v>
      </c>
      <c r="AA28">
        <v>466.81602616520001</v>
      </c>
      <c r="AB28">
        <v>6116</v>
      </c>
      <c r="AC28">
        <v>418.15206017000003</v>
      </c>
      <c r="AD28">
        <v>2073</v>
      </c>
      <c r="AE28">
        <v>465.96623251329999</v>
      </c>
      <c r="AF28">
        <v>1506</v>
      </c>
      <c r="AG28">
        <v>184.52921646749999</v>
      </c>
      <c r="AH28">
        <v>64</v>
      </c>
      <c r="AI28">
        <v>396.34375</v>
      </c>
      <c r="AL28" t="s">
        <v>403</v>
      </c>
      <c r="AM28">
        <v>462</v>
      </c>
      <c r="AN28">
        <v>338</v>
      </c>
      <c r="AO28">
        <v>155.2455621302</v>
      </c>
      <c r="AP28">
        <v>241</v>
      </c>
      <c r="AQ28">
        <v>228.77593361000001</v>
      </c>
      <c r="AR28">
        <v>104</v>
      </c>
      <c r="AS28">
        <v>112.80769230769999</v>
      </c>
      <c r="AT28">
        <v>20</v>
      </c>
      <c r="AU28">
        <v>258.8</v>
      </c>
    </row>
    <row r="29" spans="6:49" x14ac:dyDescent="0.2">
      <c r="F29" t="s">
        <v>52</v>
      </c>
      <c r="G29">
        <v>4914</v>
      </c>
      <c r="H29">
        <v>3810</v>
      </c>
      <c r="I29">
        <v>305.27086614170003</v>
      </c>
      <c r="J29">
        <v>630</v>
      </c>
      <c r="K29">
        <v>449.19206349209998</v>
      </c>
      <c r="L29">
        <v>839</v>
      </c>
      <c r="M29">
        <v>232.8414779499</v>
      </c>
      <c r="N29">
        <v>265</v>
      </c>
      <c r="O29">
        <v>404.84150943399999</v>
      </c>
      <c r="V29" t="s">
        <v>387</v>
      </c>
      <c r="W29">
        <v>9750</v>
      </c>
      <c r="X29">
        <v>4606</v>
      </c>
      <c r="Y29">
        <v>258.25124864280002</v>
      </c>
      <c r="Z29">
        <v>665</v>
      </c>
      <c r="AA29">
        <v>550.84210526319998</v>
      </c>
      <c r="AB29">
        <v>3509</v>
      </c>
      <c r="AC29">
        <v>556.85408948420002</v>
      </c>
      <c r="AD29">
        <v>1105</v>
      </c>
      <c r="AE29">
        <v>450.74547101450003</v>
      </c>
      <c r="AF29">
        <v>517</v>
      </c>
      <c r="AG29">
        <v>181.51837524179999</v>
      </c>
      <c r="AH29">
        <v>13</v>
      </c>
      <c r="AI29">
        <v>473.69230769230001</v>
      </c>
      <c r="AL29" t="s">
        <v>387</v>
      </c>
      <c r="AM29">
        <v>247</v>
      </c>
      <c r="AN29">
        <v>172</v>
      </c>
      <c r="AO29">
        <v>361.76162790699999</v>
      </c>
      <c r="AP29">
        <v>24</v>
      </c>
      <c r="AQ29">
        <v>486.6666666667</v>
      </c>
      <c r="AR29">
        <v>63</v>
      </c>
      <c r="AS29">
        <v>344.53968253969998</v>
      </c>
      <c r="AT29">
        <v>11</v>
      </c>
      <c r="AU29">
        <v>340.90909090909997</v>
      </c>
      <c r="AV29">
        <v>1</v>
      </c>
      <c r="AW29">
        <v>2327</v>
      </c>
    </row>
    <row r="30" spans="6:49" x14ac:dyDescent="0.2">
      <c r="F30" t="s">
        <v>403</v>
      </c>
      <c r="G30">
        <v>40246</v>
      </c>
      <c r="H30">
        <v>31657</v>
      </c>
      <c r="I30">
        <v>344.08263575199999</v>
      </c>
      <c r="J30">
        <v>5251</v>
      </c>
      <c r="K30">
        <v>454.5758903066</v>
      </c>
      <c r="L30">
        <v>6228</v>
      </c>
      <c r="M30">
        <v>409.75915221579999</v>
      </c>
      <c r="N30">
        <v>2294</v>
      </c>
      <c r="O30">
        <v>483.43897122930002</v>
      </c>
      <c r="R30">
        <v>67</v>
      </c>
      <c r="S30">
        <v>372.5970149254</v>
      </c>
      <c r="V30" t="s">
        <v>424</v>
      </c>
      <c r="W30">
        <v>31173</v>
      </c>
      <c r="X30">
        <v>26439</v>
      </c>
      <c r="Y30">
        <v>464.95180996329998</v>
      </c>
      <c r="Z30">
        <v>2374</v>
      </c>
      <c r="AA30">
        <v>688.45871946080001</v>
      </c>
      <c r="AB30">
        <v>1235</v>
      </c>
      <c r="AC30">
        <v>253.40890688260001</v>
      </c>
      <c r="AD30">
        <v>2354</v>
      </c>
      <c r="AE30">
        <v>348.87510620220002</v>
      </c>
      <c r="AF30">
        <v>1105</v>
      </c>
      <c r="AG30">
        <v>169.3049773756</v>
      </c>
      <c r="AH30">
        <v>40</v>
      </c>
      <c r="AI30">
        <v>342.95</v>
      </c>
      <c r="AL30" t="s">
        <v>424</v>
      </c>
      <c r="AM30">
        <v>319</v>
      </c>
      <c r="AN30">
        <v>214</v>
      </c>
      <c r="AO30">
        <v>189.71962616819999</v>
      </c>
      <c r="AP30">
        <v>140</v>
      </c>
      <c r="AQ30">
        <v>404.85</v>
      </c>
      <c r="AR30">
        <v>95</v>
      </c>
      <c r="AS30">
        <v>132.72631578950001</v>
      </c>
      <c r="AT30">
        <v>10</v>
      </c>
      <c r="AU30">
        <v>275.5</v>
      </c>
    </row>
    <row r="31" spans="6:49" x14ac:dyDescent="0.2">
      <c r="F31" t="s">
        <v>25</v>
      </c>
      <c r="G31">
        <v>17960</v>
      </c>
      <c r="H31">
        <v>15978</v>
      </c>
      <c r="I31">
        <v>530.56152209289996</v>
      </c>
      <c r="J31">
        <v>1063</v>
      </c>
      <c r="K31">
        <v>789.127939793</v>
      </c>
      <c r="L31">
        <v>1050</v>
      </c>
      <c r="M31">
        <v>300.03809523810003</v>
      </c>
      <c r="N31">
        <v>894</v>
      </c>
      <c r="O31">
        <v>356.53984287319997</v>
      </c>
      <c r="R31">
        <v>38</v>
      </c>
      <c r="S31">
        <v>394.7105263158</v>
      </c>
      <c r="V31" t="s">
        <v>380</v>
      </c>
      <c r="W31">
        <v>18866</v>
      </c>
      <c r="X31">
        <v>16131</v>
      </c>
      <c r="Y31">
        <v>528.19391234269995</v>
      </c>
      <c r="Z31">
        <v>1250</v>
      </c>
      <c r="AA31">
        <v>767.81359999999995</v>
      </c>
      <c r="AB31">
        <v>1232</v>
      </c>
      <c r="AC31">
        <v>317.13392857140002</v>
      </c>
      <c r="AD31">
        <v>948</v>
      </c>
      <c r="AE31">
        <v>357.25396825399997</v>
      </c>
      <c r="AF31">
        <v>519</v>
      </c>
      <c r="AG31">
        <v>167.67953667949999</v>
      </c>
      <c r="AH31">
        <v>36</v>
      </c>
      <c r="AI31">
        <v>377.94444444440001</v>
      </c>
      <c r="AL31" t="s">
        <v>380</v>
      </c>
      <c r="AM31">
        <v>207</v>
      </c>
      <c r="AN31">
        <v>132</v>
      </c>
      <c r="AO31">
        <v>217.7727272727</v>
      </c>
      <c r="AP31">
        <v>71</v>
      </c>
      <c r="AQ31">
        <v>408.15492957750001</v>
      </c>
      <c r="AR31">
        <v>56</v>
      </c>
      <c r="AS31">
        <v>169.875</v>
      </c>
      <c r="AT31">
        <v>19</v>
      </c>
      <c r="AU31">
        <v>389.15789473680002</v>
      </c>
    </row>
    <row r="32" spans="6:49" x14ac:dyDescent="0.2">
      <c r="F32" t="s">
        <v>39</v>
      </c>
      <c r="G32">
        <v>13011</v>
      </c>
      <c r="H32">
        <v>10476</v>
      </c>
      <c r="I32">
        <v>420.06062052509998</v>
      </c>
      <c r="J32">
        <v>581</v>
      </c>
      <c r="K32">
        <v>708.83304647160003</v>
      </c>
      <c r="L32">
        <v>1641</v>
      </c>
      <c r="M32">
        <v>469.31383302860002</v>
      </c>
      <c r="N32">
        <v>854</v>
      </c>
      <c r="O32">
        <v>551.25175644030003</v>
      </c>
      <c r="R32">
        <v>40</v>
      </c>
      <c r="S32">
        <v>420.7</v>
      </c>
      <c r="V32" t="s">
        <v>392</v>
      </c>
      <c r="W32">
        <v>3139</v>
      </c>
      <c r="X32">
        <v>1959</v>
      </c>
      <c r="Y32">
        <v>394.07401735579998</v>
      </c>
      <c r="Z32">
        <v>476</v>
      </c>
      <c r="AA32">
        <v>466.05672268910001</v>
      </c>
      <c r="AB32">
        <v>586</v>
      </c>
      <c r="AC32">
        <v>472.21160409560002</v>
      </c>
      <c r="AD32">
        <v>465</v>
      </c>
      <c r="AE32">
        <v>659.09247311829995</v>
      </c>
      <c r="AF32">
        <v>118</v>
      </c>
      <c r="AG32">
        <v>180.99152542370001</v>
      </c>
      <c r="AH32">
        <v>11</v>
      </c>
      <c r="AI32">
        <v>569.90909090909997</v>
      </c>
      <c r="AL32" t="s">
        <v>392</v>
      </c>
      <c r="AM32">
        <v>105</v>
      </c>
      <c r="AN32">
        <v>71</v>
      </c>
      <c r="AO32">
        <v>362.95774647889999</v>
      </c>
      <c r="AP32">
        <v>12</v>
      </c>
      <c r="AQ32">
        <v>621.91666666670005</v>
      </c>
      <c r="AR32">
        <v>32</v>
      </c>
      <c r="AS32">
        <v>288.125</v>
      </c>
      <c r="AT32">
        <v>2</v>
      </c>
      <c r="AU32">
        <v>156</v>
      </c>
    </row>
    <row r="33" spans="6:49" x14ac:dyDescent="0.2">
      <c r="F33" t="s">
        <v>72</v>
      </c>
      <c r="G33">
        <v>4984</v>
      </c>
      <c r="H33">
        <v>2384</v>
      </c>
      <c r="I33">
        <v>341.75157364670002</v>
      </c>
      <c r="J33">
        <v>499</v>
      </c>
      <c r="K33">
        <v>511.07014028060001</v>
      </c>
      <c r="L33">
        <v>1772</v>
      </c>
      <c r="M33">
        <v>617.74943566590002</v>
      </c>
      <c r="N33">
        <v>818</v>
      </c>
      <c r="O33">
        <v>729.78850855749999</v>
      </c>
      <c r="R33">
        <v>10</v>
      </c>
      <c r="S33">
        <v>573.29999999999995</v>
      </c>
      <c r="V33" t="s">
        <v>383</v>
      </c>
      <c r="W33">
        <v>7318</v>
      </c>
      <c r="X33">
        <v>4759</v>
      </c>
      <c r="Y33">
        <v>283.07459550329997</v>
      </c>
      <c r="Z33">
        <v>533</v>
      </c>
      <c r="AA33">
        <v>510.34333958719998</v>
      </c>
      <c r="AB33">
        <v>1523</v>
      </c>
      <c r="AC33">
        <v>321.83716349309998</v>
      </c>
      <c r="AD33">
        <v>665</v>
      </c>
      <c r="AE33">
        <v>430.4857142857</v>
      </c>
      <c r="AF33">
        <v>364</v>
      </c>
      <c r="AG33">
        <v>199.62087912090001</v>
      </c>
      <c r="AH33">
        <v>7</v>
      </c>
      <c r="AI33">
        <v>433.71428571429999</v>
      </c>
      <c r="AL33" t="s">
        <v>383</v>
      </c>
      <c r="AM33">
        <v>241</v>
      </c>
      <c r="AN33">
        <v>172</v>
      </c>
      <c r="AO33">
        <v>328.99418604649998</v>
      </c>
      <c r="AP33">
        <v>19</v>
      </c>
      <c r="AQ33">
        <v>538.89473684209997</v>
      </c>
      <c r="AR33">
        <v>65</v>
      </c>
      <c r="AS33">
        <v>291.73846153850002</v>
      </c>
      <c r="AT33">
        <v>4</v>
      </c>
      <c r="AU33">
        <v>441.75</v>
      </c>
    </row>
    <row r="34" spans="6:49" x14ac:dyDescent="0.2">
      <c r="F34" t="s">
        <v>58</v>
      </c>
      <c r="G34">
        <v>6801</v>
      </c>
      <c r="H34">
        <v>4656</v>
      </c>
      <c r="I34">
        <v>270.9299828179</v>
      </c>
      <c r="J34">
        <v>515</v>
      </c>
      <c r="K34">
        <v>504.00776699030001</v>
      </c>
      <c r="L34">
        <v>1473</v>
      </c>
      <c r="M34">
        <v>300.27019687709998</v>
      </c>
      <c r="N34">
        <v>664</v>
      </c>
      <c r="O34">
        <v>434.21385542169998</v>
      </c>
      <c r="R34">
        <v>8</v>
      </c>
      <c r="S34">
        <v>384.125</v>
      </c>
      <c r="V34" t="s">
        <v>426</v>
      </c>
      <c r="W34">
        <v>5236</v>
      </c>
      <c r="X34">
        <v>2423</v>
      </c>
      <c r="Y34">
        <v>334.73492981010003</v>
      </c>
      <c r="Z34">
        <v>483</v>
      </c>
      <c r="AA34">
        <v>499.31884057970001</v>
      </c>
      <c r="AB34">
        <v>1739</v>
      </c>
      <c r="AC34">
        <v>615.40253018980002</v>
      </c>
      <c r="AD34">
        <v>797</v>
      </c>
      <c r="AE34">
        <v>721.94981179419995</v>
      </c>
      <c r="AF34">
        <v>269</v>
      </c>
      <c r="AG34">
        <v>190.6914498141</v>
      </c>
      <c r="AH34">
        <v>8</v>
      </c>
      <c r="AI34">
        <v>437.625</v>
      </c>
      <c r="AL34" t="s">
        <v>426</v>
      </c>
      <c r="AM34">
        <v>81</v>
      </c>
      <c r="AN34">
        <v>46</v>
      </c>
      <c r="AO34">
        <v>197.8913043478</v>
      </c>
      <c r="AP34">
        <v>18</v>
      </c>
      <c r="AQ34">
        <v>353.3888888889</v>
      </c>
      <c r="AR34">
        <v>28</v>
      </c>
      <c r="AS34">
        <v>124.0357142857</v>
      </c>
      <c r="AT34">
        <v>7</v>
      </c>
      <c r="AU34">
        <v>187.57142857139999</v>
      </c>
    </row>
    <row r="35" spans="6:49" x14ac:dyDescent="0.2">
      <c r="F35" t="s">
        <v>53</v>
      </c>
      <c r="G35">
        <v>2900</v>
      </c>
      <c r="H35">
        <v>1864</v>
      </c>
      <c r="I35">
        <v>385.00107296139998</v>
      </c>
      <c r="J35">
        <v>459</v>
      </c>
      <c r="K35">
        <v>460.2984749455</v>
      </c>
      <c r="L35">
        <v>566</v>
      </c>
      <c r="M35">
        <v>453.78268551240001</v>
      </c>
      <c r="N35">
        <v>460</v>
      </c>
      <c r="O35">
        <v>645.40652173909996</v>
      </c>
      <c r="R35">
        <v>10</v>
      </c>
      <c r="S35">
        <v>602.6</v>
      </c>
      <c r="V35" t="s">
        <v>382</v>
      </c>
      <c r="W35">
        <v>13331</v>
      </c>
      <c r="X35">
        <v>10354</v>
      </c>
      <c r="Y35">
        <v>421.4319520912</v>
      </c>
      <c r="Z35">
        <v>574</v>
      </c>
      <c r="AA35">
        <v>705.21254355400004</v>
      </c>
      <c r="AB35">
        <v>1692</v>
      </c>
      <c r="AC35">
        <v>469.39007092200001</v>
      </c>
      <c r="AD35">
        <v>850</v>
      </c>
      <c r="AE35">
        <v>544.06588235289996</v>
      </c>
      <c r="AF35">
        <v>397</v>
      </c>
      <c r="AG35">
        <v>164.96977329969999</v>
      </c>
      <c r="AH35">
        <v>38</v>
      </c>
      <c r="AI35">
        <v>390.52631578950002</v>
      </c>
      <c r="AL35" t="s">
        <v>382</v>
      </c>
      <c r="AM35">
        <v>132</v>
      </c>
      <c r="AN35">
        <v>91</v>
      </c>
      <c r="AO35">
        <v>202.18681318680001</v>
      </c>
      <c r="AP35">
        <v>43</v>
      </c>
      <c r="AQ35">
        <v>348.62790697669999</v>
      </c>
      <c r="AR35">
        <v>33</v>
      </c>
      <c r="AS35">
        <v>202.51515151519999</v>
      </c>
      <c r="AT35">
        <v>8</v>
      </c>
      <c r="AU35">
        <v>390.25</v>
      </c>
    </row>
    <row r="36" spans="6:49" x14ac:dyDescent="0.2">
      <c r="F36" t="s">
        <v>57</v>
      </c>
      <c r="G36">
        <v>9222</v>
      </c>
      <c r="H36">
        <v>4508</v>
      </c>
      <c r="I36">
        <v>243.0066563124</v>
      </c>
      <c r="J36">
        <v>669</v>
      </c>
      <c r="K36">
        <v>548.89387144989996</v>
      </c>
      <c r="L36">
        <v>3575</v>
      </c>
      <c r="M36">
        <v>555.51496503500005</v>
      </c>
      <c r="N36">
        <v>1128</v>
      </c>
      <c r="O36">
        <v>443.47116237799997</v>
      </c>
      <c r="R36">
        <v>11</v>
      </c>
      <c r="S36">
        <v>397.8181818182</v>
      </c>
      <c r="V36" t="s">
        <v>379</v>
      </c>
      <c r="W36">
        <v>88813</v>
      </c>
      <c r="X36">
        <v>66671</v>
      </c>
      <c r="Y36">
        <v>439.42084420840001</v>
      </c>
      <c r="Z36">
        <v>6355</v>
      </c>
      <c r="AA36">
        <v>645.20802517699997</v>
      </c>
      <c r="AB36">
        <v>11516</v>
      </c>
      <c r="AC36">
        <v>459.26858284129997</v>
      </c>
      <c r="AD36">
        <v>7184</v>
      </c>
      <c r="AE36">
        <v>457.81072423400002</v>
      </c>
      <c r="AF36">
        <v>3289</v>
      </c>
      <c r="AG36">
        <v>175.97110705599999</v>
      </c>
      <c r="AH36">
        <v>153</v>
      </c>
      <c r="AI36">
        <v>399.5294117647</v>
      </c>
      <c r="AL36" t="s">
        <v>379</v>
      </c>
      <c r="AM36">
        <v>1332</v>
      </c>
      <c r="AN36">
        <v>898</v>
      </c>
      <c r="AO36">
        <v>268.85077951</v>
      </c>
      <c r="AP36">
        <v>327</v>
      </c>
      <c r="AQ36">
        <v>417.1009174312</v>
      </c>
      <c r="AR36">
        <v>372</v>
      </c>
      <c r="AS36">
        <v>220.87903225810001</v>
      </c>
      <c r="AT36">
        <v>61</v>
      </c>
      <c r="AU36">
        <v>334.63934426230003</v>
      </c>
      <c r="AV36">
        <v>1</v>
      </c>
      <c r="AW36">
        <v>2327</v>
      </c>
    </row>
    <row r="37" spans="6:49" x14ac:dyDescent="0.2">
      <c r="F37" t="s">
        <v>77</v>
      </c>
      <c r="G37">
        <v>29603</v>
      </c>
      <c r="H37">
        <v>26320</v>
      </c>
      <c r="I37">
        <v>463.95212402160001</v>
      </c>
      <c r="J37">
        <v>1937</v>
      </c>
      <c r="K37">
        <v>725.29891584929999</v>
      </c>
      <c r="L37">
        <v>929</v>
      </c>
      <c r="M37">
        <v>169.65769644779999</v>
      </c>
      <c r="N37">
        <v>2315</v>
      </c>
      <c r="O37">
        <v>334.23758099349999</v>
      </c>
      <c r="R37">
        <v>39</v>
      </c>
      <c r="S37">
        <v>337.20512820509998</v>
      </c>
      <c r="V37" t="s">
        <v>405</v>
      </c>
      <c r="W37">
        <v>545</v>
      </c>
      <c r="X37">
        <v>261</v>
      </c>
      <c r="Y37">
        <v>138.98850574709999</v>
      </c>
      <c r="Z37">
        <v>259</v>
      </c>
      <c r="AA37">
        <v>216.22779922780001</v>
      </c>
      <c r="AB37">
        <v>133</v>
      </c>
      <c r="AC37">
        <v>205.68421052630001</v>
      </c>
      <c r="AD37">
        <v>87</v>
      </c>
      <c r="AE37">
        <v>241.1149425287</v>
      </c>
      <c r="AF37">
        <v>54</v>
      </c>
      <c r="AG37">
        <v>201.8703703704</v>
      </c>
      <c r="AH37">
        <v>10</v>
      </c>
      <c r="AI37">
        <v>250.8</v>
      </c>
      <c r="AL37" t="s">
        <v>405</v>
      </c>
      <c r="AM37">
        <v>16</v>
      </c>
      <c r="AN37">
        <v>13</v>
      </c>
      <c r="AO37">
        <v>105.6153846154</v>
      </c>
      <c r="AP37">
        <v>6</v>
      </c>
      <c r="AQ37">
        <v>216</v>
      </c>
      <c r="AR37">
        <v>2</v>
      </c>
      <c r="AS37">
        <v>64.5</v>
      </c>
      <c r="AT37">
        <v>1</v>
      </c>
      <c r="AU37">
        <v>243</v>
      </c>
    </row>
    <row r="38" spans="6:49" x14ac:dyDescent="0.2">
      <c r="F38" t="s">
        <v>379</v>
      </c>
      <c r="G38">
        <v>84481</v>
      </c>
      <c r="H38">
        <v>66186</v>
      </c>
      <c r="I38">
        <v>437.83647874770003</v>
      </c>
      <c r="J38">
        <v>5723</v>
      </c>
      <c r="K38">
        <v>655.01555128430005</v>
      </c>
      <c r="L38">
        <v>11006</v>
      </c>
      <c r="M38">
        <v>456.34681083049998</v>
      </c>
      <c r="N38">
        <v>7133</v>
      </c>
      <c r="O38">
        <v>455.06662926080003</v>
      </c>
      <c r="R38">
        <v>156</v>
      </c>
      <c r="S38">
        <v>411.44871794869999</v>
      </c>
      <c r="V38" t="s">
        <v>409</v>
      </c>
      <c r="W38">
        <v>41897</v>
      </c>
      <c r="X38">
        <v>29766</v>
      </c>
      <c r="Y38">
        <v>464.6798360546</v>
      </c>
      <c r="Z38">
        <v>2794</v>
      </c>
      <c r="AA38">
        <v>675.65211166790004</v>
      </c>
      <c r="AB38">
        <v>8804</v>
      </c>
      <c r="AC38">
        <v>676.21285779189998</v>
      </c>
      <c r="AD38">
        <v>2034</v>
      </c>
      <c r="AE38">
        <v>533.02361042790005</v>
      </c>
      <c r="AF38">
        <v>1240</v>
      </c>
      <c r="AG38">
        <v>191.65645161290001</v>
      </c>
      <c r="AH38">
        <v>53</v>
      </c>
      <c r="AI38">
        <v>546.16981132080002</v>
      </c>
      <c r="AL38" t="s">
        <v>409</v>
      </c>
      <c r="AM38">
        <v>265</v>
      </c>
      <c r="AN38">
        <v>181</v>
      </c>
      <c r="AO38">
        <v>226.0773480663</v>
      </c>
      <c r="AP38">
        <v>132</v>
      </c>
      <c r="AQ38">
        <v>275.85606060610002</v>
      </c>
      <c r="AR38">
        <v>73</v>
      </c>
      <c r="AS38">
        <v>228.47945205479999</v>
      </c>
      <c r="AT38">
        <v>11</v>
      </c>
      <c r="AU38">
        <v>168.54545454550001</v>
      </c>
    </row>
    <row r="39" spans="6:49" x14ac:dyDescent="0.2">
      <c r="F39" t="s">
        <v>79</v>
      </c>
      <c r="G39">
        <v>20223</v>
      </c>
      <c r="H39">
        <v>15652</v>
      </c>
      <c r="I39">
        <v>410.72661640680002</v>
      </c>
      <c r="J39">
        <v>1168</v>
      </c>
      <c r="K39">
        <v>760.71489726029995</v>
      </c>
      <c r="L39">
        <v>3734</v>
      </c>
      <c r="M39">
        <v>654.20889126940006</v>
      </c>
      <c r="N39">
        <v>810</v>
      </c>
      <c r="O39">
        <v>397.09382716049998</v>
      </c>
      <c r="R39">
        <v>27</v>
      </c>
      <c r="S39">
        <v>378.3703703704</v>
      </c>
      <c r="V39" t="s">
        <v>417</v>
      </c>
      <c r="W39">
        <v>323</v>
      </c>
      <c r="X39">
        <v>171</v>
      </c>
      <c r="Y39">
        <v>201.7543859649</v>
      </c>
      <c r="Z39">
        <v>139</v>
      </c>
      <c r="AA39">
        <v>219.1438848921</v>
      </c>
      <c r="AB39">
        <v>84</v>
      </c>
      <c r="AC39">
        <v>241.90476190480001</v>
      </c>
      <c r="AD39">
        <v>43</v>
      </c>
      <c r="AE39">
        <v>380.83720930229998</v>
      </c>
      <c r="AF39">
        <v>23</v>
      </c>
      <c r="AG39">
        <v>276.17391304350002</v>
      </c>
      <c r="AH39">
        <v>2</v>
      </c>
      <c r="AI39">
        <v>494</v>
      </c>
      <c r="AL39" t="s">
        <v>417</v>
      </c>
      <c r="AM39">
        <v>4</v>
      </c>
      <c r="AN39">
        <v>3</v>
      </c>
      <c r="AO39">
        <v>104.6666666667</v>
      </c>
      <c r="AP39">
        <v>2</v>
      </c>
      <c r="AQ39">
        <v>181</v>
      </c>
      <c r="AR39">
        <v>1</v>
      </c>
      <c r="AS39">
        <v>116</v>
      </c>
    </row>
    <row r="40" spans="6:49" x14ac:dyDescent="0.2">
      <c r="F40" t="s">
        <v>40</v>
      </c>
      <c r="G40">
        <v>6394</v>
      </c>
      <c r="H40">
        <v>3869</v>
      </c>
      <c r="I40">
        <v>294.85189971569997</v>
      </c>
      <c r="J40">
        <v>280</v>
      </c>
      <c r="K40">
        <v>476.45357142860001</v>
      </c>
      <c r="L40">
        <v>2122</v>
      </c>
      <c r="M40">
        <v>800.82422243170004</v>
      </c>
      <c r="N40">
        <v>387</v>
      </c>
      <c r="O40">
        <v>372.05684754520001</v>
      </c>
      <c r="R40">
        <v>16</v>
      </c>
      <c r="S40">
        <v>431.3125</v>
      </c>
      <c r="V40" t="s">
        <v>420</v>
      </c>
      <c r="W40">
        <v>197</v>
      </c>
      <c r="X40">
        <v>85</v>
      </c>
      <c r="Y40">
        <v>282.1764705882</v>
      </c>
      <c r="Z40">
        <v>59</v>
      </c>
      <c r="AA40">
        <v>258.01694915249999</v>
      </c>
      <c r="AB40">
        <v>68</v>
      </c>
      <c r="AC40">
        <v>323.95588235290001</v>
      </c>
      <c r="AD40">
        <v>18</v>
      </c>
      <c r="AE40">
        <v>323.44444444440001</v>
      </c>
      <c r="AF40">
        <v>24</v>
      </c>
      <c r="AG40">
        <v>182.0416666667</v>
      </c>
      <c r="AH40">
        <v>2</v>
      </c>
      <c r="AI40">
        <v>503.5</v>
      </c>
      <c r="AL40" t="s">
        <v>420</v>
      </c>
      <c r="AM40">
        <v>3</v>
      </c>
      <c r="AN40">
        <v>1</v>
      </c>
      <c r="AO40">
        <v>51</v>
      </c>
      <c r="AP40">
        <v>2</v>
      </c>
      <c r="AQ40">
        <v>460</v>
      </c>
      <c r="AR40">
        <v>2</v>
      </c>
      <c r="AS40">
        <v>369</v>
      </c>
    </row>
    <row r="41" spans="6:49" x14ac:dyDescent="0.2">
      <c r="F41" t="s">
        <v>46</v>
      </c>
      <c r="G41">
        <v>19548</v>
      </c>
      <c r="H41">
        <v>13309</v>
      </c>
      <c r="I41">
        <v>532.1528403968</v>
      </c>
      <c r="J41">
        <v>1153</v>
      </c>
      <c r="K41">
        <v>653.04509973979998</v>
      </c>
      <c r="L41">
        <v>5018</v>
      </c>
      <c r="M41">
        <v>703.90932642489997</v>
      </c>
      <c r="N41">
        <v>1201</v>
      </c>
      <c r="O41">
        <v>644.01583333329995</v>
      </c>
      <c r="R41">
        <v>20</v>
      </c>
      <c r="S41">
        <v>769.55</v>
      </c>
      <c r="V41" t="s">
        <v>410</v>
      </c>
      <c r="W41">
        <v>5337</v>
      </c>
      <c r="X41">
        <v>4113</v>
      </c>
      <c r="Y41">
        <v>459.15754923409997</v>
      </c>
      <c r="Z41">
        <v>276</v>
      </c>
      <c r="AA41">
        <v>888.08333333329995</v>
      </c>
      <c r="AB41">
        <v>566</v>
      </c>
      <c r="AC41">
        <v>262.78621908129998</v>
      </c>
      <c r="AD41">
        <v>449</v>
      </c>
      <c r="AE41">
        <v>586.12026726060003</v>
      </c>
      <c r="AF41">
        <v>205</v>
      </c>
      <c r="AG41">
        <v>197.94634146339999</v>
      </c>
      <c r="AH41">
        <v>4</v>
      </c>
      <c r="AI41">
        <v>317.5</v>
      </c>
      <c r="AL41" t="s">
        <v>410</v>
      </c>
      <c r="AM41">
        <v>145</v>
      </c>
      <c r="AN41">
        <v>98</v>
      </c>
      <c r="AO41">
        <v>344.32653061219997</v>
      </c>
      <c r="AP41">
        <v>13</v>
      </c>
      <c r="AQ41">
        <v>620.07692307690002</v>
      </c>
      <c r="AR41">
        <v>46</v>
      </c>
      <c r="AS41">
        <v>245.69565217389999</v>
      </c>
      <c r="AT41">
        <v>1</v>
      </c>
      <c r="AU41">
        <v>24</v>
      </c>
    </row>
    <row r="42" spans="6:49" x14ac:dyDescent="0.2">
      <c r="F42" t="s">
        <v>49</v>
      </c>
      <c r="G42">
        <v>4630</v>
      </c>
      <c r="H42">
        <v>3007</v>
      </c>
      <c r="I42">
        <v>328.80711672759998</v>
      </c>
      <c r="J42">
        <v>373</v>
      </c>
      <c r="K42">
        <v>506.66487935660001</v>
      </c>
      <c r="L42">
        <v>1158</v>
      </c>
      <c r="M42">
        <v>354.17012089809998</v>
      </c>
      <c r="N42">
        <v>459</v>
      </c>
      <c r="O42">
        <v>529.02832244010006</v>
      </c>
      <c r="R42">
        <v>6</v>
      </c>
      <c r="S42">
        <v>693.66666666670005</v>
      </c>
      <c r="V42" t="s">
        <v>402</v>
      </c>
      <c r="W42">
        <v>6677</v>
      </c>
      <c r="X42">
        <v>4024</v>
      </c>
      <c r="Y42">
        <v>309.51565606359998</v>
      </c>
      <c r="Z42">
        <v>324</v>
      </c>
      <c r="AA42">
        <v>477.90123456790002</v>
      </c>
      <c r="AB42">
        <v>2037</v>
      </c>
      <c r="AC42">
        <v>782.88021600390005</v>
      </c>
      <c r="AD42">
        <v>373</v>
      </c>
      <c r="AE42">
        <v>394.22788203750002</v>
      </c>
      <c r="AF42">
        <v>228</v>
      </c>
      <c r="AG42">
        <v>185.17982456140001</v>
      </c>
      <c r="AH42">
        <v>15</v>
      </c>
      <c r="AI42">
        <v>424.73333333329998</v>
      </c>
      <c r="AL42" t="s">
        <v>402</v>
      </c>
      <c r="AM42">
        <v>58</v>
      </c>
      <c r="AN42">
        <v>40</v>
      </c>
      <c r="AO42">
        <v>186.35</v>
      </c>
      <c r="AP42">
        <v>30</v>
      </c>
      <c r="AQ42">
        <v>245.7</v>
      </c>
      <c r="AR42">
        <v>16</v>
      </c>
      <c r="AS42">
        <v>117.125</v>
      </c>
      <c r="AT42">
        <v>2</v>
      </c>
      <c r="AU42">
        <v>509.5</v>
      </c>
    </row>
    <row r="43" spans="6:49" x14ac:dyDescent="0.2">
      <c r="F43" t="s">
        <v>36</v>
      </c>
      <c r="G43">
        <v>303</v>
      </c>
      <c r="H43">
        <v>222</v>
      </c>
      <c r="I43">
        <v>466.84234234230001</v>
      </c>
      <c r="J43">
        <v>117</v>
      </c>
      <c r="K43">
        <v>388.50427350429999</v>
      </c>
      <c r="L43">
        <v>61</v>
      </c>
      <c r="M43">
        <v>214.98360655740001</v>
      </c>
      <c r="N43">
        <v>19</v>
      </c>
      <c r="O43">
        <v>305.31578947370002</v>
      </c>
      <c r="R43">
        <v>1</v>
      </c>
      <c r="S43">
        <v>477</v>
      </c>
      <c r="V43" t="s">
        <v>411</v>
      </c>
      <c r="W43">
        <v>4201</v>
      </c>
      <c r="X43">
        <v>2725</v>
      </c>
      <c r="Y43">
        <v>214.864587156</v>
      </c>
      <c r="Z43">
        <v>910</v>
      </c>
      <c r="AA43">
        <v>303.0054945055</v>
      </c>
      <c r="AB43">
        <v>833</v>
      </c>
      <c r="AC43">
        <v>233.74909963990001</v>
      </c>
      <c r="AD43">
        <v>387</v>
      </c>
      <c r="AE43">
        <v>286.52713178290003</v>
      </c>
      <c r="AF43">
        <v>249</v>
      </c>
      <c r="AG43">
        <v>178.59437750999999</v>
      </c>
      <c r="AH43">
        <v>7</v>
      </c>
      <c r="AI43">
        <v>248.57142857139999</v>
      </c>
      <c r="AL43" t="s">
        <v>411</v>
      </c>
      <c r="AM43">
        <v>72</v>
      </c>
      <c r="AN43">
        <v>52</v>
      </c>
      <c r="AO43">
        <v>160.9038461538</v>
      </c>
      <c r="AP43">
        <v>38</v>
      </c>
      <c r="AQ43">
        <v>233.8947368421</v>
      </c>
      <c r="AR43">
        <v>16</v>
      </c>
      <c r="AS43">
        <v>94.4375</v>
      </c>
      <c r="AT43">
        <v>4</v>
      </c>
      <c r="AU43">
        <v>328.25</v>
      </c>
    </row>
    <row r="44" spans="6:49" x14ac:dyDescent="0.2">
      <c r="F44" t="s">
        <v>27</v>
      </c>
      <c r="G44">
        <v>3848</v>
      </c>
      <c r="H44">
        <v>2643</v>
      </c>
      <c r="I44">
        <v>202.46538024969999</v>
      </c>
      <c r="J44">
        <v>923</v>
      </c>
      <c r="K44">
        <v>303.07042253520001</v>
      </c>
      <c r="L44">
        <v>796</v>
      </c>
      <c r="M44">
        <v>214.01005025129999</v>
      </c>
      <c r="N44">
        <v>402</v>
      </c>
      <c r="O44">
        <v>287.10447761189999</v>
      </c>
      <c r="R44">
        <v>7</v>
      </c>
      <c r="S44">
        <v>248.57142857139999</v>
      </c>
      <c r="V44" t="s">
        <v>386</v>
      </c>
      <c r="W44">
        <v>6035</v>
      </c>
      <c r="X44">
        <v>4983</v>
      </c>
      <c r="Y44">
        <v>455.86494079869999</v>
      </c>
      <c r="Z44">
        <v>459</v>
      </c>
      <c r="AA44">
        <v>698.74291939</v>
      </c>
      <c r="AB44">
        <v>559</v>
      </c>
      <c r="AC44">
        <v>379.01431127009999</v>
      </c>
      <c r="AD44">
        <v>295</v>
      </c>
      <c r="AE44">
        <v>459.07796610169999</v>
      </c>
      <c r="AF44">
        <v>181</v>
      </c>
      <c r="AG44">
        <v>205.1325966851</v>
      </c>
      <c r="AH44">
        <v>17</v>
      </c>
      <c r="AI44">
        <v>499.9411764706</v>
      </c>
      <c r="AL44" t="s">
        <v>386</v>
      </c>
      <c r="AM44">
        <v>156</v>
      </c>
      <c r="AN44">
        <v>112</v>
      </c>
      <c r="AO44">
        <v>337.29464285709997</v>
      </c>
      <c r="AP44">
        <v>24</v>
      </c>
      <c r="AQ44">
        <v>733.79166666670005</v>
      </c>
      <c r="AR44">
        <v>41</v>
      </c>
      <c r="AS44">
        <v>361.43902439020002</v>
      </c>
      <c r="AT44">
        <v>3</v>
      </c>
      <c r="AU44">
        <v>542</v>
      </c>
    </row>
    <row r="45" spans="6:49" x14ac:dyDescent="0.2">
      <c r="F45" t="s">
        <v>51</v>
      </c>
      <c r="G45">
        <v>5296</v>
      </c>
      <c r="H45">
        <v>4267</v>
      </c>
      <c r="I45">
        <v>461.33981720179997</v>
      </c>
      <c r="J45">
        <v>269</v>
      </c>
      <c r="K45">
        <v>906.52044609669997</v>
      </c>
      <c r="L45">
        <v>564</v>
      </c>
      <c r="M45">
        <v>246.74290780140001</v>
      </c>
      <c r="N45">
        <v>460</v>
      </c>
      <c r="O45">
        <v>593.09347826090004</v>
      </c>
      <c r="R45">
        <v>5</v>
      </c>
      <c r="S45">
        <v>422.4</v>
      </c>
      <c r="V45" t="s">
        <v>388</v>
      </c>
      <c r="W45">
        <v>4922</v>
      </c>
      <c r="X45">
        <v>3062</v>
      </c>
      <c r="Y45">
        <v>336.13128674069998</v>
      </c>
      <c r="Z45">
        <v>379</v>
      </c>
      <c r="AA45">
        <v>511.4459102902</v>
      </c>
      <c r="AB45">
        <v>1181</v>
      </c>
      <c r="AC45">
        <v>362.08213378490001</v>
      </c>
      <c r="AD45">
        <v>465</v>
      </c>
      <c r="AE45">
        <v>526.01290322579996</v>
      </c>
      <c r="AF45">
        <v>207</v>
      </c>
      <c r="AG45">
        <v>214.85024154589999</v>
      </c>
      <c r="AH45">
        <v>7</v>
      </c>
      <c r="AI45">
        <v>649</v>
      </c>
      <c r="AL45" t="s">
        <v>388</v>
      </c>
      <c r="AM45">
        <v>143</v>
      </c>
      <c r="AN45">
        <v>97</v>
      </c>
      <c r="AO45">
        <v>335.8350515464</v>
      </c>
      <c r="AP45">
        <v>11</v>
      </c>
      <c r="AQ45">
        <v>561.63636363640001</v>
      </c>
      <c r="AR45">
        <v>45</v>
      </c>
      <c r="AS45">
        <v>388.35555555560001</v>
      </c>
      <c r="AT45">
        <v>1</v>
      </c>
      <c r="AU45">
        <v>485</v>
      </c>
    </row>
    <row r="46" spans="6:49" x14ac:dyDescent="0.2">
      <c r="F46" t="s">
        <v>59</v>
      </c>
      <c r="G46">
        <v>5854</v>
      </c>
      <c r="H46">
        <v>4981</v>
      </c>
      <c r="I46">
        <v>460.0791005822</v>
      </c>
      <c r="J46">
        <v>446</v>
      </c>
      <c r="K46">
        <v>705.26457399100002</v>
      </c>
      <c r="L46">
        <v>557</v>
      </c>
      <c r="M46">
        <v>383.90843806100003</v>
      </c>
      <c r="N46">
        <v>297</v>
      </c>
      <c r="O46">
        <v>462.05387205390002</v>
      </c>
      <c r="R46">
        <v>19</v>
      </c>
      <c r="S46">
        <v>475.52631578950002</v>
      </c>
      <c r="V46" t="s">
        <v>384</v>
      </c>
      <c r="W46">
        <v>70134</v>
      </c>
      <c r="X46">
        <v>49190</v>
      </c>
      <c r="Y46">
        <v>425.83334010980002</v>
      </c>
      <c r="Z46">
        <v>5599</v>
      </c>
      <c r="AA46">
        <v>567.90605465260001</v>
      </c>
      <c r="AB46">
        <v>14265</v>
      </c>
      <c r="AC46">
        <v>602.92660357520003</v>
      </c>
      <c r="AD46">
        <v>4151</v>
      </c>
      <c r="AE46">
        <v>488.65951807229999</v>
      </c>
      <c r="AF46">
        <v>2411</v>
      </c>
      <c r="AG46">
        <v>194.1721277478</v>
      </c>
      <c r="AH46">
        <v>117</v>
      </c>
      <c r="AI46">
        <v>477.54700854700002</v>
      </c>
      <c r="AL46" t="s">
        <v>384</v>
      </c>
      <c r="AM46">
        <v>862</v>
      </c>
      <c r="AN46">
        <v>597</v>
      </c>
      <c r="AO46">
        <v>272.32160804019998</v>
      </c>
      <c r="AP46">
        <v>258</v>
      </c>
      <c r="AQ46">
        <v>337.59689922479998</v>
      </c>
      <c r="AR46">
        <v>242</v>
      </c>
      <c r="AS46">
        <v>267.12396694210003</v>
      </c>
      <c r="AT46">
        <v>23</v>
      </c>
      <c r="AU46">
        <v>285.39130434779997</v>
      </c>
    </row>
    <row r="47" spans="6:49" x14ac:dyDescent="0.2">
      <c r="F47" t="s">
        <v>181</v>
      </c>
      <c r="G47">
        <v>467</v>
      </c>
      <c r="H47">
        <v>347</v>
      </c>
      <c r="I47">
        <v>341.39769452450003</v>
      </c>
      <c r="J47">
        <v>190</v>
      </c>
      <c r="K47">
        <v>315.31052631580002</v>
      </c>
      <c r="L47">
        <v>76</v>
      </c>
      <c r="M47">
        <v>171.93421052630001</v>
      </c>
      <c r="N47">
        <v>42</v>
      </c>
      <c r="O47">
        <v>384.45238095240001</v>
      </c>
      <c r="R47">
        <v>2</v>
      </c>
      <c r="S47">
        <v>494</v>
      </c>
      <c r="V47" t="s">
        <v>415</v>
      </c>
      <c r="W47">
        <v>505</v>
      </c>
      <c r="X47">
        <v>388</v>
      </c>
      <c r="Y47">
        <v>250.94072164950001</v>
      </c>
      <c r="Z47">
        <v>28</v>
      </c>
      <c r="AA47">
        <v>602.25</v>
      </c>
      <c r="AB47">
        <v>33</v>
      </c>
      <c r="AC47">
        <v>477.75757575760002</v>
      </c>
      <c r="AD47">
        <v>64</v>
      </c>
      <c r="AE47">
        <v>298.3125</v>
      </c>
      <c r="AF47">
        <v>13</v>
      </c>
      <c r="AG47">
        <v>293.07692307690002</v>
      </c>
      <c r="AH47">
        <v>7</v>
      </c>
      <c r="AI47">
        <v>312.71428571429999</v>
      </c>
      <c r="AL47" t="s">
        <v>415</v>
      </c>
      <c r="AM47">
        <v>24</v>
      </c>
      <c r="AN47">
        <v>18</v>
      </c>
      <c r="AO47">
        <v>166.5</v>
      </c>
      <c r="AP47">
        <v>4</v>
      </c>
      <c r="AQ47">
        <v>264</v>
      </c>
      <c r="AR47">
        <v>6</v>
      </c>
      <c r="AS47">
        <v>80</v>
      </c>
    </row>
    <row r="48" spans="6:49" x14ac:dyDescent="0.2">
      <c r="F48" t="s">
        <v>70</v>
      </c>
      <c r="G48">
        <v>984</v>
      </c>
      <c r="H48">
        <v>793</v>
      </c>
      <c r="I48">
        <v>347.47540983610003</v>
      </c>
      <c r="J48">
        <v>576</v>
      </c>
      <c r="K48">
        <v>386.1371527778</v>
      </c>
      <c r="L48">
        <v>102</v>
      </c>
      <c r="M48">
        <v>134.8235294118</v>
      </c>
      <c r="N48">
        <v>79</v>
      </c>
      <c r="O48">
        <v>206.65822784810001</v>
      </c>
      <c r="R48">
        <v>10</v>
      </c>
      <c r="S48">
        <v>250.8</v>
      </c>
      <c r="V48" t="s">
        <v>416</v>
      </c>
      <c r="W48">
        <v>118</v>
      </c>
      <c r="X48">
        <v>84</v>
      </c>
      <c r="Y48">
        <v>186.15476190480001</v>
      </c>
      <c r="Z48">
        <v>32</v>
      </c>
      <c r="AA48">
        <v>193.21875</v>
      </c>
      <c r="AB48">
        <v>7</v>
      </c>
      <c r="AC48">
        <v>250.1428571429</v>
      </c>
      <c r="AD48">
        <v>18</v>
      </c>
      <c r="AE48">
        <v>370.55555555559999</v>
      </c>
      <c r="AF48">
        <v>6</v>
      </c>
      <c r="AG48">
        <v>91.333333333300004</v>
      </c>
      <c r="AH48">
        <v>3</v>
      </c>
      <c r="AI48">
        <v>276.6666666667</v>
      </c>
      <c r="AL48" t="s">
        <v>416</v>
      </c>
      <c r="AM48">
        <v>8</v>
      </c>
      <c r="AN48">
        <v>6</v>
      </c>
      <c r="AO48">
        <v>185</v>
      </c>
      <c r="AP48">
        <v>4</v>
      </c>
      <c r="AQ48">
        <v>228.25</v>
      </c>
      <c r="AR48">
        <v>1</v>
      </c>
      <c r="AS48">
        <v>130</v>
      </c>
      <c r="AT48">
        <v>1</v>
      </c>
      <c r="AU48">
        <v>800</v>
      </c>
    </row>
    <row r="49" spans="6:51" x14ac:dyDescent="0.2">
      <c r="F49" t="s">
        <v>384</v>
      </c>
      <c r="G49">
        <v>67547</v>
      </c>
      <c r="H49">
        <v>49090</v>
      </c>
      <c r="I49">
        <v>426.4305037789</v>
      </c>
      <c r="J49">
        <v>5495</v>
      </c>
      <c r="K49">
        <v>569.56942675159996</v>
      </c>
      <c r="L49">
        <v>14188</v>
      </c>
      <c r="M49">
        <v>609.51480124049999</v>
      </c>
      <c r="N49">
        <v>4156</v>
      </c>
      <c r="O49">
        <v>492.18243080629998</v>
      </c>
      <c r="R49">
        <v>113</v>
      </c>
      <c r="S49">
        <v>473.71681415929999</v>
      </c>
      <c r="V49" t="s">
        <v>422</v>
      </c>
      <c r="W49">
        <v>636</v>
      </c>
      <c r="X49">
        <v>386</v>
      </c>
      <c r="Y49">
        <v>357.74093264250001</v>
      </c>
      <c r="Z49">
        <v>52</v>
      </c>
      <c r="AA49">
        <v>590.82692307690002</v>
      </c>
      <c r="AB49">
        <v>149</v>
      </c>
      <c r="AC49">
        <v>462.1879194631</v>
      </c>
      <c r="AD49">
        <v>76</v>
      </c>
      <c r="AE49">
        <v>665.26315789470004</v>
      </c>
      <c r="AF49">
        <v>20</v>
      </c>
      <c r="AG49">
        <v>216.25</v>
      </c>
      <c r="AH49">
        <v>5</v>
      </c>
      <c r="AI49">
        <v>516.4</v>
      </c>
      <c r="AL49" t="s">
        <v>422</v>
      </c>
      <c r="AM49">
        <v>7</v>
      </c>
      <c r="AN49">
        <v>7</v>
      </c>
      <c r="AO49">
        <v>180.28571428570001</v>
      </c>
      <c r="AP49">
        <v>6</v>
      </c>
      <c r="AQ49">
        <v>380.1666666667</v>
      </c>
    </row>
    <row r="50" spans="6:51" x14ac:dyDescent="0.2">
      <c r="F50" t="s">
        <v>212</v>
      </c>
      <c r="G50">
        <v>986</v>
      </c>
      <c r="H50">
        <v>702</v>
      </c>
      <c r="I50">
        <v>172.85470085470001</v>
      </c>
      <c r="J50">
        <v>506</v>
      </c>
      <c r="K50">
        <v>245.55928853750001</v>
      </c>
      <c r="L50">
        <v>239</v>
      </c>
      <c r="M50">
        <v>151.230125523</v>
      </c>
      <c r="N50">
        <v>45</v>
      </c>
      <c r="O50">
        <v>229.68888888890001</v>
      </c>
      <c r="V50" t="s">
        <v>375</v>
      </c>
      <c r="W50">
        <v>5638</v>
      </c>
      <c r="X50">
        <v>4616</v>
      </c>
      <c r="Y50">
        <v>550.48938474869999</v>
      </c>
      <c r="Z50">
        <v>411</v>
      </c>
      <c r="AA50">
        <v>875.12408759120001</v>
      </c>
      <c r="AB50">
        <v>561</v>
      </c>
      <c r="AC50">
        <v>629.59714795009995</v>
      </c>
      <c r="AD50">
        <v>315</v>
      </c>
      <c r="AE50">
        <v>642.15555555560002</v>
      </c>
      <c r="AF50">
        <v>135</v>
      </c>
      <c r="AG50">
        <v>131.26666666669999</v>
      </c>
      <c r="AH50">
        <v>11</v>
      </c>
      <c r="AI50">
        <v>555.90909090909997</v>
      </c>
      <c r="AL50" t="s">
        <v>375</v>
      </c>
      <c r="AM50">
        <v>51</v>
      </c>
      <c r="AN50">
        <v>39</v>
      </c>
      <c r="AO50">
        <v>154.97435897439999</v>
      </c>
      <c r="AP50">
        <v>18</v>
      </c>
      <c r="AQ50">
        <v>358.7222222222</v>
      </c>
      <c r="AR50">
        <v>7</v>
      </c>
      <c r="AS50">
        <v>112.42857142859999</v>
      </c>
      <c r="AT50">
        <v>5</v>
      </c>
      <c r="AU50">
        <v>344.2</v>
      </c>
    </row>
    <row r="51" spans="6:51" x14ac:dyDescent="0.2">
      <c r="F51" t="s">
        <v>209</v>
      </c>
      <c r="G51">
        <v>2300</v>
      </c>
      <c r="H51">
        <v>1609</v>
      </c>
      <c r="I51">
        <v>351.44561839649998</v>
      </c>
      <c r="J51">
        <v>229</v>
      </c>
      <c r="K51">
        <v>639.96943231440002</v>
      </c>
      <c r="L51">
        <v>639</v>
      </c>
      <c r="M51">
        <v>331.86854460090001</v>
      </c>
      <c r="N51">
        <v>52</v>
      </c>
      <c r="O51">
        <v>333.76923076920002</v>
      </c>
      <c r="V51" t="s">
        <v>60</v>
      </c>
      <c r="W51">
        <v>5473</v>
      </c>
      <c r="X51">
        <v>3809</v>
      </c>
      <c r="Y51">
        <v>257.94591756369999</v>
      </c>
      <c r="Z51">
        <v>467</v>
      </c>
      <c r="AA51">
        <v>392.50107066380002</v>
      </c>
      <c r="AB51">
        <v>889</v>
      </c>
      <c r="AC51">
        <v>310.65466816650002</v>
      </c>
      <c r="AD51">
        <v>488</v>
      </c>
      <c r="AE51">
        <v>615.76591375769999</v>
      </c>
      <c r="AF51">
        <v>272</v>
      </c>
      <c r="AG51">
        <v>197.04779411760001</v>
      </c>
      <c r="AH51">
        <v>15</v>
      </c>
      <c r="AI51">
        <v>630.66666666670005</v>
      </c>
      <c r="AL51" t="s">
        <v>60</v>
      </c>
      <c r="AM51">
        <v>134</v>
      </c>
      <c r="AN51">
        <v>95</v>
      </c>
      <c r="AO51">
        <v>184.23157894740001</v>
      </c>
      <c r="AP51">
        <v>45</v>
      </c>
      <c r="AQ51">
        <v>338.35555555560001</v>
      </c>
      <c r="AR51">
        <v>30</v>
      </c>
      <c r="AS51">
        <v>161.26666666669999</v>
      </c>
      <c r="AT51">
        <v>9</v>
      </c>
      <c r="AU51">
        <v>315.44444444440001</v>
      </c>
    </row>
    <row r="52" spans="6:51" x14ac:dyDescent="0.2">
      <c r="F52" t="s">
        <v>210</v>
      </c>
      <c r="G52">
        <v>1664</v>
      </c>
      <c r="H52">
        <v>1153</v>
      </c>
      <c r="I52">
        <v>189.46660884650001</v>
      </c>
      <c r="J52">
        <v>640</v>
      </c>
      <c r="K52">
        <v>368.68437499999999</v>
      </c>
      <c r="L52">
        <v>406</v>
      </c>
      <c r="M52">
        <v>146.71182266010001</v>
      </c>
      <c r="N52">
        <v>104</v>
      </c>
      <c r="O52">
        <v>335.49038461539999</v>
      </c>
      <c r="R52">
        <v>1</v>
      </c>
      <c r="S52">
        <v>362</v>
      </c>
      <c r="V52" t="s">
        <v>377</v>
      </c>
      <c r="W52">
        <v>15234</v>
      </c>
      <c r="X52">
        <v>10914</v>
      </c>
      <c r="Y52">
        <v>391.06441268100002</v>
      </c>
      <c r="Z52">
        <v>690</v>
      </c>
      <c r="AA52">
        <v>764.27681159420001</v>
      </c>
      <c r="AB52">
        <v>3288</v>
      </c>
      <c r="AC52">
        <v>696.14233576640004</v>
      </c>
      <c r="AD52">
        <v>625</v>
      </c>
      <c r="AE52">
        <v>481.17599999999999</v>
      </c>
      <c r="AF52">
        <v>407</v>
      </c>
      <c r="AG52">
        <v>147.2727272727</v>
      </c>
      <c r="AL52" t="s">
        <v>377</v>
      </c>
      <c r="AM52">
        <v>91</v>
      </c>
      <c r="AN52">
        <v>67</v>
      </c>
      <c r="AO52">
        <v>172</v>
      </c>
      <c r="AP52">
        <v>52</v>
      </c>
      <c r="AQ52">
        <v>352.30769230769999</v>
      </c>
      <c r="AR52">
        <v>17</v>
      </c>
      <c r="AS52">
        <v>108.1764705882</v>
      </c>
      <c r="AT52">
        <v>7</v>
      </c>
      <c r="AU52">
        <v>249.57142857139999</v>
      </c>
    </row>
    <row r="53" spans="6:51" x14ac:dyDescent="0.2">
      <c r="F53" t="s">
        <v>461</v>
      </c>
      <c r="G53">
        <v>4950</v>
      </c>
      <c r="H53">
        <v>3464</v>
      </c>
      <c r="I53">
        <v>261.33804849879999</v>
      </c>
      <c r="J53">
        <v>1375</v>
      </c>
      <c r="K53">
        <v>368.5556363636</v>
      </c>
      <c r="L53">
        <v>1284</v>
      </c>
      <c r="M53">
        <v>239.69859813080001</v>
      </c>
      <c r="N53">
        <v>201</v>
      </c>
      <c r="O53">
        <v>311.35820895519998</v>
      </c>
      <c r="R53">
        <v>1</v>
      </c>
      <c r="S53">
        <v>362</v>
      </c>
      <c r="V53" t="s">
        <v>373</v>
      </c>
      <c r="W53">
        <v>3839</v>
      </c>
      <c r="X53">
        <v>2508</v>
      </c>
      <c r="Y53">
        <v>343.33173843700001</v>
      </c>
      <c r="Z53">
        <v>391</v>
      </c>
      <c r="AA53">
        <v>414.96163682859998</v>
      </c>
      <c r="AB53">
        <v>591</v>
      </c>
      <c r="AC53">
        <v>248.4179357022</v>
      </c>
      <c r="AD53">
        <v>569</v>
      </c>
      <c r="AE53">
        <v>576.86994727590002</v>
      </c>
      <c r="AF53">
        <v>149</v>
      </c>
      <c r="AG53">
        <v>209.1879194631</v>
      </c>
      <c r="AH53">
        <v>22</v>
      </c>
      <c r="AI53">
        <v>572.22727272730003</v>
      </c>
      <c r="AL53" t="s">
        <v>373</v>
      </c>
      <c r="AM53">
        <v>117</v>
      </c>
      <c r="AN53">
        <v>80</v>
      </c>
      <c r="AO53">
        <v>170.48750000000001</v>
      </c>
      <c r="AP53">
        <v>48</v>
      </c>
      <c r="AQ53">
        <v>332.1666666667</v>
      </c>
      <c r="AR53">
        <v>27</v>
      </c>
      <c r="AS53">
        <v>153.4814814815</v>
      </c>
      <c r="AT53">
        <v>9</v>
      </c>
      <c r="AU53">
        <v>277.44444444440001</v>
      </c>
      <c r="AX53">
        <v>1</v>
      </c>
      <c r="AY53">
        <v>362</v>
      </c>
    </row>
    <row r="54" spans="6:51" x14ac:dyDescent="0.2">
      <c r="F54" t="s">
        <v>78</v>
      </c>
      <c r="G54">
        <v>976</v>
      </c>
      <c r="H54">
        <v>797</v>
      </c>
      <c r="I54">
        <v>443.43287327479999</v>
      </c>
      <c r="J54">
        <v>87</v>
      </c>
      <c r="K54">
        <v>792.37931034480005</v>
      </c>
      <c r="L54">
        <v>25</v>
      </c>
      <c r="M54">
        <v>339.88</v>
      </c>
      <c r="N54">
        <v>147</v>
      </c>
      <c r="O54">
        <v>456.70068027209999</v>
      </c>
      <c r="R54">
        <v>7</v>
      </c>
      <c r="S54">
        <v>312.71428571429999</v>
      </c>
      <c r="V54" t="s">
        <v>372</v>
      </c>
      <c r="W54">
        <v>1367</v>
      </c>
      <c r="X54">
        <v>898</v>
      </c>
      <c r="Y54">
        <v>224.86636971050001</v>
      </c>
      <c r="Z54">
        <v>130</v>
      </c>
      <c r="AA54">
        <v>317.1692307692</v>
      </c>
      <c r="AB54">
        <v>250</v>
      </c>
      <c r="AC54">
        <v>241.52799999999999</v>
      </c>
      <c r="AD54">
        <v>143</v>
      </c>
      <c r="AE54">
        <v>302.69230769230001</v>
      </c>
      <c r="AF54">
        <v>73</v>
      </c>
      <c r="AG54">
        <v>159</v>
      </c>
      <c r="AH54">
        <v>3</v>
      </c>
      <c r="AI54">
        <v>245.6666666667</v>
      </c>
      <c r="AL54" t="s">
        <v>372</v>
      </c>
      <c r="AM54">
        <v>33</v>
      </c>
      <c r="AN54">
        <v>19</v>
      </c>
      <c r="AO54">
        <v>195.63157894739999</v>
      </c>
      <c r="AP54">
        <v>8</v>
      </c>
      <c r="AQ54">
        <v>239.75</v>
      </c>
      <c r="AR54">
        <v>12</v>
      </c>
      <c r="AS54">
        <v>138.4166666667</v>
      </c>
      <c r="AT54">
        <v>2</v>
      </c>
      <c r="AU54">
        <v>155</v>
      </c>
    </row>
    <row r="55" spans="6:51" x14ac:dyDescent="0.2">
      <c r="F55" t="s">
        <v>35</v>
      </c>
      <c r="G55">
        <v>3168</v>
      </c>
      <c r="H55">
        <v>1950</v>
      </c>
      <c r="I55">
        <v>466.48845561830001</v>
      </c>
      <c r="J55">
        <v>230</v>
      </c>
      <c r="K55">
        <v>409.81739130429997</v>
      </c>
      <c r="L55">
        <v>909</v>
      </c>
      <c r="M55">
        <v>479.08910891089999</v>
      </c>
      <c r="N55">
        <v>299</v>
      </c>
      <c r="O55">
        <v>591.28093645479998</v>
      </c>
      <c r="R55">
        <v>10</v>
      </c>
      <c r="S55">
        <v>418.4</v>
      </c>
      <c r="V55" t="s">
        <v>374</v>
      </c>
      <c r="W55">
        <v>7259</v>
      </c>
      <c r="X55">
        <v>5081</v>
      </c>
      <c r="Y55">
        <v>396.80299153710001</v>
      </c>
      <c r="Z55">
        <v>658</v>
      </c>
      <c r="AA55">
        <v>581.82826747720003</v>
      </c>
      <c r="AB55">
        <v>960</v>
      </c>
      <c r="AC55">
        <v>396.42604166669997</v>
      </c>
      <c r="AD55">
        <v>898</v>
      </c>
      <c r="AE55">
        <v>713.37416481069999</v>
      </c>
      <c r="AF55">
        <v>284</v>
      </c>
      <c r="AG55">
        <v>191.39084507039999</v>
      </c>
      <c r="AH55">
        <v>36</v>
      </c>
      <c r="AI55">
        <v>485.2222222222</v>
      </c>
      <c r="AL55" t="s">
        <v>374</v>
      </c>
      <c r="AM55">
        <v>150</v>
      </c>
      <c r="AN55">
        <v>103</v>
      </c>
      <c r="AO55">
        <v>180.86407766990001</v>
      </c>
      <c r="AP55">
        <v>63</v>
      </c>
      <c r="AQ55">
        <v>404.31746031749998</v>
      </c>
      <c r="AR55">
        <v>32</v>
      </c>
      <c r="AS55">
        <v>137.53125</v>
      </c>
      <c r="AT55">
        <v>14</v>
      </c>
      <c r="AU55">
        <v>432</v>
      </c>
      <c r="AV55">
        <v>1</v>
      </c>
      <c r="AW55">
        <v>5441</v>
      </c>
    </row>
    <row r="56" spans="6:51" x14ac:dyDescent="0.2">
      <c r="F56" t="s">
        <v>61</v>
      </c>
      <c r="G56">
        <v>2465</v>
      </c>
      <c r="H56">
        <v>1783</v>
      </c>
      <c r="I56">
        <v>373.728547392</v>
      </c>
      <c r="J56">
        <v>325</v>
      </c>
      <c r="K56">
        <v>432.24307692309998</v>
      </c>
      <c r="L56">
        <v>265</v>
      </c>
      <c r="M56">
        <v>71.2490566038</v>
      </c>
      <c r="N56">
        <v>403</v>
      </c>
      <c r="O56">
        <v>523.64267990070005</v>
      </c>
      <c r="R56">
        <v>14</v>
      </c>
      <c r="S56">
        <v>515.57142857140002</v>
      </c>
      <c r="V56" t="s">
        <v>371</v>
      </c>
      <c r="W56">
        <v>306</v>
      </c>
      <c r="X56">
        <v>154</v>
      </c>
      <c r="Y56">
        <v>166.07792207790001</v>
      </c>
      <c r="Z56">
        <v>88</v>
      </c>
      <c r="AA56">
        <v>205.3522727273</v>
      </c>
      <c r="AB56">
        <v>79</v>
      </c>
      <c r="AC56">
        <v>143.45569620250001</v>
      </c>
      <c r="AD56">
        <v>29</v>
      </c>
      <c r="AE56">
        <v>208.4137931034</v>
      </c>
      <c r="AF56">
        <v>43</v>
      </c>
      <c r="AG56">
        <v>194.13953488370001</v>
      </c>
      <c r="AH56">
        <v>1</v>
      </c>
      <c r="AI56">
        <v>285</v>
      </c>
      <c r="AL56" t="s">
        <v>371</v>
      </c>
      <c r="AM56">
        <v>18</v>
      </c>
      <c r="AN56">
        <v>13</v>
      </c>
      <c r="AO56">
        <v>129.07692307689999</v>
      </c>
      <c r="AP56">
        <v>2</v>
      </c>
      <c r="AQ56">
        <v>343</v>
      </c>
      <c r="AR56">
        <v>4</v>
      </c>
      <c r="AS56">
        <v>197.5</v>
      </c>
      <c r="AT56">
        <v>1</v>
      </c>
      <c r="AU56">
        <v>249</v>
      </c>
    </row>
    <row r="57" spans="6:51" x14ac:dyDescent="0.2">
      <c r="F57" t="s">
        <v>24</v>
      </c>
      <c r="G57">
        <v>2120</v>
      </c>
      <c r="H57">
        <v>1300</v>
      </c>
      <c r="I57">
        <v>260.72461538459999</v>
      </c>
      <c r="J57">
        <v>340</v>
      </c>
      <c r="K57">
        <v>313.63823529410001</v>
      </c>
      <c r="L57">
        <v>600</v>
      </c>
      <c r="M57">
        <v>334.8</v>
      </c>
      <c r="N57">
        <v>203</v>
      </c>
      <c r="O57">
        <v>572.02955665019999</v>
      </c>
      <c r="R57">
        <v>17</v>
      </c>
      <c r="S57">
        <v>639.9411764706</v>
      </c>
      <c r="V57" t="s">
        <v>370</v>
      </c>
      <c r="W57">
        <v>3350</v>
      </c>
      <c r="X57">
        <v>1935</v>
      </c>
      <c r="Y57">
        <v>435.81799379519998</v>
      </c>
      <c r="Z57">
        <v>318</v>
      </c>
      <c r="AA57">
        <v>407.27672955970002</v>
      </c>
      <c r="AB57">
        <v>943</v>
      </c>
      <c r="AC57">
        <v>452.60021208910001</v>
      </c>
      <c r="AD57">
        <v>310</v>
      </c>
      <c r="AE57">
        <v>562.87741935480005</v>
      </c>
      <c r="AF57">
        <v>152</v>
      </c>
      <c r="AG57">
        <v>177.15131578949999</v>
      </c>
      <c r="AH57">
        <v>10</v>
      </c>
      <c r="AI57">
        <v>418.4</v>
      </c>
      <c r="AL57" t="s">
        <v>370</v>
      </c>
      <c r="AM57">
        <v>81</v>
      </c>
      <c r="AN57">
        <v>61</v>
      </c>
      <c r="AO57">
        <v>175.5573770492</v>
      </c>
      <c r="AP57">
        <v>18</v>
      </c>
      <c r="AQ57">
        <v>374.7777777778</v>
      </c>
      <c r="AR57">
        <v>19</v>
      </c>
      <c r="AS57">
        <v>165.84210526320001</v>
      </c>
      <c r="AT57">
        <v>1</v>
      </c>
      <c r="AU57">
        <v>577</v>
      </c>
    </row>
    <row r="58" spans="6:51" x14ac:dyDescent="0.2">
      <c r="F58" t="s">
        <v>69</v>
      </c>
      <c r="G58">
        <v>14805</v>
      </c>
      <c r="H58">
        <v>11034</v>
      </c>
      <c r="I58">
        <v>377.73255392419998</v>
      </c>
      <c r="J58">
        <v>634</v>
      </c>
      <c r="K58">
        <v>753.12933753940001</v>
      </c>
      <c r="L58">
        <v>3237</v>
      </c>
      <c r="M58">
        <v>649.38646895270006</v>
      </c>
      <c r="N58">
        <v>534</v>
      </c>
      <c r="O58">
        <v>409.17790262170001</v>
      </c>
      <c r="V58" t="s">
        <v>414</v>
      </c>
      <c r="W58">
        <v>602</v>
      </c>
      <c r="X58">
        <v>487</v>
      </c>
      <c r="Y58">
        <v>242.70636550309999</v>
      </c>
      <c r="Z58">
        <v>60</v>
      </c>
      <c r="AA58">
        <v>401.46666666670001</v>
      </c>
      <c r="AB58">
        <v>41</v>
      </c>
      <c r="AC58">
        <v>251.31707317070001</v>
      </c>
      <c r="AD58">
        <v>36</v>
      </c>
      <c r="AE58">
        <v>247.7777777778</v>
      </c>
      <c r="AF58">
        <v>37</v>
      </c>
      <c r="AG58">
        <v>165.2432432432</v>
      </c>
      <c r="AH58">
        <v>1</v>
      </c>
      <c r="AI58">
        <v>565</v>
      </c>
      <c r="AL58" t="s">
        <v>414</v>
      </c>
      <c r="AM58">
        <v>5</v>
      </c>
      <c r="AN58">
        <v>4</v>
      </c>
      <c r="AO58">
        <v>124.5</v>
      </c>
      <c r="AP58">
        <v>2</v>
      </c>
      <c r="AQ58">
        <v>225</v>
      </c>
      <c r="AR58">
        <v>1</v>
      </c>
      <c r="AS58">
        <v>103</v>
      </c>
    </row>
    <row r="59" spans="6:51" x14ac:dyDescent="0.2">
      <c r="F59" t="s">
        <v>44</v>
      </c>
      <c r="G59">
        <v>1385</v>
      </c>
      <c r="H59">
        <v>960</v>
      </c>
      <c r="I59">
        <v>268.65416666670001</v>
      </c>
      <c r="J59">
        <v>147</v>
      </c>
      <c r="K59">
        <v>425.90476190480001</v>
      </c>
      <c r="L59">
        <v>285</v>
      </c>
      <c r="M59">
        <v>244.55438596490001</v>
      </c>
      <c r="N59">
        <v>137</v>
      </c>
      <c r="O59">
        <v>298.82481751820001</v>
      </c>
      <c r="R59">
        <v>3</v>
      </c>
      <c r="S59">
        <v>245.6666666667</v>
      </c>
      <c r="V59" t="s">
        <v>378</v>
      </c>
      <c r="W59">
        <v>2408</v>
      </c>
      <c r="X59">
        <v>1654</v>
      </c>
      <c r="Y59">
        <v>349.18681983070002</v>
      </c>
      <c r="Z59">
        <v>272</v>
      </c>
      <c r="AA59">
        <v>376.8823529412</v>
      </c>
      <c r="AB59">
        <v>136</v>
      </c>
      <c r="AC59">
        <v>254.66911764709999</v>
      </c>
      <c r="AD59">
        <v>500</v>
      </c>
      <c r="AE59">
        <v>559.66733466929998</v>
      </c>
      <c r="AF59">
        <v>111</v>
      </c>
      <c r="AG59">
        <v>203.15315315320001</v>
      </c>
      <c r="AH59">
        <v>7</v>
      </c>
      <c r="AI59">
        <v>460</v>
      </c>
      <c r="AL59" t="s">
        <v>378</v>
      </c>
      <c r="AM59">
        <v>34</v>
      </c>
      <c r="AN59">
        <v>27</v>
      </c>
      <c r="AO59">
        <v>270.8148148148</v>
      </c>
      <c r="AP59">
        <v>17</v>
      </c>
      <c r="AQ59">
        <v>262.23529411760001</v>
      </c>
      <c r="AR59">
        <v>6</v>
      </c>
      <c r="AS59">
        <v>145.5</v>
      </c>
      <c r="AV59">
        <v>1</v>
      </c>
      <c r="AW59">
        <v>334</v>
      </c>
    </row>
    <row r="60" spans="6:51" x14ac:dyDescent="0.2">
      <c r="F60" t="s">
        <v>60</v>
      </c>
      <c r="G60">
        <v>3307</v>
      </c>
      <c r="H60">
        <v>2676</v>
      </c>
      <c r="I60">
        <v>270.82959641259998</v>
      </c>
      <c r="J60">
        <v>271</v>
      </c>
      <c r="K60">
        <v>640.5129151292</v>
      </c>
      <c r="L60">
        <v>336</v>
      </c>
      <c r="M60">
        <v>183.57738095240001</v>
      </c>
      <c r="N60">
        <v>295</v>
      </c>
      <c r="O60">
        <v>647.59661016949997</v>
      </c>
      <c r="V60" t="s">
        <v>381</v>
      </c>
      <c r="W60">
        <v>9331</v>
      </c>
      <c r="X60">
        <v>6733</v>
      </c>
      <c r="Y60">
        <v>257.61948611320003</v>
      </c>
      <c r="Z60">
        <v>1071</v>
      </c>
      <c r="AA60">
        <v>436.10084033610002</v>
      </c>
      <c r="AB60">
        <v>1210</v>
      </c>
      <c r="AC60">
        <v>197.65289256200001</v>
      </c>
      <c r="AD60">
        <v>819</v>
      </c>
      <c r="AE60">
        <v>345.6532356532</v>
      </c>
      <c r="AF60">
        <v>546</v>
      </c>
      <c r="AG60">
        <v>182.59157509159999</v>
      </c>
      <c r="AH60">
        <v>23</v>
      </c>
      <c r="AI60">
        <v>261.4347826087</v>
      </c>
      <c r="AL60" t="s">
        <v>381</v>
      </c>
      <c r="AM60">
        <v>140</v>
      </c>
      <c r="AN60">
        <v>99</v>
      </c>
      <c r="AO60">
        <v>193.25252525249999</v>
      </c>
      <c r="AP60">
        <v>63</v>
      </c>
      <c r="AQ60">
        <v>355.04761904759999</v>
      </c>
      <c r="AR60">
        <v>32</v>
      </c>
      <c r="AS60">
        <v>148.875</v>
      </c>
      <c r="AT60">
        <v>9</v>
      </c>
      <c r="AU60">
        <v>304.44444444440001</v>
      </c>
    </row>
    <row r="61" spans="6:51" x14ac:dyDescent="0.2">
      <c r="F61" t="s">
        <v>33</v>
      </c>
      <c r="G61">
        <v>4805</v>
      </c>
      <c r="H61">
        <v>4093</v>
      </c>
      <c r="I61">
        <v>563.55411678480004</v>
      </c>
      <c r="J61">
        <v>307</v>
      </c>
      <c r="K61">
        <v>908.52442996740001</v>
      </c>
      <c r="L61">
        <v>366</v>
      </c>
      <c r="M61">
        <v>606.93715846990006</v>
      </c>
      <c r="N61">
        <v>335</v>
      </c>
      <c r="O61">
        <v>656.52395209580004</v>
      </c>
      <c r="R61">
        <v>11</v>
      </c>
      <c r="S61">
        <v>535.18181818180005</v>
      </c>
      <c r="V61" t="s">
        <v>413</v>
      </c>
      <c r="W61">
        <v>602</v>
      </c>
      <c r="X61">
        <v>412</v>
      </c>
      <c r="Y61">
        <v>433.96844660189998</v>
      </c>
      <c r="Z61">
        <v>32</v>
      </c>
      <c r="AA61">
        <v>733.78125</v>
      </c>
      <c r="AB61">
        <v>129</v>
      </c>
      <c r="AC61">
        <v>694.44186046510004</v>
      </c>
      <c r="AD61">
        <v>37</v>
      </c>
      <c r="AE61">
        <v>497.40540540540002</v>
      </c>
      <c r="AF61">
        <v>24</v>
      </c>
      <c r="AG61">
        <v>137.1666666667</v>
      </c>
      <c r="AL61" t="s">
        <v>413</v>
      </c>
      <c r="AM61">
        <v>8</v>
      </c>
      <c r="AN61">
        <v>5</v>
      </c>
      <c r="AO61">
        <v>156</v>
      </c>
      <c r="AP61">
        <v>6</v>
      </c>
      <c r="AQ61">
        <v>376.8333333333</v>
      </c>
      <c r="AR61">
        <v>2</v>
      </c>
      <c r="AS61">
        <v>203.5</v>
      </c>
      <c r="AT61">
        <v>1</v>
      </c>
      <c r="AU61">
        <v>242</v>
      </c>
    </row>
    <row r="62" spans="6:51" x14ac:dyDescent="0.2">
      <c r="F62" t="s">
        <v>47</v>
      </c>
      <c r="G62">
        <v>2540</v>
      </c>
      <c r="H62">
        <v>1781</v>
      </c>
      <c r="I62">
        <v>364.15160022459997</v>
      </c>
      <c r="J62">
        <v>291</v>
      </c>
      <c r="K62">
        <v>377.78694158079998</v>
      </c>
      <c r="L62">
        <v>253</v>
      </c>
      <c r="M62">
        <v>535.33596837940001</v>
      </c>
      <c r="N62">
        <v>498</v>
      </c>
      <c r="O62">
        <v>555.10261569420004</v>
      </c>
      <c r="R62">
        <v>8</v>
      </c>
      <c r="S62">
        <v>419.75</v>
      </c>
      <c r="V62" t="s">
        <v>368</v>
      </c>
      <c r="W62">
        <v>56668</v>
      </c>
      <c r="X62">
        <v>40059</v>
      </c>
      <c r="Y62">
        <v>364.4578361376</v>
      </c>
      <c r="Z62">
        <v>4700</v>
      </c>
      <c r="AA62">
        <v>526.62744680850005</v>
      </c>
      <c r="AB62">
        <v>9266</v>
      </c>
      <c r="AC62">
        <v>475.31383552770001</v>
      </c>
      <c r="AD62">
        <v>4927</v>
      </c>
      <c r="AE62">
        <v>540.42071065990001</v>
      </c>
      <c r="AF62">
        <v>2272</v>
      </c>
      <c r="AG62">
        <v>177.8160211268</v>
      </c>
      <c r="AH62">
        <v>144</v>
      </c>
      <c r="AI62">
        <v>459.9791666667</v>
      </c>
      <c r="AL62" t="s">
        <v>368</v>
      </c>
      <c r="AM62">
        <v>901</v>
      </c>
      <c r="AN62">
        <v>643</v>
      </c>
      <c r="AO62">
        <v>181.23328149299999</v>
      </c>
      <c r="AP62">
        <v>356</v>
      </c>
      <c r="AQ62">
        <v>349.87640449439999</v>
      </c>
      <c r="AR62">
        <v>196</v>
      </c>
      <c r="AS62">
        <v>144.73469387759999</v>
      </c>
      <c r="AT62">
        <v>59</v>
      </c>
      <c r="AU62">
        <v>335.08474576269998</v>
      </c>
      <c r="AV62">
        <v>2</v>
      </c>
      <c r="AW62">
        <v>2887.5</v>
      </c>
      <c r="AX62">
        <v>1</v>
      </c>
      <c r="AY62">
        <v>362</v>
      </c>
    </row>
    <row r="63" spans="6:51" x14ac:dyDescent="0.2">
      <c r="F63" t="s">
        <v>54</v>
      </c>
      <c r="G63">
        <v>568</v>
      </c>
      <c r="H63">
        <v>488</v>
      </c>
      <c r="I63">
        <v>238.5430327869</v>
      </c>
      <c r="J63">
        <v>76</v>
      </c>
      <c r="K63">
        <v>440.07894736840001</v>
      </c>
      <c r="L63">
        <v>38</v>
      </c>
      <c r="M63">
        <v>68.315789473699994</v>
      </c>
      <c r="N63">
        <v>41</v>
      </c>
      <c r="O63">
        <v>211.0975609756</v>
      </c>
      <c r="R63">
        <v>1</v>
      </c>
      <c r="S63">
        <v>565</v>
      </c>
      <c r="V63" t="s">
        <v>697</v>
      </c>
      <c r="W63">
        <v>311033</v>
      </c>
      <c r="X63">
        <v>227115</v>
      </c>
      <c r="Y63">
        <v>412.31864575439999</v>
      </c>
      <c r="Z63">
        <v>26609</v>
      </c>
      <c r="AA63">
        <v>553.11048893229997</v>
      </c>
      <c r="AB63">
        <v>50019</v>
      </c>
      <c r="AC63">
        <v>531.04902137190004</v>
      </c>
      <c r="AD63">
        <v>22015</v>
      </c>
      <c r="AE63">
        <v>508.63972191929997</v>
      </c>
      <c r="AF63">
        <v>11308</v>
      </c>
      <c r="AG63">
        <v>182.25860086669999</v>
      </c>
      <c r="AH63">
        <v>576</v>
      </c>
      <c r="AI63">
        <v>439.2239583333</v>
      </c>
      <c r="AL63" t="s">
        <v>697</v>
      </c>
      <c r="AM63">
        <v>4954</v>
      </c>
      <c r="AN63">
        <v>3464</v>
      </c>
      <c r="AO63">
        <v>261.33804849879999</v>
      </c>
      <c r="AP63">
        <v>1375</v>
      </c>
      <c r="AQ63">
        <v>368.5556363636</v>
      </c>
      <c r="AR63">
        <v>1284</v>
      </c>
      <c r="AS63">
        <v>239.69859813080001</v>
      </c>
      <c r="AT63">
        <v>201</v>
      </c>
      <c r="AU63">
        <v>311.35820895519998</v>
      </c>
      <c r="AV63">
        <v>4</v>
      </c>
      <c r="AW63">
        <v>2568.25</v>
      </c>
      <c r="AX63">
        <v>1</v>
      </c>
      <c r="AY63">
        <v>362</v>
      </c>
    </row>
    <row r="64" spans="6:51" x14ac:dyDescent="0.2">
      <c r="F64" t="s">
        <v>65</v>
      </c>
      <c r="G64">
        <v>4909</v>
      </c>
      <c r="H64">
        <v>4017</v>
      </c>
      <c r="I64">
        <v>548.97908887230005</v>
      </c>
      <c r="J64">
        <v>231</v>
      </c>
      <c r="K64">
        <v>1113.4458874459001</v>
      </c>
      <c r="L64">
        <v>120</v>
      </c>
      <c r="M64">
        <v>704.6</v>
      </c>
      <c r="N64">
        <v>759</v>
      </c>
      <c r="O64">
        <v>913.84716732540005</v>
      </c>
      <c r="R64">
        <v>13</v>
      </c>
      <c r="S64">
        <v>644.69230769230001</v>
      </c>
    </row>
    <row r="65" spans="6:19" x14ac:dyDescent="0.2">
      <c r="F65" t="s">
        <v>67</v>
      </c>
      <c r="G65">
        <v>1109</v>
      </c>
      <c r="H65">
        <v>607</v>
      </c>
      <c r="I65">
        <v>478.55848434929999</v>
      </c>
      <c r="J65">
        <v>271</v>
      </c>
      <c r="K65">
        <v>494.32103321030002</v>
      </c>
      <c r="L65">
        <v>361</v>
      </c>
      <c r="M65">
        <v>991.70914127419996</v>
      </c>
      <c r="N65">
        <v>140</v>
      </c>
      <c r="O65">
        <v>687.95714285710005</v>
      </c>
      <c r="R65">
        <v>1</v>
      </c>
      <c r="S65">
        <v>285</v>
      </c>
    </row>
    <row r="66" spans="6:19" x14ac:dyDescent="0.2">
      <c r="F66" t="s">
        <v>82</v>
      </c>
      <c r="G66">
        <v>150</v>
      </c>
      <c r="H66">
        <v>31</v>
      </c>
      <c r="I66">
        <v>1039.3225806452001</v>
      </c>
      <c r="J66">
        <v>12</v>
      </c>
      <c r="K66">
        <v>1212.25</v>
      </c>
      <c r="L66">
        <v>54</v>
      </c>
      <c r="M66">
        <v>793.98148148150005</v>
      </c>
      <c r="N66">
        <v>62</v>
      </c>
      <c r="O66">
        <v>640.32258064519999</v>
      </c>
      <c r="R66">
        <v>3</v>
      </c>
      <c r="S66">
        <v>545.33333333329995</v>
      </c>
    </row>
    <row r="67" spans="6:19" x14ac:dyDescent="0.2">
      <c r="F67" t="s">
        <v>63</v>
      </c>
      <c r="G67">
        <v>5923</v>
      </c>
      <c r="H67">
        <v>3932</v>
      </c>
      <c r="I67">
        <v>301.6047812818</v>
      </c>
      <c r="J67">
        <v>610</v>
      </c>
      <c r="K67">
        <v>390.65573770489999</v>
      </c>
      <c r="L67">
        <v>1304</v>
      </c>
      <c r="M67">
        <v>360.04677914109999</v>
      </c>
      <c r="N67">
        <v>653</v>
      </c>
      <c r="O67">
        <v>627.31852986219997</v>
      </c>
      <c r="R67">
        <v>34</v>
      </c>
      <c r="S67">
        <v>461.20588235290001</v>
      </c>
    </row>
    <row r="68" spans="6:19" x14ac:dyDescent="0.2">
      <c r="F68" t="s">
        <v>429</v>
      </c>
      <c r="G68">
        <v>35</v>
      </c>
      <c r="H68">
        <v>14</v>
      </c>
      <c r="I68">
        <v>526.92857142859998</v>
      </c>
      <c r="J68">
        <v>2</v>
      </c>
      <c r="K68">
        <v>660.5</v>
      </c>
      <c r="L68">
        <v>6</v>
      </c>
      <c r="M68">
        <v>994.66666666670005</v>
      </c>
      <c r="N68">
        <v>12</v>
      </c>
      <c r="O68">
        <v>335.6666666667</v>
      </c>
      <c r="R68">
        <v>3</v>
      </c>
      <c r="S68">
        <v>443</v>
      </c>
    </row>
    <row r="69" spans="6:19" x14ac:dyDescent="0.2">
      <c r="F69" t="s">
        <v>83</v>
      </c>
      <c r="G69">
        <v>8469</v>
      </c>
      <c r="H69">
        <v>6536</v>
      </c>
      <c r="I69">
        <v>240.7276621787</v>
      </c>
      <c r="J69">
        <v>1038</v>
      </c>
      <c r="K69">
        <v>423.11271676299998</v>
      </c>
      <c r="L69">
        <v>1108</v>
      </c>
      <c r="M69">
        <v>136.67328519860001</v>
      </c>
      <c r="N69">
        <v>804</v>
      </c>
      <c r="O69">
        <v>333.90671641789999</v>
      </c>
      <c r="R69">
        <v>21</v>
      </c>
      <c r="S69">
        <v>262.04761904759999</v>
      </c>
    </row>
    <row r="70" spans="6:19" x14ac:dyDescent="0.2">
      <c r="F70" t="s">
        <v>135</v>
      </c>
      <c r="G70">
        <v>208</v>
      </c>
      <c r="H70">
        <v>156</v>
      </c>
      <c r="I70">
        <v>420.43589743590002</v>
      </c>
      <c r="J70">
        <v>77</v>
      </c>
      <c r="K70">
        <v>629.15584415579997</v>
      </c>
      <c r="L70">
        <v>27</v>
      </c>
      <c r="M70">
        <v>415.44444444440001</v>
      </c>
      <c r="N70">
        <v>22</v>
      </c>
      <c r="O70">
        <v>418.3181818182</v>
      </c>
      <c r="R70">
        <v>3</v>
      </c>
      <c r="S70">
        <v>276.6666666667</v>
      </c>
    </row>
    <row r="71" spans="6:19" x14ac:dyDescent="0.2">
      <c r="F71" t="s">
        <v>368</v>
      </c>
      <c r="G71">
        <v>56942</v>
      </c>
      <c r="H71">
        <v>42155</v>
      </c>
      <c r="I71">
        <v>376.0085638374</v>
      </c>
      <c r="J71">
        <v>4949</v>
      </c>
      <c r="K71">
        <v>541.37239846429998</v>
      </c>
      <c r="L71">
        <v>9294</v>
      </c>
      <c r="M71">
        <v>471.37109963419999</v>
      </c>
      <c r="N71">
        <v>5344</v>
      </c>
      <c r="O71">
        <v>570.26095095469998</v>
      </c>
      <c r="R71">
        <v>149</v>
      </c>
      <c r="S71">
        <v>460.8187919463</v>
      </c>
    </row>
    <row r="72" spans="6:19" x14ac:dyDescent="0.2">
      <c r="F72" t="s">
        <v>697</v>
      </c>
      <c r="G72">
        <v>315987</v>
      </c>
      <c r="H72">
        <v>230579</v>
      </c>
      <c r="I72">
        <v>410.05038773140001</v>
      </c>
      <c r="J72">
        <v>27984</v>
      </c>
      <c r="K72">
        <v>544.04234562609997</v>
      </c>
      <c r="L72">
        <v>51303</v>
      </c>
      <c r="M72">
        <v>523.75716819679997</v>
      </c>
      <c r="N72">
        <v>22216</v>
      </c>
      <c r="O72">
        <v>506.85424827769998</v>
      </c>
      <c r="P72">
        <v>11312</v>
      </c>
      <c r="Q72">
        <v>183.10237821589999</v>
      </c>
      <c r="R72">
        <v>577</v>
      </c>
      <c r="S72">
        <v>439.09012131719999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42595</v>
      </c>
      <c r="C20">
        <v>24332</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Normal="10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977</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380114</v>
      </c>
      <c r="I3" s="307">
        <f>SUM(I5,I10)</f>
        <v>76915</v>
      </c>
      <c r="J3" s="309">
        <f>ROUND(I3/H3,5)</f>
        <v>0.20235</v>
      </c>
      <c r="K3" s="134"/>
    </row>
    <row r="4" spans="1:11" ht="33" customHeight="1" thickBot="1" x14ac:dyDescent="0.25">
      <c r="A4" s="130"/>
      <c r="B4" s="318" t="str">
        <f>"As of: "&amp;TEXT(INDEX(MMWR_DATES[],1,1),"MMMM DD, YYYY")</f>
        <v>As of: August 13,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136816</v>
      </c>
      <c r="I5" s="158">
        <f>SUM(I6:I9)</f>
        <v>31965</v>
      </c>
      <c r="J5" s="159">
        <f t="shared" ref="J5:J15" si="0">IF(H5=0, 0,I5/H5)</f>
        <v>0.23363495497602618</v>
      </c>
      <c r="K5" s="134"/>
    </row>
    <row r="6" spans="1:11" ht="16.5" customHeight="1" x14ac:dyDescent="0.2">
      <c r="A6" s="130"/>
      <c r="B6" s="321" t="s">
        <v>16</v>
      </c>
      <c r="C6" s="322"/>
      <c r="D6" s="322"/>
      <c r="E6" s="322"/>
      <c r="F6" s="322"/>
      <c r="G6" s="139" t="s">
        <v>190</v>
      </c>
      <c r="H6" s="160">
        <f>IFERROR(VLOOKUP(MID($G6,4,3),MMWR_TRAD_AGG_NATIONAL[],2,0),0)</f>
        <v>36392</v>
      </c>
      <c r="I6" s="160">
        <f>IFERROR(VLOOKUP(MID($G6,4,3),MMWR_TRAD_AGG_NATIONAL[],3,0),0)</f>
        <v>9669</v>
      </c>
      <c r="J6" s="161">
        <f t="shared" si="0"/>
        <v>0.26569026159595516</v>
      </c>
      <c r="K6" s="134"/>
    </row>
    <row r="7" spans="1:11" ht="16.5" customHeight="1" x14ac:dyDescent="0.2">
      <c r="A7" s="130"/>
      <c r="B7" s="323" t="s">
        <v>0</v>
      </c>
      <c r="C7" s="324"/>
      <c r="D7" s="324"/>
      <c r="E7" s="324"/>
      <c r="F7" s="324"/>
      <c r="G7" s="140" t="s">
        <v>191</v>
      </c>
      <c r="H7" s="160">
        <f>IFERROR(VLOOKUP(MID($G7,4,3),MMWR_TRAD_AGG_NATIONAL[],2,0),0)</f>
        <v>83809</v>
      </c>
      <c r="I7" s="160">
        <f>IFERROR(VLOOKUP(MID($G7,4,3),MMWR_TRAD_AGG_NATIONAL[],3,0),0)</f>
        <v>19886</v>
      </c>
      <c r="J7" s="161">
        <f t="shared" si="0"/>
        <v>0.2372776193487573</v>
      </c>
      <c r="K7" s="134"/>
    </row>
    <row r="8" spans="1:11" ht="16.5" customHeight="1" x14ac:dyDescent="0.2">
      <c r="A8" s="130"/>
      <c r="B8" s="325" t="s">
        <v>234</v>
      </c>
      <c r="C8" s="326"/>
      <c r="D8" s="326"/>
      <c r="E8" s="326"/>
      <c r="F8" s="326"/>
      <c r="G8" s="141" t="s">
        <v>193</v>
      </c>
      <c r="H8" s="160">
        <f>IFERROR(VLOOKUP(MID($G8,4,3),MMWR_TRAD_AGG_NATIONAL[],2,0),0)</f>
        <v>6712</v>
      </c>
      <c r="I8" s="160">
        <f>IFERROR(VLOOKUP(MID($G8,4,3),MMWR_TRAD_AGG_NATIONAL[],3,0),0)</f>
        <v>494</v>
      </c>
      <c r="J8" s="161">
        <f t="shared" si="0"/>
        <v>7.3599523241954706E-2</v>
      </c>
      <c r="K8" s="134"/>
    </row>
    <row r="9" spans="1:11" ht="16.5" customHeight="1" thickBot="1" x14ac:dyDescent="0.25">
      <c r="A9" s="130"/>
      <c r="B9" s="327" t="s">
        <v>17</v>
      </c>
      <c r="C9" s="328"/>
      <c r="D9" s="328"/>
      <c r="E9" s="328"/>
      <c r="F9" s="328"/>
      <c r="G9" s="140" t="s">
        <v>195</v>
      </c>
      <c r="H9" s="160">
        <f>IFERROR(VLOOKUP(MID($G9,4,3),MMWR_TRAD_AGG_NATIONAL[],2,0),0)</f>
        <v>9903</v>
      </c>
      <c r="I9" s="160">
        <f>IFERROR(VLOOKUP(MID($G9,4,3),MMWR_TRAD_AGG_NATIONAL[],3,0),0)</f>
        <v>1916</v>
      </c>
      <c r="J9" s="161">
        <f t="shared" si="0"/>
        <v>0.19347672422498233</v>
      </c>
      <c r="K9" s="134"/>
    </row>
    <row r="10" spans="1:11" ht="17.25" thickBot="1" x14ac:dyDescent="0.25">
      <c r="A10" s="130"/>
      <c r="B10" s="316" t="s">
        <v>1</v>
      </c>
      <c r="C10" s="317"/>
      <c r="D10" s="317"/>
      <c r="E10" s="317"/>
      <c r="F10" s="317"/>
      <c r="G10" s="138" t="s">
        <v>244</v>
      </c>
      <c r="H10" s="158">
        <f>SUM(H11:H18)</f>
        <v>243298</v>
      </c>
      <c r="I10" s="158">
        <f>SUM(I11:I18)</f>
        <v>44950</v>
      </c>
      <c r="J10" s="159">
        <f t="shared" si="0"/>
        <v>0.18475285452408158</v>
      </c>
      <c r="K10" s="134"/>
    </row>
    <row r="11" spans="1:11" ht="16.5" customHeight="1" x14ac:dyDescent="0.2">
      <c r="A11" s="130"/>
      <c r="B11" s="321" t="s">
        <v>199</v>
      </c>
      <c r="C11" s="322"/>
      <c r="D11" s="322"/>
      <c r="E11" s="322"/>
      <c r="F11" s="322"/>
      <c r="G11" s="142" t="s">
        <v>194</v>
      </c>
      <c r="H11" s="162">
        <f>IFERROR(VLOOKUP(MID($G11,4,3),MMWR_TRAD_AGG_NATIONAL[],2,0),0)</f>
        <v>7186</v>
      </c>
      <c r="I11" s="160">
        <f>IFERROR(VLOOKUP(MID($G11,4,3),MMWR_TRAD_AGG_NATIONAL[],3,0),0)</f>
        <v>437</v>
      </c>
      <c r="J11" s="161">
        <f t="shared" si="0"/>
        <v>6.0812691344280544E-2</v>
      </c>
      <c r="K11" s="134"/>
    </row>
    <row r="12" spans="1:11" ht="16.5" customHeight="1" x14ac:dyDescent="0.2">
      <c r="A12" s="130"/>
      <c r="B12" s="323" t="s">
        <v>18</v>
      </c>
      <c r="C12" s="324"/>
      <c r="D12" s="324"/>
      <c r="E12" s="324"/>
      <c r="F12" s="324"/>
      <c r="G12" s="143" t="s">
        <v>192</v>
      </c>
      <c r="H12" s="163">
        <f>IFERROR(VLOOKUP(MID($G12,4,3),MMWR_TRAD_AGG_NATIONAL[],2,0),0)</f>
        <v>212939</v>
      </c>
      <c r="I12" s="160">
        <f>IFERROR(VLOOKUP(MID($G12,4,3),MMWR_TRAD_AGG_NATIONAL[],3,0),0)</f>
        <v>40771</v>
      </c>
      <c r="J12" s="161">
        <f t="shared" si="0"/>
        <v>0.19146797909260399</v>
      </c>
      <c r="K12" s="134"/>
    </row>
    <row r="13" spans="1:11" ht="16.5" customHeight="1" x14ac:dyDescent="0.2">
      <c r="A13" s="130"/>
      <c r="B13" s="323" t="s">
        <v>14</v>
      </c>
      <c r="C13" s="324"/>
      <c r="D13" s="324"/>
      <c r="E13" s="324"/>
      <c r="F13" s="324"/>
      <c r="G13" s="143" t="s">
        <v>196</v>
      </c>
      <c r="H13" s="163">
        <f>IFERROR(VLOOKUP(MID($G13,4,3),MMWR_TRAD_AGG_NATIONAL[],2,0),0)</f>
        <v>22418</v>
      </c>
      <c r="I13" s="160">
        <f>IFERROR(VLOOKUP(MID($G13,4,3),MMWR_TRAD_AGG_NATIONAL[],3,0),0)</f>
        <v>3610</v>
      </c>
      <c r="J13" s="161">
        <f t="shared" si="0"/>
        <v>0.16103131412258007</v>
      </c>
      <c r="K13" s="134"/>
    </row>
    <row r="14" spans="1:11" ht="16.5" customHeight="1" x14ac:dyDescent="0.2">
      <c r="A14" s="130"/>
      <c r="B14" s="325" t="s">
        <v>19</v>
      </c>
      <c r="C14" s="326"/>
      <c r="D14" s="326"/>
      <c r="E14" s="326"/>
      <c r="F14" s="326"/>
      <c r="G14" s="142" t="s">
        <v>197</v>
      </c>
      <c r="H14" s="163">
        <f>IFERROR(VLOOKUP(MID($G14,4,3),MMWR_TRAD_AGG_NATIONAL[],2,0),0)</f>
        <v>453</v>
      </c>
      <c r="I14" s="160">
        <f>IFERROR(VLOOKUP(MID($G14,4,3),MMWR_TRAD_AGG_NATIONAL[],3,0),0)</f>
        <v>24</v>
      </c>
      <c r="J14" s="161">
        <f t="shared" si="0"/>
        <v>5.2980132450331126E-2</v>
      </c>
      <c r="K14" s="134"/>
    </row>
    <row r="15" spans="1:11" ht="16.5" customHeight="1" x14ac:dyDescent="0.2">
      <c r="A15" s="130"/>
      <c r="B15" s="325" t="s">
        <v>84</v>
      </c>
      <c r="C15" s="326"/>
      <c r="D15" s="326"/>
      <c r="E15" s="326"/>
      <c r="F15" s="326"/>
      <c r="G15" s="142" t="s">
        <v>200</v>
      </c>
      <c r="H15" s="163">
        <f>IFERROR(VLOOKUP(MID($G15,4,3),MMWR_TRAD_AGG_NATIONAL[],2,0),0)</f>
        <v>3</v>
      </c>
      <c r="I15" s="160">
        <f>IFERROR(VLOOKUP(MID($G15,4,3),MMWR_TRAD_AGG_NATIONAL[],3,0),0)</f>
        <v>1</v>
      </c>
      <c r="J15" s="161">
        <f t="shared" si="0"/>
        <v>0.33333333333333331</v>
      </c>
      <c r="K15" s="134"/>
    </row>
    <row r="16" spans="1:11" ht="15" x14ac:dyDescent="0.2">
      <c r="A16" s="130"/>
      <c r="B16" s="325" t="s">
        <v>85</v>
      </c>
      <c r="C16" s="326"/>
      <c r="D16" s="326"/>
      <c r="E16" s="326"/>
      <c r="F16" s="326"/>
      <c r="G16" s="142" t="s">
        <v>201</v>
      </c>
      <c r="H16" s="163">
        <f>IFERROR(VLOOKUP(MID($G16,4,3),MMWR_TRAD_AGG_NATIONAL[],2,0),0)</f>
        <v>1</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9</v>
      </c>
      <c r="I17" s="160">
        <f>IFERROR(VLOOKUP(MID($G17,4,3),MMWR_TRAD_AGG_NATIONAL[],3,0),0)</f>
        <v>5</v>
      </c>
      <c r="J17" s="161">
        <f>IF(H17=0, 0,I17/H17)</f>
        <v>0.55555555555555558</v>
      </c>
      <c r="K17" s="134"/>
    </row>
    <row r="18" spans="1:11" ht="16.5" customHeight="1" thickBot="1" x14ac:dyDescent="0.25">
      <c r="A18" s="130"/>
      <c r="B18" s="327" t="s">
        <v>86</v>
      </c>
      <c r="C18" s="328"/>
      <c r="D18" s="328"/>
      <c r="E18" s="328"/>
      <c r="F18" s="328"/>
      <c r="G18" s="142" t="s">
        <v>203</v>
      </c>
      <c r="H18" s="164">
        <f>IFERROR(VLOOKUP(MID($G18,4,3),MMWR_TRAD_AGG_NATIONAL[],2,0),0)</f>
        <v>289</v>
      </c>
      <c r="I18" s="160">
        <f>IFERROR(VLOOKUP(MID($G18,4,3),MMWR_TRAD_AGG_NATIONAL[],3,0),0)</f>
        <v>102</v>
      </c>
      <c r="J18" s="165">
        <f>IF(H18=0, 0,I18/H18)</f>
        <v>0.35294117647058826</v>
      </c>
      <c r="K18" s="134"/>
    </row>
    <row r="19" spans="1:11" ht="16.5" customHeight="1" x14ac:dyDescent="0.2">
      <c r="A19" s="130"/>
      <c r="B19" s="332" t="s">
        <v>968</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959</v>
      </c>
      <c r="C21" s="285"/>
      <c r="D21" s="286"/>
      <c r="E21" s="284" t="s">
        <v>960</v>
      </c>
      <c r="F21" s="285"/>
      <c r="G21" s="286"/>
      <c r="H21" s="284" t="s">
        <v>961</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953</v>
      </c>
      <c r="C23" s="285"/>
      <c r="D23" s="286"/>
      <c r="E23" s="284" t="s">
        <v>954</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1062</v>
      </c>
      <c r="H26" s="263" t="s">
        <v>1063</v>
      </c>
      <c r="I26" s="263" t="s">
        <v>1059</v>
      </c>
      <c r="J26" s="264" t="s">
        <v>28</v>
      </c>
      <c r="K26" s="134"/>
    </row>
    <row r="27" spans="1:11" ht="16.5" customHeight="1" x14ac:dyDescent="0.2">
      <c r="A27" s="130"/>
      <c r="B27" s="302" t="s">
        <v>962</v>
      </c>
      <c r="C27" s="303"/>
      <c r="D27" s="303"/>
      <c r="E27" s="303"/>
      <c r="F27" s="304"/>
      <c r="G27" s="256">
        <v>10879</v>
      </c>
      <c r="H27" s="256">
        <v>11407</v>
      </c>
      <c r="I27" s="256">
        <v>-528</v>
      </c>
      <c r="J27" s="260">
        <v>-4.5999999999999999E-2</v>
      </c>
      <c r="K27" s="134"/>
    </row>
    <row r="28" spans="1:11" ht="15.75" customHeight="1" x14ac:dyDescent="0.2">
      <c r="A28" s="130"/>
      <c r="B28" s="290" t="s">
        <v>24</v>
      </c>
      <c r="C28" s="291"/>
      <c r="D28" s="291"/>
      <c r="E28" s="291"/>
      <c r="F28" s="292"/>
      <c r="G28" s="257">
        <v>2897</v>
      </c>
      <c r="H28" s="257">
        <v>2828</v>
      </c>
      <c r="I28" s="257">
        <v>69</v>
      </c>
      <c r="J28" s="253">
        <v>2.4E-2</v>
      </c>
      <c r="K28" s="134"/>
    </row>
    <row r="29" spans="1:11" ht="15.75" customHeight="1" x14ac:dyDescent="0.2">
      <c r="A29" s="130"/>
      <c r="B29" s="293" t="s">
        <v>25</v>
      </c>
      <c r="C29" s="294"/>
      <c r="D29" s="294"/>
      <c r="E29" s="294"/>
      <c r="F29" s="295"/>
      <c r="G29" s="258">
        <v>1541</v>
      </c>
      <c r="H29" s="258">
        <v>1608</v>
      </c>
      <c r="I29" s="258">
        <v>-67</v>
      </c>
      <c r="J29" s="254">
        <v>-4.2000000000000003E-2</v>
      </c>
      <c r="K29" s="134"/>
    </row>
    <row r="30" spans="1:11" ht="15" x14ac:dyDescent="0.2">
      <c r="A30" s="130"/>
      <c r="B30" s="296" t="s">
        <v>26</v>
      </c>
      <c r="C30" s="297"/>
      <c r="D30" s="297"/>
      <c r="E30" s="297"/>
      <c r="F30" s="298"/>
      <c r="G30" s="258">
        <v>2221</v>
      </c>
      <c r="H30" s="258">
        <v>2484</v>
      </c>
      <c r="I30" s="258">
        <v>-263</v>
      </c>
      <c r="J30" s="254">
        <v>-0.106</v>
      </c>
      <c r="K30" s="134"/>
    </row>
    <row r="31" spans="1:11" ht="15" x14ac:dyDescent="0.2">
      <c r="A31" s="130"/>
      <c r="B31" s="299" t="s">
        <v>27</v>
      </c>
      <c r="C31" s="300"/>
      <c r="D31" s="300"/>
      <c r="E31" s="300"/>
      <c r="F31" s="301"/>
      <c r="G31" s="259">
        <v>4220</v>
      </c>
      <c r="H31" s="259">
        <v>4487</v>
      </c>
      <c r="I31" s="259">
        <v>-267</v>
      </c>
      <c r="J31" s="255">
        <v>-0.06</v>
      </c>
      <c r="K31" s="134"/>
    </row>
    <row r="32" spans="1:11" ht="16.5" customHeight="1" x14ac:dyDescent="0.2">
      <c r="A32" s="130"/>
      <c r="B32" s="302" t="s">
        <v>235</v>
      </c>
      <c r="C32" s="303"/>
      <c r="D32" s="303"/>
      <c r="E32" s="303"/>
      <c r="F32" s="304"/>
      <c r="G32" s="256">
        <v>88483</v>
      </c>
      <c r="H32" s="256">
        <v>74548</v>
      </c>
      <c r="I32" s="256">
        <v>13935</v>
      </c>
      <c r="J32" s="260">
        <v>0.187</v>
      </c>
      <c r="K32" s="134"/>
    </row>
    <row r="33" spans="1:11" ht="15" x14ac:dyDescent="0.2">
      <c r="A33" s="130"/>
      <c r="B33" s="290" t="s">
        <v>24</v>
      </c>
      <c r="C33" s="291"/>
      <c r="D33" s="291"/>
      <c r="E33" s="291"/>
      <c r="F33" s="292"/>
      <c r="G33" s="265">
        <v>15775</v>
      </c>
      <c r="H33" s="265">
        <v>12955</v>
      </c>
      <c r="I33" s="258">
        <v>2820</v>
      </c>
      <c r="J33" s="253">
        <v>0.218</v>
      </c>
      <c r="K33" s="134"/>
    </row>
    <row r="34" spans="1:11" ht="15" x14ac:dyDescent="0.2">
      <c r="A34" s="130"/>
      <c r="B34" s="293" t="s">
        <v>25</v>
      </c>
      <c r="C34" s="294"/>
      <c r="D34" s="294"/>
      <c r="E34" s="294"/>
      <c r="F34" s="295"/>
      <c r="G34" s="265">
        <v>13110</v>
      </c>
      <c r="H34" s="265">
        <v>11380</v>
      </c>
      <c r="I34" s="258">
        <v>1730</v>
      </c>
      <c r="J34" s="254">
        <v>0.152</v>
      </c>
      <c r="K34" s="134"/>
    </row>
    <row r="35" spans="1:11" ht="15" x14ac:dyDescent="0.2">
      <c r="A35" s="130"/>
      <c r="B35" s="296" t="s">
        <v>26</v>
      </c>
      <c r="C35" s="297"/>
      <c r="D35" s="297"/>
      <c r="E35" s="297"/>
      <c r="F35" s="298"/>
      <c r="G35" s="265">
        <v>32350</v>
      </c>
      <c r="H35" s="265">
        <v>24340</v>
      </c>
      <c r="I35" s="258">
        <v>8010</v>
      </c>
      <c r="J35" s="254">
        <v>0.32900000000000001</v>
      </c>
      <c r="K35" s="134"/>
    </row>
    <row r="36" spans="1:11" ht="15.75" thickBot="1" x14ac:dyDescent="0.25">
      <c r="A36" s="130"/>
      <c r="B36" s="338" t="s">
        <v>27</v>
      </c>
      <c r="C36" s="339"/>
      <c r="D36" s="339"/>
      <c r="E36" s="339"/>
      <c r="F36" s="340"/>
      <c r="G36" s="265">
        <v>27248</v>
      </c>
      <c r="H36" s="265">
        <v>25873</v>
      </c>
      <c r="I36" s="258">
        <v>1375</v>
      </c>
      <c r="J36" s="254">
        <v>5.2999999999999999E-2</v>
      </c>
      <c r="K36" s="134"/>
    </row>
    <row r="37" spans="1:11" ht="15.75" customHeight="1" thickBot="1" x14ac:dyDescent="0.25">
      <c r="A37" s="130"/>
      <c r="B37" s="329" t="s">
        <v>967</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August 13, 2016</v>
      </c>
      <c r="M3" s="360"/>
      <c r="N3" s="360"/>
      <c r="O3" s="361"/>
      <c r="P3" s="28"/>
    </row>
    <row r="4" spans="1:16" ht="51.75" customHeight="1" thickBot="1" x14ac:dyDescent="0.35">
      <c r="A4" s="30"/>
      <c r="B4" s="246" t="s">
        <v>454</v>
      </c>
      <c r="C4" s="362" t="s">
        <v>304</v>
      </c>
      <c r="D4" s="363"/>
      <c r="E4" s="363"/>
      <c r="F4" s="363"/>
      <c r="G4" s="363"/>
      <c r="H4" s="363"/>
      <c r="I4" s="363"/>
      <c r="J4" s="363"/>
      <c r="K4" s="363"/>
      <c r="L4" s="363"/>
      <c r="M4" s="363"/>
      <c r="N4" s="363"/>
      <c r="O4" s="364"/>
      <c r="P4" s="28"/>
    </row>
    <row r="5" spans="1:16" ht="27" customHeight="1" thickBot="1" x14ac:dyDescent="0.25">
      <c r="A5" s="30"/>
      <c r="B5" s="26"/>
      <c r="C5" s="365" t="s">
        <v>1040</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1052</v>
      </c>
      <c r="K11" s="385" t="s">
        <v>1053</v>
      </c>
      <c r="L11" s="383" t="s">
        <v>1050</v>
      </c>
      <c r="M11" s="384"/>
      <c r="N11" s="383" t="s">
        <v>1051</v>
      </c>
      <c r="O11" s="384"/>
      <c r="P11" s="28"/>
    </row>
    <row r="12" spans="1:16" ht="32.25" customHeight="1" x14ac:dyDescent="0.2">
      <c r="A12" s="25"/>
      <c r="B12" s="26"/>
      <c r="C12" s="352"/>
      <c r="D12" s="352"/>
      <c r="E12" s="352"/>
      <c r="F12" s="352"/>
      <c r="G12" s="352"/>
      <c r="H12" s="352"/>
      <c r="I12" s="352"/>
      <c r="J12" s="386"/>
      <c r="K12" s="38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380114</v>
      </c>
      <c r="D13" s="155">
        <f>IF($B13=" ","",IFERROR(INDEX(MMWR_RATING_RO_ROLLUP[],MATCH($B13,MMWR_RATING_RO_ROLLUP[MMWR_RATING_RO_ROLLUP],0),MATCH(D$9,MMWR_RATING_RO_ROLLUP[#Headers],0)),"ERROR"))</f>
        <v>87.669309733399999</v>
      </c>
      <c r="E13" s="156">
        <f>IF($B13=" ","",IFERROR(INDEX(MMWR_RATING_RO_ROLLUP[],MATCH($B13,MMWR_RATING_RO_ROLLUP[MMWR_RATING_RO_ROLLUP],0),MATCH(E$9,MMWR_RATING_RO_ROLLUP[#Headers],0))/$C13,"ERROR"))</f>
        <v>0.20234719057966821</v>
      </c>
      <c r="F13" s="154">
        <f>IF($B13=" ","",IFERROR(INDEX(MMWR_RATING_RO_ROLLUP[],MATCH($B13,MMWR_RATING_RO_ROLLUP[MMWR_RATING_RO_ROLLUP],0),MATCH(F$9,MMWR_RATING_RO_ROLLUP[#Headers],0)),"ERROR"))</f>
        <v>51035</v>
      </c>
      <c r="G13" s="154">
        <f>IF($B13=" ","",IFERROR(INDEX(MMWR_RATING_RO_ROLLUP[],MATCH($B13,MMWR_RATING_RO_ROLLUP[MMWR_RATING_RO_ROLLUP],0),MATCH(G$9,MMWR_RATING_RO_ROLLUP[#Headers],0)),"ERROR"))</f>
        <v>1096651</v>
      </c>
      <c r="H13" s="155">
        <f>IF($B13=" ","",IFERROR(INDEX(MMWR_RATING_RO_ROLLUP[],MATCH($B13,MMWR_RATING_RO_ROLLUP[MMWR_RATING_RO_ROLLUP],0),MATCH(H$9,MMWR_RATING_RO_ROLLUP[#Headers],0)),"ERROR"))</f>
        <v>121.70265504069999</v>
      </c>
      <c r="I13" s="155">
        <f>IF($B13=" ","",IFERROR(INDEX(MMWR_RATING_RO_ROLLUP[],MATCH($B13,MMWR_RATING_RO_ROLLUP[MMWR_RATING_RO_ROLLUP],0),MATCH(I$9,MMWR_RATING_RO_ROLLUP[#Headers],0)),"ERROR"))</f>
        <v>123.0940025587</v>
      </c>
      <c r="J13" s="42"/>
      <c r="K13" s="42"/>
      <c r="L13" s="42"/>
      <c r="M13" s="42"/>
      <c r="N13" s="42"/>
      <c r="O13" s="42"/>
      <c r="P13" s="28"/>
    </row>
    <row r="14" spans="1:16" x14ac:dyDescent="0.2">
      <c r="A14" s="25"/>
      <c r="B14" s="342" t="s">
        <v>731</v>
      </c>
      <c r="C14" s="343"/>
      <c r="D14" s="343"/>
      <c r="E14" s="343"/>
      <c r="F14" s="343"/>
      <c r="G14" s="343"/>
      <c r="H14" s="343"/>
      <c r="I14" s="343"/>
      <c r="J14" s="343"/>
      <c r="K14" s="343"/>
      <c r="L14" s="343"/>
      <c r="M14" s="343"/>
      <c r="N14" s="343"/>
      <c r="O14" s="343"/>
      <c r="P14" s="28"/>
    </row>
    <row r="15" spans="1:16" x14ac:dyDescent="0.2">
      <c r="A15" s="25"/>
      <c r="B15" s="41" t="s">
        <v>727</v>
      </c>
      <c r="C15" s="154">
        <f>IF($B15=" ","",IFERROR(INDEX(MMWR_RATING_RO_ROLLUP[],MATCH($B15,MMWR_RATING_RO_ROLLUP[MMWR_RATING_RO_ROLLUP],0),MATCH(C$9,MMWR_RATING_RO_ROLLUP[#Headers],0)),"ERROR"))</f>
        <v>337442</v>
      </c>
      <c r="D15" s="155">
        <f>IF($B15=" ","",IFERROR(INDEX(MMWR_RATING_RO_ROLLUP[],MATCH($B15,MMWR_RATING_RO_ROLLUP[MMWR_RATING_RO_ROLLUP],0),MATCH(D$9,MMWR_RATING_RO_ROLLUP[#Headers],0)),"ERROR"))</f>
        <v>90.456558460400004</v>
      </c>
      <c r="E15" s="156">
        <f>IF($B15=" ","",IFERROR(INDEX(MMWR_RATING_RO_ROLLUP[],MATCH($B15,MMWR_RATING_RO_ROLLUP[MMWR_RATING_RO_ROLLUP],0),MATCH(E$9,MMWR_RATING_RO_ROLLUP[#Headers],0))/$C15,"ERROR"))</f>
        <v>0.21346186900267305</v>
      </c>
      <c r="F15" s="154">
        <f>IF($B15=" ","",IFERROR(INDEX(MMWR_RATING_RO_ROLLUP[],MATCH($B15,MMWR_RATING_RO_ROLLUP[MMWR_RATING_RO_ROLLUP],0),MATCH(F$9,MMWR_RATING_RO_ROLLUP[#Headers],0)),"ERROR"))</f>
        <v>42176</v>
      </c>
      <c r="G15" s="154">
        <f>IF($B15=" ","",IFERROR(INDEX(MMWR_RATING_RO_ROLLUP[],MATCH($B15,MMWR_RATING_RO_ROLLUP[MMWR_RATING_RO_ROLLUP],0),MATCH(G$9,MMWR_RATING_RO_ROLLUP[#Headers],0)),"ERROR"))</f>
        <v>919878</v>
      </c>
      <c r="H15" s="155">
        <f>IF($B15=" ","",IFERROR(INDEX(MMWR_RATING_RO_ROLLUP[],MATCH($B15,MMWR_RATING_RO_ROLLUP[MMWR_RATING_RO_ROLLUP],0),MATCH(H$9,MMWR_RATING_RO_ROLLUP[#Headers],0)),"ERROR"))</f>
        <v>128.71780159330001</v>
      </c>
      <c r="I15" s="155">
        <f>IF($B15=" ","",IFERROR(INDEX(MMWR_RATING_RO_ROLLUP[],MATCH($B15,MMWR_RATING_RO_ROLLUP[MMWR_RATING_RO_ROLLUP],0),MATCH(I$9,MMWR_RATING_RO_ROLLUP[#Headers],0)),"ERROR"))</f>
        <v>128.72076405780001</v>
      </c>
      <c r="J15" s="157">
        <f>VLOOKUP($B$13,MMWR_ACCURACY_RO[],MATCH(J$9,MMWR_ACCURACY_RO[#Headers],0),0)</f>
        <v>0.95094960200766199</v>
      </c>
      <c r="K15" s="157">
        <f>VLOOKUP($B$13,MMWR_ACCURACY_RO[],MATCH(K$9,MMWR_ACCURACY_RO[#Headers],0),0)</f>
        <v>0.85807148250309495</v>
      </c>
      <c r="L15" s="157">
        <f>VLOOKUP($B$13,MMWR_ACCURACY_RO[],MATCH(L$9,MMWR_ACCURACY_RO[#Headers],0),0)</f>
        <v>0.88238313577417604</v>
      </c>
      <c r="M15" s="157">
        <f>VLOOKUP($B$13,MMWR_ACCURACY_RO[],MATCH(M$9,MMWR_ACCURACY_RO[#Headers],0),0)</f>
        <v>7.8748943047496304E-3</v>
      </c>
      <c r="N15" s="157">
        <f>VLOOKUP($B$13,MMWR_ACCURACY_RO[],MATCH(N$9,MMWR_ACCURACY_RO[#Headers],0),0)</f>
        <v>0.897546515808477</v>
      </c>
      <c r="O15" s="157">
        <f>VLOOKUP($B$13,MMWR_ACCURACY_RO[],MATCH(O$9,MMWR_ACCURACY_RO[#Headers],0),0)</f>
        <v>1.18264562793959E-2</v>
      </c>
      <c r="P15" s="28"/>
    </row>
    <row r="16" spans="1:16" x14ac:dyDescent="0.2">
      <c r="A16" s="25"/>
      <c r="B16" s="247" t="s">
        <v>368</v>
      </c>
      <c r="C16" s="154">
        <f>IF($B16=" ","",IFERROR(INDEX(MMWR_RATING_RO_ROLLUP[],MATCH($B16,MMWR_RATING_RO_ROLLUP[MMWR_RATING_RO_ROLLUP],0),MATCH(C$9,MMWR_RATING_RO_ROLLUP[#Headers],0)),"ERROR"))</f>
        <v>25353</v>
      </c>
      <c r="D16" s="155">
        <f>IF($B16=" ","",IFERROR(INDEX(MMWR_RATING_RO_ROLLUP[],MATCH($B16,MMWR_RATING_RO_ROLLUP[MMWR_RATING_RO_ROLLUP],0),MATCH(D$9,MMWR_RATING_RO_ROLLUP[#Headers],0)),"ERROR"))</f>
        <v>99.155642330299997</v>
      </c>
      <c r="E16" s="156">
        <f>IF($B16=" ","",IFERROR(INDEX(MMWR_RATING_RO_ROLLUP[],MATCH($B16,MMWR_RATING_RO_ROLLUP[MMWR_RATING_RO_ROLLUP],0),MATCH(E$9,MMWR_RATING_RO_ROLLUP[#Headers],0))/$C16,"ERROR"))</f>
        <v>0.26983000039443061</v>
      </c>
      <c r="F16" s="154">
        <f>IF($B16=" ","",IFERROR(INDEX(MMWR_RATING_RO_ROLLUP[],MATCH($B16,MMWR_RATING_RO_ROLLUP[MMWR_RATING_RO_ROLLUP],0),MATCH(F$9,MMWR_RATING_RO_ROLLUP[#Headers],0)),"ERROR"))</f>
        <v>9039</v>
      </c>
      <c r="G16" s="154">
        <f>IF($B16=" ","",IFERROR(INDEX(MMWR_RATING_RO_ROLLUP[],MATCH($B16,MMWR_RATING_RO_ROLLUP[MMWR_RATING_RO_ROLLUP],0),MATCH(G$9,MMWR_RATING_RO_ROLLUP[#Headers],0)),"ERROR"))</f>
        <v>194996</v>
      </c>
      <c r="H16" s="155">
        <f>IF($B16=" ","",IFERROR(INDEX(MMWR_RATING_RO_ROLLUP[],MATCH($B16,MMWR_RATING_RO_ROLLUP[MMWR_RATING_RO_ROLLUP],0),MATCH(H$9,MMWR_RATING_RO_ROLLUP[#Headers],0)),"ERROR"))</f>
        <v>128.4956300476</v>
      </c>
      <c r="I16" s="155">
        <f>IF($B16=" ","",IFERROR(INDEX(MMWR_RATING_RO_ROLLUP[],MATCH($B16,MMWR_RATING_RO_ROLLUP[MMWR_RATING_RO_ROLLUP],0),MATCH(I$9,MMWR_RATING_RO_ROLLUP[#Headers],0)),"ERROR"))</f>
        <v>129.74144597840001</v>
      </c>
      <c r="J16" s="157">
        <f>IF($B16=" ","",IFERROR(VLOOKUP($B16,MMWR_ACCURACY_RO[],MATCH(J$9,MMWR_ACCURACY_RO[#Headers],0),0),"ERROR"))</f>
        <v>0.95335853088436695</v>
      </c>
      <c r="K16" s="157">
        <f>IF($B16=" ","",IFERROR(VLOOKUP($B16,MMWR_ACCURACY_RO[],MATCH(K$9,MMWR_ACCURACY_RO[#Headers],0),0),"ERROR"))</f>
        <v>0.84907046356133897</v>
      </c>
      <c r="L16" s="157">
        <f>IF($B16=" ","",IFERROR(VLOOKUP($B16,MMWR_ACCURACY_RO[],MATCH(L$9,MMWR_ACCURACY_RO[#Headers],0),0),"ERROR"))</f>
        <v>0.87383267458712599</v>
      </c>
      <c r="M16" s="157">
        <f>IF($B16=" ","",IFERROR(VLOOKUP($B16,MMWR_ACCURACY_RO[],MATCH(M$9,MMWR_ACCURACY_RO[#Headers],0),0),"ERROR"))</f>
        <v>1.5346714540121801E-2</v>
      </c>
      <c r="N16" s="157">
        <f>IF($B16=" ","",IFERROR(VLOOKUP($B16,MMWR_ACCURACY_RO[],MATCH(N$9,MMWR_ACCURACY_RO[#Headers],0),0),"ERROR"))</f>
        <v>0.87593245858850399</v>
      </c>
      <c r="O16" s="157">
        <f>IF($B16=" ","",IFERROR(VLOOKUP($B16,MMWR_ACCURACY_RO[],MATCH(O$9,MMWR_ACCURACY_RO[#Headers],0),0),"ERROR"))</f>
        <v>3.1626362895585798E-2</v>
      </c>
      <c r="P16" s="28"/>
    </row>
    <row r="17" spans="1:16" x14ac:dyDescent="0.2">
      <c r="A17" s="25"/>
      <c r="B17" s="8" t="str">
        <f>VLOOKUP($B$16,DISTRICT_RO[],2,0)</f>
        <v>Baltimore VSC</v>
      </c>
      <c r="C17" s="154">
        <f>IF($B17=" ","",IFERROR(INDEX(MMWR_RATING_RO_ROLLUP[],MATCH($B17,MMWR_RATING_RO_ROLLUP[MMWR_RATING_RO_ROLLUP],0),MATCH(C$9,MMWR_RATING_RO_ROLLUP[#Headers],0)),"ERROR"))</f>
        <v>725</v>
      </c>
      <c r="D17" s="155">
        <f>IF($B17=" ","",IFERROR(INDEX(MMWR_RATING_RO_ROLLUP[],MATCH($B17,MMWR_RATING_RO_ROLLUP[MMWR_RATING_RO_ROLLUP],0),MATCH(D$9,MMWR_RATING_RO_ROLLUP[#Headers],0)),"ERROR"))</f>
        <v>117.3820689655</v>
      </c>
      <c r="E17" s="156">
        <f>IF($B17=" ","",IFERROR(INDEX(MMWR_RATING_RO_ROLLUP[],MATCH($B17,MMWR_RATING_RO_ROLLUP[MMWR_RATING_RO_ROLLUP],0),MATCH(E$9,MMWR_RATING_RO_ROLLUP[#Headers],0))/$C17,"ERROR"))</f>
        <v>0.3724137931034483</v>
      </c>
      <c r="F17" s="154">
        <f>IF($B17=" ","",IFERROR(INDEX(MMWR_RATING_RO_ROLLUP[],MATCH($B17,MMWR_RATING_RO_ROLLUP[MMWR_RATING_RO_ROLLUP],0),MATCH(F$9,MMWR_RATING_RO_ROLLUP[#Headers],0)),"ERROR"))</f>
        <v>257</v>
      </c>
      <c r="G17" s="154">
        <f>IF($B17=" ","",IFERROR(INDEX(MMWR_RATING_RO_ROLLUP[],MATCH($B17,MMWR_RATING_RO_ROLLUP[MMWR_RATING_RO_ROLLUP],0),MATCH(G$9,MMWR_RATING_RO_ROLLUP[#Headers],0)),"ERROR"))</f>
        <v>6829</v>
      </c>
      <c r="H17" s="155">
        <f>IF($B17=" ","",IFERROR(INDEX(MMWR_RATING_RO_ROLLUP[],MATCH($B17,MMWR_RATING_RO_ROLLUP[MMWR_RATING_RO_ROLLUP],0),MATCH(H$9,MMWR_RATING_RO_ROLLUP[#Headers],0)),"ERROR"))</f>
        <v>154.63424124509999</v>
      </c>
      <c r="I17" s="155">
        <f>IF($B17=" ","",IFERROR(INDEX(MMWR_RATING_RO_ROLLUP[],MATCH($B17,MMWR_RATING_RO_ROLLUP[MMWR_RATING_RO_ROLLUP],0),MATCH(I$9,MMWR_RATING_RO_ROLLUP[#Headers],0)),"ERROR"))</f>
        <v>144.31805535219999</v>
      </c>
      <c r="J17" s="157">
        <f>IF($B17=" ","",IFERROR(VLOOKUP($B17,MMWR_ACCURACY_RO[],MATCH(J$9,MMWR_ACCURACY_RO[#Headers],0),0),"ERROR"))</f>
        <v>0.90407995479671899</v>
      </c>
      <c r="K17" s="157">
        <f>IF($B17=" ","",IFERROR(VLOOKUP($B17,MMWR_ACCURACY_RO[],MATCH(K$9,MMWR_ACCURACY_RO[#Headers],0),0),"ERROR"))</f>
        <v>0.76155029585798795</v>
      </c>
      <c r="L17" s="157">
        <f>IF($B17=" ","",IFERROR(VLOOKUP($B17,MMWR_ACCURACY_RO[],MATCH(L$9,MMWR_ACCURACY_RO[#Headers],0),0),"ERROR"))</f>
        <v>0.80773220598491002</v>
      </c>
      <c r="M17" s="157">
        <f>IF($B17=" ","",IFERROR(VLOOKUP($B17,MMWR_ACCURACY_RO[],MATCH(M$9,MMWR_ACCURACY_RO[#Headers],0),0),"ERROR"))</f>
        <v>4.6629541584565302E-2</v>
      </c>
      <c r="N17" s="157">
        <f>IF($B17=" ","",IFERROR(VLOOKUP($B17,MMWR_ACCURACY_RO[],MATCH(N$9,MMWR_ACCURACY_RO[#Headers],0),0),"ERROR"))</f>
        <v>0.85954970185053403</v>
      </c>
      <c r="O17" s="157">
        <f>IF($B17=" ","",IFERROR(VLOOKUP($B17,MMWR_ACCURACY_RO[],MATCH(O$9,MMWR_ACCURACY_RO[#Headers],0),0),"ERROR"))</f>
        <v>6.1770249450616203E-2</v>
      </c>
      <c r="P17" s="28"/>
    </row>
    <row r="18" spans="1:16" x14ac:dyDescent="0.2">
      <c r="A18" s="25"/>
      <c r="B18" s="8" t="str">
        <f>VLOOKUP($B$16,DISTRICT_RO[],3,0)</f>
        <v>Boston VSC</v>
      </c>
      <c r="C18" s="154">
        <f>IF($B18=" ","",IFERROR(INDEX(MMWR_RATING_RO_ROLLUP[],MATCH($B18,MMWR_RATING_RO_ROLLUP[MMWR_RATING_RO_ROLLUP],0),MATCH(C$9,MMWR_RATING_RO_ROLLUP[#Headers],0)),"ERROR"))</f>
        <v>1100</v>
      </c>
      <c r="D18" s="155">
        <f>IF($B18=" ","",IFERROR(INDEX(MMWR_RATING_RO_ROLLUP[],MATCH($B18,MMWR_RATING_RO_ROLLUP[MMWR_RATING_RO_ROLLUP],0),MATCH(D$9,MMWR_RATING_RO_ROLLUP[#Headers],0)),"ERROR"))</f>
        <v>111.2227272727</v>
      </c>
      <c r="E18" s="156">
        <f>IF($B18=" ","",IFERROR(INDEX(MMWR_RATING_RO_ROLLUP[],MATCH($B18,MMWR_RATING_RO_ROLLUP[MMWR_RATING_RO_ROLLUP],0),MATCH(E$9,MMWR_RATING_RO_ROLLUP[#Headers],0))/$C18,"ERROR"))</f>
        <v>0.38454545454545452</v>
      </c>
      <c r="F18" s="154">
        <f>IF($B18=" ","",IFERROR(INDEX(MMWR_RATING_RO_ROLLUP[],MATCH($B18,MMWR_RATING_RO_ROLLUP[MMWR_RATING_RO_ROLLUP],0),MATCH(F$9,MMWR_RATING_RO_ROLLUP[#Headers],0)),"ERROR"))</f>
        <v>331</v>
      </c>
      <c r="G18" s="154">
        <f>IF($B18=" ","",IFERROR(INDEX(MMWR_RATING_RO_ROLLUP[],MATCH($B18,MMWR_RATING_RO_ROLLUP[MMWR_RATING_RO_ROLLUP],0),MATCH(G$9,MMWR_RATING_RO_ROLLUP[#Headers],0)),"ERROR"))</f>
        <v>8453</v>
      </c>
      <c r="H18" s="155">
        <f>IF($B18=" ","",IFERROR(INDEX(MMWR_RATING_RO_ROLLUP[],MATCH($B18,MMWR_RATING_RO_ROLLUP[MMWR_RATING_RO_ROLLUP],0),MATCH(H$9,MMWR_RATING_RO_ROLLUP[#Headers],0)),"ERROR"))</f>
        <v>129.3987915408</v>
      </c>
      <c r="I18" s="155">
        <f>IF($B18=" ","",IFERROR(INDEX(MMWR_RATING_RO_ROLLUP[],MATCH($B18,MMWR_RATING_RO_ROLLUP[MMWR_RATING_RO_ROLLUP],0),MATCH(I$9,MMWR_RATING_RO_ROLLUP[#Headers],0)),"ERROR"))</f>
        <v>130.7878859576</v>
      </c>
      <c r="J18" s="157">
        <f>IF($B18=" ","",IFERROR(VLOOKUP($B18,MMWR_ACCURACY_RO[],MATCH(J$9,MMWR_ACCURACY_RO[#Headers],0),0),"ERROR"))</f>
        <v>0.93993653791471199</v>
      </c>
      <c r="K18" s="157">
        <f>IF($B18=" ","",IFERROR(VLOOKUP($B18,MMWR_ACCURACY_RO[],MATCH(K$9,MMWR_ACCURACY_RO[#Headers],0),0),"ERROR"))</f>
        <v>0.87754362015272402</v>
      </c>
      <c r="L18" s="157">
        <f>IF($B18=" ","",IFERROR(VLOOKUP($B18,MMWR_ACCURACY_RO[],MATCH(L$9,MMWR_ACCURACY_RO[#Headers],0),0),"ERROR"))</f>
        <v>0.81057562598789401</v>
      </c>
      <c r="M18" s="157">
        <f>IF($B18=" ","",IFERROR(VLOOKUP($B18,MMWR_ACCURACY_RO[],MATCH(M$9,MMWR_ACCURACY_RO[#Headers],0),0),"ERROR"))</f>
        <v>5.9019322463691001E-2</v>
      </c>
      <c r="N18" s="157">
        <f>IF($B18=" ","",IFERROR(VLOOKUP($B18,MMWR_ACCURACY_RO[],MATCH(N$9,MMWR_ACCURACY_RO[#Headers],0),0),"ERROR"))</f>
        <v>0.93119690973250602</v>
      </c>
      <c r="O18" s="157">
        <f>IF($B18=" ","",IFERROR(VLOOKUP($B18,MMWR_ACCURACY_RO[],MATCH(O$9,MMWR_ACCURACY_RO[#Headers],0),0),"ERROR"))</f>
        <v>4.4909233852820897E-2</v>
      </c>
      <c r="P18" s="28"/>
    </row>
    <row r="19" spans="1:16" x14ac:dyDescent="0.2">
      <c r="A19" s="25"/>
      <c r="B19" s="8" t="str">
        <f>VLOOKUP($B$16,DISTRICT_RO[],4,0)</f>
        <v>Buffalo VSC</v>
      </c>
      <c r="C19" s="154">
        <f>IF($B19=" ","",IFERROR(INDEX(MMWR_RATING_RO_ROLLUP[],MATCH($B19,MMWR_RATING_RO_ROLLUP[MMWR_RATING_RO_ROLLUP],0),MATCH(C$9,MMWR_RATING_RO_ROLLUP[#Headers],0)),"ERROR"))</f>
        <v>1108</v>
      </c>
      <c r="D19" s="155">
        <f>IF($B19=" ","",IFERROR(INDEX(MMWR_RATING_RO_ROLLUP[],MATCH($B19,MMWR_RATING_RO_ROLLUP[MMWR_RATING_RO_ROLLUP],0),MATCH(D$9,MMWR_RATING_RO_ROLLUP[#Headers],0)),"ERROR"))</f>
        <v>107.1299638989</v>
      </c>
      <c r="E19" s="156">
        <f>IF($B19=" ","",IFERROR(INDEX(MMWR_RATING_RO_ROLLUP[],MATCH($B19,MMWR_RATING_RO_ROLLUP[MMWR_RATING_RO_ROLLUP],0),MATCH(E$9,MMWR_RATING_RO_ROLLUP[#Headers],0))/$C19,"ERROR"))</f>
        <v>0.34476534296028882</v>
      </c>
      <c r="F19" s="154">
        <f>IF($B19=" ","",IFERROR(INDEX(MMWR_RATING_RO_ROLLUP[],MATCH($B19,MMWR_RATING_RO_ROLLUP[MMWR_RATING_RO_ROLLUP],0),MATCH(F$9,MMWR_RATING_RO_ROLLUP[#Headers],0)),"ERROR"))</f>
        <v>220</v>
      </c>
      <c r="G19" s="154">
        <f>IF($B19=" ","",IFERROR(INDEX(MMWR_RATING_RO_ROLLUP[],MATCH($B19,MMWR_RATING_RO_ROLLUP[MMWR_RATING_RO_ROLLUP],0),MATCH(G$9,MMWR_RATING_RO_ROLLUP[#Headers],0)),"ERROR"))</f>
        <v>8746</v>
      </c>
      <c r="H19" s="155">
        <f>IF($B19=" ","",IFERROR(INDEX(MMWR_RATING_RO_ROLLUP[],MATCH($B19,MMWR_RATING_RO_ROLLUP[MMWR_RATING_RO_ROLLUP],0),MATCH(H$9,MMWR_RATING_RO_ROLLUP[#Headers],0)),"ERROR"))</f>
        <v>163.28181818179999</v>
      </c>
      <c r="I19" s="155">
        <f>IF($B19=" ","",IFERROR(INDEX(MMWR_RATING_RO_ROLLUP[],MATCH($B19,MMWR_RATING_RO_ROLLUP[MMWR_RATING_RO_ROLLUP],0),MATCH(I$9,MMWR_RATING_RO_ROLLUP[#Headers],0)),"ERROR"))</f>
        <v>134.60324719869999</v>
      </c>
      <c r="J19" s="157">
        <f>IF($B19=" ","",IFERROR(VLOOKUP($B19,MMWR_ACCURACY_RO[],MATCH(J$9,MMWR_ACCURACY_RO[#Headers],0),0),"ERROR"))</f>
        <v>0.95683022306212695</v>
      </c>
      <c r="K19" s="157">
        <f>IF($B19=" ","",IFERROR(VLOOKUP($B19,MMWR_ACCURACY_RO[],MATCH(K$9,MMWR_ACCURACY_RO[#Headers],0),0),"ERROR"))</f>
        <v>0.862222222222222</v>
      </c>
      <c r="L19" s="157">
        <f>IF($B19=" ","",IFERROR(VLOOKUP($B19,MMWR_ACCURACY_RO[],MATCH(L$9,MMWR_ACCURACY_RO[#Headers],0),0),"ERROR"))</f>
        <v>0.91044379374078499</v>
      </c>
      <c r="M19" s="157">
        <f>IF($B19=" ","",IFERROR(VLOOKUP($B19,MMWR_ACCURACY_RO[],MATCH(M$9,MMWR_ACCURACY_RO[#Headers],0),0),"ERROR"))</f>
        <v>4.2015666606576803E-2</v>
      </c>
      <c r="N19" s="157">
        <f>IF($B19=" ","",IFERROR(VLOOKUP($B19,MMWR_ACCURACY_RO[],MATCH(N$9,MMWR_ACCURACY_RO[#Headers],0),0),"ERROR"))</f>
        <v>0.83242717175484804</v>
      </c>
      <c r="O19" s="157">
        <f>IF($B19=" ","",IFERROR(VLOOKUP($B19,MMWR_ACCURACY_RO[],MATCH(O$9,MMWR_ACCURACY_RO[#Headers],0),0),"ERROR"))</f>
        <v>6.4505543587498507E-2</v>
      </c>
      <c r="P19" s="28"/>
    </row>
    <row r="20" spans="1:16" x14ac:dyDescent="0.2">
      <c r="A20" s="25"/>
      <c r="B20" s="8" t="str">
        <f>VLOOKUP($B$16,DISTRICT_RO[],5,0)</f>
        <v>Hartford VSC</v>
      </c>
      <c r="C20" s="154">
        <f>IF($B20=" ","",IFERROR(INDEX(MMWR_RATING_RO_ROLLUP[],MATCH($B20,MMWR_RATING_RO_ROLLUP[MMWR_RATING_RO_ROLLUP],0),MATCH(C$9,MMWR_RATING_RO_ROLLUP[#Headers],0)),"ERROR"))</f>
        <v>740</v>
      </c>
      <c r="D20" s="155">
        <f>IF($B20=" ","",IFERROR(INDEX(MMWR_RATING_RO_ROLLUP[],MATCH($B20,MMWR_RATING_RO_ROLLUP[MMWR_RATING_RO_ROLLUP],0),MATCH(D$9,MMWR_RATING_RO_ROLLUP[#Headers],0)),"ERROR"))</f>
        <v>95.628378378400001</v>
      </c>
      <c r="E20" s="156">
        <f>IF($B20=" ","",IFERROR(INDEX(MMWR_RATING_RO_ROLLUP[],MATCH($B20,MMWR_RATING_RO_ROLLUP[MMWR_RATING_RO_ROLLUP],0),MATCH(E$9,MMWR_RATING_RO_ROLLUP[#Headers],0))/$C20,"ERROR"))</f>
        <v>0.23513513513513515</v>
      </c>
      <c r="F20" s="154">
        <f>IF($B20=" ","",IFERROR(INDEX(MMWR_RATING_RO_ROLLUP[],MATCH($B20,MMWR_RATING_RO_ROLLUP[MMWR_RATING_RO_ROLLUP],0),MATCH(F$9,MMWR_RATING_RO_ROLLUP[#Headers],0)),"ERROR"))</f>
        <v>482</v>
      </c>
      <c r="G20" s="154">
        <f>IF($B20=" ","",IFERROR(INDEX(MMWR_RATING_RO_ROLLUP[],MATCH($B20,MMWR_RATING_RO_ROLLUP[MMWR_RATING_RO_ROLLUP],0),MATCH(G$9,MMWR_RATING_RO_ROLLUP[#Headers],0)),"ERROR"))</f>
        <v>8472</v>
      </c>
      <c r="H20" s="155">
        <f>IF($B20=" ","",IFERROR(INDEX(MMWR_RATING_RO_ROLLUP[],MATCH($B20,MMWR_RATING_RO_ROLLUP[MMWR_RATING_RO_ROLLUP],0),MATCH(H$9,MMWR_RATING_RO_ROLLUP[#Headers],0)),"ERROR"))</f>
        <v>115.08713692950001</v>
      </c>
      <c r="I20" s="155">
        <f>IF($B20=" ","",IFERROR(INDEX(MMWR_RATING_RO_ROLLUP[],MATCH($B20,MMWR_RATING_RO_ROLLUP[MMWR_RATING_RO_ROLLUP],0),MATCH(I$9,MMWR_RATING_RO_ROLLUP[#Headers],0)),"ERROR"))</f>
        <v>125.2269830028</v>
      </c>
      <c r="J20" s="157">
        <f>IF($B20=" ","",IFERROR(VLOOKUP($B20,MMWR_ACCURACY_RO[],MATCH(J$9,MMWR_ACCURACY_RO[#Headers],0),0),"ERROR"))</f>
        <v>0.95444451993320401</v>
      </c>
      <c r="K20" s="157">
        <f>IF($B20=" ","",IFERROR(VLOOKUP($B20,MMWR_ACCURACY_RO[],MATCH(K$9,MMWR_ACCURACY_RO[#Headers],0),0),"ERROR"))</f>
        <v>0.841482965931864</v>
      </c>
      <c r="L20" s="157">
        <f>IF($B20=" ","",IFERROR(VLOOKUP($B20,MMWR_ACCURACY_RO[],MATCH(L$9,MMWR_ACCURACY_RO[#Headers],0),0),"ERROR"))</f>
        <v>0.91157882570503901</v>
      </c>
      <c r="M20" s="157">
        <f>IF($B20=" ","",IFERROR(VLOOKUP($B20,MMWR_ACCURACY_RO[],MATCH(M$9,MMWR_ACCURACY_RO[#Headers],0),0),"ERROR"))</f>
        <v>4.6667229917174001E-2</v>
      </c>
      <c r="N20" s="157">
        <f>IF($B20=" ","",IFERROR(VLOOKUP($B20,MMWR_ACCURACY_RO[],MATCH(N$9,MMWR_ACCURACY_RO[#Headers],0),0),"ERROR"))</f>
        <v>0.95342977007736696</v>
      </c>
      <c r="O20" s="157">
        <f>IF($B20=" ","",IFERROR(VLOOKUP($B20,MMWR_ACCURACY_RO[],MATCH(O$9,MMWR_ACCURACY_RO[#Headers],0),0),"ERROR"))</f>
        <v>3.8443017085524001E-2</v>
      </c>
      <c r="P20" s="28"/>
    </row>
    <row r="21" spans="1:16" x14ac:dyDescent="0.2">
      <c r="A21" s="25"/>
      <c r="B21" s="8" t="str">
        <f>VLOOKUP($B$16,DISTRICT_RO[],6,0)</f>
        <v>Huntington VSC</v>
      </c>
      <c r="C21" s="154">
        <f>IF($B21=" ","",IFERROR(INDEX(MMWR_RATING_RO_ROLLUP[],MATCH($B21,MMWR_RATING_RO_ROLLUP[MMWR_RATING_RO_ROLLUP],0),MATCH(C$9,MMWR_RATING_RO_ROLLUP[#Headers],0)),"ERROR"))</f>
        <v>2736</v>
      </c>
      <c r="D21" s="155">
        <f>IF($B21=" ","",IFERROR(INDEX(MMWR_RATING_RO_ROLLUP[],MATCH($B21,MMWR_RATING_RO_ROLLUP[MMWR_RATING_RO_ROLLUP],0),MATCH(D$9,MMWR_RATING_RO_ROLLUP[#Headers],0)),"ERROR"))</f>
        <v>77.823099415200005</v>
      </c>
      <c r="E21" s="156">
        <f>IF($B21=" ","",IFERROR(INDEX(MMWR_RATING_RO_ROLLUP[],MATCH($B21,MMWR_RATING_RO_ROLLUP[MMWR_RATING_RO_ROLLUP],0),MATCH(E$9,MMWR_RATING_RO_ROLLUP[#Headers],0))/$C21,"ERROR"))</f>
        <v>0.13194444444444445</v>
      </c>
      <c r="F21" s="154">
        <f>IF($B21=" ","",IFERROR(INDEX(MMWR_RATING_RO_ROLLUP[],MATCH($B21,MMWR_RATING_RO_ROLLUP[MMWR_RATING_RO_ROLLUP],0),MATCH(F$9,MMWR_RATING_RO_ROLLUP[#Headers],0)),"ERROR"))</f>
        <v>631</v>
      </c>
      <c r="G21" s="154">
        <f>IF($B21=" ","",IFERROR(INDEX(MMWR_RATING_RO_ROLLUP[],MATCH($B21,MMWR_RATING_RO_ROLLUP[MMWR_RATING_RO_ROLLUP],0),MATCH(G$9,MMWR_RATING_RO_ROLLUP[#Headers],0)),"ERROR"))</f>
        <v>14440</v>
      </c>
      <c r="H21" s="155">
        <f>IF($B21=" ","",IFERROR(INDEX(MMWR_RATING_RO_ROLLUP[],MATCH($B21,MMWR_RATING_RO_ROLLUP[MMWR_RATING_RO_ROLLUP],0),MATCH(H$9,MMWR_RATING_RO_ROLLUP[#Headers],0)),"ERROR"))</f>
        <v>113.0522979398</v>
      </c>
      <c r="I21" s="155">
        <f>IF($B21=" ","",IFERROR(INDEX(MMWR_RATING_RO_ROLLUP[],MATCH($B21,MMWR_RATING_RO_ROLLUP[MMWR_RATING_RO_ROLLUP],0),MATCH(I$9,MMWR_RATING_RO_ROLLUP[#Headers],0)),"ERROR"))</f>
        <v>126.816066482</v>
      </c>
      <c r="J21" s="157">
        <f>IF($B21=" ","",IFERROR(VLOOKUP($B21,MMWR_ACCURACY_RO[],MATCH(J$9,MMWR_ACCURACY_RO[#Headers],0),0),"ERROR"))</f>
        <v>0.95910347412561203</v>
      </c>
      <c r="K21" s="157">
        <f>IF($B21=" ","",IFERROR(VLOOKUP($B21,MMWR_ACCURACY_RO[],MATCH(K$9,MMWR_ACCURACY_RO[#Headers],0),0),"ERROR"))</f>
        <v>0.87954737732656496</v>
      </c>
      <c r="L21" s="157">
        <f>IF($B21=" ","",IFERROR(VLOOKUP($B21,MMWR_ACCURACY_RO[],MATCH(L$9,MMWR_ACCURACY_RO[#Headers],0),0),"ERROR"))</f>
        <v>0.89319556179471904</v>
      </c>
      <c r="M21" s="157">
        <f>IF($B21=" ","",IFERROR(VLOOKUP($B21,MMWR_ACCURACY_RO[],MATCH(M$9,MMWR_ACCURACY_RO[#Headers],0),0),"ERROR"))</f>
        <v>4.4956646518152503E-2</v>
      </c>
      <c r="N21" s="157">
        <f>IF($B21=" ","",IFERROR(VLOOKUP($B21,MMWR_ACCURACY_RO[],MATCH(N$9,MMWR_ACCURACY_RO[#Headers],0),0),"ERROR"))</f>
        <v>0.89692599093827796</v>
      </c>
      <c r="O21" s="157">
        <f>IF($B21=" ","",IFERROR(VLOOKUP($B21,MMWR_ACCURACY_RO[],MATCH(O$9,MMWR_ACCURACY_RO[#Headers],0),0),"ERROR"))</f>
        <v>5.0598798231345901E-2</v>
      </c>
      <c r="P21" s="28"/>
    </row>
    <row r="22" spans="1:16" x14ac:dyDescent="0.2">
      <c r="A22" s="25"/>
      <c r="B22" s="8" t="str">
        <f>VLOOKUP($B$16,DISTRICT_RO[],7,0)</f>
        <v>Manchester VSC</v>
      </c>
      <c r="C22" s="154">
        <f>IF($B22=" ","",IFERROR(INDEX(MMWR_RATING_RO_ROLLUP[],MATCH($B22,MMWR_RATING_RO_ROLLUP[MMWR_RATING_RO_ROLLUP],0),MATCH(C$9,MMWR_RATING_RO_ROLLUP[#Headers],0)),"ERROR"))</f>
        <v>471</v>
      </c>
      <c r="D22" s="155">
        <f>IF($B22=" ","",IFERROR(INDEX(MMWR_RATING_RO_ROLLUP[],MATCH($B22,MMWR_RATING_RO_ROLLUP[MMWR_RATING_RO_ROLLUP],0),MATCH(D$9,MMWR_RATING_RO_ROLLUP[#Headers],0)),"ERROR"))</f>
        <v>120.3121019108</v>
      </c>
      <c r="E22" s="156">
        <f>IF($B22=" ","",IFERROR(INDEX(MMWR_RATING_RO_ROLLUP[],MATCH($B22,MMWR_RATING_RO_ROLLUP[MMWR_RATING_RO_ROLLUP],0),MATCH(E$9,MMWR_RATING_RO_ROLLUP[#Headers],0))/$C22,"ERROR"))</f>
        <v>0.46709129511677283</v>
      </c>
      <c r="F22" s="154">
        <f>IF($B22=" ","",IFERROR(INDEX(MMWR_RATING_RO_ROLLUP[],MATCH($B22,MMWR_RATING_RO_ROLLUP[MMWR_RATING_RO_ROLLUP],0),MATCH(F$9,MMWR_RATING_RO_ROLLUP[#Headers],0)),"ERROR"))</f>
        <v>132</v>
      </c>
      <c r="G22" s="154">
        <f>IF($B22=" ","",IFERROR(INDEX(MMWR_RATING_RO_ROLLUP[],MATCH($B22,MMWR_RATING_RO_ROLLUP[MMWR_RATING_RO_ROLLUP],0),MATCH(G$9,MMWR_RATING_RO_ROLLUP[#Headers],0)),"ERROR"))</f>
        <v>3604</v>
      </c>
      <c r="H22" s="155">
        <f>IF($B22=" ","",IFERROR(INDEX(MMWR_RATING_RO_ROLLUP[],MATCH($B22,MMWR_RATING_RO_ROLLUP[MMWR_RATING_RO_ROLLUP],0),MATCH(H$9,MMWR_RATING_RO_ROLLUP[#Headers],0)),"ERROR"))</f>
        <v>170.60606060609999</v>
      </c>
      <c r="I22" s="155">
        <f>IF($B22=" ","",IFERROR(INDEX(MMWR_RATING_RO_ROLLUP[],MATCH($B22,MMWR_RATING_RO_ROLLUP[MMWR_RATING_RO_ROLLUP],0),MATCH(I$9,MMWR_RATING_RO_ROLLUP[#Headers],0)),"ERROR"))</f>
        <v>133.97419533850001</v>
      </c>
      <c r="J22" s="157">
        <f>IF($B22=" ","",IFERROR(VLOOKUP($B22,MMWR_ACCURACY_RO[],MATCH(J$9,MMWR_ACCURACY_RO[#Headers],0),0),"ERROR"))</f>
        <v>0.96060578092207405</v>
      </c>
      <c r="K22" s="157">
        <f>IF($B22=" ","",IFERROR(VLOOKUP($B22,MMWR_ACCURACY_RO[],MATCH(K$9,MMWR_ACCURACY_RO[#Headers],0),0),"ERROR"))</f>
        <v>0.82818592018224002</v>
      </c>
      <c r="L22" s="157">
        <f>IF($B22=" ","",IFERROR(VLOOKUP($B22,MMWR_ACCURACY_RO[],MATCH(L$9,MMWR_ACCURACY_RO[#Headers],0),0),"ERROR"))</f>
        <v>0.878746700905913</v>
      </c>
      <c r="M22" s="157">
        <f>IF($B22=" ","",IFERROR(VLOOKUP($B22,MMWR_ACCURACY_RO[],MATCH(M$9,MMWR_ACCURACY_RO[#Headers],0),0),"ERROR"))</f>
        <v>4.9961380588676399E-2</v>
      </c>
      <c r="N22" s="157">
        <f>IF($B22=" ","",IFERROR(VLOOKUP($B22,MMWR_ACCURACY_RO[],MATCH(N$9,MMWR_ACCURACY_RO[#Headers],0),0),"ERROR"))</f>
        <v>0.86798598227169599</v>
      </c>
      <c r="O22" s="157">
        <f>IF($B22=" ","",IFERROR(VLOOKUP($B22,MMWR_ACCURACY_RO[],MATCH(O$9,MMWR_ACCURACY_RO[#Headers],0),0),"ERROR"))</f>
        <v>7.7975301228531399E-2</v>
      </c>
      <c r="P22" s="28"/>
    </row>
    <row r="23" spans="1:16" x14ac:dyDescent="0.2">
      <c r="A23" s="25"/>
      <c r="B23" s="8" t="str">
        <f>VLOOKUP($B$16,DISTRICT_RO[],8,0)</f>
        <v>New York VSC</v>
      </c>
      <c r="C23" s="154">
        <f>IF($B23=" ","",IFERROR(INDEX(MMWR_RATING_RO_ROLLUP[],MATCH($B23,MMWR_RATING_RO_ROLLUP[MMWR_RATING_RO_ROLLUP],0),MATCH(C$9,MMWR_RATING_RO_ROLLUP[#Headers],0)),"ERROR"))</f>
        <v>1456</v>
      </c>
      <c r="D23" s="155">
        <f>IF($B23=" ","",IFERROR(INDEX(MMWR_RATING_RO_ROLLUP[],MATCH($B23,MMWR_RATING_RO_ROLLUP[MMWR_RATING_RO_ROLLUP],0),MATCH(D$9,MMWR_RATING_RO_ROLLUP[#Headers],0)),"ERROR"))</f>
        <v>121.3585164835</v>
      </c>
      <c r="E23" s="156">
        <f>IF($B23=" ","",IFERROR(INDEX(MMWR_RATING_RO_ROLLUP[],MATCH($B23,MMWR_RATING_RO_ROLLUP[MMWR_RATING_RO_ROLLUP],0),MATCH(E$9,MMWR_RATING_RO_ROLLUP[#Headers],0))/$C23,"ERROR"))</f>
        <v>0.39148351648351648</v>
      </c>
      <c r="F23" s="154">
        <f>IF($B23=" ","",IFERROR(INDEX(MMWR_RATING_RO_ROLLUP[],MATCH($B23,MMWR_RATING_RO_ROLLUP[MMWR_RATING_RO_ROLLUP],0),MATCH(F$9,MMWR_RATING_RO_ROLLUP[#Headers],0)),"ERROR"))</f>
        <v>442</v>
      </c>
      <c r="G23" s="154">
        <f>IF($B23=" ","",IFERROR(INDEX(MMWR_RATING_RO_ROLLUP[],MATCH($B23,MMWR_RATING_RO_ROLLUP[MMWR_RATING_RO_ROLLUP],0),MATCH(G$9,MMWR_RATING_RO_ROLLUP[#Headers],0)),"ERROR"))</f>
        <v>9790</v>
      </c>
      <c r="H23" s="155">
        <f>IF($B23=" ","",IFERROR(INDEX(MMWR_RATING_RO_ROLLUP[],MATCH($B23,MMWR_RATING_RO_ROLLUP[MMWR_RATING_RO_ROLLUP],0),MATCH(H$9,MMWR_RATING_RO_ROLLUP[#Headers],0)),"ERROR"))</f>
        <v>148.9253393665</v>
      </c>
      <c r="I23" s="155">
        <f>IF($B23=" ","",IFERROR(INDEX(MMWR_RATING_RO_ROLLUP[],MATCH($B23,MMWR_RATING_RO_ROLLUP[MMWR_RATING_RO_ROLLUP],0),MATCH(I$9,MMWR_RATING_RO_ROLLUP[#Headers],0)),"ERROR"))</f>
        <v>133.8915219612</v>
      </c>
      <c r="J23" s="157">
        <f>IF($B23=" ","",IFERROR(VLOOKUP($B23,MMWR_ACCURACY_RO[],MATCH(J$9,MMWR_ACCURACY_RO[#Headers],0),0),"ERROR"))</f>
        <v>0.90861043125821706</v>
      </c>
      <c r="K23" s="157">
        <f>IF($B23=" ","",IFERROR(VLOOKUP($B23,MMWR_ACCURACY_RO[],MATCH(K$9,MMWR_ACCURACY_RO[#Headers],0),0),"ERROR"))</f>
        <v>0.83947763451539104</v>
      </c>
      <c r="L23" s="157">
        <f>IF($B23=" ","",IFERROR(VLOOKUP($B23,MMWR_ACCURACY_RO[],MATCH(L$9,MMWR_ACCURACY_RO[#Headers],0),0),"ERROR"))</f>
        <v>0.85876523062754795</v>
      </c>
      <c r="M23" s="157">
        <f>IF($B23=" ","",IFERROR(VLOOKUP($B23,MMWR_ACCURACY_RO[],MATCH(M$9,MMWR_ACCURACY_RO[#Headers],0),0),"ERROR"))</f>
        <v>5.4947744562224503E-2</v>
      </c>
      <c r="N23" s="157">
        <f>IF($B23=" ","",IFERROR(VLOOKUP($B23,MMWR_ACCURACY_RO[],MATCH(N$9,MMWR_ACCURACY_RO[#Headers],0),0),"ERROR"))</f>
        <v>0.88885208623191703</v>
      </c>
      <c r="O23" s="157">
        <f>IF($B23=" ","",IFERROR(VLOOKUP($B23,MMWR_ACCURACY_RO[],MATCH(O$9,MMWR_ACCURACY_RO[#Headers],0),0),"ERROR"))</f>
        <v>7.2089607893006599E-2</v>
      </c>
      <c r="P23" s="28"/>
    </row>
    <row r="24" spans="1:16" x14ac:dyDescent="0.2">
      <c r="A24" s="25"/>
      <c r="B24" s="8" t="str">
        <f>VLOOKUP($B$16,DISTRICT_RO[],9,0)</f>
        <v>Newark VSC</v>
      </c>
      <c r="C24" s="154">
        <f>IF($B24=" ","",IFERROR(INDEX(MMWR_RATING_RO_ROLLUP[],MATCH($B24,MMWR_RATING_RO_ROLLUP[MMWR_RATING_RO_ROLLUP],0),MATCH(C$9,MMWR_RATING_RO_ROLLUP[#Headers],0)),"ERROR"))</f>
        <v>858</v>
      </c>
      <c r="D24" s="155">
        <f>IF($B24=" ","",IFERROR(INDEX(MMWR_RATING_RO_ROLLUP[],MATCH($B24,MMWR_RATING_RO_ROLLUP[MMWR_RATING_RO_ROLLUP],0),MATCH(D$9,MMWR_RATING_RO_ROLLUP[#Headers],0)),"ERROR"))</f>
        <v>116.1934731935</v>
      </c>
      <c r="E24" s="156">
        <f>IF($B24=" ","",IFERROR(INDEX(MMWR_RATING_RO_ROLLUP[],MATCH($B24,MMWR_RATING_RO_ROLLUP[MMWR_RATING_RO_ROLLUP],0),MATCH(E$9,MMWR_RATING_RO_ROLLUP[#Headers],0))/$C24,"ERROR"))</f>
        <v>0.39393939393939392</v>
      </c>
      <c r="F24" s="154">
        <f>IF($B24=" ","",IFERROR(INDEX(MMWR_RATING_RO_ROLLUP[],MATCH($B24,MMWR_RATING_RO_ROLLUP[MMWR_RATING_RO_ROLLUP],0),MATCH(F$9,MMWR_RATING_RO_ROLLUP[#Headers],0)),"ERROR"))</f>
        <v>209</v>
      </c>
      <c r="G24" s="154">
        <f>IF($B24=" ","",IFERROR(INDEX(MMWR_RATING_RO_ROLLUP[],MATCH($B24,MMWR_RATING_RO_ROLLUP[MMWR_RATING_RO_ROLLUP],0),MATCH(G$9,MMWR_RATING_RO_ROLLUP[#Headers],0)),"ERROR"))</f>
        <v>4585</v>
      </c>
      <c r="H24" s="155">
        <f>IF($B24=" ","",IFERROR(INDEX(MMWR_RATING_RO_ROLLUP[],MATCH($B24,MMWR_RATING_RO_ROLLUP[MMWR_RATING_RO_ROLLUP],0),MATCH(H$9,MMWR_RATING_RO_ROLLUP[#Headers],0)),"ERROR"))</f>
        <v>167.47368421050001</v>
      </c>
      <c r="I24" s="155">
        <f>IF($B24=" ","",IFERROR(INDEX(MMWR_RATING_RO_ROLLUP[],MATCH($B24,MMWR_RATING_RO_ROLLUP[MMWR_RATING_RO_ROLLUP],0),MATCH(I$9,MMWR_RATING_RO_ROLLUP[#Headers],0)),"ERROR"))</f>
        <v>144.681134133</v>
      </c>
      <c r="J24" s="157">
        <f>IF($B24=" ","",IFERROR(VLOOKUP($B24,MMWR_ACCURACY_RO[],MATCH(J$9,MMWR_ACCURACY_RO[#Headers],0),0),"ERROR"))</f>
        <v>0.95636910732196601</v>
      </c>
      <c r="K24" s="157">
        <f>IF($B24=" ","",IFERROR(VLOOKUP($B24,MMWR_ACCURACY_RO[],MATCH(K$9,MMWR_ACCURACY_RO[#Headers],0),0),"ERROR"))</f>
        <v>0.86222627737226298</v>
      </c>
      <c r="L24" s="157">
        <f>IF($B24=" ","",IFERROR(VLOOKUP($B24,MMWR_ACCURACY_RO[],MATCH(L$9,MMWR_ACCURACY_RO[#Headers],0),0),"ERROR"))</f>
        <v>0.89074793938739505</v>
      </c>
      <c r="M24" s="157">
        <f>IF($B24=" ","",IFERROR(VLOOKUP($B24,MMWR_ACCURACY_RO[],MATCH(M$9,MMWR_ACCURACY_RO[#Headers],0),0),"ERROR"))</f>
        <v>4.2339201024592703E-2</v>
      </c>
      <c r="N24" s="157">
        <f>IF($B24=" ","",IFERROR(VLOOKUP($B24,MMWR_ACCURACY_RO[],MATCH(N$9,MMWR_ACCURACY_RO[#Headers],0),0),"ERROR"))</f>
        <v>0.814498572544615</v>
      </c>
      <c r="O24" s="157">
        <f>IF($B24=" ","",IFERROR(VLOOKUP($B24,MMWR_ACCURACY_RO[],MATCH(O$9,MMWR_ACCURACY_RO[#Headers],0),0),"ERROR"))</f>
        <v>7.5651181020405897E-2</v>
      </c>
      <c r="P24" s="28"/>
    </row>
    <row r="25" spans="1:16" x14ac:dyDescent="0.2">
      <c r="A25" s="25"/>
      <c r="B25" s="8" t="str">
        <f>VLOOKUP($B$16,DISTRICT_RO[],10,0)</f>
        <v>Philadelphia VSC</v>
      </c>
      <c r="C25" s="154">
        <f>IF($B25=" ","",IFERROR(INDEX(MMWR_RATING_RO_ROLLUP[],MATCH($B25,MMWR_RATING_RO_ROLLUP[MMWR_RATING_RO_ROLLUP],0),MATCH(C$9,MMWR_RATING_RO_ROLLUP[#Headers],0)),"ERROR"))</f>
        <v>3248</v>
      </c>
      <c r="D25" s="155">
        <f>IF($B25=" ","",IFERROR(INDEX(MMWR_RATING_RO_ROLLUP[],MATCH($B25,MMWR_RATING_RO_ROLLUP[MMWR_RATING_RO_ROLLUP],0),MATCH(D$9,MMWR_RATING_RO_ROLLUP[#Headers],0)),"ERROR"))</f>
        <v>116.3318965517</v>
      </c>
      <c r="E25" s="156">
        <f>IF($B25=" ","",IFERROR(INDEX(MMWR_RATING_RO_ROLLUP[],MATCH($B25,MMWR_RATING_RO_ROLLUP[MMWR_RATING_RO_ROLLUP],0),MATCH(E$9,MMWR_RATING_RO_ROLLUP[#Headers],0))/$C25,"ERROR"))</f>
        <v>0.33035714285714285</v>
      </c>
      <c r="F25" s="154">
        <f>IF($B25=" ","",IFERROR(INDEX(MMWR_RATING_RO_ROLLUP[],MATCH($B25,MMWR_RATING_RO_ROLLUP[MMWR_RATING_RO_ROLLUP],0),MATCH(F$9,MMWR_RATING_RO_ROLLUP[#Headers],0)),"ERROR"))</f>
        <v>984</v>
      </c>
      <c r="G25" s="154">
        <f>IF($B25=" ","",IFERROR(INDEX(MMWR_RATING_RO_ROLLUP[],MATCH($B25,MMWR_RATING_RO_ROLLUP[MMWR_RATING_RO_ROLLUP],0),MATCH(G$9,MMWR_RATING_RO_ROLLUP[#Headers],0)),"ERROR"))</f>
        <v>20648</v>
      </c>
      <c r="H25" s="155">
        <f>IF($B25=" ","",IFERROR(INDEX(MMWR_RATING_RO_ROLLUP[],MATCH($B25,MMWR_RATING_RO_ROLLUP[MMWR_RATING_RO_ROLLUP],0),MATCH(H$9,MMWR_RATING_RO_ROLLUP[#Headers],0)),"ERROR"))</f>
        <v>138.01930894309999</v>
      </c>
      <c r="I25" s="155">
        <f>IF($B25=" ","",IFERROR(INDEX(MMWR_RATING_RO_ROLLUP[],MATCH($B25,MMWR_RATING_RO_ROLLUP[MMWR_RATING_RO_ROLLUP],0),MATCH(I$9,MMWR_RATING_RO_ROLLUP[#Headers],0)),"ERROR"))</f>
        <v>145.17672413790001</v>
      </c>
      <c r="J25" s="157">
        <f>IF($B25=" ","",IFERROR(VLOOKUP($B25,MMWR_ACCURACY_RO[],MATCH(J$9,MMWR_ACCURACY_RO[#Headers],0),0),"ERROR"))</f>
        <v>0.92772431972499003</v>
      </c>
      <c r="K25" s="157">
        <f>IF($B25=" ","",IFERROR(VLOOKUP($B25,MMWR_ACCURACY_RO[],MATCH(K$9,MMWR_ACCURACY_RO[#Headers],0),0),"ERROR"))</f>
        <v>0.84681366347370302</v>
      </c>
      <c r="L25" s="157">
        <f>IF($B25=" ","",IFERROR(VLOOKUP($B25,MMWR_ACCURACY_RO[],MATCH(L$9,MMWR_ACCURACY_RO[#Headers],0),0),"ERROR"))</f>
        <v>0.89513162669833102</v>
      </c>
      <c r="M25" s="157">
        <f>IF($B25=" ","",IFERROR(VLOOKUP($B25,MMWR_ACCURACY_RO[],MATCH(M$9,MMWR_ACCURACY_RO[#Headers],0),0),"ERROR"))</f>
        <v>4.1778757658643299E-2</v>
      </c>
      <c r="N25" s="157">
        <f>IF($B25=" ","",IFERROR(VLOOKUP($B25,MMWR_ACCURACY_RO[],MATCH(N$9,MMWR_ACCURACY_RO[#Headers],0),0),"ERROR"))</f>
        <v>0.88658462018541395</v>
      </c>
      <c r="O25" s="157">
        <f>IF($B25=" ","",IFERROR(VLOOKUP($B25,MMWR_ACCURACY_RO[],MATCH(O$9,MMWR_ACCURACY_RO[#Headers],0),0),"ERROR"))</f>
        <v>4.7840515973508697E-2</v>
      </c>
      <c r="P25" s="28"/>
    </row>
    <row r="26" spans="1:16" x14ac:dyDescent="0.2">
      <c r="A26" s="25"/>
      <c r="B26" s="8" t="str">
        <f>VLOOKUP($B$16,DISTRICT_RO[],11,0)</f>
        <v>Pittsburgh VSC</v>
      </c>
      <c r="C26" s="154">
        <f>IF($B26=" ","",IFERROR(INDEX(MMWR_RATING_RO_ROLLUP[],MATCH($B26,MMWR_RATING_RO_ROLLUP[MMWR_RATING_RO_ROLLUP],0),MATCH(C$9,MMWR_RATING_RO_ROLLUP[#Headers],0)),"ERROR"))</f>
        <v>830</v>
      </c>
      <c r="D26" s="155">
        <f>IF($B26=" ","",IFERROR(INDEX(MMWR_RATING_RO_ROLLUP[],MATCH($B26,MMWR_RATING_RO_ROLLUP[MMWR_RATING_RO_ROLLUP],0),MATCH(D$9,MMWR_RATING_RO_ROLLUP[#Headers],0)),"ERROR"))</f>
        <v>144.08674698799999</v>
      </c>
      <c r="E26" s="156">
        <f>IF($B26=" ","",IFERROR(INDEX(MMWR_RATING_RO_ROLLUP[],MATCH($B26,MMWR_RATING_RO_ROLLUP[MMWR_RATING_RO_ROLLUP],0),MATCH(E$9,MMWR_RATING_RO_ROLLUP[#Headers],0))/$C26,"ERROR"))</f>
        <v>0.49156626506024098</v>
      </c>
      <c r="F26" s="154">
        <f>IF($B26=" ","",IFERROR(INDEX(MMWR_RATING_RO_ROLLUP[],MATCH($B26,MMWR_RATING_RO_ROLLUP[MMWR_RATING_RO_ROLLUP],0),MATCH(F$9,MMWR_RATING_RO_ROLLUP[#Headers],0)),"ERROR"))</f>
        <v>343</v>
      </c>
      <c r="G26" s="154">
        <f>IF($B26=" ","",IFERROR(INDEX(MMWR_RATING_RO_ROLLUP[],MATCH($B26,MMWR_RATING_RO_ROLLUP[MMWR_RATING_RO_ROLLUP],0),MATCH(G$9,MMWR_RATING_RO_ROLLUP[#Headers],0)),"ERROR"))</f>
        <v>9570</v>
      </c>
      <c r="H26" s="155">
        <f>IF($B26=" ","",IFERROR(INDEX(MMWR_RATING_RO_ROLLUP[],MATCH($B26,MMWR_RATING_RO_ROLLUP[MMWR_RATING_RO_ROLLUP],0),MATCH(H$9,MMWR_RATING_RO_ROLLUP[#Headers],0)),"ERROR"))</f>
        <v>192.9387755102</v>
      </c>
      <c r="I26" s="155">
        <f>IF($B26=" ","",IFERROR(INDEX(MMWR_RATING_RO_ROLLUP[],MATCH($B26,MMWR_RATING_RO_ROLLUP[MMWR_RATING_RO_ROLLUP],0),MATCH(I$9,MMWR_RATING_RO_ROLLUP[#Headers],0)),"ERROR"))</f>
        <v>174.31745036570001</v>
      </c>
      <c r="J26" s="157">
        <f>IF($B26=" ","",IFERROR(VLOOKUP($B26,MMWR_ACCURACY_RO[],MATCH(J$9,MMWR_ACCURACY_RO[#Headers],0),0),"ERROR"))</f>
        <v>0.95074676675146796</v>
      </c>
      <c r="K26" s="157">
        <f>IF($B26=" ","",IFERROR(VLOOKUP($B26,MMWR_ACCURACY_RO[],MATCH(K$9,MMWR_ACCURACY_RO[#Headers],0),0),"ERROR"))</f>
        <v>0.82597560975609796</v>
      </c>
      <c r="L26" s="157">
        <f>IF($B26=" ","",IFERROR(VLOOKUP($B26,MMWR_ACCURACY_RO[],MATCH(L$9,MMWR_ACCURACY_RO[#Headers],0),0),"ERROR"))</f>
        <v>0.865898794915685</v>
      </c>
      <c r="M26" s="157">
        <f>IF($B26=" ","",IFERROR(VLOOKUP($B26,MMWR_ACCURACY_RO[],MATCH(M$9,MMWR_ACCURACY_RO[#Headers],0),0),"ERROR"))</f>
        <v>4.9207413160781602E-2</v>
      </c>
      <c r="N26" s="157">
        <f>IF($B26=" ","",IFERROR(VLOOKUP($B26,MMWR_ACCURACY_RO[],MATCH(N$9,MMWR_ACCURACY_RO[#Headers],0),0),"ERROR"))</f>
        <v>0.90190910120751699</v>
      </c>
      <c r="O26" s="157">
        <f>IF($B26=" ","",IFERROR(VLOOKUP($B26,MMWR_ACCURACY_RO[],MATCH(O$9,MMWR_ACCURACY_RO[#Headers],0),0),"ERROR"))</f>
        <v>4.9962499115161901E-2</v>
      </c>
      <c r="P26" s="28"/>
    </row>
    <row r="27" spans="1:16" x14ac:dyDescent="0.2">
      <c r="A27" s="25"/>
      <c r="B27" s="8" t="str">
        <f>VLOOKUP($B$16,DISTRICT_RO[],12,0)</f>
        <v>Providence VSC</v>
      </c>
      <c r="C27" s="154">
        <f>IF($B27=" ","",IFERROR(INDEX(MMWR_RATING_RO_ROLLUP[],MATCH($B27,MMWR_RATING_RO_ROLLUP[MMWR_RATING_RO_ROLLUP],0),MATCH(C$9,MMWR_RATING_RO_ROLLUP[#Headers],0)),"ERROR"))</f>
        <v>1996</v>
      </c>
      <c r="D27" s="155">
        <f>IF($B27=" ","",IFERROR(INDEX(MMWR_RATING_RO_ROLLUP[],MATCH($B27,MMWR_RATING_RO_ROLLUP[MMWR_RATING_RO_ROLLUP],0),MATCH(D$9,MMWR_RATING_RO_ROLLUP[#Headers],0)),"ERROR"))</f>
        <v>65.976452905800002</v>
      </c>
      <c r="E27" s="156">
        <f>IF($B27=" ","",IFERROR(INDEX(MMWR_RATING_RO_ROLLUP[],MATCH($B27,MMWR_RATING_RO_ROLLUP[MMWR_RATING_RO_ROLLUP],0),MATCH(E$9,MMWR_RATING_RO_ROLLUP[#Headers],0))/$C27,"ERROR"))</f>
        <v>0.14228456913827656</v>
      </c>
      <c r="F27" s="154">
        <f>IF($B27=" ","",IFERROR(INDEX(MMWR_RATING_RO_ROLLUP[],MATCH($B27,MMWR_RATING_RO_ROLLUP[MMWR_RATING_RO_ROLLUP],0),MATCH(F$9,MMWR_RATING_RO_ROLLUP[#Headers],0)),"ERROR"))</f>
        <v>1107</v>
      </c>
      <c r="G27" s="154">
        <f>IF($B27=" ","",IFERROR(INDEX(MMWR_RATING_RO_ROLLUP[],MATCH($B27,MMWR_RATING_RO_ROLLUP[MMWR_RATING_RO_ROLLUP],0),MATCH(G$9,MMWR_RATING_RO_ROLLUP[#Headers],0)),"ERROR"))</f>
        <v>22961</v>
      </c>
      <c r="H27" s="155">
        <f>IF($B27=" ","",IFERROR(INDEX(MMWR_RATING_RO_ROLLUP[],MATCH($B27,MMWR_RATING_RO_ROLLUP[MMWR_RATING_RO_ROLLUP],0),MATCH(H$9,MMWR_RATING_RO_ROLLUP[#Headers],0)),"ERROR"))</f>
        <v>74.024390243900001</v>
      </c>
      <c r="I27" s="155">
        <f>IF($B27=" ","",IFERROR(INDEX(MMWR_RATING_RO_ROLLUP[],MATCH($B27,MMWR_RATING_RO_ROLLUP[MMWR_RATING_RO_ROLLUP],0),MATCH(I$9,MMWR_RATING_RO_ROLLUP[#Headers],0)),"ERROR"))</f>
        <v>72.386002351800002</v>
      </c>
      <c r="J27" s="157">
        <f>IF($B27=" ","",IFERROR(VLOOKUP($B27,MMWR_ACCURACY_RO[],MATCH(J$9,MMWR_ACCURACY_RO[#Headers],0),0),"ERROR"))</f>
        <v>0.96736135185518601</v>
      </c>
      <c r="K27" s="157">
        <f>IF($B27=" ","",IFERROR(VLOOKUP($B27,MMWR_ACCURACY_RO[],MATCH(K$9,MMWR_ACCURACY_RO[#Headers],0),0),"ERROR"))</f>
        <v>0.86104246831644704</v>
      </c>
      <c r="L27" s="157">
        <f>IF($B27=" ","",IFERROR(VLOOKUP($B27,MMWR_ACCURACY_RO[],MATCH(L$9,MMWR_ACCURACY_RO[#Headers],0),0),"ERROR"))</f>
        <v>0.86782637976757904</v>
      </c>
      <c r="M27" s="157">
        <f>IF($B27=" ","",IFERROR(VLOOKUP($B27,MMWR_ACCURACY_RO[],MATCH(M$9,MMWR_ACCURACY_RO[#Headers],0),0),"ERROR"))</f>
        <v>5.4538171765275298E-2</v>
      </c>
      <c r="N27" s="157">
        <f>IF($B27=" ","",IFERROR(VLOOKUP($B27,MMWR_ACCURACY_RO[],MATCH(N$9,MMWR_ACCURACY_RO[#Headers],0),0),"ERROR"))</f>
        <v>0.92296878068812804</v>
      </c>
      <c r="O27" s="157">
        <f>IF($B27=" ","",IFERROR(VLOOKUP($B27,MMWR_ACCURACY_RO[],MATCH(O$9,MMWR_ACCURACY_RO[#Headers],0),0),"ERROR"))</f>
        <v>5.5376387136924297E-2</v>
      </c>
      <c r="P27" s="28"/>
    </row>
    <row r="28" spans="1:16" x14ac:dyDescent="0.2">
      <c r="A28" s="25"/>
      <c r="B28" s="8" t="str">
        <f>VLOOKUP($B$16,DISTRICT_RO[],13,0)</f>
        <v>Roanoke VSC</v>
      </c>
      <c r="C28" s="154">
        <f>IF($B28=" ","",IFERROR(INDEX(MMWR_RATING_RO_ROLLUP[],MATCH($B28,MMWR_RATING_RO_ROLLUP[MMWR_RATING_RO_ROLLUP],0),MATCH(C$9,MMWR_RATING_RO_ROLLUP[#Headers],0)),"ERROR"))</f>
        <v>3490</v>
      </c>
      <c r="D28" s="155">
        <f>IF($B28=" ","",IFERROR(INDEX(MMWR_RATING_RO_ROLLUP[],MATCH($B28,MMWR_RATING_RO_ROLLUP[MMWR_RATING_RO_ROLLUP],0),MATCH(D$9,MMWR_RATING_RO_ROLLUP[#Headers],0)),"ERROR"))</f>
        <v>95.365902578800004</v>
      </c>
      <c r="E28" s="156">
        <f>IF($B28=" ","",IFERROR(INDEX(MMWR_RATING_RO_ROLLUP[],MATCH($B28,MMWR_RATING_RO_ROLLUP[MMWR_RATING_RO_ROLLUP],0),MATCH(E$9,MMWR_RATING_RO_ROLLUP[#Headers],0))/$C28,"ERROR"))</f>
        <v>0.23467048710601718</v>
      </c>
      <c r="F28" s="154">
        <f>IF($B28=" ","",IFERROR(INDEX(MMWR_RATING_RO_ROLLUP[],MATCH($B28,MMWR_RATING_RO_ROLLUP[MMWR_RATING_RO_ROLLUP],0),MATCH(F$9,MMWR_RATING_RO_ROLLUP[#Headers],0)),"ERROR"))</f>
        <v>1649</v>
      </c>
      <c r="G28" s="154">
        <f>IF($B28=" ","",IFERROR(INDEX(MMWR_RATING_RO_ROLLUP[],MATCH($B28,MMWR_RATING_RO_ROLLUP[MMWR_RATING_RO_ROLLUP],0),MATCH(G$9,MMWR_RATING_RO_ROLLUP[#Headers],0)),"ERROR"))</f>
        <v>30549</v>
      </c>
      <c r="H28" s="155">
        <f>IF($B28=" ","",IFERROR(INDEX(MMWR_RATING_RO_ROLLUP[],MATCH($B28,MMWR_RATING_RO_ROLLUP[MMWR_RATING_RO_ROLLUP],0),MATCH(H$9,MMWR_RATING_RO_ROLLUP[#Headers],0)),"ERROR"))</f>
        <v>126.166767738</v>
      </c>
      <c r="I28" s="155">
        <f>IF($B28=" ","",IFERROR(INDEX(MMWR_RATING_RO_ROLLUP[],MATCH($B28,MMWR_RATING_RO_ROLLUP[MMWR_RATING_RO_ROLLUP],0),MATCH(I$9,MMWR_RATING_RO_ROLLUP[#Headers],0)),"ERROR"))</f>
        <v>132.49055615570001</v>
      </c>
      <c r="J28" s="157">
        <f>IF($B28=" ","",IFERROR(VLOOKUP($B28,MMWR_ACCURACY_RO[],MATCH(J$9,MMWR_ACCURACY_RO[#Headers],0),0),"ERROR"))</f>
        <v>0.95898587897020404</v>
      </c>
      <c r="K28" s="157">
        <f>IF($B28=" ","",IFERROR(VLOOKUP($B28,MMWR_ACCURACY_RO[],MATCH(K$9,MMWR_ACCURACY_RO[#Headers],0),0),"ERROR"))</f>
        <v>0.81915152780677902</v>
      </c>
      <c r="L28" s="157">
        <f>IF($B28=" ","",IFERROR(VLOOKUP($B28,MMWR_ACCURACY_RO[],MATCH(L$9,MMWR_ACCURACY_RO[#Headers],0),0),"ERROR"))</f>
        <v>0.88073942800484195</v>
      </c>
      <c r="M28" s="157">
        <f>IF($B28=" ","",IFERROR(VLOOKUP($B28,MMWR_ACCURACY_RO[],MATCH(M$9,MMWR_ACCURACY_RO[#Headers],0),0),"ERROR"))</f>
        <v>4.7679236017720401E-2</v>
      </c>
      <c r="N28" s="157">
        <f>IF($B28=" ","",IFERROR(VLOOKUP($B28,MMWR_ACCURACY_RO[],MATCH(N$9,MMWR_ACCURACY_RO[#Headers],0),0),"ERROR"))</f>
        <v>0.90782617926809495</v>
      </c>
      <c r="O28" s="157">
        <f>IF($B28=" ","",IFERROR(VLOOKUP($B28,MMWR_ACCURACY_RO[],MATCH(O$9,MMWR_ACCURACY_RO[#Headers],0),0),"ERROR"))</f>
        <v>4.4541584950891902E-2</v>
      </c>
      <c r="P28" s="28"/>
    </row>
    <row r="29" spans="1:16" x14ac:dyDescent="0.2">
      <c r="A29" s="25"/>
      <c r="B29" s="8" t="str">
        <f>VLOOKUP($B$16,DISTRICT_RO[],14,0)</f>
        <v>Togus VSC</v>
      </c>
      <c r="C29" s="154">
        <f>IF($B29=" ","",IFERROR(INDEX(MMWR_RATING_RO_ROLLUP[],MATCH($B29,MMWR_RATING_RO_ROLLUP[MMWR_RATING_RO_ROLLUP],0),MATCH(C$9,MMWR_RATING_RO_ROLLUP[#Headers],0)),"ERROR"))</f>
        <v>1921</v>
      </c>
      <c r="D29" s="155">
        <f>IF($B29=" ","",IFERROR(INDEX(MMWR_RATING_RO_ROLLUP[],MATCH($B29,MMWR_RATING_RO_ROLLUP[MMWR_RATING_RO_ROLLUP],0),MATCH(D$9,MMWR_RATING_RO_ROLLUP[#Headers],0)),"ERROR"))</f>
        <v>71.953669963600007</v>
      </c>
      <c r="E29" s="156">
        <f>IF($B29=" ","",IFERROR(INDEX(MMWR_RATING_RO_ROLLUP[],MATCH($B29,MMWR_RATING_RO_ROLLUP[MMWR_RATING_RO_ROLLUP],0),MATCH(E$9,MMWR_RATING_RO_ROLLUP[#Headers],0))/$C29,"ERROR"))</f>
        <v>0.11504424778761062</v>
      </c>
      <c r="F29" s="154">
        <f>IF($B29=" ","",IFERROR(INDEX(MMWR_RATING_RO_ROLLUP[],MATCH($B29,MMWR_RATING_RO_ROLLUP[MMWR_RATING_RO_ROLLUP],0),MATCH(F$9,MMWR_RATING_RO_ROLLUP[#Headers],0)),"ERROR"))</f>
        <v>774</v>
      </c>
      <c r="G29" s="154">
        <f>IF($B29=" ","",IFERROR(INDEX(MMWR_RATING_RO_ROLLUP[],MATCH($B29,MMWR_RATING_RO_ROLLUP[MMWR_RATING_RO_ROLLUP],0),MATCH(G$9,MMWR_RATING_RO_ROLLUP[#Headers],0)),"ERROR"))</f>
        <v>15161</v>
      </c>
      <c r="H29" s="155">
        <f>IF($B29=" ","",IFERROR(INDEX(MMWR_RATING_RO_ROLLUP[],MATCH($B29,MMWR_RATING_RO_ROLLUP[MMWR_RATING_RO_ROLLUP],0),MATCH(H$9,MMWR_RATING_RO_ROLLUP[#Headers],0)),"ERROR"))</f>
        <v>98.227390180900002</v>
      </c>
      <c r="I29" s="155">
        <f>IF($B29=" ","",IFERROR(INDEX(MMWR_RATING_RO_ROLLUP[],MATCH($B29,MMWR_RATING_RO_ROLLUP[MMWR_RATING_RO_ROLLUP],0),MATCH(I$9,MMWR_RATING_RO_ROLLUP[#Headers],0)),"ERROR"))</f>
        <v>123.6008838467</v>
      </c>
      <c r="J29" s="157">
        <f>IF($B29=" ","",IFERROR(VLOOKUP($B29,MMWR_ACCURACY_RO[],MATCH(J$9,MMWR_ACCURACY_RO[#Headers],0),0),"ERROR"))</f>
        <v>0.94678323075158999</v>
      </c>
      <c r="K29" s="157">
        <f>IF($B29=" ","",IFERROR(VLOOKUP($B29,MMWR_ACCURACY_RO[],MATCH(K$9,MMWR_ACCURACY_RO[#Headers],0),0),"ERROR"))</f>
        <v>0.86753516691161103</v>
      </c>
      <c r="L29" s="157">
        <f>IF($B29=" ","",IFERROR(VLOOKUP($B29,MMWR_ACCURACY_RO[],MATCH(L$9,MMWR_ACCURACY_RO[#Headers],0),0),"ERROR"))</f>
        <v>0.899253271220113</v>
      </c>
      <c r="M29" s="157">
        <f>IF($B29=" ","",IFERROR(VLOOKUP($B29,MMWR_ACCURACY_RO[],MATCH(M$9,MMWR_ACCURACY_RO[#Headers],0),0),"ERROR"))</f>
        <v>4.4797839732621698E-2</v>
      </c>
      <c r="N29" s="157">
        <f>IF($B29=" ","",IFERROR(VLOOKUP($B29,MMWR_ACCURACY_RO[],MATCH(N$9,MMWR_ACCURACY_RO[#Headers],0),0),"ERROR"))</f>
        <v>0.92462705526085798</v>
      </c>
      <c r="O29" s="157">
        <f>IF($B29=" ","",IFERROR(VLOOKUP($B29,MMWR_ACCURACY_RO[],MATCH(O$9,MMWR_ACCURACY_RO[#Headers],0),0),"ERROR"))</f>
        <v>5.1063707128127897E-2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338</v>
      </c>
      <c r="D30" s="155">
        <f>IF($B30=" ","",IFERROR(INDEX(MMWR_RATING_RO_ROLLUP[],MATCH($B30,MMWR_RATING_RO_ROLLUP[MMWR_RATING_RO_ROLLUP],0),MATCH(D$9,MMWR_RATING_RO_ROLLUP[#Headers],0)),"ERROR"))</f>
        <v>102.6834319527</v>
      </c>
      <c r="E30" s="156">
        <f>IF($B30=" ","",IFERROR(INDEX(MMWR_RATING_RO_ROLLUP[],MATCH($B30,MMWR_RATING_RO_ROLLUP[MMWR_RATING_RO_ROLLUP],0),MATCH(E$9,MMWR_RATING_RO_ROLLUP[#Headers],0))/$C30,"ERROR"))</f>
        <v>0.33431952662721892</v>
      </c>
      <c r="F30" s="154">
        <f>IF($B30=" ","",IFERROR(INDEX(MMWR_RATING_RO_ROLLUP[],MATCH($B30,MMWR_RATING_RO_ROLLUP[MMWR_RATING_RO_ROLLUP],0),MATCH(F$9,MMWR_RATING_RO_ROLLUP[#Headers],0)),"ERROR"))</f>
        <v>83</v>
      </c>
      <c r="G30" s="154">
        <f>IF($B30=" ","",IFERROR(INDEX(MMWR_RATING_RO_ROLLUP[],MATCH($B30,MMWR_RATING_RO_ROLLUP[MMWR_RATING_RO_ROLLUP],0),MATCH(G$9,MMWR_RATING_RO_ROLLUP[#Headers],0)),"ERROR"))</f>
        <v>1942</v>
      </c>
      <c r="H30" s="155">
        <f>IF($B30=" ","",IFERROR(INDEX(MMWR_RATING_RO_ROLLUP[],MATCH($B30,MMWR_RATING_RO_ROLLUP[MMWR_RATING_RO_ROLLUP],0),MATCH(H$9,MMWR_RATING_RO_ROLLUP[#Headers],0)),"ERROR"))</f>
        <v>209.26506024099999</v>
      </c>
      <c r="I30" s="155">
        <f>IF($B30=" ","",IFERROR(INDEX(MMWR_RATING_RO_ROLLUP[],MATCH($B30,MMWR_RATING_RO_ROLLUP[MMWR_RATING_RO_ROLLUP],0),MATCH(I$9,MMWR_RATING_RO_ROLLUP[#Headers],0)),"ERROR"))</f>
        <v>147.14778578779999</v>
      </c>
      <c r="J30" s="157">
        <f>IF($B30=" ","",IFERROR(VLOOKUP($B30,MMWR_ACCURACY_RO[],MATCH(J$9,MMWR_ACCURACY_RO[#Headers],0),0),"ERROR"))</f>
        <v>0.94781434257032005</v>
      </c>
      <c r="K30" s="157">
        <f>IF($B30=" ","",IFERROR(VLOOKUP($B30,MMWR_ACCURACY_RO[],MATCH(K$9,MMWR_ACCURACY_RO[#Headers],0),0),"ERROR"))</f>
        <v>0.87560940636650397</v>
      </c>
      <c r="L30" s="157">
        <f>IF($B30=" ","",IFERROR(VLOOKUP($B30,MMWR_ACCURACY_RO[],MATCH(L$9,MMWR_ACCURACY_RO[#Headers],0),0),"ERROR"))</f>
        <v>0.85696304103726595</v>
      </c>
      <c r="M30" s="157">
        <f>IF($B30=" ","",IFERROR(VLOOKUP($B30,MMWR_ACCURACY_RO[],MATCH(M$9,MMWR_ACCURACY_RO[#Headers],0),0),"ERROR"))</f>
        <v>4.5675954794637701E-2</v>
      </c>
      <c r="N30" s="157">
        <f>IF($B30=" ","",IFERROR(VLOOKUP($B30,MMWR_ACCURACY_RO[],MATCH(N$9,MMWR_ACCURACY_RO[#Headers],0),0),"ERROR"))</f>
        <v>0.866091921155973</v>
      </c>
      <c r="O30" s="157">
        <f>IF($B30=" ","",IFERROR(VLOOKUP($B30,MMWR_ACCURACY_RO[],MATCH(O$9,MMWR_ACCURACY_RO[#Headers],0),0),"ERROR"))</f>
        <v>0.115923375956293</v>
      </c>
      <c r="P30" s="28"/>
    </row>
    <row r="31" spans="1:16" x14ac:dyDescent="0.2">
      <c r="A31" s="25"/>
      <c r="B31" s="8" t="str">
        <f>VLOOKUP($B$16,DISTRICT_RO[],16,0)</f>
        <v>Wilmington VSC</v>
      </c>
      <c r="C31" s="154">
        <f>IF($B31=" ","",IFERROR(INDEX(MMWR_RATING_RO_ROLLUP[],MATCH($B31,MMWR_RATING_RO_ROLLUP[MMWR_RATING_RO_ROLLUP],0),MATCH(C$9,MMWR_RATING_RO_ROLLUP[#Headers],0)),"ERROR"))</f>
        <v>215</v>
      </c>
      <c r="D31" s="155">
        <f>IF($B31=" ","",IFERROR(INDEX(MMWR_RATING_RO_ROLLUP[],MATCH($B31,MMWR_RATING_RO_ROLLUP[MMWR_RATING_RO_ROLLUP],0),MATCH(D$9,MMWR_RATING_RO_ROLLUP[#Headers],0)),"ERROR"))</f>
        <v>155.623255814</v>
      </c>
      <c r="E31" s="156">
        <f>IF($B31=" ","",IFERROR(INDEX(MMWR_RATING_RO_ROLLUP[],MATCH($B31,MMWR_RATING_RO_ROLLUP[MMWR_RATING_RO_ROLLUP],0),MATCH(E$9,MMWR_RATING_RO_ROLLUP[#Headers],0))/$C31,"ERROR"))</f>
        <v>0.58139534883720934</v>
      </c>
      <c r="F31" s="154">
        <f>IF($B31=" ","",IFERROR(INDEX(MMWR_RATING_RO_ROLLUP[],MATCH($B31,MMWR_RATING_RO_ROLLUP[MMWR_RATING_RO_ROLLUP],0),MATCH(F$9,MMWR_RATING_RO_ROLLUP[#Headers],0)),"ERROR"))</f>
        <v>73</v>
      </c>
      <c r="G31" s="154">
        <f>IF($B31=" ","",IFERROR(INDEX(MMWR_RATING_RO_ROLLUP[],MATCH($B31,MMWR_RATING_RO_ROLLUP[MMWR_RATING_RO_ROLLUP],0),MATCH(G$9,MMWR_RATING_RO_ROLLUP[#Headers],0)),"ERROR"))</f>
        <v>1298</v>
      </c>
      <c r="H31" s="155">
        <f>IF($B31=" ","",IFERROR(INDEX(MMWR_RATING_RO_ROLLUP[],MATCH($B31,MMWR_RATING_RO_ROLLUP[MMWR_RATING_RO_ROLLUP],0),MATCH(H$9,MMWR_RATING_RO_ROLLUP[#Headers],0)),"ERROR"))</f>
        <v>199.47945205479999</v>
      </c>
      <c r="I31" s="155">
        <f>IF($B31=" ","",IFERROR(INDEX(MMWR_RATING_RO_ROLLUP[],MATCH($B31,MMWR_RATING_RO_ROLLUP[MMWR_RATING_RO_ROLLUP],0),MATCH(I$9,MMWR_RATING_RO_ROLLUP[#Headers],0)),"ERROR"))</f>
        <v>138.43220338980001</v>
      </c>
      <c r="J31" s="157">
        <f>IF($B31=" ","",IFERROR(VLOOKUP($B31,MMWR_ACCURACY_RO[],MATCH(J$9,MMWR_ACCURACY_RO[#Headers],0),0),"ERROR"))</f>
        <v>0.91730563326770997</v>
      </c>
      <c r="K31" s="157">
        <f>IF($B31=" ","",IFERROR(VLOOKUP($B31,MMWR_ACCURACY_RO[],MATCH(K$9,MMWR_ACCURACY_RO[#Headers],0),0),"ERROR"))</f>
        <v>0.83668300653594796</v>
      </c>
      <c r="L31" s="157">
        <f>IF($B31=" ","",IFERROR(VLOOKUP($B31,MMWR_ACCURACY_RO[],MATCH(L$9,MMWR_ACCURACY_RO[#Headers],0),0),"ERROR"))</f>
        <v>0.872024457507802</v>
      </c>
      <c r="M31" s="157">
        <f>IF($B31=" ","",IFERROR(VLOOKUP($B31,MMWR_ACCURACY_RO[],MATCH(M$9,MMWR_ACCURACY_RO[#Headers],0),0),"ERROR"))</f>
        <v>4.6132350672263102E-2</v>
      </c>
      <c r="N31" s="157">
        <f>IF($B31=" ","",IFERROR(VLOOKUP($B31,MMWR_ACCURACY_RO[],MATCH(N$9,MMWR_ACCURACY_RO[#Headers],0),0),"ERROR"))</f>
        <v>0.89237000753579498</v>
      </c>
      <c r="O31" s="157">
        <f>IF($B31=" ","",IFERROR(VLOOKUP($B31,MMWR_ACCURACY_RO[],MATCH(O$9,MMWR_ACCURACY_RO[#Headers],0),0),"ERROR"))</f>
        <v>7.1771077985603102E-2</v>
      </c>
      <c r="P31" s="28"/>
    </row>
    <row r="32" spans="1:16" x14ac:dyDescent="0.2">
      <c r="A32" s="25"/>
      <c r="B32" s="8" t="str">
        <f>VLOOKUP($B$16,DISTRICT_RO[],17,0)</f>
        <v>Winston-Salem VSC</v>
      </c>
      <c r="C32" s="154">
        <f>IF($B32=" ","",IFERROR(INDEX(MMWR_RATING_RO_ROLLUP[],MATCH($B32,MMWR_RATING_RO_ROLLUP[MMWR_RATING_RO_ROLLUP],0),MATCH(C$9,MMWR_RATING_RO_ROLLUP[#Headers],0)),"ERROR"))</f>
        <v>4121</v>
      </c>
      <c r="D32" s="155">
        <f>IF($B32=" ","",IFERROR(INDEX(MMWR_RATING_RO_ROLLUP[],MATCH($B32,MMWR_RATING_RO_ROLLUP[MMWR_RATING_RO_ROLLUP],0),MATCH(D$9,MMWR_RATING_RO_ROLLUP[#Headers],0)),"ERROR"))</f>
        <v>97.708080562999996</v>
      </c>
      <c r="E32" s="156">
        <f>IF($B32=" ","",IFERROR(INDEX(MMWR_RATING_RO_ROLLUP[],MATCH($B32,MMWR_RATING_RO_ROLLUP[MMWR_RATING_RO_ROLLUP],0),MATCH(E$9,MMWR_RATING_RO_ROLLUP[#Headers],0))/$C32,"ERROR"))</f>
        <v>0.25721912157243387</v>
      </c>
      <c r="F32" s="154">
        <f>IF($B32=" ","",IFERROR(INDEX(MMWR_RATING_RO_ROLLUP[],MATCH($B32,MMWR_RATING_RO_ROLLUP[MMWR_RATING_RO_ROLLUP],0),MATCH(F$9,MMWR_RATING_RO_ROLLUP[#Headers],0)),"ERROR"))</f>
        <v>1322</v>
      </c>
      <c r="G32" s="154">
        <f>IF($B32=" ","",IFERROR(INDEX(MMWR_RATING_RO_ROLLUP[],MATCH($B32,MMWR_RATING_RO_ROLLUP[MMWR_RATING_RO_ROLLUP],0),MATCH(G$9,MMWR_RATING_RO_ROLLUP[#Headers],0)),"ERROR"))</f>
        <v>27948</v>
      </c>
      <c r="H32" s="155">
        <f>IF($B32=" ","",IFERROR(INDEX(MMWR_RATING_RO_ROLLUP[],MATCH($B32,MMWR_RATING_RO_ROLLUP[MMWR_RATING_RO_ROLLUP],0),MATCH(H$9,MMWR_RATING_RO_ROLLUP[#Headers],0)),"ERROR"))</f>
        <v>145.9009077156</v>
      </c>
      <c r="I32" s="155">
        <f>IF($B32=" ","",IFERROR(INDEX(MMWR_RATING_RO_ROLLUP[],MATCH($B32,MMWR_RATING_RO_ROLLUP[MMWR_RATING_RO_ROLLUP],0),MATCH(I$9,MMWR_RATING_RO_ROLLUP[#Headers],0)),"ERROR"))</f>
        <v>141.93784886220001</v>
      </c>
      <c r="J32" s="157">
        <f>IF($B32=" ","",IFERROR(VLOOKUP($B32,MMWR_ACCURACY_RO[],MATCH(J$9,MMWR_ACCURACY_RO[#Headers],0),0),"ERROR"))</f>
        <v>0.96188619376942197</v>
      </c>
      <c r="K32" s="157">
        <f>IF($B32=" ","",IFERROR(VLOOKUP($B32,MMWR_ACCURACY_RO[],MATCH(K$9,MMWR_ACCURACY_RO[#Headers],0),0),"ERROR"))</f>
        <v>0.86729710634399304</v>
      </c>
      <c r="L32" s="157">
        <f>IF($B32=" ","",IFERROR(VLOOKUP($B32,MMWR_ACCURACY_RO[],MATCH(L$9,MMWR_ACCURACY_RO[#Headers],0),0),"ERROR"))</f>
        <v>0.85716717161620004</v>
      </c>
      <c r="M32" s="157">
        <f>IF($B32=" ","",IFERROR(VLOOKUP($B32,MMWR_ACCURACY_RO[],MATCH(M$9,MMWR_ACCURACY_RO[#Headers],0),0),"ERROR"))</f>
        <v>4.7966038447227001E-2</v>
      </c>
      <c r="N32" s="157">
        <f>IF($B32=" ","",IFERROR(VLOOKUP($B32,MMWR_ACCURACY_RO[],MATCH(N$9,MMWR_ACCURACY_RO[#Headers],0),0),"ERROR"))</f>
        <v>0.94065368739644595</v>
      </c>
      <c r="O32" s="157">
        <f>IF($B32=" ","",IFERROR(VLOOKUP($B32,MMWR_ACCURACY_RO[],MATCH(O$9,MMWR_ACCURACY_RO[#Headers],0),0),"ERROR"))</f>
        <v>4.7287604697840102E-2</v>
      </c>
      <c r="P32" s="28"/>
    </row>
    <row r="33" spans="1:16" x14ac:dyDescent="0.2">
      <c r="A33" s="25"/>
      <c r="B33" s="342" t="s">
        <v>732</v>
      </c>
      <c r="C33" s="343"/>
      <c r="D33" s="343"/>
      <c r="E33" s="343"/>
      <c r="F33" s="343"/>
      <c r="G33" s="343"/>
      <c r="H33" s="343"/>
      <c r="I33" s="343"/>
      <c r="J33" s="343"/>
      <c r="K33" s="343"/>
      <c r="L33" s="343"/>
      <c r="M33" s="343"/>
      <c r="N33" s="343"/>
      <c r="O33" s="343"/>
      <c r="P33" s="28"/>
    </row>
    <row r="34" spans="1:16" x14ac:dyDescent="0.2">
      <c r="A34" s="25"/>
      <c r="B34" s="11" t="s">
        <v>695</v>
      </c>
      <c r="C34" s="154">
        <f>IF($B34=" ","",IFERROR(INDEX(MMWR_RATING_RO_ROLLUP[],MATCH($B34,MMWR_RATING_RO_ROLLUP[MMWR_RATING_RO_ROLLUP],0),MATCH(C$9,MMWR_RATING_RO_ROLLUP[#Headers],0)),"ERROR"))</f>
        <v>25849</v>
      </c>
      <c r="D34" s="155">
        <f>IF($B34=" ","",IFERROR(INDEX(MMWR_RATING_RO_ROLLUP[],MATCH($B34,MMWR_RATING_RO_ROLLUP[MMWR_RATING_RO_ROLLUP],0),MATCH(D$9,MMWR_RATING_RO_ROLLUP[#Headers],0)),"ERROR"))</f>
        <v>67.757746914799995</v>
      </c>
      <c r="E34" s="156">
        <f>IF($B34=" ","",IFERROR(INDEX(MMWR_RATING_RO_ROLLUP[],MATCH($B34,MMWR_RATING_RO_ROLLUP[MMWR_RATING_RO_ROLLUP],0),MATCH(E$9,MMWR_RATING_RO_ROLLUP[#Headers],0))/$C34,"ERROR"))</f>
        <v>0.12104917018066463</v>
      </c>
      <c r="F34" s="154">
        <f>IF($B34=" ","",IFERROR(INDEX(MMWR_RATING_RO_ROLLUP[],MATCH($B34,MMWR_RATING_RO_ROLLUP[MMWR_RATING_RO_ROLLUP],0),MATCH(F$9,MMWR_RATING_RO_ROLLUP[#Headers],0)),"ERROR"))</f>
        <v>7106</v>
      </c>
      <c r="G34" s="154">
        <f>IF($B34=" ","",IFERROR(INDEX(MMWR_RATING_RO_ROLLUP[],MATCH($B34,MMWR_RATING_RO_ROLLUP[MMWR_RATING_RO_ROLLUP],0),MATCH(G$9,MMWR_RATING_RO_ROLLUP[#Headers],0)),"ERROR"))</f>
        <v>129389</v>
      </c>
      <c r="H34" s="155">
        <f>IF($B34=" ","",IFERROR(INDEX(MMWR_RATING_RO_ROLLUP[],MATCH($B34,MMWR_RATING_RO_ROLLUP[MMWR_RATING_RO_ROLLUP],0),MATCH(H$9,MMWR_RATING_RO_ROLLUP[#Headers],0)),"ERROR"))</f>
        <v>82.588376020300004</v>
      </c>
      <c r="I34" s="155">
        <f>IF($B34=" ","",IFERROR(INDEX(MMWR_RATING_RO_ROLLUP[],MATCH($B34,MMWR_RATING_RO_ROLLUP[MMWR_RATING_RO_ROLLUP],0),MATCH(I$9,MMWR_RATING_RO_ROLLUP[#Headers],0)),"ERROR"))</f>
        <v>79.296501248200002</v>
      </c>
      <c r="J34" s="42"/>
      <c r="K34" s="262">
        <f>IF($B34=" ","",IFERROR(VLOOKUP($B34,MMWR_ACCURACY_RO[],MATCH(K$50,MMWR_ACCURACY_RO[#Headers],0),0),"ERROR"))</f>
        <v>0.98861798182406402</v>
      </c>
      <c r="L34" s="262">
        <f>IF($B34=" ","",IFERROR(VLOOKUP($B34,MMWR_ACCURACY_RO[],MATCH(L$50,MMWR_ACCURACY_RO[#Headers],0),0),"ERROR"))</f>
        <v>0.96596963758717302</v>
      </c>
      <c r="M34" s="262">
        <f>IF($B34=" ","",IFERROR(VLOOKUP($B34,MMWR_ACCURACY_RO[],MATCH(M$50,MMWR_ACCURACY_RO[#Headers],0),0),"ERROR"))</f>
        <v>1.8343995693259299E-2</v>
      </c>
      <c r="N34" s="262">
        <f>IF($B34=" ","",IFERROR(VLOOKUP($B34,MMWR_ACCURACY_RO[],MATCH(N$50,MMWR_ACCURACY_RO[#Headers],0),0),"ERROR"))</f>
        <v>0.96864495028045905</v>
      </c>
      <c r="O34" s="262">
        <f>IF($B34=" ","",IFERROR(VLOOKUP($B34,MMWR_ACCURACY_RO[],MATCH(O$50,MMWR_ACCURACY_RO[#Headers],0),0),"ERROR"))</f>
        <v>1.7727389141889E-2</v>
      </c>
      <c r="P34" s="28"/>
    </row>
    <row r="35" spans="1:16" x14ac:dyDescent="0.2">
      <c r="A35" s="25"/>
      <c r="B35" s="12" t="s">
        <v>210</v>
      </c>
      <c r="C35" s="154">
        <f>IF($B35=" ","",IFERROR(INDEX(MMWR_RATING_RO_ROLLUP[],MATCH($B35,MMWR_RATING_RO_ROLLUP[MMWR_RATING_RO_ROLLUP],0),MATCH(C$9,MMWR_RATING_RO_ROLLUP[#Headers],0)),"ERROR"))</f>
        <v>11546</v>
      </c>
      <c r="D35" s="155">
        <f>IF($B35=" ","",IFERROR(INDEX(MMWR_RATING_RO_ROLLUP[],MATCH($B35,MMWR_RATING_RO_ROLLUP[MMWR_RATING_RO_ROLLUP],0),MATCH(D$9,MMWR_RATING_RO_ROLLUP[#Headers],0)),"ERROR"))</f>
        <v>62.8215832323</v>
      </c>
      <c r="E35" s="156">
        <f>IF($B35=" ","",IFERROR(INDEX(MMWR_RATING_RO_ROLLUP[],MATCH($B35,MMWR_RATING_RO_ROLLUP[MMWR_RATING_RO_ROLLUP],0),MATCH(E$9,MMWR_RATING_RO_ROLLUP[#Headers],0))/$C35,"ERROR"))</f>
        <v>0.11839598129222241</v>
      </c>
      <c r="F35" s="154">
        <f>IF($B35=" ","",IFERROR(INDEX(MMWR_RATING_RO_ROLLUP[],MATCH($B35,MMWR_RATING_RO_ROLLUP[MMWR_RATING_RO_ROLLUP],0),MATCH(F$9,MMWR_RATING_RO_ROLLUP[#Headers],0)),"ERROR"))</f>
        <v>2772</v>
      </c>
      <c r="G35" s="154">
        <f>IF($B35=" ","",IFERROR(INDEX(MMWR_RATING_RO_ROLLUP[],MATCH($B35,MMWR_RATING_RO_ROLLUP[MMWR_RATING_RO_ROLLUP],0),MATCH(G$9,MMWR_RATING_RO_ROLLUP[#Headers],0)),"ERROR"))</f>
        <v>43349</v>
      </c>
      <c r="H35" s="155">
        <f>IF($B35=" ","",IFERROR(INDEX(MMWR_RATING_RO_ROLLUP[],MATCH($B35,MMWR_RATING_RO_ROLLUP[MMWR_RATING_RO_ROLLUP],0),MATCH(H$9,MMWR_RATING_RO_ROLLUP[#Headers],0)),"ERROR"))</f>
        <v>104.2878787879</v>
      </c>
      <c r="I35" s="155">
        <f>IF($B35=" ","",IFERROR(INDEX(MMWR_RATING_RO_ROLLUP[],MATCH($B35,MMWR_RATING_RO_ROLLUP[MMWR_RATING_RO_ROLLUP],0),MATCH(I$9,MMWR_RATING_RO_ROLLUP[#Headers],0)),"ERROR"))</f>
        <v>100.037717133</v>
      </c>
      <c r="J35" s="42"/>
      <c r="K35" s="251">
        <f>IF($B35=" ","",IFERROR(VLOOKUP($B35,MMWR_ACCURACY_RO[],MATCH(K$50,MMWR_ACCURACY_RO[#Headers],0),0),"ERROR"))</f>
        <v>1</v>
      </c>
      <c r="L35" s="251">
        <f>IF($B35=" ","",IFERROR(VLOOKUP($B35,MMWR_ACCURACY_RO[],MATCH(L$50,MMWR_ACCURACY_RO[#Headers],0),0),"ERROR"))</f>
        <v>0.94032486922637104</v>
      </c>
      <c r="M35" s="251">
        <f>IF($B35=" ","",IFERROR(VLOOKUP($B35,MMWR_ACCURACY_RO[],MATCH(M$50,MMWR_ACCURACY_RO[#Headers],0),0),"ERROR"))</f>
        <v>4.0677243867986802E-2</v>
      </c>
      <c r="N35" s="251">
        <f>IF($B35=" ","",IFERROR(VLOOKUP($B35,MMWR_ACCURACY_RO[],MATCH(N$50,MMWR_ACCURACY_RO[#Headers],0),0),"ERROR"))</f>
        <v>0.94630224150561704</v>
      </c>
      <c r="O35" s="251">
        <f>IF($B35=" ","",IFERROR(VLOOKUP($B35,MMWR_ACCURACY_RO[],MATCH(O$50,MMWR_ACCURACY_RO[#Headers],0),0),"ERROR"))</f>
        <v>3.7678527632225102E-2</v>
      </c>
      <c r="P35" s="28"/>
    </row>
    <row r="36" spans="1:16" x14ac:dyDescent="0.2">
      <c r="A36" s="43"/>
      <c r="B36" s="12" t="s">
        <v>209</v>
      </c>
      <c r="C36" s="154">
        <f>IF($B36=" ","",IFERROR(INDEX(MMWR_RATING_RO_ROLLUP[],MATCH($B36,MMWR_RATING_RO_ROLLUP[MMWR_RATING_RO_ROLLUP],0),MATCH(C$9,MMWR_RATING_RO_ROLLUP[#Headers],0)),"ERROR"))</f>
        <v>5590</v>
      </c>
      <c r="D36" s="155">
        <f>IF($B36=" ","",IFERROR(INDEX(MMWR_RATING_RO_ROLLUP[],MATCH($B36,MMWR_RATING_RO_ROLLUP[MMWR_RATING_RO_ROLLUP],0),MATCH(D$9,MMWR_RATING_RO_ROLLUP[#Headers],0)),"ERROR"))</f>
        <v>69.932379248700002</v>
      </c>
      <c r="E36" s="156">
        <f>IF($B36=" ","",IFERROR(INDEX(MMWR_RATING_RO_ROLLUP[],MATCH($B36,MMWR_RATING_RO_ROLLUP[MMWR_RATING_RO_ROLLUP],0),MATCH(E$9,MMWR_RATING_RO_ROLLUP[#Headers],0))/$C36,"ERROR"))</f>
        <v>0.13398926654740609</v>
      </c>
      <c r="F36" s="154">
        <f>IF($B36=" ","",IFERROR(INDEX(MMWR_RATING_RO_ROLLUP[],MATCH($B36,MMWR_RATING_RO_ROLLUP[MMWR_RATING_RO_ROLLUP],0),MATCH(F$9,MMWR_RATING_RO_ROLLUP[#Headers],0)),"ERROR"))</f>
        <v>1773</v>
      </c>
      <c r="G36" s="154">
        <f>IF($B36=" ","",IFERROR(INDEX(MMWR_RATING_RO_ROLLUP[],MATCH($B36,MMWR_RATING_RO_ROLLUP[MMWR_RATING_RO_ROLLUP],0),MATCH(G$9,MMWR_RATING_RO_ROLLUP[#Headers],0)),"ERROR"))</f>
        <v>36297</v>
      </c>
      <c r="H36" s="155">
        <f>IF($B36=" ","",IFERROR(INDEX(MMWR_RATING_RO_ROLLUP[],MATCH($B36,MMWR_RATING_RO_ROLLUP[MMWR_RATING_RO_ROLLUP],0),MATCH(H$9,MMWR_RATING_RO_ROLLUP[#Headers],0)),"ERROR"))</f>
        <v>65.4726452341</v>
      </c>
      <c r="I36" s="155">
        <f>IF($B36=" ","",IFERROR(INDEX(MMWR_RATING_RO_ROLLUP[],MATCH($B36,MMWR_RATING_RO_ROLLUP[MMWR_RATING_RO_ROLLUP],0),MATCH(I$9,MMWR_RATING_RO_ROLLUP[#Headers],0)),"ERROR"))</f>
        <v>70.829324737600004</v>
      </c>
      <c r="J36" s="42"/>
      <c r="K36" s="251">
        <f>IF($B36=" ","",IFERROR(VLOOKUP($B36,MMWR_ACCURACY_RO[],MATCH(K$50,MMWR_ACCURACY_RO[#Headers],0),0),"ERROR"))</f>
        <v>0.96110552763819102</v>
      </c>
      <c r="L36" s="251">
        <f>IF($B36=" ","",IFERROR(VLOOKUP($B36,MMWR_ACCURACY_RO[],MATCH(L$50,MMWR_ACCURACY_RO[#Headers],0),0),"ERROR"))</f>
        <v>0.96239967637540502</v>
      </c>
      <c r="M36" s="251">
        <f>IF($B36=" ","",IFERROR(VLOOKUP($B36,MMWR_ACCURACY_RO[],MATCH(M$50,MMWR_ACCURACY_RO[#Headers],0),0),"ERROR"))</f>
        <v>3.7286651021739302E-2</v>
      </c>
      <c r="N36" s="251">
        <f>IF($B36=" ","",IFERROR(VLOOKUP($B36,MMWR_ACCURACY_RO[],MATCH(N$50,MMWR_ACCURACY_RO[#Headers],0),0),"ERROR"))</f>
        <v>0.98548792369622096</v>
      </c>
      <c r="O36" s="251">
        <f>IF($B36=" ","",IFERROR(VLOOKUP($B36,MMWR_ACCURACY_RO[],MATCH(O$50,MMWR_ACCURACY_RO[#Headers],0),0),"ERROR"))</f>
        <v>1.6383998244628401E-2</v>
      </c>
      <c r="P36" s="28"/>
    </row>
    <row r="37" spans="1:16" x14ac:dyDescent="0.2">
      <c r="A37" s="25"/>
      <c r="B37" s="12" t="s">
        <v>212</v>
      </c>
      <c r="C37" s="154">
        <f>IF($B37=" ","",IFERROR(INDEX(MMWR_RATING_RO_ROLLUP[],MATCH($B37,MMWR_RATING_RO_ROLLUP[MMWR_RATING_RO_ROLLUP],0),MATCH(C$9,MMWR_RATING_RO_ROLLUP[#Headers],0)),"ERROR"))</f>
        <v>7859</v>
      </c>
      <c r="D37" s="155">
        <f>IF($B37=" ","",IFERROR(INDEX(MMWR_RATING_RO_ROLLUP[],MATCH($B37,MMWR_RATING_RO_ROLLUP[MMWR_RATING_RO_ROLLUP],0),MATCH(D$9,MMWR_RATING_RO_ROLLUP[#Headers],0)),"ERROR"))</f>
        <v>59.469398142300001</v>
      </c>
      <c r="E37" s="156">
        <f>IF($B37=" ","",IFERROR(INDEX(MMWR_RATING_RO_ROLLUP[],MATCH($B37,MMWR_RATING_RO_ROLLUP[MMWR_RATING_RO_ROLLUP],0),MATCH(E$9,MMWR_RATING_RO_ROLLUP[#Headers],0))/$C37,"ERROR"))</f>
        <v>7.0492429062221654E-2</v>
      </c>
      <c r="F37" s="154">
        <f>IF($B37=" ","",IFERROR(INDEX(MMWR_RATING_RO_ROLLUP[],MATCH($B37,MMWR_RATING_RO_ROLLUP[MMWR_RATING_RO_ROLLUP],0),MATCH(F$9,MMWR_RATING_RO_ROLLUP[#Headers],0)),"ERROR"))</f>
        <v>2381</v>
      </c>
      <c r="G37" s="154">
        <f>IF($B37=" ","",IFERROR(INDEX(MMWR_RATING_RO_ROLLUP[],MATCH($B37,MMWR_RATING_RO_ROLLUP[MMWR_RATING_RO_ROLLUP],0),MATCH(G$9,MMWR_RATING_RO_ROLLUP[#Headers],0)),"ERROR"))</f>
        <v>45908</v>
      </c>
      <c r="H37" s="155">
        <f>IF($B37=" ","",IFERROR(INDEX(MMWR_RATING_RO_ROLLUP[],MATCH($B37,MMWR_RATING_RO_ROLLUP[MMWR_RATING_RO_ROLLUP],0),MATCH(H$9,MMWR_RATING_RO_ROLLUP[#Headers],0)),"ERROR"))</f>
        <v>71.100377992399999</v>
      </c>
      <c r="I37" s="155">
        <f>IF($B37=" ","",IFERROR(INDEX(MMWR_RATING_RO_ROLLUP[],MATCH($B37,MMWR_RATING_RO_ROLLUP[MMWR_RATING_RO_ROLLUP],0),MATCH(I$9,MMWR_RATING_RO_ROLLUP[#Headers],0)),"ERROR"))</f>
        <v>68.673608085699996</v>
      </c>
      <c r="J37" s="42"/>
      <c r="K37" s="251">
        <f>IF($B37=" ","",IFERROR(VLOOKUP($B37,MMWR_ACCURACY_RO[],MATCH(K$50,MMWR_ACCURACY_RO[#Headers],0),0),"ERROR"))</f>
        <v>1</v>
      </c>
      <c r="L37" s="251">
        <f>IF($B37=" ","",IFERROR(VLOOKUP($B37,MMWR_ACCURACY_RO[],MATCH(L$50,MMWR_ACCURACY_RO[#Headers],0),0),"ERROR"))</f>
        <v>0.99137898774441002</v>
      </c>
      <c r="M37" s="251">
        <f>IF($B37=" ","",IFERROR(VLOOKUP($B37,MMWR_ACCURACY_RO[],MATCH(M$50,MMWR_ACCURACY_RO[#Headers],0),0),"ERROR"))</f>
        <v>1.28793727116459E-2</v>
      </c>
      <c r="N37" s="251">
        <f>IF($B37=" ","",IFERROR(VLOOKUP($B37,MMWR_ACCURACY_RO[],MATCH(N$50,MMWR_ACCURACY_RO[#Headers],0),0),"ERROR"))</f>
        <v>0.98073203423033295</v>
      </c>
      <c r="O37" s="251">
        <f>IF($B37=" ","",IFERROR(VLOOKUP($B37,MMWR_ACCURACY_RO[],MATCH(O$50,MMWR_ACCURACY_RO[#Headers],0),0),"ERROR"))</f>
        <v>2.3364044644334801E-2</v>
      </c>
      <c r="P37" s="28"/>
    </row>
    <row r="38" spans="1:16" x14ac:dyDescent="0.2">
      <c r="A38" s="25"/>
      <c r="B38" s="13" t="s">
        <v>224</v>
      </c>
      <c r="C38" s="154">
        <f>IF($B38=" ","",IFERROR(INDEX(MMWR_RATING_RO_ROLLUP[],MATCH($B38,MMWR_RATING_RO_ROLLUP[MMWR_RATING_RO_ROLLUP],0),MATCH(C$9,MMWR_RATING_RO_ROLLUP[#Headers],0)),"ERROR"))</f>
        <v>854</v>
      </c>
      <c r="D38" s="155">
        <f>IF($B38=" ","",IFERROR(INDEX(MMWR_RATING_RO_ROLLUP[],MATCH($B38,MMWR_RATING_RO_ROLLUP[MMWR_RATING_RO_ROLLUP],0),MATCH(D$9,MMWR_RATING_RO_ROLLUP[#Headers],0)),"ERROR"))</f>
        <v>196.53395784540001</v>
      </c>
      <c r="E38" s="156">
        <f>IF($B38=" ","",IFERROR(INDEX(MMWR_RATING_RO_ROLLUP[],MATCH($B38,MMWR_RATING_RO_ROLLUP[MMWR_RATING_RO_ROLLUP],0),MATCH(E$9,MMWR_RATING_RO_ROLLUP[#Headers],0))/$C38,"ERROR"))</f>
        <v>0.5374707259953162</v>
      </c>
      <c r="F38" s="154">
        <f>IF($B38=" ","",IFERROR(INDEX(MMWR_RATING_RO_ROLLUP[],MATCH($B38,MMWR_RATING_RO_ROLLUP[MMWR_RATING_RO_ROLLUP],0),MATCH(F$9,MMWR_RATING_RO_ROLLUP[#Headers],0)),"ERROR"))</f>
        <v>180</v>
      </c>
      <c r="G38" s="154">
        <f>IF($B38=" ","",IFERROR(INDEX(MMWR_RATING_RO_ROLLUP[],MATCH($B38,MMWR_RATING_RO_ROLLUP[MMWR_RATING_RO_ROLLUP],0),MATCH(G$9,MMWR_RATING_RO_ROLLUP[#Headers],0)),"ERROR"))</f>
        <v>3835</v>
      </c>
      <c r="H38" s="155">
        <f>IF($B38=" ","",IFERROR(INDEX(MMWR_RATING_RO_ROLLUP[],MATCH($B38,MMWR_RATING_RO_ROLLUP[MMWR_RATING_RO_ROLLUP],0),MATCH(H$9,MMWR_RATING_RO_ROLLUP[#Headers],0)),"ERROR"))</f>
        <v>68.966666666699993</v>
      </c>
      <c r="I38" s="155">
        <f>IF($B38=" ","",IFERROR(INDEX(MMWR_RATING_RO_ROLLUP[],MATCH($B38,MMWR_RATING_RO_ROLLUP[MMWR_RATING_RO_ROLLUP],0),MATCH(I$9,MMWR_RATING_RO_ROLLUP[#Headers],0)),"ERROR"))</f>
        <v>52.151238591899997</v>
      </c>
      <c r="J38" s="42"/>
      <c r="K38" s="42"/>
      <c r="L38" s="42"/>
      <c r="M38" s="42"/>
      <c r="N38" s="42"/>
      <c r="O38" s="42"/>
      <c r="P38" s="28"/>
    </row>
    <row r="39" spans="1:16" x14ac:dyDescent="0.2">
      <c r="A39" s="25"/>
      <c r="B39" s="342" t="s">
        <v>915</v>
      </c>
      <c r="C39" s="343"/>
      <c r="D39" s="343"/>
      <c r="E39" s="343"/>
      <c r="F39" s="343"/>
      <c r="G39" s="343"/>
      <c r="H39" s="343"/>
      <c r="I39" s="343"/>
      <c r="J39" s="343"/>
      <c r="K39" s="343"/>
      <c r="L39" s="343"/>
      <c r="M39" s="343"/>
      <c r="N39" s="343"/>
      <c r="O39" s="343"/>
      <c r="P39" s="28"/>
    </row>
    <row r="40" spans="1:16" x14ac:dyDescent="0.2">
      <c r="A40" s="25"/>
      <c r="B40" s="44" t="s">
        <v>696</v>
      </c>
      <c r="C40" s="154">
        <f>IF($B40=" ","",IFERROR(INDEX(MMWR_RATING_RO_ROLLUP[],MATCH($B40,MMWR_RATING_RO_ROLLUP[MMWR_RATING_RO_ROLLUP],0),MATCH(C$9,MMWR_RATING_RO_ROLLUP[#Headers],0)),"ERROR"))</f>
        <v>8007</v>
      </c>
      <c r="D40" s="155">
        <f>IF($B40=" ","",IFERROR(INDEX(MMWR_RATING_RO_ROLLUP[],MATCH($B40,MMWR_RATING_RO_ROLLUP[MMWR_RATING_RO_ROLLUP],0),MATCH(D$9,MMWR_RATING_RO_ROLLUP[#Headers],0)),"ERROR"))</f>
        <v>65.718371425000001</v>
      </c>
      <c r="E40" s="156">
        <f>IF($B40=" ","",IFERROR(INDEX(MMWR_RATING_RO_ROLLUP[],MATCH($B40,MMWR_RATING_RO_ROLLUP[MMWR_RATING_RO_ROLLUP],0),MATCH(E$9,MMWR_RATING_RO_ROLLUP[#Headers],0))/$C40,"ERROR"))</f>
        <v>0.11589858873485701</v>
      </c>
      <c r="F40" s="154">
        <f>IF($B40=" ","",IFERROR(INDEX(MMWR_RATING_RO_ROLLUP[],MATCH($B40,MMWR_RATING_RO_ROLLUP[MMWR_RATING_RO_ROLLUP],0),MATCH(F$9,MMWR_RATING_RO_ROLLUP[#Headers],0)),"ERROR"))</f>
        <v>857</v>
      </c>
      <c r="G40" s="154">
        <f>IF($B40=" ","",IFERROR(INDEX(MMWR_RATING_RO_ROLLUP[],MATCH($B40,MMWR_RATING_RO_ROLLUP[MMWR_RATING_RO_ROLLUP],0),MATCH(G$9,MMWR_RATING_RO_ROLLUP[#Headers],0)),"ERROR"))</f>
        <v>22212</v>
      </c>
      <c r="H40" s="155">
        <f>IF($B40=" ","",IFERROR(INDEX(MMWR_RATING_RO_ROLLUP[],MATCH($B40,MMWR_RATING_RO_ROLLUP[MMWR_RATING_RO_ROLLUP],0),MATCH(H$9,MMWR_RATING_RO_ROLLUP[#Headers],0)),"ERROR"))</f>
        <v>110.6709451575</v>
      </c>
      <c r="I40" s="155">
        <f>IF($B40=" ","",IFERROR(INDEX(MMWR_RATING_RO_ROLLUP[],MATCH($B40,MMWR_RATING_RO_ROLLUP[MMWR_RATING_RO_ROLLUP],0),MATCH(I$9,MMWR_RATING_RO_ROLLUP[#Headers],0)),"ERROR"))</f>
        <v>136.8616063389</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578</v>
      </c>
      <c r="D41" s="155">
        <f>IF($B41=" ","",IFERROR(INDEX(MMWR_RATING_RO_ROLLUP[],MATCH($B41,MMWR_RATING_RO_ROLLUP[MMWR_RATING_RO_ROLLUP],0),MATCH(D$9,MMWR_RATING_RO_ROLLUP[#Headers],0)),"ERROR"))</f>
        <v>95.543252595200002</v>
      </c>
      <c r="E41" s="156">
        <f>IF($B41=" ","",IFERROR(INDEX(MMWR_RATING_RO_ROLLUP[],MATCH($B41,MMWR_RATING_RO_ROLLUP[MMWR_RATING_RO_ROLLUP],0),MATCH(E$9,MMWR_RATING_RO_ROLLUP[#Headers],0))/$C41,"ERROR"))</f>
        <v>0.23356401384083045</v>
      </c>
      <c r="F41" s="154">
        <f>IF($B41=" ","",IFERROR(INDEX(MMWR_RATING_RO_ROLLUP[],MATCH($B41,MMWR_RATING_RO_ROLLUP[MMWR_RATING_RO_ROLLUP],0),MATCH(F$9,MMWR_RATING_RO_ROLLUP[#Headers],0)),"ERROR"))</f>
        <v>496</v>
      </c>
      <c r="G41" s="154">
        <f>IF($B41=" ","",IFERROR(INDEX(MMWR_RATING_RO_ROLLUP[],MATCH($B41,MMWR_RATING_RO_ROLLUP[MMWR_RATING_RO_ROLLUP],0),MATCH(G$9,MMWR_RATING_RO_ROLLUP[#Headers],0)),"ERROR"))</f>
        <v>10095</v>
      </c>
      <c r="H41" s="155">
        <f>IF($B41=" ","",IFERROR(INDEX(MMWR_RATING_RO_ROLLUP[],MATCH($B41,MMWR_RATING_RO_ROLLUP[MMWR_RATING_RO_ROLLUP],0),MATCH(H$9,MMWR_RATING_RO_ROLLUP[#Headers],0)),"ERROR"))</f>
        <v>98.756048387099995</v>
      </c>
      <c r="I41" s="155">
        <f>IF($B41=" ","",IFERROR(INDEX(MMWR_RATING_RO_ROLLUP[],MATCH($B41,MMWR_RATING_RO_ROLLUP[MMWR_RATING_RO_ROLLUP],0),MATCH(I$9,MMWR_RATING_RO_ROLLUP[#Headers],0)),"ERROR"))</f>
        <v>123.5422486379</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1143</v>
      </c>
      <c r="D42" s="155">
        <f>IF($B42=" ","",IFERROR(INDEX(MMWR_RATING_RO_ROLLUP[],MATCH($B42,MMWR_RATING_RO_ROLLUP[MMWR_RATING_RO_ROLLUP],0),MATCH(D$9,MMWR_RATING_RO_ROLLUP[#Headers],0)),"ERROR"))</f>
        <v>88.574803149600001</v>
      </c>
      <c r="E42" s="156">
        <f>IF($B42=" ","",IFERROR(INDEX(MMWR_RATING_RO_ROLLUP[],MATCH($B42,MMWR_RATING_RO_ROLLUP[MMWR_RATING_RO_ROLLUP],0),MATCH(E$9,MMWR_RATING_RO_ROLLUP[#Headers],0))/$C42,"ERROR"))</f>
        <v>0.12335958005249344</v>
      </c>
      <c r="F42" s="154">
        <f>IF($B42=" ","",IFERROR(INDEX(MMWR_RATING_RO_ROLLUP[],MATCH($B42,MMWR_RATING_RO_ROLLUP[MMWR_RATING_RO_ROLLUP],0),MATCH(F$9,MMWR_RATING_RO_ROLLUP[#Headers],0)),"ERROR"))</f>
        <v>291</v>
      </c>
      <c r="G42" s="154">
        <f>IF($B42=" ","",IFERROR(INDEX(MMWR_RATING_RO_ROLLUP[],MATCH($B42,MMWR_RATING_RO_ROLLUP[MMWR_RATING_RO_ROLLUP],0),MATCH(G$9,MMWR_RATING_RO_ROLLUP[#Headers],0)),"ERROR"))</f>
        <v>8208</v>
      </c>
      <c r="H42" s="155">
        <f>IF($B42=" ","",IFERROR(INDEX(MMWR_RATING_RO_ROLLUP[],MATCH($B42,MMWR_RATING_RO_ROLLUP[MMWR_RATING_RO_ROLLUP],0),MATCH(H$9,MMWR_RATING_RO_ROLLUP[#Headers],0)),"ERROR"))</f>
        <v>127.13058419239999</v>
      </c>
      <c r="I42" s="155">
        <f>IF($B42=" ","",IFERROR(INDEX(MMWR_RATING_RO_ROLLUP[],MATCH($B42,MMWR_RATING_RO_ROLLUP[MMWR_RATING_RO_ROLLUP],0),MATCH(I$9,MMWR_RATING_RO_ROLLUP[#Headers],0)),"ERROR"))</f>
        <v>154.89534600389999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6286</v>
      </c>
      <c r="D43" s="155">
        <f>IF($B43=" ","",IFERROR(INDEX(MMWR_RATING_RO_ROLLUP[],MATCH($B43,MMWR_RATING_RO_ROLLUP[MMWR_RATING_RO_ROLLUP],0),MATCH(D$9,MMWR_RATING_RO_ROLLUP[#Headers],0)),"ERROR"))</f>
        <v>58.8199172765</v>
      </c>
      <c r="E43" s="156">
        <f>IF($B43=" ","",IFERROR(INDEX(MMWR_RATING_RO_ROLLUP[],MATCH($B43,MMWR_RATING_RO_ROLLUP[MMWR_RATING_RO_ROLLUP],0),MATCH(E$9,MMWR_RATING_RO_ROLLUP[#Headers],0))/$C43,"ERROR"))</f>
        <v>0.10372255806554248</v>
      </c>
      <c r="F43" s="154">
        <f>IF($B43=" ","",IFERROR(INDEX(MMWR_RATING_RO_ROLLUP[],MATCH($B43,MMWR_RATING_RO_ROLLUP[MMWR_RATING_RO_ROLLUP],0),MATCH(F$9,MMWR_RATING_RO_ROLLUP[#Headers],0)),"ERROR"))</f>
        <v>70</v>
      </c>
      <c r="G43" s="154">
        <f>IF($B43=" ","",IFERROR(INDEX(MMWR_RATING_RO_ROLLUP[],MATCH($B43,MMWR_RATING_RO_ROLLUP[MMWR_RATING_RO_ROLLUP],0),MATCH(G$9,MMWR_RATING_RO_ROLLUP[#Headers],0)),"ERROR"))</f>
        <v>3909</v>
      </c>
      <c r="H43" s="155">
        <f>IF($B43=" ","",IFERROR(INDEX(MMWR_RATING_RO_ROLLUP[],MATCH($B43,MMWR_RATING_RO_ROLLUP[MMWR_RATING_RO_ROLLUP],0),MATCH(H$9,MMWR_RATING_RO_ROLLUP[#Headers],0)),"ERROR"))</f>
        <v>126.6714285714</v>
      </c>
      <c r="I43" s="155">
        <f>IF($B43=" ","",IFERROR(INDEX(MMWR_RATING_RO_ROLLUP[],MATCH($B43,MMWR_RATING_RO_ROLLUP[MMWR_RATING_RO_ROLLUP],0),MATCH(I$9,MMWR_RATING_RO_ROLLUP[#Headers],0)),"ERROR"))</f>
        <v>133.39217191099999</v>
      </c>
      <c r="J43" s="42"/>
      <c r="K43" s="42"/>
      <c r="L43" s="42"/>
      <c r="M43" s="42"/>
      <c r="N43" s="42"/>
      <c r="O43" s="42"/>
      <c r="P43" s="28"/>
    </row>
    <row r="44" spans="1:16" x14ac:dyDescent="0.2">
      <c r="A44" s="25"/>
      <c r="B44" s="342" t="s">
        <v>733</v>
      </c>
      <c r="C44" s="343"/>
      <c r="D44" s="343"/>
      <c r="E44" s="343"/>
      <c r="F44" s="343"/>
      <c r="G44" s="343"/>
      <c r="H44" s="343"/>
      <c r="I44" s="343"/>
      <c r="J44" s="343"/>
      <c r="K44" s="343"/>
      <c r="L44" s="343"/>
      <c r="M44" s="343"/>
      <c r="N44" s="343"/>
      <c r="O44" s="343"/>
      <c r="P44" s="28"/>
    </row>
    <row r="45" spans="1:16" x14ac:dyDescent="0.2">
      <c r="A45" s="25"/>
      <c r="B45" s="44" t="s">
        <v>694</v>
      </c>
      <c r="C45" s="154">
        <f>IF($B45=" ","",IFERROR(INDEX(MMWR_RATING_RO_ROLLUP[],MATCH($B45,MMWR_RATING_RO_ROLLUP[MMWR_RATING_RO_ROLLUP],0),MATCH(C$9,MMWR_RATING_RO_ROLLUP[#Headers],0)),"ERROR"))</f>
        <v>8816</v>
      </c>
      <c r="D45" s="155">
        <f>IF($B45=" ","",IFERROR(INDEX(MMWR_RATING_RO_ROLLUP[],MATCH($B45,MMWR_RATING_RO_ROLLUP[MMWR_RATING_RO_ROLLUP],0),MATCH(D$9,MMWR_RATING_RO_ROLLUP[#Headers],0)),"ERROR"))</f>
        <v>59.302745009100001</v>
      </c>
      <c r="E45" s="156">
        <f>IF($B45=" ","",IFERROR(INDEX(MMWR_RATING_RO_ROLLUP[],MATCH($B45,MMWR_RATING_RO_ROLLUP[MMWR_RATING_RO_ROLLUP],0),MATCH(E$9,MMWR_RATING_RO_ROLLUP[#Headers],0))/$C45,"ERROR"))</f>
        <v>9.3806715063520868E-2</v>
      </c>
      <c r="F45" s="154">
        <f>IF($B45=" ","",IFERROR(INDEX(MMWR_RATING_RO_ROLLUP[],MATCH($B45,MMWR_RATING_RO_ROLLUP[MMWR_RATING_RO_ROLLUP],0),MATCH(F$9,MMWR_RATING_RO_ROLLUP[#Headers],0)),"ERROR"))</f>
        <v>896</v>
      </c>
      <c r="G45" s="154">
        <f>IF($B45=" ","",IFERROR(INDEX(MMWR_RATING_RO_ROLLUP[],MATCH($B45,MMWR_RATING_RO_ROLLUP[MMWR_RATING_RO_ROLLUP],0),MATCH(G$9,MMWR_RATING_RO_ROLLUP[#Headers],0)),"ERROR"))</f>
        <v>25172</v>
      </c>
      <c r="H45" s="155">
        <f>IF($B45=" ","",IFERROR(INDEX(MMWR_RATING_RO_ROLLUP[],MATCH($B45,MMWR_RATING_RO_ROLLUP[MMWR_RATING_RO_ROLLUP],0),MATCH(H$9,MMWR_RATING_RO_ROLLUP[#Headers],0)),"ERROR"))</f>
        <v>112.24888392859999</v>
      </c>
      <c r="I45" s="155">
        <f>IF($B45=" ","",IFERROR(INDEX(MMWR_RATING_RO_ROLLUP[],MATCH($B45,MMWR_RATING_RO_ROLLUP[MMWR_RATING_RO_ROLLUP],0),MATCH(I$9,MMWR_RATING_RO_ROLLUP[#Headers],0)),"ERROR"))</f>
        <v>130.45038137610001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605</v>
      </c>
      <c r="D46" s="155">
        <f>IF($B46=" ","",IFERROR(INDEX(MMWR_RATING_RO_ROLLUP[],MATCH($B46,MMWR_RATING_RO_ROLLUP[MMWR_RATING_RO_ROLLUP],0),MATCH(D$9,MMWR_RATING_RO_ROLLUP[#Headers],0)),"ERROR"))</f>
        <v>86.013223140500003</v>
      </c>
      <c r="E46" s="156">
        <f>IF($B46=" ","",IFERROR(INDEX(MMWR_RATING_RO_ROLLUP[],MATCH($B46,MMWR_RATING_RO_ROLLUP[MMWR_RATING_RO_ROLLUP],0),MATCH(E$9,MMWR_RATING_RO_ROLLUP[#Headers],0))/$C46,"ERROR"))</f>
        <v>0.15702479338842976</v>
      </c>
      <c r="F46" s="154">
        <f>IF($B46=" ","",IFERROR(INDEX(MMWR_RATING_RO_ROLLUP[],MATCH($B46,MMWR_RATING_RO_ROLLUP[MMWR_RATING_RO_ROLLUP],0),MATCH(F$9,MMWR_RATING_RO_ROLLUP[#Headers],0)),"ERROR"))</f>
        <v>407</v>
      </c>
      <c r="G46" s="154">
        <f>IF($B46=" ","",IFERROR(INDEX(MMWR_RATING_RO_ROLLUP[],MATCH($B46,MMWR_RATING_RO_ROLLUP[MMWR_RATING_RO_ROLLUP],0),MATCH(G$9,MMWR_RATING_RO_ROLLUP[#Headers],0)),"ERROR"))</f>
        <v>10178</v>
      </c>
      <c r="H46" s="155">
        <f>IF($B46=" ","",IFERROR(INDEX(MMWR_RATING_RO_ROLLUP[],MATCH($B46,MMWR_RATING_RO_ROLLUP[MMWR_RATING_RO_ROLLUP],0),MATCH(H$9,MMWR_RATING_RO_ROLLUP[#Headers],0)),"ERROR"))</f>
        <v>116.7567567568</v>
      </c>
      <c r="I46" s="155">
        <f>IF($B46=" ","",IFERROR(INDEX(MMWR_RATING_RO_ROLLUP[],MATCH($B46,MMWR_RATING_RO_ROLLUP[MMWR_RATING_RO_ROLLUP],0),MATCH(I$9,MMWR_RATING_RO_ROLLUP[#Headers],0)),"ERROR"))</f>
        <v>118.6826488505</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692</v>
      </c>
      <c r="D47" s="155">
        <f>IF($B47=" ","",IFERROR(INDEX(MMWR_RATING_RO_ROLLUP[],MATCH($B47,MMWR_RATING_RO_ROLLUP[MMWR_RATING_RO_ROLLUP],0),MATCH(D$9,MMWR_RATING_RO_ROLLUP[#Headers],0)),"ERROR"))</f>
        <v>80.520231213900004</v>
      </c>
      <c r="E47" s="156">
        <f>IF($B47=" ","",IFERROR(INDEX(MMWR_RATING_RO_ROLLUP[],MATCH($B47,MMWR_RATING_RO_ROLLUP[MMWR_RATING_RO_ROLLUP],0),MATCH(E$9,MMWR_RATING_RO_ROLLUP[#Headers],0))/$C47,"ERROR"))</f>
        <v>0.25722543352601157</v>
      </c>
      <c r="F47" s="154">
        <f>IF($B47=" ","",IFERROR(INDEX(MMWR_RATING_RO_ROLLUP[],MATCH($B47,MMWR_RATING_RO_ROLLUP[MMWR_RATING_RO_ROLLUP],0),MATCH(F$9,MMWR_RATING_RO_ROLLUP[#Headers],0)),"ERROR"))</f>
        <v>388</v>
      </c>
      <c r="G47" s="154">
        <f>IF($B47=" ","",IFERROR(INDEX(MMWR_RATING_RO_ROLLUP[],MATCH($B47,MMWR_RATING_RO_ROLLUP[MMWR_RATING_RO_ROLLUP],0),MATCH(G$9,MMWR_RATING_RO_ROLLUP[#Headers],0)),"ERROR"))</f>
        <v>9044</v>
      </c>
      <c r="H47" s="155">
        <f>IF($B47=" ","",IFERROR(INDEX(MMWR_RATING_RO_ROLLUP[],MATCH($B47,MMWR_RATING_RO_ROLLUP[MMWR_RATING_RO_ROLLUP],0),MATCH(H$9,MMWR_RATING_RO_ROLLUP[#Headers],0)),"ERROR"))</f>
        <v>108.9639175258</v>
      </c>
      <c r="I47" s="155">
        <f>IF($B47=" ","",IFERROR(INDEX(MMWR_RATING_RO_ROLLUP[],MATCH($B47,MMWR_RATING_RO_ROLLUP[MMWR_RATING_RO_ROLLUP],0),MATCH(I$9,MMWR_RATING_RO_ROLLUP[#Headers],0)),"ERROR"))</f>
        <v>145.65004422819999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7519</v>
      </c>
      <c r="D48" s="155">
        <f>IF($B48=" ","",IFERROR(INDEX(MMWR_RATING_RO_ROLLUP[],MATCH($B48,MMWR_RATING_RO_ROLLUP[MMWR_RATING_RO_ROLLUP],0),MATCH(D$9,MMWR_RATING_RO_ROLLUP[#Headers],0)),"ERROR"))</f>
        <v>55.200824577699997</v>
      </c>
      <c r="E48" s="156">
        <f>IF($B48=" ","",IFERROR(INDEX(MMWR_RATING_RO_ROLLUP[],MATCH($B48,MMWR_RATING_RO_ROLLUP[MMWR_RATING_RO_ROLLUP],0),MATCH(E$9,MMWR_RATING_RO_ROLLUP[#Headers],0))/$C48,"ERROR"))</f>
        <v>7.3680010639712731E-2</v>
      </c>
      <c r="F48" s="154">
        <f>IF($B48=" ","",IFERROR(INDEX(MMWR_RATING_RO_ROLLUP[],MATCH($B48,MMWR_RATING_RO_ROLLUP[MMWR_RATING_RO_ROLLUP],0),MATCH(F$9,MMWR_RATING_RO_ROLLUP[#Headers],0)),"ERROR"))</f>
        <v>101</v>
      </c>
      <c r="G48" s="154">
        <f>IF($B48=" ","",IFERROR(INDEX(MMWR_RATING_RO_ROLLUP[],MATCH($B48,MMWR_RATING_RO_ROLLUP[MMWR_RATING_RO_ROLLUP],0),MATCH(G$9,MMWR_RATING_RO_ROLLUP[#Headers],0)),"ERROR"))</f>
        <v>5950</v>
      </c>
      <c r="H48" s="155">
        <f>IF($B48=" ","",IFERROR(INDEX(MMWR_RATING_RO_ROLLUP[],MATCH($B48,MMWR_RATING_RO_ROLLUP[MMWR_RATING_RO_ROLLUP],0),MATCH(H$9,MMWR_RATING_RO_ROLLUP[#Headers],0)),"ERROR"))</f>
        <v>106.70297029699999</v>
      </c>
      <c r="I48" s="155">
        <f>IF($B48=" ","",IFERROR(INDEX(MMWR_RATING_RO_ROLLUP[],MATCH($B48,MMWR_RATING_RO_ROLLUP[MMWR_RATING_RO_ROLLUP],0),MATCH(I$9,MMWR_RATING_RO_ROLLUP[#Headers],0)),"ERROR"))</f>
        <v>127.4766386555</v>
      </c>
      <c r="J48" s="42"/>
      <c r="K48" s="42"/>
      <c r="L48" s="42"/>
      <c r="M48" s="42"/>
      <c r="N48" s="42"/>
      <c r="O48" s="42"/>
      <c r="P48" s="28"/>
    </row>
    <row r="49" spans="1:16" ht="15.75" x14ac:dyDescent="0.25">
      <c r="A49" s="25"/>
      <c r="B49" s="341" t="s">
        <v>1049</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August 13, 2016</v>
      </c>
      <c r="K3" s="360"/>
      <c r="L3" s="360"/>
      <c r="M3" s="361"/>
      <c r="N3" s="28"/>
    </row>
    <row r="4" spans="1:16" ht="51" customHeight="1" thickBot="1" x14ac:dyDescent="0.35">
      <c r="A4" s="30"/>
      <c r="B4" s="246" t="s">
        <v>454</v>
      </c>
      <c r="C4" s="362" t="s">
        <v>969</v>
      </c>
      <c r="D4" s="363"/>
      <c r="E4" s="363"/>
      <c r="F4" s="363"/>
      <c r="G4" s="363"/>
      <c r="H4" s="363"/>
      <c r="I4" s="363"/>
      <c r="J4" s="363"/>
      <c r="K4" s="363"/>
      <c r="L4" s="363"/>
      <c r="M4" s="364"/>
      <c r="N4" s="28"/>
      <c r="O4" s="22"/>
      <c r="P4" s="23"/>
    </row>
    <row r="5" spans="1:16" ht="27" customHeight="1" thickBot="1" x14ac:dyDescent="0.25">
      <c r="A5" s="30"/>
      <c r="B5" s="48"/>
      <c r="C5" s="365" t="s">
        <v>1040</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970</v>
      </c>
      <c r="K11" s="395"/>
      <c r="L11" s="395"/>
      <c r="M11" s="396"/>
      <c r="N11" s="28"/>
    </row>
    <row r="12" spans="1:16" x14ac:dyDescent="0.2">
      <c r="A12" s="25"/>
      <c r="B12" s="41" t="s">
        <v>728</v>
      </c>
      <c r="C12" s="154">
        <f>IF($B12=" ","",IFERROR(INDEX(MMWR_RATING_RO_ROLLUP[],MATCH($B12,MMWR_RATING_RO_ROLLUP[MMWR_RATING_RO_ROLLUP],0),MATCH(C$9,MMWR_RATING_RO_ROLLUP[#Headers],0)),"ERROR"))</f>
        <v>380114</v>
      </c>
      <c r="D12" s="155">
        <f>IF($B12=" ","",IFERROR(INDEX(MMWR_RATING_RO_ROLLUP[],MATCH($B12,MMWR_RATING_RO_ROLLUP[MMWR_RATING_RO_ROLLUP],0),MATCH(D$9,MMWR_RATING_RO_ROLLUP[#Headers],0)),"ERROR"))</f>
        <v>87.669309733399999</v>
      </c>
      <c r="E12" s="156">
        <f>IF($B12=" ","",IFERROR(INDEX(MMWR_RATING_RO_ROLLUP[],MATCH($B12,MMWR_RATING_RO_ROLLUP[MMWR_RATING_RO_ROLLUP],0),MATCH(E$9,MMWR_RATING_RO_ROLLUP[#Headers],0))/$C12,"ERROR"))</f>
        <v>0.20234719057966821</v>
      </c>
      <c r="F12" s="154">
        <f>IF($B12=" ","",IFERROR(INDEX(MMWR_RATING_RO_ROLLUP[],MATCH($B12,MMWR_RATING_RO_ROLLUP[MMWR_RATING_RO_ROLLUP],0),MATCH(F$9,MMWR_RATING_RO_ROLLUP[#Headers],0)),"ERROR"))</f>
        <v>51035</v>
      </c>
      <c r="G12" s="154">
        <f>IF($B12=" ","",IFERROR(INDEX(MMWR_RATING_RO_ROLLUP[],MATCH($B12,MMWR_RATING_RO_ROLLUP[MMWR_RATING_RO_ROLLUP],0),MATCH(G$9,MMWR_RATING_RO_ROLLUP[#Headers],0)),"ERROR"))</f>
        <v>1096651</v>
      </c>
      <c r="H12" s="155">
        <f>IF($B12=" ","",IFERROR(INDEX(MMWR_RATING_RO_ROLLUP[],MATCH($B12,MMWR_RATING_RO_ROLLUP[MMWR_RATING_RO_ROLLUP],0),MATCH(H$9,MMWR_RATING_RO_ROLLUP[#Headers],0)),"ERROR"))</f>
        <v>121.70265504069999</v>
      </c>
      <c r="I12" s="155">
        <f>IF($B12=" ","",IFERROR(INDEX(MMWR_RATING_RO_ROLLUP[],MATCH($B12,MMWR_RATING_RO_ROLLUP[MMWR_RATING_RO_ROLLUP],0),MATCH(I$9,MMWR_RATING_RO_ROLLUP[#Headers],0)),"ERROR"))</f>
        <v>123.0940025587</v>
      </c>
      <c r="J12" s="42"/>
      <c r="K12" s="42"/>
      <c r="L12" s="42"/>
      <c r="M12" s="42"/>
      <c r="N12" s="28"/>
    </row>
    <row r="13" spans="1:16" x14ac:dyDescent="0.2">
      <c r="A13" s="25"/>
      <c r="B13" s="342" t="s">
        <v>731</v>
      </c>
      <c r="C13" s="343"/>
      <c r="D13" s="343"/>
      <c r="E13" s="343"/>
      <c r="F13" s="343"/>
      <c r="G13" s="343"/>
      <c r="H13" s="343"/>
      <c r="I13" s="343"/>
      <c r="J13" s="343"/>
      <c r="K13" s="343"/>
      <c r="L13" s="343"/>
      <c r="M13" s="393"/>
      <c r="N13" s="28"/>
    </row>
    <row r="14" spans="1:16" x14ac:dyDescent="0.2">
      <c r="A14" s="25"/>
      <c r="B14" s="41" t="s">
        <v>727</v>
      </c>
      <c r="C14" s="154">
        <f>IF($B14=" ","",IFERROR(INDEX(MMWR_RATING_RO_ROLLUP[],MATCH($B14,MMWR_RATING_RO_ROLLUP[MMWR_RATING_RO_ROLLUP],0),MATCH(C$9,MMWR_RATING_RO_ROLLUP[#Headers],0)),"ERROR"))</f>
        <v>337441</v>
      </c>
      <c r="D14" s="155">
        <f>IF($B14=" ","",IFERROR(INDEX(MMWR_RATING_RO_ROLLUP[],MATCH($B14,MMWR_RATING_RO_ROLLUP[MMWR_RATING_RO_ROLLUP],0),MATCH(D$9,MMWR_RATING_RO_ROLLUP[#Headers],0)),"ERROR"))</f>
        <v>90.4552173565</v>
      </c>
      <c r="E14" s="156">
        <f>IF($B14=" ","",IFERROR(INDEX(MMWR_RATING_RO_ROLLUP[],MATCH($B14,MMWR_RATING_RO_ROLLUP[MMWR_RATING_RO_ROLLUP],0),MATCH(E$9,MMWR_RATING_RO_ROLLUP[#Headers],0))/$C14,"ERROR"))</f>
        <v>0.2134595381118477</v>
      </c>
      <c r="F14" s="154">
        <f>IF($B14=" ","",IFERROR(INDEX(MMWR_RATING_RO_ROLLUP[],MATCH($B14,MMWR_RATING_RO_ROLLUP[MMWR_RATING_RO_ROLLUP],0),MATCH(F$9,MMWR_RATING_RO_ROLLUP[#Headers],0)),"ERROR"))</f>
        <v>42176</v>
      </c>
      <c r="G14" s="154">
        <f>IF($B14=" ","",IFERROR(INDEX(MMWR_RATING_RO_ROLLUP[],MATCH($B14,MMWR_RATING_RO_ROLLUP[MMWR_RATING_RO_ROLLUP],0),MATCH(G$9,MMWR_RATING_RO_ROLLUP[#Headers],0)),"ERROR"))</f>
        <v>919878</v>
      </c>
      <c r="H14" s="155">
        <f>IF($B14=" ","",IFERROR(INDEX(MMWR_RATING_RO_ROLLUP[],MATCH($B14,MMWR_RATING_RO_ROLLUP[MMWR_RATING_RO_ROLLUP],0),MATCH(H$9,MMWR_RATING_RO_ROLLUP[#Headers],0)),"ERROR"))</f>
        <v>128.71780159330001</v>
      </c>
      <c r="I14" s="155">
        <f>IF($B14=" ","",IFERROR(INDEX(MMWR_RATING_RO_ROLLUP[],MATCH($B14,MMWR_RATING_RO_ROLLUP[MMWR_RATING_RO_ROLLUP],0),MATCH(I$9,MMWR_RATING_RO_ROLLUP[#Headers],0)),"ERROR"))</f>
        <v>128.72076405780001</v>
      </c>
      <c r="J14" s="42"/>
      <c r="K14" s="42"/>
      <c r="L14" s="42"/>
      <c r="M14" s="42"/>
      <c r="N14" s="28"/>
    </row>
    <row r="15" spans="1:16" x14ac:dyDescent="0.2">
      <c r="A15" s="25"/>
      <c r="B15" s="247" t="s">
        <v>368</v>
      </c>
      <c r="C15" s="154">
        <f>IF($B15=" ","",IFERROR(INDEX(MMWR_RATING_RO_ROLLUP[],MATCH($B15,MMWR_RATING_RO_ROLLUP[MMWR_RATING_RO_ROLLUP],0),MATCH(C$9,MMWR_RATING_RO_ROLLUP[#Headers],0)),"ERROR"))</f>
        <v>74715</v>
      </c>
      <c r="D15" s="155">
        <f>IF($B15=" ","",IFERROR(INDEX(MMWR_RATING_RO_ROLLUP[],MATCH($B15,MMWR_RATING_RO_ROLLUP[MMWR_RATING_RO_ROLLUP],0),MATCH(D$9,MMWR_RATING_RO_ROLLUP[#Headers],0)),"ERROR"))</f>
        <v>94.206611791499995</v>
      </c>
      <c r="E15" s="156">
        <f>IF($B15=" ","",IFERROR(INDEX(MMWR_RATING_RO_ROLLUP[],MATCH($B15,MMWR_RATING_RO_ROLLUP[MMWR_RATING_RO_ROLLUP],0),MATCH(E$9,MMWR_RATING_RO_ROLLUP[#Headers],0))/$C15,"ERROR"))</f>
        <v>0.2282808003747574</v>
      </c>
      <c r="F15" s="154">
        <f>IF($B15=" ","",IFERROR(INDEX(MMWR_RATING_RO_ROLLUP[],MATCH($B15,MMWR_RATING_RO_ROLLUP[MMWR_RATING_RO_ROLLUP],0),MATCH(F$9,MMWR_RATING_RO_ROLLUP[#Headers],0)),"ERROR"))</f>
        <v>9064</v>
      </c>
      <c r="G15" s="154">
        <f>IF($B15=" ","",IFERROR(INDEX(MMWR_RATING_RO_ROLLUP[],MATCH($B15,MMWR_RATING_RO_ROLLUP[MMWR_RATING_RO_ROLLUP],0),MATCH(G$9,MMWR_RATING_RO_ROLLUP[#Headers],0)),"ERROR"))</f>
        <v>203241</v>
      </c>
      <c r="H15" s="155">
        <f>IF($B15=" ","",IFERROR(INDEX(MMWR_RATING_RO_ROLLUP[],MATCH($B15,MMWR_RATING_RO_ROLLUP[MMWR_RATING_RO_ROLLUP],0),MATCH(H$9,MMWR_RATING_RO_ROLLUP[#Headers],0)),"ERROR"))</f>
        <v>130.83263459840001</v>
      </c>
      <c r="I15" s="155">
        <f>IF($B15=" ","",IFERROR(INDEX(MMWR_RATING_RO_ROLLUP[],MATCH($B15,MMWR_RATING_RO_ROLLUP[MMWR_RATING_RO_ROLLUP],0),MATCH(I$9,MMWR_RATING_RO_ROLLUP[#Headers],0)),"ERROR"))</f>
        <v>130.66893490979999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5400</v>
      </c>
      <c r="D16" s="155">
        <f>IF($B16=" ","",IFERROR(INDEX(MMWR_RATING_RO_ROLLUP[],MATCH($B16,MMWR_RATING_RO_ROLLUP[MMWR_RATING_RO_ROLLUP],0),MATCH(D$9,MMWR_RATING_RO_ROLLUP[#Headers],0)),"ERROR"))</f>
        <v>97.276481481499999</v>
      </c>
      <c r="E16" s="156">
        <f>IF($B16=" ","",IFERROR(INDEX(MMWR_RATING_RO_ROLLUP[],MATCH($B16,MMWR_RATING_RO_ROLLUP[MMWR_RATING_RO_ROLLUP],0),MATCH(E$9,MMWR_RATING_RO_ROLLUP[#Headers],0))/$C16,"ERROR"))</f>
        <v>0.24333333333333335</v>
      </c>
      <c r="F16" s="154">
        <f>IF($B16=" ","",IFERROR(INDEX(MMWR_RATING_RO_ROLLUP[],MATCH($B16,MMWR_RATING_RO_ROLLUP[MMWR_RATING_RO_ROLLUP],0),MATCH(F$9,MMWR_RATING_RO_ROLLUP[#Headers],0)),"ERROR"))</f>
        <v>657</v>
      </c>
      <c r="G16" s="154">
        <f>IF($B16=" ","",IFERROR(INDEX(MMWR_RATING_RO_ROLLUP[],MATCH($B16,MMWR_RATING_RO_ROLLUP[MMWR_RATING_RO_ROLLUP],0),MATCH(G$9,MMWR_RATING_RO_ROLLUP[#Headers],0)),"ERROR"))</f>
        <v>13538</v>
      </c>
      <c r="H16" s="155">
        <f>IF($B16=" ","",IFERROR(INDEX(MMWR_RATING_RO_ROLLUP[],MATCH($B16,MMWR_RATING_RO_ROLLUP[MMWR_RATING_RO_ROLLUP],0),MATCH(H$9,MMWR_RATING_RO_ROLLUP[#Headers],0)),"ERROR"))</f>
        <v>135.06088280060001</v>
      </c>
      <c r="I16" s="155">
        <f>IF($B16=" ","",IFERROR(INDEX(MMWR_RATING_RO_ROLLUP[],MATCH($B16,MMWR_RATING_RO_ROLLUP[MMWR_RATING_RO_ROLLUP],0),MATCH(I$9,MMWR_RATING_RO_ROLLUP[#Headers],0)),"ERROR"))</f>
        <v>142.27064559019999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3561</v>
      </c>
      <c r="D17" s="155">
        <f>IF($B17=" ","",IFERROR(INDEX(MMWR_RATING_RO_ROLLUP[],MATCH($B17,MMWR_RATING_RO_ROLLUP[MMWR_RATING_RO_ROLLUP],0),MATCH(D$9,MMWR_RATING_RO_ROLLUP[#Headers],0)),"ERROR"))</f>
        <v>83.836281943299994</v>
      </c>
      <c r="E17" s="156">
        <f>IF($B17=" ","",IFERROR(INDEX(MMWR_RATING_RO_ROLLUP[],MATCH($B17,MMWR_RATING_RO_ROLLUP[MMWR_RATING_RO_ROLLUP],0),MATCH(E$9,MMWR_RATING_RO_ROLLUP[#Headers],0))/$C17,"ERROR"))</f>
        <v>0.19151923616961528</v>
      </c>
      <c r="F17" s="154">
        <f>IF($B17=" ","",IFERROR(INDEX(MMWR_RATING_RO_ROLLUP[],MATCH($B17,MMWR_RATING_RO_ROLLUP[MMWR_RATING_RO_ROLLUP],0),MATCH(F$9,MMWR_RATING_RO_ROLLUP[#Headers],0)),"ERROR"))</f>
        <v>400</v>
      </c>
      <c r="G17" s="154">
        <f>IF($B17=" ","",IFERROR(INDEX(MMWR_RATING_RO_ROLLUP[],MATCH($B17,MMWR_RATING_RO_ROLLUP[MMWR_RATING_RO_ROLLUP],0),MATCH(G$9,MMWR_RATING_RO_ROLLUP[#Headers],0)),"ERROR"))</f>
        <v>9846</v>
      </c>
      <c r="H17" s="155">
        <f>IF($B17=" ","",IFERROR(INDEX(MMWR_RATING_RO_ROLLUP[],MATCH($B17,MMWR_RATING_RO_ROLLUP[MMWR_RATING_RO_ROLLUP],0),MATCH(H$9,MMWR_RATING_RO_ROLLUP[#Headers],0)),"ERROR"))</f>
        <v>119.5425</v>
      </c>
      <c r="I17" s="155">
        <f>IF($B17=" ","",IFERROR(INDEX(MMWR_RATING_RO_ROLLUP[],MATCH($B17,MMWR_RATING_RO_ROLLUP[MMWR_RATING_RO_ROLLUP],0),MATCH(I$9,MMWR_RATING_RO_ROLLUP[#Headers],0)),"ERROR"))</f>
        <v>130.04418037779999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3851</v>
      </c>
      <c r="D18" s="155">
        <f>IF($B18=" ","",IFERROR(INDEX(MMWR_RATING_RO_ROLLUP[],MATCH($B18,MMWR_RATING_RO_ROLLUP[MMWR_RATING_RO_ROLLUP],0),MATCH(D$9,MMWR_RATING_RO_ROLLUP[#Headers],0)),"ERROR"))</f>
        <v>85.894313165400007</v>
      </c>
      <c r="E18" s="156">
        <f>IF($B18=" ","",IFERROR(INDEX(MMWR_RATING_RO_ROLLUP[],MATCH($B18,MMWR_RATING_RO_ROLLUP[MMWR_RATING_RO_ROLLUP],0),MATCH(E$9,MMWR_RATING_RO_ROLLUP[#Headers],0))/$C18,"ERROR"))</f>
        <v>0.18696442482472087</v>
      </c>
      <c r="F18" s="154">
        <f>IF($B18=" ","",IFERROR(INDEX(MMWR_RATING_RO_ROLLUP[],MATCH($B18,MMWR_RATING_RO_ROLLUP[MMWR_RATING_RO_ROLLUP],0),MATCH(F$9,MMWR_RATING_RO_ROLLUP[#Headers],0)),"ERROR"))</f>
        <v>462</v>
      </c>
      <c r="G18" s="154">
        <f>IF($B18=" ","",IFERROR(INDEX(MMWR_RATING_RO_ROLLUP[],MATCH($B18,MMWR_RATING_RO_ROLLUP[MMWR_RATING_RO_ROLLUP],0),MATCH(G$9,MMWR_RATING_RO_ROLLUP[#Headers],0)),"ERROR"))</f>
        <v>11157</v>
      </c>
      <c r="H18" s="155">
        <f>IF($B18=" ","",IFERROR(INDEX(MMWR_RATING_RO_ROLLUP[],MATCH($B18,MMWR_RATING_RO_ROLLUP[MMWR_RATING_RO_ROLLUP],0),MATCH(H$9,MMWR_RATING_RO_ROLLUP[#Headers],0)),"ERROR"))</f>
        <v>127.5021645022</v>
      </c>
      <c r="I18" s="155">
        <f>IF($B18=" ","",IFERROR(INDEX(MMWR_RATING_RO_ROLLUP[],MATCH($B18,MMWR_RATING_RO_ROLLUP[MMWR_RATING_RO_ROLLUP],0),MATCH(I$9,MMWR_RATING_RO_ROLLUP[#Headers],0)),"ERROR"))</f>
        <v>133.2587613158</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1911</v>
      </c>
      <c r="D19" s="155">
        <f>IF($B19=" ","",IFERROR(INDEX(MMWR_RATING_RO_ROLLUP[],MATCH($B19,MMWR_RATING_RO_ROLLUP[MMWR_RATING_RO_ROLLUP],0),MATCH(D$9,MMWR_RATING_RO_ROLLUP[#Headers],0)),"ERROR"))</f>
        <v>84.007326007299994</v>
      </c>
      <c r="E19" s="156">
        <f>IF($B19=" ","",IFERROR(INDEX(MMWR_RATING_RO_ROLLUP[],MATCH($B19,MMWR_RATING_RO_ROLLUP[MMWR_RATING_RO_ROLLUP],0),MATCH(E$9,MMWR_RATING_RO_ROLLUP[#Headers],0))/$C19,"ERROR"))</f>
        <v>0.17791732077446362</v>
      </c>
      <c r="F19" s="154">
        <f>IF($B19=" ","",IFERROR(INDEX(MMWR_RATING_RO_ROLLUP[],MATCH($B19,MMWR_RATING_RO_ROLLUP[MMWR_RATING_RO_ROLLUP],0),MATCH(F$9,MMWR_RATING_RO_ROLLUP[#Headers],0)),"ERROR"))</f>
        <v>248</v>
      </c>
      <c r="G19" s="154">
        <f>IF($B19=" ","",IFERROR(INDEX(MMWR_RATING_RO_ROLLUP[],MATCH($B19,MMWR_RATING_RO_ROLLUP[MMWR_RATING_RO_ROLLUP],0),MATCH(G$9,MMWR_RATING_RO_ROLLUP[#Headers],0)),"ERROR"))</f>
        <v>5687</v>
      </c>
      <c r="H19" s="155">
        <f>IF($B19=" ","",IFERROR(INDEX(MMWR_RATING_RO_ROLLUP[],MATCH($B19,MMWR_RATING_RO_ROLLUP[MMWR_RATING_RO_ROLLUP],0),MATCH(H$9,MMWR_RATING_RO_ROLLUP[#Headers],0)),"ERROR"))</f>
        <v>118.00806451610001</v>
      </c>
      <c r="I19" s="155">
        <f>IF($B19=" ","",IFERROR(INDEX(MMWR_RATING_RO_ROLLUP[],MATCH($B19,MMWR_RATING_RO_ROLLUP[MMWR_RATING_RO_ROLLUP],0),MATCH(I$9,MMWR_RATING_RO_ROLLUP[#Headers],0)),"ERROR"))</f>
        <v>115.3808686478</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2504</v>
      </c>
      <c r="D20" s="155">
        <f>IF($B20=" ","",IFERROR(INDEX(MMWR_RATING_RO_ROLLUP[],MATCH($B20,MMWR_RATING_RO_ROLLUP[MMWR_RATING_RO_ROLLUP],0),MATCH(D$9,MMWR_RATING_RO_ROLLUP[#Headers],0)),"ERROR"))</f>
        <v>78.089057507999996</v>
      </c>
      <c r="E20" s="156">
        <f>IF($B20=" ","",IFERROR(INDEX(MMWR_RATING_RO_ROLLUP[],MATCH($B20,MMWR_RATING_RO_ROLLUP[MMWR_RATING_RO_ROLLUP],0),MATCH(E$9,MMWR_RATING_RO_ROLLUP[#Headers],0))/$C20,"ERROR"))</f>
        <v>0.16014376996805113</v>
      </c>
      <c r="F20" s="154">
        <f>IF($B20=" ","",IFERROR(INDEX(MMWR_RATING_RO_ROLLUP[],MATCH($B20,MMWR_RATING_RO_ROLLUP[MMWR_RATING_RO_ROLLUP],0),MATCH(F$9,MMWR_RATING_RO_ROLLUP[#Headers],0)),"ERROR"))</f>
        <v>333</v>
      </c>
      <c r="G20" s="154">
        <f>IF($B20=" ","",IFERROR(INDEX(MMWR_RATING_RO_ROLLUP[],MATCH($B20,MMWR_RATING_RO_ROLLUP[MMWR_RATING_RO_ROLLUP],0),MATCH(G$9,MMWR_RATING_RO_ROLLUP[#Headers],0)),"ERROR"))</f>
        <v>8056</v>
      </c>
      <c r="H20" s="155">
        <f>IF($B20=" ","",IFERROR(INDEX(MMWR_RATING_RO_ROLLUP[],MATCH($B20,MMWR_RATING_RO_ROLLUP[MMWR_RATING_RO_ROLLUP],0),MATCH(H$9,MMWR_RATING_RO_ROLLUP[#Headers],0)),"ERROR"))</f>
        <v>120.1321321321</v>
      </c>
      <c r="I20" s="155">
        <f>IF($B20=" ","",IFERROR(INDEX(MMWR_RATING_RO_ROLLUP[],MATCH($B20,MMWR_RATING_RO_ROLLUP[MMWR_RATING_RO_ROLLUP],0),MATCH(I$9,MMWR_RATING_RO_ROLLUP[#Headers],0)),"ERROR"))</f>
        <v>117.1786246276</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1351</v>
      </c>
      <c r="D21" s="155">
        <f>IF($B21=" ","",IFERROR(INDEX(MMWR_RATING_RO_ROLLUP[],MATCH($B21,MMWR_RATING_RO_ROLLUP[MMWR_RATING_RO_ROLLUP],0),MATCH(D$9,MMWR_RATING_RO_ROLLUP[#Headers],0)),"ERROR"))</f>
        <v>77.336787564800005</v>
      </c>
      <c r="E21" s="156">
        <f>IF($B21=" ","",IFERROR(INDEX(MMWR_RATING_RO_ROLLUP[],MATCH($B21,MMWR_RATING_RO_ROLLUP[MMWR_RATING_RO_ROLLUP],0),MATCH(E$9,MMWR_RATING_RO_ROLLUP[#Headers],0))/$C21,"ERROR"))</f>
        <v>0.14729829755736493</v>
      </c>
      <c r="F21" s="154">
        <f>IF($B21=" ","",IFERROR(INDEX(MMWR_RATING_RO_ROLLUP[],MATCH($B21,MMWR_RATING_RO_ROLLUP[MMWR_RATING_RO_ROLLUP],0),MATCH(F$9,MMWR_RATING_RO_ROLLUP[#Headers],0)),"ERROR"))</f>
        <v>131</v>
      </c>
      <c r="G21" s="154">
        <f>IF($B21=" ","",IFERROR(INDEX(MMWR_RATING_RO_ROLLUP[],MATCH($B21,MMWR_RATING_RO_ROLLUP[MMWR_RATING_RO_ROLLUP],0),MATCH(G$9,MMWR_RATING_RO_ROLLUP[#Headers],0)),"ERROR"))</f>
        <v>3418</v>
      </c>
      <c r="H21" s="155">
        <f>IF($B21=" ","",IFERROR(INDEX(MMWR_RATING_RO_ROLLUP[],MATCH($B21,MMWR_RATING_RO_ROLLUP[MMWR_RATING_RO_ROLLUP],0),MATCH(H$9,MMWR_RATING_RO_ROLLUP[#Headers],0)),"ERROR"))</f>
        <v>115.1908396947</v>
      </c>
      <c r="I21" s="155">
        <f>IF($B21=" ","",IFERROR(INDEX(MMWR_RATING_RO_ROLLUP[],MATCH($B21,MMWR_RATING_RO_ROLLUP[MMWR_RATING_RO_ROLLUP],0),MATCH(I$9,MMWR_RATING_RO_ROLLUP[#Headers],0)),"ERROR"))</f>
        <v>126.4438267993</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4931</v>
      </c>
      <c r="D22" s="155">
        <f>IF($B22=" ","",IFERROR(INDEX(MMWR_RATING_RO_ROLLUP[],MATCH($B22,MMWR_RATING_RO_ROLLUP[MMWR_RATING_RO_ROLLUP],0),MATCH(D$9,MMWR_RATING_RO_ROLLUP[#Headers],0)),"ERROR"))</f>
        <v>110.4323666599</v>
      </c>
      <c r="E22" s="156">
        <f>IF($B22=" ","",IFERROR(INDEX(MMWR_RATING_RO_ROLLUP[],MATCH($B22,MMWR_RATING_RO_ROLLUP[MMWR_RATING_RO_ROLLUP],0),MATCH(E$9,MMWR_RATING_RO_ROLLUP[#Headers],0))/$C22,"ERROR"))</f>
        <v>0.30054755627661733</v>
      </c>
      <c r="F22" s="154">
        <f>IF($B22=" ","",IFERROR(INDEX(MMWR_RATING_RO_ROLLUP[],MATCH($B22,MMWR_RATING_RO_ROLLUP[MMWR_RATING_RO_ROLLUP],0),MATCH(F$9,MMWR_RATING_RO_ROLLUP[#Headers],0)),"ERROR"))</f>
        <v>620</v>
      </c>
      <c r="G22" s="154">
        <f>IF($B22=" ","",IFERROR(INDEX(MMWR_RATING_RO_ROLLUP[],MATCH($B22,MMWR_RATING_RO_ROLLUP[MMWR_RATING_RO_ROLLUP],0),MATCH(G$9,MMWR_RATING_RO_ROLLUP[#Headers],0)),"ERROR"))</f>
        <v>12412</v>
      </c>
      <c r="H22" s="155">
        <f>IF($B22=" ","",IFERROR(INDEX(MMWR_RATING_RO_ROLLUP[],MATCH($B22,MMWR_RATING_RO_ROLLUP[MMWR_RATING_RO_ROLLUP],0),MATCH(H$9,MMWR_RATING_RO_ROLLUP[#Headers],0)),"ERROR"))</f>
        <v>136.3403225806</v>
      </c>
      <c r="I22" s="155">
        <f>IF($B22=" ","",IFERROR(INDEX(MMWR_RATING_RO_ROLLUP[],MATCH($B22,MMWR_RATING_RO_ROLLUP[MMWR_RATING_RO_ROLLUP],0),MATCH(I$9,MMWR_RATING_RO_ROLLUP[#Headers],0)),"ERROR"))</f>
        <v>137.30518852719999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2920</v>
      </c>
      <c r="D23" s="155">
        <f>IF($B23=" ","",IFERROR(INDEX(MMWR_RATING_RO_ROLLUP[],MATCH($B23,MMWR_RATING_RO_ROLLUP[MMWR_RATING_RO_ROLLUP],0),MATCH(D$9,MMWR_RATING_RO_ROLLUP[#Headers],0)),"ERROR"))</f>
        <v>94.936643835599995</v>
      </c>
      <c r="E23" s="156">
        <f>IF($B23=" ","",IFERROR(INDEX(MMWR_RATING_RO_ROLLUP[],MATCH($B23,MMWR_RATING_RO_ROLLUP[MMWR_RATING_RO_ROLLUP],0),MATCH(E$9,MMWR_RATING_RO_ROLLUP[#Headers],0))/$C23,"ERROR"))</f>
        <v>0.24520547945205479</v>
      </c>
      <c r="F23" s="154">
        <f>IF($B23=" ","",IFERROR(INDEX(MMWR_RATING_RO_ROLLUP[],MATCH($B23,MMWR_RATING_RO_ROLLUP[MMWR_RATING_RO_ROLLUP],0),MATCH(F$9,MMWR_RATING_RO_ROLLUP[#Headers],0)),"ERROR"))</f>
        <v>305</v>
      </c>
      <c r="G23" s="154">
        <f>IF($B23=" ","",IFERROR(INDEX(MMWR_RATING_RO_ROLLUP[],MATCH($B23,MMWR_RATING_RO_ROLLUP[MMWR_RATING_RO_ROLLUP],0),MATCH(G$9,MMWR_RATING_RO_ROLLUP[#Headers],0)),"ERROR"))</f>
        <v>6918</v>
      </c>
      <c r="H23" s="155">
        <f>IF($B23=" ","",IFERROR(INDEX(MMWR_RATING_RO_ROLLUP[],MATCH($B23,MMWR_RATING_RO_ROLLUP[MMWR_RATING_RO_ROLLUP],0),MATCH(H$9,MMWR_RATING_RO_ROLLUP[#Headers],0)),"ERROR"))</f>
        <v>146.2786885246</v>
      </c>
      <c r="I23" s="155">
        <f>IF($B23=" ","",IFERROR(INDEX(MMWR_RATING_RO_ROLLUP[],MATCH($B23,MMWR_RATING_RO_ROLLUP[MMWR_RATING_RO_ROLLUP],0),MATCH(I$9,MMWR_RATING_RO_ROLLUP[#Headers],0)),"ERROR"))</f>
        <v>138.0925122868</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8438</v>
      </c>
      <c r="D24" s="155">
        <f>IF($B24=" ","",IFERROR(INDEX(MMWR_RATING_RO_ROLLUP[],MATCH($B24,MMWR_RATING_RO_ROLLUP[MMWR_RATING_RO_ROLLUP],0),MATCH(D$9,MMWR_RATING_RO_ROLLUP[#Headers],0)),"ERROR"))</f>
        <v>120.5964683574</v>
      </c>
      <c r="E24" s="156">
        <f>IF($B24=" ","",IFERROR(INDEX(MMWR_RATING_RO_ROLLUP[],MATCH($B24,MMWR_RATING_RO_ROLLUP[MMWR_RATING_RO_ROLLUP],0),MATCH(E$9,MMWR_RATING_RO_ROLLUP[#Headers],0))/$C24,"ERROR"))</f>
        <v>0.32104764162123728</v>
      </c>
      <c r="F24" s="154">
        <f>IF($B24=" ","",IFERROR(INDEX(MMWR_RATING_RO_ROLLUP[],MATCH($B24,MMWR_RATING_RO_ROLLUP[MMWR_RATING_RO_ROLLUP],0),MATCH(F$9,MMWR_RATING_RO_ROLLUP[#Headers],0)),"ERROR"))</f>
        <v>853</v>
      </c>
      <c r="G24" s="154">
        <f>IF($B24=" ","",IFERROR(INDEX(MMWR_RATING_RO_ROLLUP[],MATCH($B24,MMWR_RATING_RO_ROLLUP[MMWR_RATING_RO_ROLLUP],0),MATCH(G$9,MMWR_RATING_RO_ROLLUP[#Headers],0)),"ERROR"))</f>
        <v>20031</v>
      </c>
      <c r="H24" s="155">
        <f>IF($B24=" ","",IFERROR(INDEX(MMWR_RATING_RO_ROLLUP[],MATCH($B24,MMWR_RATING_RO_ROLLUP[MMWR_RATING_RO_ROLLUP],0),MATCH(H$9,MMWR_RATING_RO_ROLLUP[#Headers],0)),"ERROR"))</f>
        <v>159.90621336460001</v>
      </c>
      <c r="I24" s="155">
        <f>IF($B24=" ","",IFERROR(INDEX(MMWR_RATING_RO_ROLLUP[],MATCH($B24,MMWR_RATING_RO_ROLLUP[MMWR_RATING_RO_ROLLUP],0),MATCH(I$9,MMWR_RATING_RO_ROLLUP[#Headers],0)),"ERROR"))</f>
        <v>149.1462233538</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4461</v>
      </c>
      <c r="D25" s="155">
        <f>IF($B25=" ","",IFERROR(INDEX(MMWR_RATING_RO_ROLLUP[],MATCH($B25,MMWR_RATING_RO_ROLLUP[MMWR_RATING_RO_ROLLUP],0),MATCH(D$9,MMWR_RATING_RO_ROLLUP[#Headers],0)),"ERROR"))</f>
        <v>114.63371441380001</v>
      </c>
      <c r="E25" s="156">
        <f>IF($B25=" ","",IFERROR(INDEX(MMWR_RATING_RO_ROLLUP[],MATCH($B25,MMWR_RATING_RO_ROLLUP[MMWR_RATING_RO_ROLLUP],0),MATCH(E$9,MMWR_RATING_RO_ROLLUP[#Headers],0))/$C25,"ERROR"))</f>
        <v>0.31293431965926921</v>
      </c>
      <c r="F25" s="154">
        <f>IF($B25=" ","",IFERROR(INDEX(MMWR_RATING_RO_ROLLUP[],MATCH($B25,MMWR_RATING_RO_ROLLUP[MMWR_RATING_RO_ROLLUP],0),MATCH(F$9,MMWR_RATING_RO_ROLLUP[#Headers],0)),"ERROR"))</f>
        <v>606</v>
      </c>
      <c r="G25" s="154">
        <f>IF($B25=" ","",IFERROR(INDEX(MMWR_RATING_RO_ROLLUP[],MATCH($B25,MMWR_RATING_RO_ROLLUP[MMWR_RATING_RO_ROLLUP],0),MATCH(G$9,MMWR_RATING_RO_ROLLUP[#Headers],0)),"ERROR"))</f>
        <v>11519</v>
      </c>
      <c r="H25" s="155">
        <f>IF($B25=" ","",IFERROR(INDEX(MMWR_RATING_RO_ROLLUP[],MATCH($B25,MMWR_RATING_RO_ROLLUP[MMWR_RATING_RO_ROLLUP],0),MATCH(H$9,MMWR_RATING_RO_ROLLUP[#Headers],0)),"ERROR"))</f>
        <v>160.7491749175</v>
      </c>
      <c r="I25" s="155">
        <f>IF($B25=" ","",IFERROR(INDEX(MMWR_RATING_RO_ROLLUP[],MATCH($B25,MMWR_RATING_RO_ROLLUP[MMWR_RATING_RO_ROLLUP],0),MATCH(I$9,MMWR_RATING_RO_ROLLUP[#Headers],0)),"ERROR"))</f>
        <v>157.67931244030001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2951</v>
      </c>
      <c r="D26" s="155">
        <f>IF($B26=" ","",IFERROR(INDEX(MMWR_RATING_RO_ROLLUP[],MATCH($B26,MMWR_RATING_RO_ROLLUP[MMWR_RATING_RO_ROLLUP],0),MATCH(D$9,MMWR_RATING_RO_ROLLUP[#Headers],0)),"ERROR"))</f>
        <v>67.724161301300001</v>
      </c>
      <c r="E26" s="156">
        <f>IF($B26=" ","",IFERROR(INDEX(MMWR_RATING_RO_ROLLUP[],MATCH($B26,MMWR_RATING_RO_ROLLUP[MMWR_RATING_RO_ROLLUP],0),MATCH(E$9,MMWR_RATING_RO_ROLLUP[#Headers],0))/$C26,"ERROR"))</f>
        <v>0.12436462216197899</v>
      </c>
      <c r="F26" s="154">
        <f>IF($B26=" ","",IFERROR(INDEX(MMWR_RATING_RO_ROLLUP[],MATCH($B26,MMWR_RATING_RO_ROLLUP[MMWR_RATING_RO_ROLLUP],0),MATCH(F$9,MMWR_RATING_RO_ROLLUP[#Headers],0)),"ERROR"))</f>
        <v>836</v>
      </c>
      <c r="G26" s="154">
        <f>IF($B26=" ","",IFERROR(INDEX(MMWR_RATING_RO_ROLLUP[],MATCH($B26,MMWR_RATING_RO_ROLLUP[MMWR_RATING_RO_ROLLUP],0),MATCH(G$9,MMWR_RATING_RO_ROLLUP[#Headers],0)),"ERROR"))</f>
        <v>18795</v>
      </c>
      <c r="H26" s="155">
        <f>IF($B26=" ","",IFERROR(INDEX(MMWR_RATING_RO_ROLLUP[],MATCH($B26,MMWR_RATING_RO_ROLLUP[MMWR_RATING_RO_ROLLUP],0),MATCH(H$9,MMWR_RATING_RO_ROLLUP[#Headers],0)),"ERROR"))</f>
        <v>59.866028708100004</v>
      </c>
      <c r="I26" s="155">
        <f>IF($B26=" ","",IFERROR(INDEX(MMWR_RATING_RO_ROLLUP[],MATCH($B26,MMWR_RATING_RO_ROLLUP[MMWR_RATING_RO_ROLLUP],0),MATCH(I$9,MMWR_RATING_RO_ROLLUP[#Headers],0)),"ERROR"))</f>
        <v>56.6487895717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11416</v>
      </c>
      <c r="D27" s="155">
        <f>IF($B27=" ","",IFERROR(INDEX(MMWR_RATING_RO_ROLLUP[],MATCH($B27,MMWR_RATING_RO_ROLLUP[MMWR_RATING_RO_ROLLUP],0),MATCH(D$9,MMWR_RATING_RO_ROLLUP[#Headers],0)),"ERROR"))</f>
        <v>87.220918009800002</v>
      </c>
      <c r="E27" s="156">
        <f>IF($B27=" ","",IFERROR(INDEX(MMWR_RATING_RO_ROLLUP[],MATCH($B27,MMWR_RATING_RO_ROLLUP[MMWR_RATING_RO_ROLLUP],0),MATCH(E$9,MMWR_RATING_RO_ROLLUP[#Headers],0))/$C27,"ERROR"))</f>
        <v>0.1921864050455501</v>
      </c>
      <c r="F27" s="154">
        <f>IF($B27=" ","",IFERROR(INDEX(MMWR_RATING_RO_ROLLUP[],MATCH($B27,MMWR_RATING_RO_ROLLUP[MMWR_RATING_RO_ROLLUP],0),MATCH(F$9,MMWR_RATING_RO_ROLLUP[#Headers],0)),"ERROR"))</f>
        <v>1335</v>
      </c>
      <c r="G27" s="154">
        <f>IF($B27=" ","",IFERROR(INDEX(MMWR_RATING_RO_ROLLUP[],MATCH($B27,MMWR_RATING_RO_ROLLUP[MMWR_RATING_RO_ROLLUP],0),MATCH(G$9,MMWR_RATING_RO_ROLLUP[#Headers],0)),"ERROR"))</f>
        <v>30129</v>
      </c>
      <c r="H27" s="155">
        <f>IF($B27=" ","",IFERROR(INDEX(MMWR_RATING_RO_ROLLUP[],MATCH($B27,MMWR_RATING_RO_ROLLUP[MMWR_RATING_RO_ROLLUP],0),MATCH(H$9,MMWR_RATING_RO_ROLLUP[#Headers],0)),"ERROR"))</f>
        <v>142.18352059930001</v>
      </c>
      <c r="I27" s="155">
        <f>IF($B27=" ","",IFERROR(INDEX(MMWR_RATING_RO_ROLLUP[],MATCH($B27,MMWR_RATING_RO_ROLLUP[MMWR_RATING_RO_ROLLUP],0),MATCH(I$9,MMWR_RATING_RO_ROLLUP[#Headers],0)),"ERROR"))</f>
        <v>135.9621627004</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1519</v>
      </c>
      <c r="D28" s="155">
        <f>IF($B28=" ","",IFERROR(INDEX(MMWR_RATING_RO_ROLLUP[],MATCH($B28,MMWR_RATING_RO_ROLLUP[MMWR_RATING_RO_ROLLUP],0),MATCH(D$9,MMWR_RATING_RO_ROLLUP[#Headers],0)),"ERROR"))</f>
        <v>72.5727452271</v>
      </c>
      <c r="E28" s="156">
        <f>IF($B28=" ","",IFERROR(INDEX(MMWR_RATING_RO_ROLLUP[],MATCH($B28,MMWR_RATING_RO_ROLLUP[MMWR_RATING_RO_ROLLUP],0),MATCH(E$9,MMWR_RATING_RO_ROLLUP[#Headers],0))/$C28,"ERROR"))</f>
        <v>0.11454904542462147</v>
      </c>
      <c r="F28" s="154">
        <f>IF($B28=" ","",IFERROR(INDEX(MMWR_RATING_RO_ROLLUP[],MATCH($B28,MMWR_RATING_RO_ROLLUP[MMWR_RATING_RO_ROLLUP],0),MATCH(F$9,MMWR_RATING_RO_ROLLUP[#Headers],0)),"ERROR"))</f>
        <v>205</v>
      </c>
      <c r="G28" s="154">
        <f>IF($B28=" ","",IFERROR(INDEX(MMWR_RATING_RO_ROLLUP[],MATCH($B28,MMWR_RATING_RO_ROLLUP[MMWR_RATING_RO_ROLLUP],0),MATCH(G$9,MMWR_RATING_RO_ROLLUP[#Headers],0)),"ERROR"))</f>
        <v>4483</v>
      </c>
      <c r="H28" s="155">
        <f>IF($B28=" ","",IFERROR(INDEX(MMWR_RATING_RO_ROLLUP[],MATCH($B28,MMWR_RATING_RO_ROLLUP[MMWR_RATING_RO_ROLLUP],0),MATCH(H$9,MMWR_RATING_RO_ROLLUP[#Headers],0)),"ERROR"))</f>
        <v>105</v>
      </c>
      <c r="I28" s="155">
        <f>IF($B28=" ","",IFERROR(INDEX(MMWR_RATING_RO_ROLLUP[],MATCH($B28,MMWR_RATING_RO_ROLLUP[MMWR_RATING_RO_ROLLUP],0),MATCH(I$9,MMWR_RATING_RO_ROLLUP[#Headers],0)),"ERROR"))</f>
        <v>103.88891367390001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529</v>
      </c>
      <c r="D29" s="155">
        <f>IF($B29=" ","",IFERROR(INDEX(MMWR_RATING_RO_ROLLUP[],MATCH($B29,MMWR_RATING_RO_ROLLUP[MMWR_RATING_RO_ROLLUP],0),MATCH(D$9,MMWR_RATING_RO_ROLLUP[#Headers],0)),"ERROR"))</f>
        <v>92.731568998100002</v>
      </c>
      <c r="E29" s="156">
        <f>IF($B29=" ","",IFERROR(INDEX(MMWR_RATING_RO_ROLLUP[],MATCH($B29,MMWR_RATING_RO_ROLLUP[MMWR_RATING_RO_ROLLUP],0),MATCH(E$9,MMWR_RATING_RO_ROLLUP[#Headers],0))/$C29,"ERROR"))</f>
        <v>0.23251417769376181</v>
      </c>
      <c r="F29" s="154">
        <f>IF($B29=" ","",IFERROR(INDEX(MMWR_RATING_RO_ROLLUP[],MATCH($B29,MMWR_RATING_RO_ROLLUP[MMWR_RATING_RO_ROLLUP],0),MATCH(F$9,MMWR_RATING_RO_ROLLUP[#Headers],0)),"ERROR"))</f>
        <v>52</v>
      </c>
      <c r="G29" s="154">
        <f>IF($B29=" ","",IFERROR(INDEX(MMWR_RATING_RO_ROLLUP[],MATCH($B29,MMWR_RATING_RO_ROLLUP[MMWR_RATING_RO_ROLLUP],0),MATCH(G$9,MMWR_RATING_RO_ROLLUP[#Headers],0)),"ERROR"))</f>
        <v>1327</v>
      </c>
      <c r="H29" s="155">
        <f>IF($B29=" ","",IFERROR(INDEX(MMWR_RATING_RO_ROLLUP[],MATCH($B29,MMWR_RATING_RO_ROLLUP[MMWR_RATING_RO_ROLLUP],0),MATCH(H$9,MMWR_RATING_RO_ROLLUP[#Headers],0)),"ERROR"))</f>
        <v>158.51923076919999</v>
      </c>
      <c r="I29" s="155">
        <f>IF($B29=" ","",IFERROR(INDEX(MMWR_RATING_RO_ROLLUP[],MATCH($B29,MMWR_RATING_RO_ROLLUP[MMWR_RATING_RO_ROLLUP],0),MATCH(I$9,MMWR_RATING_RO_ROLLUP[#Headers],0)),"ERROR"))</f>
        <v>138.67596081389999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856</v>
      </c>
      <c r="D30" s="155">
        <f>IF($B30=" ","",IFERROR(INDEX(MMWR_RATING_RO_ROLLUP[],MATCH($B30,MMWR_RATING_RO_ROLLUP[MMWR_RATING_RO_ROLLUP],0),MATCH(D$9,MMWR_RATING_RO_ROLLUP[#Headers],0)),"ERROR"))</f>
        <v>86.457943925199999</v>
      </c>
      <c r="E30" s="156">
        <f>IF($B30=" ","",IFERROR(INDEX(MMWR_RATING_RO_ROLLUP[],MATCH($B30,MMWR_RATING_RO_ROLLUP[MMWR_RATING_RO_ROLLUP],0),MATCH(E$9,MMWR_RATING_RO_ROLLUP[#Headers],0))/$C30,"ERROR"))</f>
        <v>0.21144859813084113</v>
      </c>
      <c r="F30" s="154">
        <f>IF($B30=" ","",IFERROR(INDEX(MMWR_RATING_RO_ROLLUP[],MATCH($B30,MMWR_RATING_RO_ROLLUP[MMWR_RATING_RO_ROLLUP],0),MATCH(F$9,MMWR_RATING_RO_ROLLUP[#Headers],0)),"ERROR"))</f>
        <v>95</v>
      </c>
      <c r="G30" s="154">
        <f>IF($B30=" ","",IFERROR(INDEX(MMWR_RATING_RO_ROLLUP[],MATCH($B30,MMWR_RATING_RO_ROLLUP[MMWR_RATING_RO_ROLLUP],0),MATCH(G$9,MMWR_RATING_RO_ROLLUP[#Headers],0)),"ERROR"))</f>
        <v>2140</v>
      </c>
      <c r="H30" s="155">
        <f>IF($B30=" ","",IFERROR(INDEX(MMWR_RATING_RO_ROLLUP[],MATCH($B30,MMWR_RATING_RO_ROLLUP[MMWR_RATING_RO_ROLLUP],0),MATCH(H$9,MMWR_RATING_RO_ROLLUP[#Headers],0)),"ERROR"))</f>
        <v>133.5052631579</v>
      </c>
      <c r="I30" s="155">
        <f>IF($B30=" ","",IFERROR(INDEX(MMWR_RATING_RO_ROLLUP[],MATCH($B30,MMWR_RATING_RO_ROLLUP[MMWR_RATING_RO_ROLLUP],0),MATCH(I$9,MMWR_RATING_RO_ROLLUP[#Headers],0)),"ERROR"))</f>
        <v>140.2247663551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18116</v>
      </c>
      <c r="D31" s="155">
        <f>IF($B31=" ","",IFERROR(INDEX(MMWR_RATING_RO_ROLLUP[],MATCH($B31,MMWR_RATING_RO_ROLLUP[MMWR_RATING_RO_ROLLUP],0),MATCH(D$9,MMWR_RATING_RO_ROLLUP[#Headers],0)),"ERROR"))</f>
        <v>90.741830426099995</v>
      </c>
      <c r="E31" s="156">
        <f>IF($B31=" ","",IFERROR(INDEX(MMWR_RATING_RO_ROLLUP[],MATCH($B31,MMWR_RATING_RO_ROLLUP[MMWR_RATING_RO_ROLLUP],0),MATCH(E$9,MMWR_RATING_RO_ROLLUP[#Headers],0))/$C31,"ERROR"))</f>
        <v>0.22400088319717376</v>
      </c>
      <c r="F31" s="154">
        <f>IF($B31=" ","",IFERROR(INDEX(MMWR_RATING_RO_ROLLUP[],MATCH($B31,MMWR_RATING_RO_ROLLUP[MMWR_RATING_RO_ROLLUP],0),MATCH(F$9,MMWR_RATING_RO_ROLLUP[#Headers],0)),"ERROR"))</f>
        <v>1926</v>
      </c>
      <c r="G31" s="154">
        <f>IF($B31=" ","",IFERROR(INDEX(MMWR_RATING_RO_ROLLUP[],MATCH($B31,MMWR_RATING_RO_ROLLUP[MMWR_RATING_RO_ROLLUP],0),MATCH(G$9,MMWR_RATING_RO_ROLLUP[#Headers],0)),"ERROR"))</f>
        <v>43785</v>
      </c>
      <c r="H31" s="155">
        <f>IF($B31=" ","",IFERROR(INDEX(MMWR_RATING_RO_ROLLUP[],MATCH($B31,MMWR_RATING_RO_ROLLUP[MMWR_RATING_RO_ROLLUP],0),MATCH(H$9,MMWR_RATING_RO_ROLLUP[#Headers],0)),"ERROR"))</f>
        <v>135.3971962617</v>
      </c>
      <c r="I31" s="155">
        <f>IF($B31=" ","",IFERROR(INDEX(MMWR_RATING_RO_ROLLUP[],MATCH($B31,MMWR_RATING_RO_ROLLUP[MMWR_RATING_RO_ROLLUP],0),MATCH(I$9,MMWR_RATING_RO_ROLLUP[#Headers],0)),"ERROR"))</f>
        <v>142.91028891170001</v>
      </c>
      <c r="J31" s="42"/>
      <c r="K31" s="42"/>
      <c r="L31" s="42"/>
      <c r="M31" s="42"/>
      <c r="N31" s="28"/>
    </row>
    <row r="32" spans="1:14" x14ac:dyDescent="0.2">
      <c r="A32" s="25"/>
      <c r="B32" s="342" t="s">
        <v>732</v>
      </c>
      <c r="C32" s="343"/>
      <c r="D32" s="343"/>
      <c r="E32" s="343"/>
      <c r="F32" s="343"/>
      <c r="G32" s="343"/>
      <c r="H32" s="343"/>
      <c r="I32" s="343"/>
      <c r="J32" s="343"/>
      <c r="K32" s="343"/>
      <c r="L32" s="343"/>
      <c r="M32" s="393"/>
      <c r="N32" s="28"/>
    </row>
    <row r="33" spans="1:14" x14ac:dyDescent="0.2">
      <c r="A33" s="25"/>
      <c r="B33" s="11" t="s">
        <v>695</v>
      </c>
      <c r="C33" s="154">
        <f>IF($B33=" ","",IFERROR(INDEX(MMWR_RATING_RO_ROLLUP[],MATCH($B33,MMWR_RATING_RO_ROLLUP[MMWR_RATING_RO_ROLLUP],0),MATCH(C$9,MMWR_RATING_RO_ROLLUP[#Headers],0)),"ERROR"))</f>
        <v>25850</v>
      </c>
      <c r="D33" s="155">
        <f>IF($B33=" ","",IFERROR(INDEX(MMWR_RATING_RO_ROLLUP[],MATCH($B33,MMWR_RATING_RO_ROLLUP[MMWR_RATING_RO_ROLLUP],0),MATCH(D$9,MMWR_RATING_RO_ROLLUP[#Headers],0)),"ERROR"))</f>
        <v>67.776131527999993</v>
      </c>
      <c r="E33" s="156">
        <f>IF($B33=" ","",IFERROR(INDEX(MMWR_RATING_RO_ROLLUP[],MATCH($B33,MMWR_RATING_RO_ROLLUP[MMWR_RATING_RO_ROLLUP],0),MATCH(E$9,MMWR_RATING_RO_ROLLUP[#Headers],0))/$C33,"ERROR"))</f>
        <v>0.12108317214700193</v>
      </c>
      <c r="F33" s="154">
        <f>IF($B33=" ","",IFERROR(INDEX(MMWR_RATING_RO_ROLLUP[],MATCH($B33,MMWR_RATING_RO_ROLLUP[MMWR_RATING_RO_ROLLUP],0),MATCH(F$9,MMWR_RATING_RO_ROLLUP[#Headers],0)),"ERROR"))</f>
        <v>7106</v>
      </c>
      <c r="G33" s="154">
        <f>IF($B33=" ","",IFERROR(INDEX(MMWR_RATING_RO_ROLLUP[],MATCH($B33,MMWR_RATING_RO_ROLLUP[MMWR_RATING_RO_ROLLUP],0),MATCH(G$9,MMWR_RATING_RO_ROLLUP[#Headers],0)),"ERROR"))</f>
        <v>129389</v>
      </c>
      <c r="H33" s="155">
        <f>IF($B33=" ","",IFERROR(INDEX(MMWR_RATING_RO_ROLLUP[],MATCH($B33,MMWR_RATING_RO_ROLLUP[MMWR_RATING_RO_ROLLUP],0),MATCH(H$9,MMWR_RATING_RO_ROLLUP[#Headers],0)),"ERROR"))</f>
        <v>82.588376020300004</v>
      </c>
      <c r="I33" s="155">
        <f>IF($B33=" ","",IFERROR(INDEX(MMWR_RATING_RO_ROLLUP[],MATCH($B33,MMWR_RATING_RO_ROLLUP[MMWR_RATING_RO_ROLLUP],0),MATCH(I$9,MMWR_RATING_RO_ROLLUP[#Headers],0)),"ERROR"))</f>
        <v>79.296501248200002</v>
      </c>
      <c r="J33" s="42"/>
      <c r="K33" s="42"/>
      <c r="L33" s="42"/>
      <c r="M33" s="42"/>
      <c r="N33" s="28"/>
    </row>
    <row r="34" spans="1:14" x14ac:dyDescent="0.2">
      <c r="A34" s="25"/>
      <c r="B34" s="12" t="s">
        <v>210</v>
      </c>
      <c r="C34" s="154">
        <f>IF($B34=" ","",IFERROR(INDEX(MMWR_RATING_RO_ROLLUP[],MATCH($B34,MMWR_RATING_RO_ROLLUP[MMWR_RATING_RO_ROLLUP],0),MATCH(C$9,MMWR_RATING_RO_ROLLUP[#Headers],0)),"ERROR"))</f>
        <v>11818</v>
      </c>
      <c r="D34" s="155">
        <f>IF($B34=" ","",IFERROR(INDEX(MMWR_RATING_RO_ROLLUP[],MATCH($B34,MMWR_RATING_RO_ROLLUP[MMWR_RATING_RO_ROLLUP],0),MATCH(D$9,MMWR_RATING_RO_ROLLUP[#Headers],0)),"ERROR"))</f>
        <v>63.979607378600001</v>
      </c>
      <c r="E34" s="156">
        <f>IF($B34=" ","",IFERROR(INDEX(MMWR_RATING_RO_ROLLUP[],MATCH($B34,MMWR_RATING_RO_ROLLUP[MMWR_RATING_RO_ROLLUP],0),MATCH(E$9,MMWR_RATING_RO_ROLLUP[#Headers],0))/$C34,"ERROR"))</f>
        <v>0.11804027754273143</v>
      </c>
      <c r="F34" s="154">
        <f>IF($B34=" ","",IFERROR(INDEX(MMWR_RATING_RO_ROLLUP[],MATCH($B34,MMWR_RATING_RO_ROLLUP[MMWR_RATING_RO_ROLLUP],0),MATCH(F$9,MMWR_RATING_RO_ROLLUP[#Headers],0)),"ERROR"))</f>
        <v>2792</v>
      </c>
      <c r="G34" s="154">
        <f>IF($B34=" ","",IFERROR(INDEX(MMWR_RATING_RO_ROLLUP[],MATCH($B34,MMWR_RATING_RO_ROLLUP[MMWR_RATING_RO_ROLLUP],0),MATCH(G$9,MMWR_RATING_RO_ROLLUP[#Headers],0)),"ERROR"))</f>
        <v>43397</v>
      </c>
      <c r="H34" s="155">
        <f>IF($B34=" ","",IFERROR(INDEX(MMWR_RATING_RO_ROLLUP[],MATCH($B34,MMWR_RATING_RO_ROLLUP[MMWR_RATING_RO_ROLLUP],0),MATCH(H$9,MMWR_RATING_RO_ROLLUP[#Headers],0)),"ERROR"))</f>
        <v>103.6583094556</v>
      </c>
      <c r="I34" s="155">
        <f>IF($B34=" ","",IFERROR(INDEX(MMWR_RATING_RO_ROLLUP[],MATCH($B34,MMWR_RATING_RO_ROLLUP[MMWR_RATING_RO_ROLLUP],0),MATCH(I$9,MMWR_RATING_RO_ROLLUP[#Headers],0)),"ERROR"))</f>
        <v>99.461921330999999</v>
      </c>
      <c r="J34" s="42"/>
      <c r="K34" s="42"/>
      <c r="L34" s="42"/>
      <c r="M34" s="42"/>
      <c r="N34" s="28"/>
    </row>
    <row r="35" spans="1:14" x14ac:dyDescent="0.2">
      <c r="A35" s="43"/>
      <c r="B35" s="12" t="s">
        <v>209</v>
      </c>
      <c r="C35" s="154">
        <f>IF($B35=" ","",IFERROR(INDEX(MMWR_RATING_RO_ROLLUP[],MATCH($B35,MMWR_RATING_RO_ROLLUP[MMWR_RATING_RO_ROLLUP],0),MATCH(C$9,MMWR_RATING_RO_ROLLUP[#Headers],0)),"ERROR"))</f>
        <v>5502</v>
      </c>
      <c r="D35" s="155">
        <f>IF($B35=" ","",IFERROR(INDEX(MMWR_RATING_RO_ROLLUP[],MATCH($B35,MMWR_RATING_RO_ROLLUP[MMWR_RATING_RO_ROLLUP],0),MATCH(D$9,MMWR_RATING_RO_ROLLUP[#Headers],0)),"ERROR"))</f>
        <v>70.1728462377</v>
      </c>
      <c r="E35" s="156">
        <f>IF($B35=" ","",IFERROR(INDEX(MMWR_RATING_RO_ROLLUP[],MATCH($B35,MMWR_RATING_RO_ROLLUP[MMWR_RATING_RO_ROLLUP],0),MATCH(E$9,MMWR_RATING_RO_ROLLUP[#Headers],0))/$C35,"ERROR"))</f>
        <v>0.13922210105416213</v>
      </c>
      <c r="F35" s="154">
        <f>IF($B35=" ","",IFERROR(INDEX(MMWR_RATING_RO_ROLLUP[],MATCH($B35,MMWR_RATING_RO_ROLLUP[MMWR_RATING_RO_ROLLUP],0),MATCH(F$9,MMWR_RATING_RO_ROLLUP[#Headers],0)),"ERROR"))</f>
        <v>1743</v>
      </c>
      <c r="G35" s="154">
        <f>IF($B35=" ","",IFERROR(INDEX(MMWR_RATING_RO_ROLLUP[],MATCH($B35,MMWR_RATING_RO_ROLLUP[MMWR_RATING_RO_ROLLUP],0),MATCH(G$9,MMWR_RATING_RO_ROLLUP[#Headers],0)),"ERROR"))</f>
        <v>35905</v>
      </c>
      <c r="H35" s="155">
        <f>IF($B35=" ","",IFERROR(INDEX(MMWR_RATING_RO_ROLLUP[],MATCH($B35,MMWR_RATING_RO_ROLLUP[MMWR_RATING_RO_ROLLUP],0),MATCH(H$9,MMWR_RATING_RO_ROLLUP[#Headers],0)),"ERROR"))</f>
        <v>64.687894434900002</v>
      </c>
      <c r="I35" s="155">
        <f>IF($B35=" ","",IFERROR(INDEX(MMWR_RATING_RO_ROLLUP[],MATCH($B35,MMWR_RATING_RO_ROLLUP[MMWR_RATING_RO_ROLLUP],0),MATCH(I$9,MMWR_RATING_RO_ROLLUP[#Headers],0)),"ERROR"))</f>
        <v>70.544297451600002</v>
      </c>
      <c r="J35" s="42"/>
      <c r="K35" s="42"/>
      <c r="L35" s="42"/>
      <c r="M35" s="42"/>
      <c r="N35" s="28"/>
    </row>
    <row r="36" spans="1:14" x14ac:dyDescent="0.2">
      <c r="A36" s="25"/>
      <c r="B36" s="12" t="s">
        <v>212</v>
      </c>
      <c r="C36" s="154">
        <f>IF($B36=" ","",IFERROR(INDEX(MMWR_RATING_RO_ROLLUP[],MATCH($B36,MMWR_RATING_RO_ROLLUP[MMWR_RATING_RO_ROLLUP],0),MATCH(C$9,MMWR_RATING_RO_ROLLUP[#Headers],0)),"ERROR"))</f>
        <v>7705</v>
      </c>
      <c r="D36" s="155">
        <f>IF($B36=" ","",IFERROR(INDEX(MMWR_RATING_RO_ROLLUP[],MATCH($B36,MMWR_RATING_RO_ROLLUP[MMWR_RATING_RO_ROLLUP],0),MATCH(D$9,MMWR_RATING_RO_ROLLUP[#Headers],0)),"ERROR"))</f>
        <v>59.694484101199997</v>
      </c>
      <c r="E36" s="156">
        <f>IF($B36=" ","",IFERROR(INDEX(MMWR_RATING_RO_ROLLUP[],MATCH($B36,MMWR_RATING_RO_ROLLUP[MMWR_RATING_RO_ROLLUP],0),MATCH(E$9,MMWR_RATING_RO_ROLLUP[#Headers],0))/$C36,"ERROR"))</f>
        <v>7.4756651524983772E-2</v>
      </c>
      <c r="F36" s="154">
        <f>IF($B36=" ","",IFERROR(INDEX(MMWR_RATING_RO_ROLLUP[],MATCH($B36,MMWR_RATING_RO_ROLLUP[MMWR_RATING_RO_ROLLUP],0),MATCH(F$9,MMWR_RATING_RO_ROLLUP[#Headers],0)),"ERROR"))</f>
        <v>2307</v>
      </c>
      <c r="G36" s="154">
        <f>IF($B36=" ","",IFERROR(INDEX(MMWR_RATING_RO_ROLLUP[],MATCH($B36,MMWR_RATING_RO_ROLLUP[MMWR_RATING_RO_ROLLUP],0),MATCH(G$9,MMWR_RATING_RO_ROLLUP[#Headers],0)),"ERROR"))</f>
        <v>45344</v>
      </c>
      <c r="H36" s="155">
        <f>IF($B36=" ","",IFERROR(INDEX(MMWR_RATING_RO_ROLLUP[],MATCH($B36,MMWR_RATING_RO_ROLLUP[MMWR_RATING_RO_ROLLUP],0),MATCH(H$9,MMWR_RATING_RO_ROLLUP[#Headers],0)),"ERROR"))</f>
        <v>70.7152145644</v>
      </c>
      <c r="I36" s="155">
        <f>IF($B36=" ","",IFERROR(INDEX(MMWR_RATING_RO_ROLLUP[],MATCH($B36,MMWR_RATING_RO_ROLLUP[MMWR_RATING_RO_ROLLUP],0),MATCH(I$9,MMWR_RATING_RO_ROLLUP[#Headers],0)),"ERROR"))</f>
        <v>68.450048518000003</v>
      </c>
      <c r="J36" s="42"/>
      <c r="K36" s="42"/>
      <c r="L36" s="42"/>
      <c r="M36" s="42"/>
      <c r="N36" s="28"/>
    </row>
    <row r="37" spans="1:14" x14ac:dyDescent="0.2">
      <c r="A37" s="25"/>
      <c r="B37" s="13" t="s">
        <v>224</v>
      </c>
      <c r="C37" s="154">
        <f>IF($B37=" ","",IFERROR(INDEX(MMWR_RATING_RO_ROLLUP[],MATCH($B37,MMWR_RATING_RO_ROLLUP[MMWR_RATING_RO_ROLLUP],0),MATCH(C$9,MMWR_RATING_RO_ROLLUP[#Headers],0)),"ERROR"))</f>
        <v>825</v>
      </c>
      <c r="D37" s="155">
        <f>IF($B37=" ","",IFERROR(INDEX(MMWR_RATING_RO_ROLLUP[],MATCH($B37,MMWR_RATING_RO_ROLLUP[MMWR_RATING_RO_ROLLUP],0),MATCH(D$9,MMWR_RATING_RO_ROLLUP[#Headers],0)),"ERROR"))</f>
        <v>181.65454545450001</v>
      </c>
      <c r="E37" s="156">
        <f>IF($B37=" ","",IFERROR(INDEX(MMWR_RATING_RO_ROLLUP[],MATCH($B37,MMWR_RATING_RO_ROLLUP[MMWR_RATING_RO_ROLLUP],0),MATCH(E$9,MMWR_RATING_RO_ROLLUP[#Headers],0))/$C37,"ERROR"))</f>
        <v>0.47636363636363638</v>
      </c>
      <c r="F37" s="154">
        <f>IF($B37=" ","",IFERROR(INDEX(MMWR_RATING_RO_ROLLUP[],MATCH($B37,MMWR_RATING_RO_ROLLUP[MMWR_RATING_RO_ROLLUP],0),MATCH(F$9,MMWR_RATING_RO_ROLLUP[#Headers],0)),"ERROR"))</f>
        <v>264</v>
      </c>
      <c r="G37" s="154">
        <f>IF($B37=" ","",IFERROR(INDEX(MMWR_RATING_RO_ROLLUP[],MATCH($B37,MMWR_RATING_RO_ROLLUP[MMWR_RATING_RO_ROLLUP],0),MATCH(G$9,MMWR_RATING_RO_ROLLUP[#Headers],0)),"ERROR"))</f>
        <v>4743</v>
      </c>
      <c r="H37" s="155">
        <f>IF($B37=" ","",IFERROR(INDEX(MMWR_RATING_RO_ROLLUP[],MATCH($B37,MMWR_RATING_RO_ROLLUP[MMWR_RATING_RO_ROLLUP],0),MATCH(H$9,MMWR_RATING_RO_ROLLUP[#Headers],0)),"ERROR"))</f>
        <v>81.696969697</v>
      </c>
      <c r="I37" s="155">
        <f>IF($B37=" ","",IFERROR(INDEX(MMWR_RATING_RO_ROLLUP[],MATCH($B37,MMWR_RATING_RO_ROLLUP[MMWR_RATING_RO_ROLLUP],0),MATCH(I$9,MMWR_RATING_RO_ROLLUP[#Headers],0)),"ERROR"))</f>
        <v>64.738351254500003</v>
      </c>
      <c r="J37" s="42"/>
      <c r="K37" s="42"/>
      <c r="L37" s="42"/>
      <c r="M37" s="42"/>
      <c r="N37" s="28"/>
    </row>
    <row r="38" spans="1:14" x14ac:dyDescent="0.2">
      <c r="A38" s="25"/>
      <c r="B38" s="342" t="s">
        <v>915</v>
      </c>
      <c r="C38" s="343"/>
      <c r="D38" s="343"/>
      <c r="E38" s="343"/>
      <c r="F38" s="343"/>
      <c r="G38" s="343"/>
      <c r="H38" s="343"/>
      <c r="I38" s="343"/>
      <c r="J38" s="343"/>
      <c r="K38" s="343"/>
      <c r="L38" s="343"/>
      <c r="M38" s="393"/>
      <c r="N38" s="28"/>
    </row>
    <row r="39" spans="1:14" x14ac:dyDescent="0.2">
      <c r="A39" s="25"/>
      <c r="B39" s="44" t="s">
        <v>696</v>
      </c>
      <c r="C39" s="154">
        <f>IF($B39=" ","",IFERROR(INDEX(MMWR_RATING_RO_ROLLUP[],MATCH($B39,MMWR_RATING_RO_ROLLUP[MMWR_RATING_RO_ROLLUP],0),MATCH(C$9,MMWR_RATING_RO_ROLLUP[#Headers],0)),"ERROR"))</f>
        <v>8007</v>
      </c>
      <c r="D39" s="155">
        <f>IF($B39=" ","",IFERROR(INDEX(MMWR_RATING_RO_ROLLUP[],MATCH($B39,MMWR_RATING_RO_ROLLUP[MMWR_RATING_RO_ROLLUP],0),MATCH(D$9,MMWR_RATING_RO_ROLLUP[#Headers],0)),"ERROR"))</f>
        <v>65.718371425000001</v>
      </c>
      <c r="E39" s="156">
        <f>IF($B39=" ","",IFERROR(INDEX(MMWR_RATING_RO_ROLLUP[],MATCH($B39,MMWR_RATING_RO_ROLLUP[MMWR_RATING_RO_ROLLUP],0),MATCH(E$9,MMWR_RATING_RO_ROLLUP[#Headers],0))/$C39,"ERROR"))</f>
        <v>0.11589858873485701</v>
      </c>
      <c r="F39" s="154">
        <f>IF($B39=" ","",IFERROR(INDEX(MMWR_RATING_RO_ROLLUP[],MATCH($B39,MMWR_RATING_RO_ROLLUP[MMWR_RATING_RO_ROLLUP],0),MATCH(F$9,MMWR_RATING_RO_ROLLUP[#Headers],0)),"ERROR"))</f>
        <v>857</v>
      </c>
      <c r="G39" s="154">
        <f>IF($B39=" ","",IFERROR(INDEX(MMWR_RATING_RO_ROLLUP[],MATCH($B39,MMWR_RATING_RO_ROLLUP[MMWR_RATING_RO_ROLLUP],0),MATCH(G$9,MMWR_RATING_RO_ROLLUP[#Headers],0)),"ERROR"))</f>
        <v>22212</v>
      </c>
      <c r="H39" s="155">
        <f>IF($B39=" ","",IFERROR(INDEX(MMWR_RATING_RO_ROLLUP[],MATCH($B39,MMWR_RATING_RO_ROLLUP[MMWR_RATING_RO_ROLLUP],0),MATCH(H$9,MMWR_RATING_RO_ROLLUP[#Headers],0)),"ERROR"))</f>
        <v>110.6709451575</v>
      </c>
      <c r="I39" s="155">
        <f>IF($B39=" ","",IFERROR(INDEX(MMWR_RATING_RO_ROLLUP[],MATCH($B39,MMWR_RATING_RO_ROLLUP[MMWR_RATING_RO_ROLLUP],0),MATCH(I$9,MMWR_RATING_RO_ROLLUP[#Headers],0)),"ERROR"))</f>
        <v>136.8616063389</v>
      </c>
      <c r="J39" s="42"/>
      <c r="K39" s="42"/>
      <c r="L39" s="42"/>
      <c r="M39" s="42"/>
      <c r="N39" s="28"/>
    </row>
    <row r="40" spans="1:14" x14ac:dyDescent="0.2">
      <c r="A40" s="25"/>
      <c r="B40" s="53" t="s">
        <v>955</v>
      </c>
      <c r="C40" s="154">
        <f>IF($B40=" ","",IFERROR(INDEX(MMWR_RATING_RO_ROLLUP[],MATCH($B40,MMWR_RATING_RO_ROLLUP[MMWR_RATING_RO_ROLLUP],0),MATCH(C$9,MMWR_RATING_RO_ROLLUP[#Headers],0)),"ERROR"))</f>
        <v>1436</v>
      </c>
      <c r="D40" s="155">
        <f>IF($B40=" ","",IFERROR(INDEX(MMWR_RATING_RO_ROLLUP[],MATCH($B40,MMWR_RATING_RO_ROLLUP[MMWR_RATING_RO_ROLLUP],0),MATCH(D$9,MMWR_RATING_RO_ROLLUP[#Headers],0)),"ERROR"))</f>
        <v>58.0891364903</v>
      </c>
      <c r="E40" s="156">
        <f>IF($B40=" ","",IFERROR(INDEX(MMWR_RATING_RO_ROLLUP[],MATCH($B40,MMWR_RATING_RO_ROLLUP[MMWR_RATING_RO_ROLLUP],0),MATCH(E$9,MMWR_RATING_RO_ROLLUP[#Headers],0))/$C40,"ERROR"))</f>
        <v>8.495821727019498E-2</v>
      </c>
      <c r="F40" s="154">
        <f>IF($B40=" ","",IFERROR(INDEX(MMWR_RATING_RO_ROLLUP[],MATCH($B40,MMWR_RATING_RO_ROLLUP[MMWR_RATING_RO_ROLLUP],0),MATCH(F$9,MMWR_RATING_RO_ROLLUP[#Headers],0)),"ERROR"))</f>
        <v>139</v>
      </c>
      <c r="G40" s="154">
        <f>IF($B40=" ","",IFERROR(INDEX(MMWR_RATING_RO_ROLLUP[],MATCH($B40,MMWR_RATING_RO_ROLLUP[MMWR_RATING_RO_ROLLUP],0),MATCH(G$9,MMWR_RATING_RO_ROLLUP[#Headers],0)),"ERROR"))</f>
        <v>4058</v>
      </c>
      <c r="H40" s="155">
        <f>IF($B40=" ","",IFERROR(INDEX(MMWR_RATING_RO_ROLLUP[],MATCH($B40,MMWR_RATING_RO_ROLLUP[MMWR_RATING_RO_ROLLUP],0),MATCH(H$9,MMWR_RATING_RO_ROLLUP[#Headers],0)),"ERROR"))</f>
        <v>103.3741007194</v>
      </c>
      <c r="I40" s="155">
        <f>IF($B40=" ","",IFERROR(INDEX(MMWR_RATING_RO_ROLLUP[],MATCH($B40,MMWR_RATING_RO_ROLLUP[MMWR_RATING_RO_ROLLUP],0),MATCH(I$9,MMWR_RATING_RO_ROLLUP[#Headers],0)),"ERROR"))</f>
        <v>123.15401675699999</v>
      </c>
      <c r="J40" s="42"/>
      <c r="K40" s="42"/>
      <c r="L40" s="42"/>
      <c r="M40" s="42"/>
      <c r="N40" s="28"/>
    </row>
    <row r="41" spans="1:14" x14ac:dyDescent="0.2">
      <c r="A41" s="25"/>
      <c r="B41" s="53" t="s">
        <v>956</v>
      </c>
      <c r="C41" s="154">
        <f>IF($B41=" ","",IFERROR(INDEX(MMWR_RATING_RO_ROLLUP[],MATCH($B41,MMWR_RATING_RO_ROLLUP[MMWR_RATING_RO_ROLLUP],0),MATCH(C$9,MMWR_RATING_RO_ROLLUP[#Headers],0)),"ERROR"))</f>
        <v>1178</v>
      </c>
      <c r="D41" s="155">
        <f>IF($B41=" ","",IFERROR(INDEX(MMWR_RATING_RO_ROLLUP[],MATCH($B41,MMWR_RATING_RO_ROLLUP[MMWR_RATING_RO_ROLLUP],0),MATCH(D$9,MMWR_RATING_RO_ROLLUP[#Headers],0)),"ERROR"))</f>
        <v>63.613752122199998</v>
      </c>
      <c r="E41" s="156">
        <f>IF($B41=" ","",IFERROR(INDEX(MMWR_RATING_RO_ROLLUP[],MATCH($B41,MMWR_RATING_RO_ROLLUP[MMWR_RATING_RO_ROLLUP],0),MATCH(E$9,MMWR_RATING_RO_ROLLUP[#Headers],0))/$C41,"ERROR"))</f>
        <v>9.6774193548387094E-2</v>
      </c>
      <c r="F41" s="154">
        <f>IF($B41=" ","",IFERROR(INDEX(MMWR_RATING_RO_ROLLUP[],MATCH($B41,MMWR_RATING_RO_ROLLUP[MMWR_RATING_RO_ROLLUP],0),MATCH(F$9,MMWR_RATING_RO_ROLLUP[#Headers],0)),"ERROR"))</f>
        <v>144</v>
      </c>
      <c r="G41" s="154">
        <f>IF($B41=" ","",IFERROR(INDEX(MMWR_RATING_RO_ROLLUP[],MATCH($B41,MMWR_RATING_RO_ROLLUP[MMWR_RATING_RO_ROLLUP],0),MATCH(G$9,MMWR_RATING_RO_ROLLUP[#Headers],0)),"ERROR"))</f>
        <v>3520</v>
      </c>
      <c r="H41" s="155">
        <f>IF($B41=" ","",IFERROR(INDEX(MMWR_RATING_RO_ROLLUP[],MATCH($B41,MMWR_RATING_RO_ROLLUP[MMWR_RATING_RO_ROLLUP],0),MATCH(H$9,MMWR_RATING_RO_ROLLUP[#Headers],0)),"ERROR"))</f>
        <v>101.7777777778</v>
      </c>
      <c r="I41" s="155">
        <f>IF($B41=" ","",IFERROR(INDEX(MMWR_RATING_RO_ROLLUP[],MATCH($B41,MMWR_RATING_RO_ROLLUP[MMWR_RATING_RO_ROLLUP],0),MATCH(I$9,MMWR_RATING_RO_ROLLUP[#Headers],0)),"ERROR"))</f>
        <v>147.24857954550001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5393</v>
      </c>
      <c r="D42" s="155">
        <f>IF($B42=" ","",IFERROR(INDEX(MMWR_RATING_RO_ROLLUP[],MATCH($B42,MMWR_RATING_RO_ROLLUP[MMWR_RATING_RO_ROLLUP],0),MATCH(D$9,MMWR_RATING_RO_ROLLUP[#Headers],0)),"ERROR"))</f>
        <v>68.209530873399999</v>
      </c>
      <c r="E42" s="156">
        <f>IF($B42=" ","",IFERROR(INDEX(MMWR_RATING_RO_ROLLUP[],MATCH($B42,MMWR_RATING_RO_ROLLUP[MMWR_RATING_RO_ROLLUP],0),MATCH(E$9,MMWR_RATING_RO_ROLLUP[#Headers],0))/$C42,"ERROR"))</f>
        <v>0.12831448173558316</v>
      </c>
      <c r="F42" s="154">
        <f>IF($B42=" ","",IFERROR(INDEX(MMWR_RATING_RO_ROLLUP[],MATCH($B42,MMWR_RATING_RO_ROLLUP[MMWR_RATING_RO_ROLLUP],0),MATCH(F$9,MMWR_RATING_RO_ROLLUP[#Headers],0)),"ERROR"))</f>
        <v>574</v>
      </c>
      <c r="G42" s="154">
        <f>IF($B42=" ","",IFERROR(INDEX(MMWR_RATING_RO_ROLLUP[],MATCH($B42,MMWR_RATING_RO_ROLLUP[MMWR_RATING_RO_ROLLUP],0),MATCH(G$9,MMWR_RATING_RO_ROLLUP[#Headers],0)),"ERROR"))</f>
        <v>14634</v>
      </c>
      <c r="H42" s="155">
        <f>IF($B42=" ","",IFERROR(INDEX(MMWR_RATING_RO_ROLLUP[],MATCH($B42,MMWR_RATING_RO_ROLLUP[MMWR_RATING_RO_ROLLUP],0),MATCH(H$9,MMWR_RATING_RO_ROLLUP[#Headers],0)),"ERROR"))</f>
        <v>114.668989547</v>
      </c>
      <c r="I42" s="155">
        <f>IF($B42=" ","",IFERROR(INDEX(MMWR_RATING_RO_ROLLUP[],MATCH($B42,MMWR_RATING_RO_ROLLUP[MMWR_RATING_RO_ROLLUP],0),MATCH(I$9,MMWR_RATING_RO_ROLLUP[#Headers],0)),"ERROR"))</f>
        <v>138.16427497609999</v>
      </c>
      <c r="J42" s="42"/>
      <c r="K42" s="42"/>
      <c r="L42" s="42"/>
      <c r="M42" s="42"/>
      <c r="N42" s="28"/>
    </row>
    <row r="43" spans="1:14" x14ac:dyDescent="0.2">
      <c r="A43" s="25"/>
      <c r="B43" s="342" t="s">
        <v>733</v>
      </c>
      <c r="C43" s="343"/>
      <c r="D43" s="343"/>
      <c r="E43" s="343"/>
      <c r="F43" s="343"/>
      <c r="G43" s="343"/>
      <c r="H43" s="343"/>
      <c r="I43" s="343"/>
      <c r="J43" s="343"/>
      <c r="K43" s="343"/>
      <c r="L43" s="343"/>
      <c r="M43" s="393"/>
      <c r="N43" s="28"/>
    </row>
    <row r="44" spans="1:14" x14ac:dyDescent="0.2">
      <c r="A44" s="25"/>
      <c r="B44" s="44" t="s">
        <v>694</v>
      </c>
      <c r="C44" s="154">
        <f>IF($B44=" ","",IFERROR(INDEX(MMWR_RATING_RO_ROLLUP[],MATCH($B44,MMWR_RATING_RO_ROLLUP[MMWR_RATING_RO_ROLLUP],0),MATCH(C$9,MMWR_RATING_RO_ROLLUP[#Headers],0)),"ERROR"))</f>
        <v>8816</v>
      </c>
      <c r="D44" s="155">
        <f>IF($B44=" ","",IFERROR(INDEX(MMWR_RATING_RO_ROLLUP[],MATCH($B44,MMWR_RATING_RO_ROLLUP[MMWR_RATING_RO_ROLLUP],0),MATCH(D$9,MMWR_RATING_RO_ROLLUP[#Headers],0)),"ERROR"))</f>
        <v>59.302745009100001</v>
      </c>
      <c r="E44" s="156">
        <f>IF($B44=" ","",IFERROR(INDEX(MMWR_RATING_RO_ROLLUP[],MATCH($B44,MMWR_RATING_RO_ROLLUP[MMWR_RATING_RO_ROLLUP],0),MATCH(E$9,MMWR_RATING_RO_ROLLUP[#Headers],0))/$C44,"ERROR"))</f>
        <v>9.3806715063520868E-2</v>
      </c>
      <c r="F44" s="154">
        <f>IF($B44=" ","",IFERROR(INDEX(MMWR_RATING_RO_ROLLUP[],MATCH($B44,MMWR_RATING_RO_ROLLUP[MMWR_RATING_RO_ROLLUP],0),MATCH(F$9,MMWR_RATING_RO_ROLLUP[#Headers],0)),"ERROR"))</f>
        <v>896</v>
      </c>
      <c r="G44" s="154">
        <f>IF($B44=" ","",IFERROR(INDEX(MMWR_RATING_RO_ROLLUP[],MATCH($B44,MMWR_RATING_RO_ROLLUP[MMWR_RATING_RO_ROLLUP],0),MATCH(G$9,MMWR_RATING_RO_ROLLUP[#Headers],0)),"ERROR"))</f>
        <v>25172</v>
      </c>
      <c r="H44" s="155">
        <f>IF($B44=" ","",IFERROR(INDEX(MMWR_RATING_RO_ROLLUP[],MATCH($B44,MMWR_RATING_RO_ROLLUP[MMWR_RATING_RO_ROLLUP],0),MATCH(H$9,MMWR_RATING_RO_ROLLUP[#Headers],0)),"ERROR"))</f>
        <v>112.24888392859999</v>
      </c>
      <c r="I44" s="155">
        <f>IF($B44=" ","",IFERROR(INDEX(MMWR_RATING_RO_ROLLUP[],MATCH($B44,MMWR_RATING_RO_ROLLUP[MMWR_RATING_RO_ROLLUP],0),MATCH(I$9,MMWR_RATING_RO_ROLLUP[#Headers],0)),"ERROR"))</f>
        <v>130.45038137610001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59</v>
      </c>
      <c r="D45" s="155">
        <f>IF($B45=" ","",IFERROR(INDEX(MMWR_RATING_RO_ROLLUP[],MATCH($B45,MMWR_RATING_RO_ROLLUP[MMWR_RATING_RO_ROLLUP],0),MATCH(D$9,MMWR_RATING_RO_ROLLUP[#Headers],0)),"ERROR"))</f>
        <v>58.813559322000003</v>
      </c>
      <c r="E45" s="156">
        <f>IF($B45=" ","",IFERROR(INDEX(MMWR_RATING_RO_ROLLUP[],MATCH($B45,MMWR_RATING_RO_ROLLUP[MMWR_RATING_RO_ROLLUP],0),MATCH(E$9,MMWR_RATING_RO_ROLLUP[#Headers],0))/$C45,"ERROR"))</f>
        <v>8.4745762711864403E-2</v>
      </c>
      <c r="F45" s="154">
        <f>IF($B45=" ","",IFERROR(INDEX(MMWR_RATING_RO_ROLLUP[],MATCH($B45,MMWR_RATING_RO_ROLLUP[MMWR_RATING_RO_ROLLUP],0),MATCH(F$9,MMWR_RATING_RO_ROLLUP[#Headers],0)),"ERROR"))</f>
        <v>7</v>
      </c>
      <c r="G45" s="154">
        <f>IF($B45=" ","",IFERROR(INDEX(MMWR_RATING_RO_ROLLUP[],MATCH($B45,MMWR_RATING_RO_ROLLUP[MMWR_RATING_RO_ROLLUP],0),MATCH(G$9,MMWR_RATING_RO_ROLLUP[#Headers],0)),"ERROR"))</f>
        <v>192</v>
      </c>
      <c r="H45" s="155">
        <f>IF($B45=" ","",IFERROR(INDEX(MMWR_RATING_RO_ROLLUP[],MATCH($B45,MMWR_RATING_RO_ROLLUP[MMWR_RATING_RO_ROLLUP],0),MATCH(H$9,MMWR_RATING_RO_ROLLUP[#Headers],0)),"ERROR"))</f>
        <v>70.285714285699996</v>
      </c>
      <c r="I45" s="155">
        <f>IF($B45=" ","",IFERROR(INDEX(MMWR_RATING_RO_ROLLUP[],MATCH($B45,MMWR_RATING_RO_ROLLUP[MMWR_RATING_RO_ROLLUP],0),MATCH(I$9,MMWR_RATING_RO_ROLLUP[#Headers],0)),"ERROR"))</f>
        <v>127.4375</v>
      </c>
      <c r="J45" s="42"/>
      <c r="K45" s="42"/>
      <c r="L45" s="42"/>
      <c r="M45" s="42"/>
      <c r="N45" s="28"/>
    </row>
    <row r="46" spans="1:14" x14ac:dyDescent="0.2">
      <c r="A46" s="25"/>
      <c r="B46" s="45" t="s">
        <v>213</v>
      </c>
      <c r="C46" s="154">
        <f>IF($B46=" ","",IFERROR(INDEX(MMWR_RATING_RO_ROLLUP[],MATCH($B46,MMWR_RATING_RO_ROLLUP[MMWR_RATING_RO_ROLLUP],0),MATCH(C$9,MMWR_RATING_RO_ROLLUP[#Headers],0)),"ERROR"))</f>
        <v>1122</v>
      </c>
      <c r="D46" s="155">
        <f>IF($B46=" ","",IFERROR(INDEX(MMWR_RATING_RO_ROLLUP[],MATCH($B46,MMWR_RATING_RO_ROLLUP[MMWR_RATING_RO_ROLLUP],0),MATCH(D$9,MMWR_RATING_RO_ROLLUP[#Headers],0)),"ERROR"))</f>
        <v>56.197860962599997</v>
      </c>
      <c r="E46" s="156">
        <f>IF($B46=" ","",IFERROR(INDEX(MMWR_RATING_RO_ROLLUP[],MATCH($B46,MMWR_RATING_RO_ROLLUP[MMWR_RATING_RO_ROLLUP],0),MATCH(E$9,MMWR_RATING_RO_ROLLUP[#Headers],0))/$C46,"ERROR"))</f>
        <v>8.5561497326203204E-2</v>
      </c>
      <c r="F46" s="154">
        <f>IF($B46=" ","",IFERROR(INDEX(MMWR_RATING_RO_ROLLUP[],MATCH($B46,MMWR_RATING_RO_ROLLUP[MMWR_RATING_RO_ROLLUP],0),MATCH(F$9,MMWR_RATING_RO_ROLLUP[#Headers],0)),"ERROR"))</f>
        <v>137</v>
      </c>
      <c r="G46" s="154">
        <f>IF($B46=" ","",IFERROR(INDEX(MMWR_RATING_RO_ROLLUP[],MATCH($B46,MMWR_RATING_RO_ROLLUP[MMWR_RATING_RO_ROLLUP],0),MATCH(G$9,MMWR_RATING_RO_ROLLUP[#Headers],0)),"ERROR"))</f>
        <v>3978</v>
      </c>
      <c r="H46" s="155">
        <f>IF($B46=" ","",IFERROR(INDEX(MMWR_RATING_RO_ROLLUP[],MATCH($B46,MMWR_RATING_RO_ROLLUP[MMWR_RATING_RO_ROLLUP],0),MATCH(H$9,MMWR_RATING_RO_ROLLUP[#Headers],0)),"ERROR"))</f>
        <v>99.131386861300001</v>
      </c>
      <c r="I46" s="155">
        <f>IF($B46=" ","",IFERROR(INDEX(MMWR_RATING_RO_ROLLUP[],MATCH($B46,MMWR_RATING_RO_ROLLUP[MMWR_RATING_RO_ROLLUP],0),MATCH(I$9,MMWR_RATING_RO_ROLLUP[#Headers],0)),"ERROR"))</f>
        <v>140.76269482149999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7635</v>
      </c>
      <c r="D47" s="155">
        <f>IF($B47=" ","",IFERROR(INDEX(MMWR_RATING_RO_ROLLUP[],MATCH($B47,MMWR_RATING_RO_ROLLUP[MMWR_RATING_RO_ROLLUP],0),MATCH(D$9,MMWR_RATING_RO_ROLLUP[#Headers],0)),"ERROR"))</f>
        <v>59.762802881500001</v>
      </c>
      <c r="E47" s="156">
        <f>IF($B47=" ","",IFERROR(INDEX(MMWR_RATING_RO_ROLLUP[],MATCH($B47,MMWR_RATING_RO_ROLLUP[MMWR_RATING_RO_ROLLUP],0),MATCH(E$9,MMWR_RATING_RO_ROLLUP[#Headers],0))/$C47,"ERROR"))</f>
        <v>9.5088408644400782E-2</v>
      </c>
      <c r="F47" s="154">
        <f>IF($B47=" ","",IFERROR(INDEX(MMWR_RATING_RO_ROLLUP[],MATCH($B47,MMWR_RATING_RO_ROLLUP[MMWR_RATING_RO_ROLLUP],0),MATCH(F$9,MMWR_RATING_RO_ROLLUP[#Headers],0)),"ERROR"))</f>
        <v>752</v>
      </c>
      <c r="G47" s="154">
        <f>IF($B47=" ","",IFERROR(INDEX(MMWR_RATING_RO_ROLLUP[],MATCH($B47,MMWR_RATING_RO_ROLLUP[MMWR_RATING_RO_ROLLUP],0),MATCH(G$9,MMWR_RATING_RO_ROLLUP[#Headers],0)),"ERROR"))</f>
        <v>21002</v>
      </c>
      <c r="H47" s="155">
        <f>IF($B47=" ","",IFERROR(INDEX(MMWR_RATING_RO_ROLLUP[],MATCH($B47,MMWR_RATING_RO_ROLLUP[MMWR_RATING_RO_ROLLUP],0),MATCH(H$9,MMWR_RATING_RO_ROLLUP[#Headers],0)),"ERROR"))</f>
        <v>115.0292553191</v>
      </c>
      <c r="I47" s="155">
        <f>IF($B47=" ","",IFERROR(INDEX(MMWR_RATING_RO_ROLLUP[],MATCH($B47,MMWR_RATING_RO_ROLLUP[MMWR_RATING_RO_ROLLUP],0),MATCH(I$9,MMWR_RATING_RO_ROLLUP[#Headers],0)),"ERROR"))</f>
        <v>128.5246643177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976</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August 13, 2016</v>
      </c>
      <c r="K3" s="360"/>
      <c r="L3" s="360"/>
      <c r="M3" s="361"/>
      <c r="N3" s="28"/>
    </row>
    <row r="4" spans="1:15" ht="51.75" customHeight="1" thickBot="1" x14ac:dyDescent="0.35">
      <c r="A4" s="30"/>
      <c r="B4" s="246" t="s">
        <v>454</v>
      </c>
      <c r="C4" s="362" t="s">
        <v>430</v>
      </c>
      <c r="D4" s="363"/>
      <c r="E4" s="363"/>
      <c r="F4" s="363"/>
      <c r="G4" s="363"/>
      <c r="H4" s="363"/>
      <c r="I4" s="363"/>
      <c r="J4" s="363"/>
      <c r="K4" s="363"/>
      <c r="L4" s="363"/>
      <c r="M4" s="364"/>
      <c r="N4" s="28"/>
    </row>
    <row r="5" spans="1:15" ht="27" customHeight="1" thickBot="1" x14ac:dyDescent="0.25">
      <c r="A5" s="30"/>
      <c r="B5" s="245" t="s">
        <v>368</v>
      </c>
      <c r="C5" s="365" t="s">
        <v>1040</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5" x14ac:dyDescent="0.2">
      <c r="A12" s="25"/>
      <c r="B12" s="41" t="s">
        <v>728</v>
      </c>
      <c r="C12" s="154">
        <f>IF($B12=" ","",IFERROR(INDEX(MMWR_RATING_STATE_ROLLUP_VSC[],MATCH($B12,MMWR_RATING_STATE_ROLLUP_VSC[MMWR_RATING_STATE_ROLLUP_VSC],0),MATCH(C$9,MMWR_RATING_STATE_ROLLUP_VSC[#Headers],0)),"ERROR"))</f>
        <v>380114</v>
      </c>
      <c r="D12" s="155">
        <f>IF($B12=" ","",IFERROR(INDEX(MMWR_RATING_STATE_ROLLUP_VSC[],MATCH($B12,MMWR_RATING_STATE_ROLLUP_VSC[MMWR_RATING_STATE_ROLLUP_VSC],0),MATCH(D$9,MMWR_RATING_STATE_ROLLUP_VSC[#Headers],0)),"ERROR"))</f>
        <v>87.669309733399999</v>
      </c>
      <c r="E12" s="157">
        <f>IF($B12=" ","",IFERROR(INDEX(MMWR_RATING_STATE_ROLLUP_VSC[],MATCH($B12,MMWR_RATING_STATE_ROLLUP_VSC[MMWR_RATING_STATE_ROLLUP_VSC],0),MATCH(E$9,MMWR_RATING_STATE_ROLLUP_VSC[#Headers],0))/$C12,"ERROR"))</f>
        <v>0.20234719057966821</v>
      </c>
      <c r="F12" s="154">
        <f>IF($B12=" ","",IFERROR(INDEX(MMWR_RATING_STATE_ROLLUP_VSC[],MATCH($B12,MMWR_RATING_STATE_ROLLUP_VSC[MMWR_RATING_STATE_ROLLUP_VSC],0),MATCH(F$9,MMWR_RATING_STATE_ROLLUP_VSC[#Headers],0)),"ERROR"))</f>
        <v>51035</v>
      </c>
      <c r="G12" s="154">
        <f>IF($B12=" ","",IFERROR(INDEX(MMWR_RATING_STATE_ROLLUP_VSC[],MATCH($B12,MMWR_RATING_STATE_ROLLUP_VSC[MMWR_RATING_STATE_ROLLUP_VSC],0),MATCH(G$9,MMWR_RATING_STATE_ROLLUP_VSC[#Headers],0)),"ERROR"))</f>
        <v>1096651</v>
      </c>
      <c r="H12" s="155">
        <f>IF($B12=" ","",IFERROR(INDEX(MMWR_RATING_STATE_ROLLUP_VSC[],MATCH($B12,MMWR_RATING_STATE_ROLLUP_VSC[MMWR_RATING_STATE_ROLLUP_VSC],0),MATCH(H$9,MMWR_RATING_STATE_ROLLUP_VSC[#Headers],0)),"ERROR"))</f>
        <v>121.70265504069999</v>
      </c>
      <c r="I12" s="155">
        <f>IF($B12=" ","",IFERROR(INDEX(MMWR_RATING_STATE_ROLLUP_VSC[],MATCH($B12,MMWR_RATING_STATE_ROLLUP_VSC[MMWR_RATING_STATE_ROLLUP_VSC],0),MATCH(I$9,MMWR_RATING_STATE_ROLLUP_VSC[#Headers],0)),"ERROR"))</f>
        <v>123.0940025587</v>
      </c>
      <c r="J12" s="42"/>
      <c r="K12" s="42"/>
      <c r="L12" s="42"/>
      <c r="M12" s="42"/>
      <c r="N12" s="28"/>
    </row>
    <row r="13" spans="1:15" x14ac:dyDescent="0.2">
      <c r="A13" s="25"/>
      <c r="B13" s="342" t="s">
        <v>957</v>
      </c>
      <c r="C13" s="343"/>
      <c r="D13" s="343"/>
      <c r="E13" s="343"/>
      <c r="F13" s="343"/>
      <c r="G13" s="343"/>
      <c r="H13" s="343"/>
      <c r="I13" s="343"/>
      <c r="J13" s="343"/>
      <c r="K13" s="343"/>
      <c r="L13" s="343"/>
      <c r="M13" s="393"/>
      <c r="N13" s="28"/>
    </row>
    <row r="14" spans="1:15" x14ac:dyDescent="0.2">
      <c r="A14" s="25"/>
      <c r="B14" s="41" t="s">
        <v>1034</v>
      </c>
      <c r="C14" s="154">
        <f>IF($B14=" ","",IFERROR(INDEX(MMWR_RATING_STATE_ROLLUP_VSC[],MATCH($B14,MMWR_RATING_STATE_ROLLUP_VSC[MMWR_RATING_STATE_ROLLUP_VSC],0),MATCH(C$9,MMWR_RATING_STATE_ROLLUP_VSC[#Headers],0)),"ERROR"))</f>
        <v>337442</v>
      </c>
      <c r="D14" s="155">
        <f>IF($B14=" ","",IFERROR(INDEX(MMWR_RATING_STATE_ROLLUP_VSC[],MATCH($B14,MMWR_RATING_STATE_ROLLUP_VSC[MMWR_RATING_STATE_ROLLUP_VSC],0),MATCH(D$9,MMWR_RATING_STATE_ROLLUP_VSC[#Headers],0)),"ERROR"))</f>
        <v>90.456558460400004</v>
      </c>
      <c r="E14" s="156">
        <f>IF($B14=" ","",IFERROR(INDEX(MMWR_RATING_STATE_ROLLUP_VSC[],MATCH($B14,MMWR_RATING_STATE_ROLLUP_VSC[MMWR_RATING_STATE_ROLLUP_VSC],0),MATCH(E$9,MMWR_RATING_STATE_ROLLUP_VSC[#Headers],0))/$C14,"ERROR"))</f>
        <v>0.21346186900267305</v>
      </c>
      <c r="F14" s="154">
        <f>IF($B14=" ","",IFERROR(INDEX(MMWR_RATING_STATE_ROLLUP_VSC[],MATCH($B14,MMWR_RATING_STATE_ROLLUP_VSC[MMWR_RATING_STATE_ROLLUP_VSC],0),MATCH(F$9,MMWR_RATING_STATE_ROLLUP_VSC[#Headers],0)),"ERROR"))</f>
        <v>42176</v>
      </c>
      <c r="G14" s="154">
        <f>IF($B14=" ","",IFERROR(INDEX(MMWR_RATING_STATE_ROLLUP_VSC[],MATCH($B14,MMWR_RATING_STATE_ROLLUP_VSC[MMWR_RATING_STATE_ROLLUP_VSC],0),MATCH(G$9,MMWR_RATING_STATE_ROLLUP_VSC[#Headers],0)),"ERROR"))</f>
        <v>919878</v>
      </c>
      <c r="H14" s="155">
        <f>IF($B14=" ","",IFERROR(INDEX(MMWR_RATING_STATE_ROLLUP_VSC[],MATCH($B14,MMWR_RATING_STATE_ROLLUP_VSC[MMWR_RATING_STATE_ROLLUP_VSC],0),MATCH(H$9,MMWR_RATING_STATE_ROLLUP_VSC[#Headers],0)),"ERROR"))</f>
        <v>128.71780159330001</v>
      </c>
      <c r="I14" s="155">
        <f>IF($B14=" ","",IFERROR(INDEX(MMWR_RATING_STATE_ROLLUP_VSC[],MATCH($B14,MMWR_RATING_STATE_ROLLUP_VSC[MMWR_RATING_STATE_ROLLUP_VSC],0),MATCH(I$9,MMWR_RATING_STATE_ROLLUP_VSC[#Headers],0)),"ERROR"))</f>
        <v>128.72076405780001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72078</v>
      </c>
      <c r="D15" s="155">
        <f>IF($B15=" ","",IFERROR(INDEX(MMWR_RATING_STATE_ROLLUP_VSC[],MATCH($B15,MMWR_RATING_STATE_ROLLUP_VSC[MMWR_RATING_STATE_ROLLUP_VSC],0),MATCH(D$9,MMWR_RATING_STATE_ROLLUP_VSC[#Headers],0)),"ERROR"))</f>
        <v>93.732914342800001</v>
      </c>
      <c r="E15" s="156">
        <f>IF($B15=" ","",IFERROR(INDEX(MMWR_RATING_STATE_ROLLUP_VSC[],MATCH($B15,MMWR_RATING_STATE_ROLLUP_VSC[MMWR_RATING_STATE_ROLLUP_VSC],0),MATCH(E$9,MMWR_RATING_STATE_ROLLUP_VSC[#Headers],0))/$C15,"ERROR"))</f>
        <v>0.22550570215599766</v>
      </c>
      <c r="F15" s="154">
        <f>IF($B15=" ","",IFERROR(INDEX(MMWR_RATING_STATE_ROLLUP_VSC[],MATCH($B15,MMWR_RATING_STATE_ROLLUP_VSC[MMWR_RATING_STATE_ROLLUP_VSC],0),MATCH(F$9,MMWR_RATING_STATE_ROLLUP_VSC[#Headers],0)),"ERROR"))</f>
        <v>8600</v>
      </c>
      <c r="G15" s="154">
        <f>IF($B15=" ","",IFERROR(INDEX(MMWR_RATING_STATE_ROLLUP_VSC[],MATCH($B15,MMWR_RATING_STATE_ROLLUP_VSC[MMWR_RATING_STATE_ROLLUP_VSC],0),MATCH(G$9,MMWR_RATING_STATE_ROLLUP_VSC[#Headers],0)),"ERROR"))</f>
        <v>193715</v>
      </c>
      <c r="H15" s="155">
        <f>IF($B15=" ","",IFERROR(INDEX(MMWR_RATING_STATE_ROLLUP_VSC[],MATCH($B15,MMWR_RATING_STATE_ROLLUP_VSC[MMWR_RATING_STATE_ROLLUP_VSC],0),MATCH(H$9,MMWR_RATING_STATE_ROLLUP_VSC[#Headers],0)),"ERROR"))</f>
        <v>130.2474418605</v>
      </c>
      <c r="I15" s="155">
        <f>IF($B15=" ","",IFERROR(INDEX(MMWR_RATING_STATE_ROLLUP_VSC[],MATCH($B15,MMWR_RATING_STATE_ROLLUP_VSC[MMWR_RATING_STATE_ROLLUP_VSC],0),MATCH(I$9,MMWR_RATING_STATE_ROLLUP_VSC[#Headers],0)),"ERROR"))</f>
        <v>131.40018584000001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1934</v>
      </c>
      <c r="D16" s="155">
        <f>IF($B16=" ","",IFERROR(INDEX(MMWR_RATING_STATE_ROLLUP_VSC[],MATCH($B16,MMWR_RATING_STATE_ROLLUP_VSC[MMWR_RATING_STATE_ROLLUP_VSC],0),MATCH(D$9,MMWR_RATING_STATE_ROLLUP_VSC[#Headers],0)),"ERROR"))</f>
        <v>81.190796277100006</v>
      </c>
      <c r="E16" s="156">
        <f>IF($B16=" ","",IFERROR(INDEX(MMWR_RATING_STATE_ROLLUP_VSC[],MATCH($B16,MMWR_RATING_STATE_ROLLUP_VSC[MMWR_RATING_STATE_ROLLUP_VSC],0),MATCH(E$9,MMWR_RATING_STATE_ROLLUP_VSC[#Headers],0))/$C16,"ERROR"))</f>
        <v>0.16028955532574973</v>
      </c>
      <c r="F16" s="154">
        <f>IF($B16=" ","",IFERROR(INDEX(MMWR_RATING_STATE_ROLLUP_VSC[],MATCH($B16,MMWR_RATING_STATE_ROLLUP_VSC[MMWR_RATING_STATE_ROLLUP_VSC],0),MATCH(F$9,MMWR_RATING_STATE_ROLLUP_VSC[#Headers],0)),"ERROR"))</f>
        <v>249</v>
      </c>
      <c r="G16" s="154">
        <f>IF($B16=" ","",IFERROR(INDEX(MMWR_RATING_STATE_ROLLUP_VSC[],MATCH($B16,MMWR_RATING_STATE_ROLLUP_VSC[MMWR_RATING_STATE_ROLLUP_VSC],0),MATCH(G$9,MMWR_RATING_STATE_ROLLUP_VSC[#Headers],0)),"ERROR"))</f>
        <v>5807</v>
      </c>
      <c r="H16" s="155">
        <f>IF($B16=" ","",IFERROR(INDEX(MMWR_RATING_STATE_ROLLUP_VSC[],MATCH($B16,MMWR_RATING_STATE_ROLLUP_VSC[MMWR_RATING_STATE_ROLLUP_VSC],0),MATCH(H$9,MMWR_RATING_STATE_ROLLUP_VSC[#Headers],0)),"ERROR"))</f>
        <v>111.8955823293</v>
      </c>
      <c r="I16" s="155">
        <f>IF($B16=" ","",IFERROR(INDEX(MMWR_RATING_STATE_ROLLUP_VSC[],MATCH($B16,MMWR_RATING_STATE_ROLLUP_VSC[MMWR_RATING_STATE_ROLLUP_VSC],0),MATCH(I$9,MMWR_RATING_STATE_ROLLUP_VSC[#Headers],0)),"ERROR"))</f>
        <v>112.8405372826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1016</v>
      </c>
      <c r="D17" s="155">
        <f>IF($B17=" ","",IFERROR(INDEX(MMWR_RATING_STATE_ROLLUP_VSC[],MATCH($B17,MMWR_RATING_STATE_ROLLUP_VSC[MMWR_RATING_STATE_ROLLUP_VSC],0),MATCH(D$9,MMWR_RATING_STATE_ROLLUP_VSC[#Headers],0)),"ERROR"))</f>
        <v>96.872047244100003</v>
      </c>
      <c r="E17" s="156">
        <f>IF($B17=" ","",IFERROR(INDEX(MMWR_RATING_STATE_ROLLUP_VSC[],MATCH($B17,MMWR_RATING_STATE_ROLLUP_VSC[MMWR_RATING_STATE_ROLLUP_VSC],0),MATCH(E$9,MMWR_RATING_STATE_ROLLUP_VSC[#Headers],0))/$C17,"ERROR"))</f>
        <v>0.23326771653543307</v>
      </c>
      <c r="F17" s="154">
        <f>IF($B17=" ","",IFERROR(INDEX(MMWR_RATING_STATE_ROLLUP_VSC[],MATCH($B17,MMWR_RATING_STATE_ROLLUP_VSC[MMWR_RATING_STATE_ROLLUP_VSC],0),MATCH(F$9,MMWR_RATING_STATE_ROLLUP_VSC[#Headers],0)),"ERROR"))</f>
        <v>129</v>
      </c>
      <c r="G17" s="154">
        <f>IF($B17=" ","",IFERROR(INDEX(MMWR_RATING_STATE_ROLLUP_VSC[],MATCH($B17,MMWR_RATING_STATE_ROLLUP_VSC[MMWR_RATING_STATE_ROLLUP_VSC],0),MATCH(G$9,MMWR_RATING_STATE_ROLLUP_VSC[#Headers],0)),"ERROR"))</f>
        <v>2584</v>
      </c>
      <c r="H17" s="155">
        <f>IF($B17=" ","",IFERROR(INDEX(MMWR_RATING_STATE_ROLLUP_VSC[],MATCH($B17,MMWR_RATING_STATE_ROLLUP_VSC[MMWR_RATING_STATE_ROLLUP_VSC],0),MATCH(H$9,MMWR_RATING_STATE_ROLLUP_VSC[#Headers],0)),"ERROR"))</f>
        <v>141.51162790699999</v>
      </c>
      <c r="I17" s="155">
        <f>IF($B17=" ","",IFERROR(INDEX(MMWR_RATING_STATE_ROLLUP_VSC[],MATCH($B17,MMWR_RATING_STATE_ROLLUP_VSC[MMWR_RATING_STATE_ROLLUP_VSC],0),MATCH(I$9,MMWR_RATING_STATE_ROLLUP_VSC[#Headers],0)),"ERROR"))</f>
        <v>137.08630030960001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432</v>
      </c>
      <c r="D18" s="155">
        <f>IF($B18=" ","",IFERROR(INDEX(MMWR_RATING_STATE_ROLLUP_VSC[],MATCH($B18,MMWR_RATING_STATE_ROLLUP_VSC[MMWR_RATING_STATE_ROLLUP_VSC],0),MATCH(D$9,MMWR_RATING_STATE_ROLLUP_VSC[#Headers],0)),"ERROR"))</f>
        <v>91.3587962963</v>
      </c>
      <c r="E18" s="156">
        <f>IF($B18=" ","",IFERROR(INDEX(MMWR_RATING_STATE_ROLLUP_VSC[],MATCH($B18,MMWR_RATING_STATE_ROLLUP_VSC[MMWR_RATING_STATE_ROLLUP_VSC],0),MATCH(E$9,MMWR_RATING_STATE_ROLLUP_VSC[#Headers],0))/$C18,"ERROR"))</f>
        <v>0.21990740740740741</v>
      </c>
      <c r="F18" s="154">
        <f>IF($B18=" ","",IFERROR(INDEX(MMWR_RATING_STATE_ROLLUP_VSC[],MATCH($B18,MMWR_RATING_STATE_ROLLUP_VSC[MMWR_RATING_STATE_ROLLUP_VSC],0),MATCH(F$9,MMWR_RATING_STATE_ROLLUP_VSC[#Headers],0)),"ERROR"))</f>
        <v>55</v>
      </c>
      <c r="G18" s="154">
        <f>IF($B18=" ","",IFERROR(INDEX(MMWR_RATING_STATE_ROLLUP_VSC[],MATCH($B18,MMWR_RATING_STATE_ROLLUP_VSC[MMWR_RATING_STATE_ROLLUP_VSC],0),MATCH(G$9,MMWR_RATING_STATE_ROLLUP_VSC[#Headers],0)),"ERROR"))</f>
        <v>1175</v>
      </c>
      <c r="H18" s="155">
        <f>IF($B18=" ","",IFERROR(INDEX(MMWR_RATING_STATE_ROLLUP_VSC[],MATCH($B18,MMWR_RATING_STATE_ROLLUP_VSC[MMWR_RATING_STATE_ROLLUP_VSC],0),MATCH(H$9,MMWR_RATING_STATE_ROLLUP_VSC[#Headers],0)),"ERROR"))</f>
        <v>177.45454545449999</v>
      </c>
      <c r="I18" s="155">
        <f>IF($B18=" ","",IFERROR(INDEX(MMWR_RATING_STATE_ROLLUP_VSC[],MATCH($B18,MMWR_RATING_STATE_ROLLUP_VSC[MMWR_RATING_STATE_ROLLUP_VSC],0),MATCH(I$9,MMWR_RATING_STATE_ROLLUP_VSC[#Headers],0)),"ERROR"))</f>
        <v>142.83063829790001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1241</v>
      </c>
      <c r="D19" s="155">
        <f>IF($B19=" ","",IFERROR(INDEX(MMWR_RATING_STATE_ROLLUP_VSC[],MATCH($B19,MMWR_RATING_STATE_ROLLUP_VSC[MMWR_RATING_STATE_ROLLUP_VSC],0),MATCH(D$9,MMWR_RATING_STATE_ROLLUP_VSC[#Headers],0)),"ERROR"))</f>
        <v>71.9879129734</v>
      </c>
      <c r="E19" s="156">
        <f>IF($B19=" ","",IFERROR(INDEX(MMWR_RATING_STATE_ROLLUP_VSC[],MATCH($B19,MMWR_RATING_STATE_ROLLUP_VSC[MMWR_RATING_STATE_ROLLUP_VSC],0),MATCH(E$9,MMWR_RATING_STATE_ROLLUP_VSC[#Headers],0))/$C19,"ERROR"))</f>
        <v>0.13859790491539081</v>
      </c>
      <c r="F19" s="154">
        <f>IF($B19=" ","",IFERROR(INDEX(MMWR_RATING_STATE_ROLLUP_VSC[],MATCH($B19,MMWR_RATING_STATE_ROLLUP_VSC[MMWR_RATING_STATE_ROLLUP_VSC],0),MATCH(F$9,MMWR_RATING_STATE_ROLLUP_VSC[#Headers],0)),"ERROR"))</f>
        <v>200</v>
      </c>
      <c r="G19" s="154">
        <f>IF($B19=" ","",IFERROR(INDEX(MMWR_RATING_STATE_ROLLUP_VSC[],MATCH($B19,MMWR_RATING_STATE_ROLLUP_VSC[MMWR_RATING_STATE_ROLLUP_VSC],0),MATCH(G$9,MMWR_RATING_STATE_ROLLUP_VSC[#Headers],0)),"ERROR"))</f>
        <v>4588</v>
      </c>
      <c r="H19" s="155">
        <f>IF($B19=" ","",IFERROR(INDEX(MMWR_RATING_STATE_ROLLUP_VSC[],MATCH($B19,MMWR_RATING_STATE_ROLLUP_VSC[MMWR_RATING_STATE_ROLLUP_VSC],0),MATCH(H$9,MMWR_RATING_STATE_ROLLUP_VSC[#Headers],0)),"ERROR"))</f>
        <v>102.94499999999999</v>
      </c>
      <c r="I19" s="155">
        <f>IF($B19=" ","",IFERROR(INDEX(MMWR_RATING_STATE_ROLLUP_VSC[],MATCH($B19,MMWR_RATING_STATE_ROLLUP_VSC[MMWR_RATING_STATE_ROLLUP_VSC],0),MATCH(I$9,MMWR_RATING_STATE_ROLLUP_VSC[#Headers],0)),"ERROR"))</f>
        <v>102.8986486486</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5976</v>
      </c>
      <c r="D20" s="155">
        <f>IF($B20=" ","",IFERROR(INDEX(MMWR_RATING_STATE_ROLLUP_VSC[],MATCH($B20,MMWR_RATING_STATE_ROLLUP_VSC[MMWR_RATING_STATE_ROLLUP_VSC],0),MATCH(D$9,MMWR_RATING_STATE_ROLLUP_VSC[#Headers],0)),"ERROR"))</f>
        <v>99.023594377500004</v>
      </c>
      <c r="E20" s="156">
        <f>IF($B20=" ","",IFERROR(INDEX(MMWR_RATING_STATE_ROLLUP_VSC[],MATCH($B20,MMWR_RATING_STATE_ROLLUP_VSC[MMWR_RATING_STATE_ROLLUP_VSC],0),MATCH(E$9,MMWR_RATING_STATE_ROLLUP_VSC[#Headers],0))/$C20,"ERROR"))</f>
        <v>0.23828647925033467</v>
      </c>
      <c r="F20" s="154">
        <f>IF($B20=" ","",IFERROR(INDEX(MMWR_RATING_STATE_ROLLUP_VSC[],MATCH($B20,MMWR_RATING_STATE_ROLLUP_VSC[MMWR_RATING_STATE_ROLLUP_VSC],0),MATCH(F$9,MMWR_RATING_STATE_ROLLUP_VSC[#Headers],0)),"ERROR"))</f>
        <v>773</v>
      </c>
      <c r="G20" s="154">
        <f>IF($B20=" ","",IFERROR(INDEX(MMWR_RATING_STATE_ROLLUP_VSC[],MATCH($B20,MMWR_RATING_STATE_ROLLUP_VSC[MMWR_RATING_STATE_ROLLUP_VSC],0),MATCH(G$9,MMWR_RATING_STATE_ROLLUP_VSC[#Headers],0)),"ERROR"))</f>
        <v>15681</v>
      </c>
      <c r="H20" s="155">
        <f>IF($B20=" ","",IFERROR(INDEX(MMWR_RATING_STATE_ROLLUP_VSC[],MATCH($B20,MMWR_RATING_STATE_ROLLUP_VSC[MMWR_RATING_STATE_ROLLUP_VSC],0),MATCH(H$9,MMWR_RATING_STATE_ROLLUP_VSC[#Headers],0)),"ERROR"))</f>
        <v>133.30012936610001</v>
      </c>
      <c r="I20" s="155">
        <f>IF($B20=" ","",IFERROR(INDEX(MMWR_RATING_STATE_ROLLUP_VSC[],MATCH($B20,MMWR_RATING_STATE_ROLLUP_VSC[MMWR_RATING_STATE_ROLLUP_VSC],0),MATCH(I$9,MMWR_RATING_STATE_ROLLUP_VSC[#Headers],0)),"ERROR"))</f>
        <v>136.59549773609999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4441</v>
      </c>
      <c r="D21" s="155">
        <f>IF($B21=" ","",IFERROR(INDEX(MMWR_RATING_STATE_ROLLUP_VSC[],MATCH($B21,MMWR_RATING_STATE_ROLLUP_VSC[MMWR_RATING_STATE_ROLLUP_VSC],0),MATCH(D$9,MMWR_RATING_STATE_ROLLUP_VSC[#Headers],0)),"ERROR"))</f>
        <v>85.827966674199999</v>
      </c>
      <c r="E21" s="156">
        <f>IF($B21=" ","",IFERROR(INDEX(MMWR_RATING_STATE_ROLLUP_VSC[],MATCH($B21,MMWR_RATING_STATE_ROLLUP_VSC[MMWR_RATING_STATE_ROLLUP_VSC],0),MATCH(E$9,MMWR_RATING_STATE_ROLLUP_VSC[#Headers],0))/$C21,"ERROR"))</f>
        <v>0.19972979058770546</v>
      </c>
      <c r="F21" s="154">
        <f>IF($B21=" ","",IFERROR(INDEX(MMWR_RATING_STATE_ROLLUP_VSC[],MATCH($B21,MMWR_RATING_STATE_ROLLUP_VSC[MMWR_RATING_STATE_ROLLUP_VSC],0),MATCH(F$9,MMWR_RATING_STATE_ROLLUP_VSC[#Headers],0)),"ERROR"))</f>
        <v>501</v>
      </c>
      <c r="G21" s="154">
        <f>IF($B21=" ","",IFERROR(INDEX(MMWR_RATING_STATE_ROLLUP_VSC[],MATCH($B21,MMWR_RATING_STATE_ROLLUP_VSC[MMWR_RATING_STATE_ROLLUP_VSC],0),MATCH(G$9,MMWR_RATING_STATE_ROLLUP_VSC[#Headers],0)),"ERROR"))</f>
        <v>12213</v>
      </c>
      <c r="H21" s="155">
        <f>IF($B21=" ","",IFERROR(INDEX(MMWR_RATING_STATE_ROLLUP_VSC[],MATCH($B21,MMWR_RATING_STATE_ROLLUP_VSC[MMWR_RATING_STATE_ROLLUP_VSC],0),MATCH(H$9,MMWR_RATING_STATE_ROLLUP_VSC[#Headers],0)),"ERROR"))</f>
        <v>115.1357285429</v>
      </c>
      <c r="I21" s="155">
        <f>IF($B21=" ","",IFERROR(INDEX(MMWR_RATING_STATE_ROLLUP_VSC[],MATCH($B21,MMWR_RATING_STATE_ROLLUP_VSC[MMWR_RATING_STATE_ROLLUP_VSC],0),MATCH(I$9,MMWR_RATING_STATE_ROLLUP_VSC[#Headers],0)),"ERROR"))</f>
        <v>126.2346679767</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1375</v>
      </c>
      <c r="D22" s="155">
        <f>IF($B22=" ","",IFERROR(INDEX(MMWR_RATING_STATE_ROLLUP_VSC[],MATCH($B22,MMWR_RATING_STATE_ROLLUP_VSC[MMWR_RATING_STATE_ROLLUP_VSC],0),MATCH(D$9,MMWR_RATING_STATE_ROLLUP_VSC[#Headers],0)),"ERROR"))</f>
        <v>76.816727272700007</v>
      </c>
      <c r="E22" s="156">
        <f>IF($B22=" ","",IFERROR(INDEX(MMWR_RATING_STATE_ROLLUP_VSC[],MATCH($B22,MMWR_RATING_STATE_ROLLUP_VSC[MMWR_RATING_STATE_ROLLUP_VSC],0),MATCH(E$9,MMWR_RATING_STATE_ROLLUP_VSC[#Headers],0))/$C22,"ERROR"))</f>
        <v>0.152</v>
      </c>
      <c r="F22" s="154">
        <f>IF($B22=" ","",IFERROR(INDEX(MMWR_RATING_STATE_ROLLUP_VSC[],MATCH($B22,MMWR_RATING_STATE_ROLLUP_VSC[MMWR_RATING_STATE_ROLLUP_VSC],0),MATCH(F$9,MMWR_RATING_STATE_ROLLUP_VSC[#Headers],0)),"ERROR"))</f>
        <v>136</v>
      </c>
      <c r="G22" s="154">
        <f>IF($B22=" ","",IFERROR(INDEX(MMWR_RATING_STATE_ROLLUP_VSC[],MATCH($B22,MMWR_RATING_STATE_ROLLUP_VSC[MMWR_RATING_STATE_ROLLUP_VSC],0),MATCH(G$9,MMWR_RATING_STATE_ROLLUP_VSC[#Headers],0)),"ERROR"))</f>
        <v>3653</v>
      </c>
      <c r="H22" s="155">
        <f>IF($B22=" ","",IFERROR(INDEX(MMWR_RATING_STATE_ROLLUP_VSC[],MATCH($B22,MMWR_RATING_STATE_ROLLUP_VSC[MMWR_RATING_STATE_ROLLUP_VSC],0),MATCH(H$9,MMWR_RATING_STATE_ROLLUP_VSC[#Headers],0)),"ERROR"))</f>
        <v>117.04411764709999</v>
      </c>
      <c r="I22" s="155">
        <f>IF($B22=" ","",IFERROR(INDEX(MMWR_RATING_STATE_ROLLUP_VSC[],MATCH($B22,MMWR_RATING_STATE_ROLLUP_VSC[MMWR_RATING_STATE_ROLLUP_VSC],0),MATCH(I$9,MMWR_RATING_STATE_ROLLUP_VSC[#Headers],0)),"ERROR"))</f>
        <v>125.5417465097</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4477</v>
      </c>
      <c r="D23" s="155">
        <f>IF($B23=" ","",IFERROR(INDEX(MMWR_RATING_STATE_ROLLUP_VSC[],MATCH($B23,MMWR_RATING_STATE_ROLLUP_VSC[MMWR_RATING_STATE_ROLLUP_VSC],0),MATCH(D$9,MMWR_RATING_STATE_ROLLUP_VSC[#Headers],0)),"ERROR"))</f>
        <v>104.2999776636</v>
      </c>
      <c r="E23" s="156">
        <f>IF($B23=" ","",IFERROR(INDEX(MMWR_RATING_STATE_ROLLUP_VSC[],MATCH($B23,MMWR_RATING_STATE_ROLLUP_VSC[MMWR_RATING_STATE_ROLLUP_VSC],0),MATCH(E$9,MMWR_RATING_STATE_ROLLUP_VSC[#Headers],0))/$C23,"ERROR"))</f>
        <v>0.2749609113245477</v>
      </c>
      <c r="F23" s="154">
        <f>IF($B23=" ","",IFERROR(INDEX(MMWR_RATING_STATE_ROLLUP_VSC[],MATCH($B23,MMWR_RATING_STATE_ROLLUP_VSC[MMWR_RATING_STATE_ROLLUP_VSC],0),MATCH(F$9,MMWR_RATING_STATE_ROLLUP_VSC[#Headers],0)),"ERROR"))</f>
        <v>473</v>
      </c>
      <c r="G23" s="154">
        <f>IF($B23=" ","",IFERROR(INDEX(MMWR_RATING_STATE_ROLLUP_VSC[],MATCH($B23,MMWR_RATING_STATE_ROLLUP_VSC[MMWR_RATING_STATE_ROLLUP_VSC],0),MATCH(G$9,MMWR_RATING_STATE_ROLLUP_VSC[#Headers],0)),"ERROR"))</f>
        <v>10654</v>
      </c>
      <c r="H23" s="155">
        <f>IF($B23=" ","",IFERROR(INDEX(MMWR_RATING_STATE_ROLLUP_VSC[],MATCH($B23,MMWR_RATING_STATE_ROLLUP_VSC[MMWR_RATING_STATE_ROLLUP_VSC],0),MATCH(H$9,MMWR_RATING_STATE_ROLLUP_VSC[#Headers],0)),"ERROR"))</f>
        <v>152.92177589849999</v>
      </c>
      <c r="I23" s="155">
        <f>IF($B23=" ","",IFERROR(INDEX(MMWR_RATING_STATE_ROLLUP_VSC[],MATCH($B23,MMWR_RATING_STATE_ROLLUP_VSC[MMWR_RATING_STATE_ROLLUP_VSC],0),MATCH(I$9,MMWR_RATING_STATE_ROLLUP_VSC[#Headers],0)),"ERROR"))</f>
        <v>139.11385395159999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9056</v>
      </c>
      <c r="D24" s="155">
        <f>IF($B24=" ","",IFERROR(INDEX(MMWR_RATING_STATE_ROLLUP_VSC[],MATCH($B24,MMWR_RATING_STATE_ROLLUP_VSC[MMWR_RATING_STATE_ROLLUP_VSC],0),MATCH(D$9,MMWR_RATING_STATE_ROLLUP_VSC[#Headers],0)),"ERROR"))</f>
        <v>97.804659893999997</v>
      </c>
      <c r="E24" s="156">
        <f>IF($B24=" ","",IFERROR(INDEX(MMWR_RATING_STATE_ROLLUP_VSC[],MATCH($B24,MMWR_RATING_STATE_ROLLUP_VSC[MMWR_RATING_STATE_ROLLUP_VSC],0),MATCH(E$9,MMWR_RATING_STATE_ROLLUP_VSC[#Headers],0))/$C24,"ERROR"))</f>
        <v>0.24072438162544169</v>
      </c>
      <c r="F24" s="154">
        <f>IF($B24=" ","",IFERROR(INDEX(MMWR_RATING_STATE_ROLLUP_VSC[],MATCH($B24,MMWR_RATING_STATE_ROLLUP_VSC[MMWR_RATING_STATE_ROLLUP_VSC],0),MATCH(F$9,MMWR_RATING_STATE_ROLLUP_VSC[#Headers],0)),"ERROR"))</f>
        <v>1125</v>
      </c>
      <c r="G24" s="154">
        <f>IF($B24=" ","",IFERROR(INDEX(MMWR_RATING_STATE_ROLLUP_VSC[],MATCH($B24,MMWR_RATING_STATE_ROLLUP_VSC[MMWR_RATING_STATE_ROLLUP_VSC],0),MATCH(G$9,MMWR_RATING_STATE_ROLLUP_VSC[#Headers],0)),"ERROR"))</f>
        <v>24501</v>
      </c>
      <c r="H24" s="155">
        <f>IF($B24=" ","",IFERROR(INDEX(MMWR_RATING_STATE_ROLLUP_VSC[],MATCH($B24,MMWR_RATING_STATE_ROLLUP_VSC[MMWR_RATING_STATE_ROLLUP_VSC],0),MATCH(H$9,MMWR_RATING_STATE_ROLLUP_VSC[#Headers],0)),"ERROR"))</f>
        <v>126.5697777778</v>
      </c>
      <c r="I24" s="155">
        <f>IF($B24=" ","",IFERROR(INDEX(MMWR_RATING_STATE_ROLLUP_VSC[],MATCH($B24,MMWR_RATING_STATE_ROLLUP_VSC[MMWR_RATING_STATE_ROLLUP_VSC],0),MATCH(I$9,MMWR_RATING_STATE_ROLLUP_VSC[#Headers],0)),"ERROR"))</f>
        <v>129.54834496550001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17399</v>
      </c>
      <c r="D25" s="155">
        <f>IF($B25=" ","",IFERROR(INDEX(MMWR_RATING_STATE_ROLLUP_VSC[],MATCH($B25,MMWR_RATING_STATE_ROLLUP_VSC[MMWR_RATING_STATE_ROLLUP_VSC],0),MATCH(D$9,MMWR_RATING_STATE_ROLLUP_VSC[#Headers],0)),"ERROR"))</f>
        <v>90.736938904499993</v>
      </c>
      <c r="E25" s="156">
        <f>IF($B25=" ","",IFERROR(INDEX(MMWR_RATING_STATE_ROLLUP_VSC[],MATCH($B25,MMWR_RATING_STATE_ROLLUP_VSC[MMWR_RATING_STATE_ROLLUP_VSC],0),MATCH(E$9,MMWR_RATING_STATE_ROLLUP_VSC[#Headers],0))/$C25,"ERROR"))</f>
        <v>0.22581757572274269</v>
      </c>
      <c r="F25" s="154">
        <f>IF($B25=" ","",IFERROR(INDEX(MMWR_RATING_STATE_ROLLUP_VSC[],MATCH($B25,MMWR_RATING_STATE_ROLLUP_VSC[MMWR_RATING_STATE_ROLLUP_VSC],0),MATCH(F$9,MMWR_RATING_STATE_ROLLUP_VSC[#Headers],0)),"ERROR"))</f>
        <v>2008</v>
      </c>
      <c r="G25" s="154">
        <f>IF($B25=" ","",IFERROR(INDEX(MMWR_RATING_STATE_ROLLUP_VSC[],MATCH($B25,MMWR_RATING_STATE_ROLLUP_VSC[MMWR_RATING_STATE_ROLLUP_VSC],0),MATCH(G$9,MMWR_RATING_STATE_ROLLUP_VSC[#Headers],0)),"ERROR"))</f>
        <v>44429</v>
      </c>
      <c r="H25" s="155">
        <f>IF($B25=" ","",IFERROR(INDEX(MMWR_RATING_STATE_ROLLUP_VSC[],MATCH($B25,MMWR_RATING_STATE_ROLLUP_VSC[MMWR_RATING_STATE_ROLLUP_VSC],0),MATCH(H$9,MMWR_RATING_STATE_ROLLUP_VSC[#Headers],0)),"ERROR"))</f>
        <v>129.32021912350001</v>
      </c>
      <c r="I25" s="155">
        <f>IF($B25=" ","",IFERROR(INDEX(MMWR_RATING_STATE_ROLLUP_VSC[],MATCH($B25,MMWR_RATING_STATE_ROLLUP_VSC[MMWR_RATING_STATE_ROLLUP_VSC],0),MATCH(I$9,MMWR_RATING_STATE_ROLLUP_VSC[#Headers],0)),"ERROR"))</f>
        <v>135.4740147201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9445</v>
      </c>
      <c r="D26" s="155">
        <f>IF($B26=" ","",IFERROR(INDEX(MMWR_RATING_STATE_ROLLUP_VSC[],MATCH($B26,MMWR_RATING_STATE_ROLLUP_VSC[MMWR_RATING_STATE_ROLLUP_VSC],0),MATCH(D$9,MMWR_RATING_STATE_ROLLUP_VSC[#Headers],0)),"ERROR"))</f>
        <v>114.2653255691</v>
      </c>
      <c r="E26" s="156">
        <f>IF($B26=" ","",IFERROR(INDEX(MMWR_RATING_STATE_ROLLUP_VSC[],MATCH($B26,MMWR_RATING_STATE_ROLLUP_VSC[MMWR_RATING_STATE_ROLLUP_VSC],0),MATCH(E$9,MMWR_RATING_STATE_ROLLUP_VSC[#Headers],0))/$C26,"ERROR"))</f>
        <v>0.30005293806246691</v>
      </c>
      <c r="F26" s="154">
        <f>IF($B26=" ","",IFERROR(INDEX(MMWR_RATING_STATE_ROLLUP_VSC[],MATCH($B26,MMWR_RATING_STATE_ROLLUP_VSC[MMWR_RATING_STATE_ROLLUP_VSC],0),MATCH(F$9,MMWR_RATING_STATE_ROLLUP_VSC[#Headers],0)),"ERROR"))</f>
        <v>1109</v>
      </c>
      <c r="G26" s="154">
        <f>IF($B26=" ","",IFERROR(INDEX(MMWR_RATING_STATE_ROLLUP_VSC[],MATCH($B26,MMWR_RATING_STATE_ROLLUP_VSC[MMWR_RATING_STATE_ROLLUP_VSC],0),MATCH(G$9,MMWR_RATING_STATE_ROLLUP_VSC[#Headers],0)),"ERROR"))</f>
        <v>24782</v>
      </c>
      <c r="H26" s="155">
        <f>IF($B26=" ","",IFERROR(INDEX(MMWR_RATING_STATE_ROLLUP_VSC[],MATCH($B26,MMWR_RATING_STATE_ROLLUP_VSC[MMWR_RATING_STATE_ROLLUP_VSC],0),MATCH(H$9,MMWR_RATING_STATE_ROLLUP_VSC[#Headers],0)),"ERROR"))</f>
        <v>148.2885482417</v>
      </c>
      <c r="I26" s="155">
        <f>IF($B26=" ","",IFERROR(INDEX(MMWR_RATING_STATE_ROLLUP_VSC[],MATCH($B26,MMWR_RATING_STATE_ROLLUP_VSC[MMWR_RATING_STATE_ROLLUP_VSC],0),MATCH(I$9,MMWR_RATING_STATE_ROLLUP_VSC[#Headers],0)),"ERROR"))</f>
        <v>140.78032442899999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907</v>
      </c>
      <c r="D27" s="155">
        <f>IF($B27=" ","",IFERROR(INDEX(MMWR_RATING_STATE_ROLLUP_VSC[],MATCH($B27,MMWR_RATING_STATE_ROLLUP_VSC[MMWR_RATING_STATE_ROLLUP_VSC],0),MATCH(D$9,MMWR_RATING_STATE_ROLLUP_VSC[#Headers],0)),"ERROR"))</f>
        <v>86.528114663699995</v>
      </c>
      <c r="E27" s="156">
        <f>IF($B27=" ","",IFERROR(INDEX(MMWR_RATING_STATE_ROLLUP_VSC[],MATCH($B27,MMWR_RATING_STATE_ROLLUP_VSC[MMWR_RATING_STATE_ROLLUP_VSC],0),MATCH(E$9,MMWR_RATING_STATE_ROLLUP_VSC[#Headers],0))/$C27,"ERROR"))</f>
        <v>0.18412348401323042</v>
      </c>
      <c r="F27" s="154">
        <f>IF($B27=" ","",IFERROR(INDEX(MMWR_RATING_STATE_ROLLUP_VSC[],MATCH($B27,MMWR_RATING_STATE_ROLLUP_VSC[MMWR_RATING_STATE_ROLLUP_VSC],0),MATCH(F$9,MMWR_RATING_STATE_ROLLUP_VSC[#Headers],0)),"ERROR"))</f>
        <v>125</v>
      </c>
      <c r="G27" s="154">
        <f>IF($B27=" ","",IFERROR(INDEX(MMWR_RATING_STATE_ROLLUP_VSC[],MATCH($B27,MMWR_RATING_STATE_ROLLUP_VSC[MMWR_RATING_STATE_ROLLUP_VSC],0),MATCH(G$9,MMWR_RATING_STATE_ROLLUP_VSC[#Headers],0)),"ERROR"))</f>
        <v>2904</v>
      </c>
      <c r="H27" s="155">
        <f>IF($B27=" ","",IFERROR(INDEX(MMWR_RATING_STATE_ROLLUP_VSC[],MATCH($B27,MMWR_RATING_STATE_ROLLUP_VSC[MMWR_RATING_STATE_ROLLUP_VSC],0),MATCH(H$9,MMWR_RATING_STATE_ROLLUP_VSC[#Headers],0)),"ERROR"))</f>
        <v>106.06399999999999</v>
      </c>
      <c r="I27" s="155">
        <f>IF($B27=" ","",IFERROR(INDEX(MMWR_RATING_STATE_ROLLUP_VSC[],MATCH($B27,MMWR_RATING_STATE_ROLLUP_VSC[MMWR_RATING_STATE_ROLLUP_VSC],0),MATCH(I$9,MMWR_RATING_STATE_ROLLUP_VSC[#Headers],0)),"ERROR"))</f>
        <v>106.742768595</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534</v>
      </c>
      <c r="D28" s="155">
        <f>IF($B28=" ","",IFERROR(INDEX(MMWR_RATING_STATE_ROLLUP_VSC[],MATCH($B28,MMWR_RATING_STATE_ROLLUP_VSC[MMWR_RATING_STATE_ROLLUP_VSC],0),MATCH(D$9,MMWR_RATING_STATE_ROLLUP_VSC[#Headers],0)),"ERROR"))</f>
        <v>92.604868913900006</v>
      </c>
      <c r="E28" s="156">
        <f>IF($B28=" ","",IFERROR(INDEX(MMWR_RATING_STATE_ROLLUP_VSC[],MATCH($B28,MMWR_RATING_STATE_ROLLUP_VSC[MMWR_RATING_STATE_ROLLUP_VSC],0),MATCH(E$9,MMWR_RATING_STATE_ROLLUP_VSC[#Headers],0))/$C28,"ERROR"))</f>
        <v>0.23595505617977527</v>
      </c>
      <c r="F28" s="154">
        <f>IF($B28=" ","",IFERROR(INDEX(MMWR_RATING_STATE_ROLLUP_VSC[],MATCH($B28,MMWR_RATING_STATE_ROLLUP_VSC[MMWR_RATING_STATE_ROLLUP_VSC],0),MATCH(F$9,MMWR_RATING_STATE_ROLLUP_VSC[#Headers],0)),"ERROR"))</f>
        <v>47</v>
      </c>
      <c r="G28" s="154">
        <f>IF($B28=" ","",IFERROR(INDEX(MMWR_RATING_STATE_ROLLUP_VSC[],MATCH($B28,MMWR_RATING_STATE_ROLLUP_VSC[MMWR_RATING_STATE_ROLLUP_VSC],0),MATCH(G$9,MMWR_RATING_STATE_ROLLUP_VSC[#Headers],0)),"ERROR"))</f>
        <v>1301</v>
      </c>
      <c r="H28" s="155">
        <f>IF($B28=" ","",IFERROR(INDEX(MMWR_RATING_STATE_ROLLUP_VSC[],MATCH($B28,MMWR_RATING_STATE_ROLLUP_VSC[MMWR_RATING_STATE_ROLLUP_VSC],0),MATCH(H$9,MMWR_RATING_STATE_ROLLUP_VSC[#Headers],0)),"ERROR"))</f>
        <v>157.19148936170001</v>
      </c>
      <c r="I28" s="155">
        <f>IF($B28=" ","",IFERROR(INDEX(MMWR_RATING_STATE_ROLLUP_VSC[],MATCH($B28,MMWR_RATING_STATE_ROLLUP_VSC[MMWR_RATING_STATE_ROLLUP_VSC],0),MATCH(I$9,MMWR_RATING_STATE_ROLLUP_VSC[#Headers],0)),"ERROR"))</f>
        <v>133.02690238279999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11321</v>
      </c>
      <c r="D29" s="155">
        <f>IF($B29=" ","",IFERROR(INDEX(MMWR_RATING_STATE_ROLLUP_VSC[],MATCH($B29,MMWR_RATING_STATE_ROLLUP_VSC[MMWR_RATING_STATE_ROLLUP_VSC],0),MATCH(D$9,MMWR_RATING_STATE_ROLLUP_VSC[#Headers],0)),"ERROR"))</f>
        <v>84.306951682700003</v>
      </c>
      <c r="E29" s="156">
        <f>IF($B29=" ","",IFERROR(INDEX(MMWR_RATING_STATE_ROLLUP_VSC[],MATCH($B29,MMWR_RATING_STATE_ROLLUP_VSC[MMWR_RATING_STATE_ROLLUP_VSC],0),MATCH(E$9,MMWR_RATING_STATE_ROLLUP_VSC[#Headers],0))/$C29,"ERROR"))</f>
        <v>0.17940111297588551</v>
      </c>
      <c r="F29" s="154">
        <f>IF($B29=" ","",IFERROR(INDEX(MMWR_RATING_STATE_ROLLUP_VSC[],MATCH($B29,MMWR_RATING_STATE_ROLLUP_VSC[MMWR_RATING_STATE_ROLLUP_VSC],0),MATCH(F$9,MMWR_RATING_STATE_ROLLUP_VSC[#Headers],0)),"ERROR"))</f>
        <v>1345</v>
      </c>
      <c r="G29" s="154">
        <f>IF($B29=" ","",IFERROR(INDEX(MMWR_RATING_STATE_ROLLUP_VSC[],MATCH($B29,MMWR_RATING_STATE_ROLLUP_VSC[MMWR_RATING_STATE_ROLLUP_VSC],0),MATCH(G$9,MMWR_RATING_STATE_ROLLUP_VSC[#Headers],0)),"ERROR"))</f>
        <v>31217</v>
      </c>
      <c r="H29" s="155">
        <f>IF($B29=" ","",IFERROR(INDEX(MMWR_RATING_STATE_ROLLUP_VSC[],MATCH($B29,MMWR_RATING_STATE_ROLLUP_VSC[MMWR_RATING_STATE_ROLLUP_VSC],0),MATCH(H$9,MMWR_RATING_STATE_ROLLUP_VSC[#Headers],0)),"ERROR"))</f>
        <v>125.4988847584</v>
      </c>
      <c r="I29" s="155">
        <f>IF($B29=" ","",IFERROR(INDEX(MMWR_RATING_STATE_ROLLUP_VSC[],MATCH($B29,MMWR_RATING_STATE_ROLLUP_VSC[MMWR_RATING_STATE_ROLLUP_VSC],0),MATCH(I$9,MMWR_RATING_STATE_ROLLUP_VSC[#Headers],0)),"ERROR"))</f>
        <v>129.8643687734</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2524</v>
      </c>
      <c r="D30" s="155">
        <f>IF($B30=" ","",IFERROR(INDEX(MMWR_RATING_STATE_ROLLUP_VSC[],MATCH($B30,MMWR_RATING_STATE_ROLLUP_VSC[MMWR_RATING_STATE_ROLLUP_VSC],0),MATCH(D$9,MMWR_RATING_STATE_ROLLUP_VSC[#Headers],0)),"ERROR"))</f>
        <v>79.3474643423</v>
      </c>
      <c r="E30" s="156">
        <f>IF($B30=" ","",IFERROR(INDEX(MMWR_RATING_STATE_ROLLUP_VSC[],MATCH($B30,MMWR_RATING_STATE_ROLLUP_VSC[MMWR_RATING_STATE_ROLLUP_VSC],0),MATCH(E$9,MMWR_RATING_STATE_ROLLUP_VSC[#Headers],0))/$C30,"ERROR"))</f>
        <v>0.16719492868462757</v>
      </c>
      <c r="F30" s="154">
        <f>IF($B30=" ","",IFERROR(INDEX(MMWR_RATING_STATE_ROLLUP_VSC[],MATCH($B30,MMWR_RATING_STATE_ROLLUP_VSC[MMWR_RATING_STATE_ROLLUP_VSC],0),MATCH(F$9,MMWR_RATING_STATE_ROLLUP_VSC[#Headers],0)),"ERROR"))</f>
        <v>325</v>
      </c>
      <c r="G30" s="154">
        <f>IF($B30=" ","",IFERROR(INDEX(MMWR_RATING_STATE_ROLLUP_VSC[],MATCH($B30,MMWR_RATING_STATE_ROLLUP_VSC[MMWR_RATING_STATE_ROLLUP_VSC],0),MATCH(G$9,MMWR_RATING_STATE_ROLLUP_VSC[#Headers],0)),"ERROR"))</f>
        <v>8226</v>
      </c>
      <c r="H30" s="155">
        <f>IF($B30=" ","",IFERROR(INDEX(MMWR_RATING_STATE_ROLLUP_VSC[],MATCH($B30,MMWR_RATING_STATE_ROLLUP_VSC[MMWR_RATING_STATE_ROLLUP_VSC],0),MATCH(H$9,MMWR_RATING_STATE_ROLLUP_VSC[#Headers],0)),"ERROR"))</f>
        <v>119.16307692309999</v>
      </c>
      <c r="I30" s="155">
        <f>IF($B30=" ","",IFERROR(INDEX(MMWR_RATING_STATE_ROLLUP_VSC[],MATCH($B30,MMWR_RATING_STATE_ROLLUP_VSC[MMWR_RATING_STATE_ROLLUP_VSC],0),MATCH(I$9,MMWR_RATING_STATE_ROLLUP_VSC[#Headers],0)),"ERROR"))</f>
        <v>116.8858497447</v>
      </c>
      <c r="J30" s="42"/>
      <c r="K30" s="42"/>
      <c r="L30" s="42"/>
      <c r="M30" s="42"/>
      <c r="N30" s="28"/>
    </row>
    <row r="31" spans="1:14" x14ac:dyDescent="0.2">
      <c r="A31" s="25"/>
      <c r="B31" s="342" t="s">
        <v>958</v>
      </c>
      <c r="C31" s="343"/>
      <c r="D31" s="343"/>
      <c r="E31" s="343"/>
      <c r="F31" s="343"/>
      <c r="G31" s="343"/>
      <c r="H31" s="343"/>
      <c r="I31" s="343"/>
      <c r="J31" s="343"/>
      <c r="K31" s="343"/>
      <c r="L31" s="343"/>
      <c r="M31" s="393"/>
      <c r="N31" s="28"/>
    </row>
    <row r="32" spans="1:14" x14ac:dyDescent="0.2">
      <c r="A32" s="25"/>
      <c r="B32" s="41" t="s">
        <v>1036</v>
      </c>
      <c r="C32" s="154">
        <f>IF($B32=" ","",IFERROR(INDEX(MMWR_RATING_STATE_ROLLUP_PMC[],MATCH($B32,MMWR_RATING_STATE_ROLLUP_PMC[MMWR_RATING_STATE_ROLLUP_PMC],0),MATCH(C$9,MMWR_RATING_STATE_ROLLUP_PMC[#Headers],0)),"ERROR"))</f>
        <v>25849</v>
      </c>
      <c r="D32" s="155">
        <f>IF($B32=" ","",IFERROR(INDEX(MMWR_RATING_STATE_ROLLUP_PMC[],MATCH($B32,MMWR_RATING_STATE_ROLLUP_PMC[MMWR_RATING_STATE_ROLLUP_PMC],0),MATCH(D$9,MMWR_RATING_STATE_ROLLUP_PMC[#Headers],0)),"ERROR"))</f>
        <v>67.757746914799995</v>
      </c>
      <c r="E32" s="156">
        <f>IF($B32=" ","",IFERROR(INDEX(MMWR_RATING_STATE_ROLLUP_PMC[],MATCH($B32,MMWR_RATING_STATE_ROLLUP_PMC[MMWR_RATING_STATE_ROLLUP_PMC],0),MATCH(E$9,MMWR_RATING_STATE_ROLLUP_PMC[#Headers],0))/$C32,"ERROR"))</f>
        <v>0.12104917018066463</v>
      </c>
      <c r="F32" s="154">
        <f>IF($B32=" ","",IFERROR(INDEX(MMWR_RATING_STATE_ROLLUP_PMC[],MATCH($B32,MMWR_RATING_STATE_ROLLUP_PMC[MMWR_RATING_STATE_ROLLUP_PMC],0),MATCH(F$9,MMWR_RATING_STATE_ROLLUP_PMC[#Headers],0)),"ERROR"))</f>
        <v>7106</v>
      </c>
      <c r="G32" s="154">
        <f>IF($B32=" ","",IFERROR(INDEX(MMWR_RATING_STATE_ROLLUP_PMC[],MATCH($B32,MMWR_RATING_STATE_ROLLUP_PMC[MMWR_RATING_STATE_ROLLUP_PMC],0),MATCH(G$9,MMWR_RATING_STATE_ROLLUP_PMC[#Headers],0)),"ERROR"))</f>
        <v>129389</v>
      </c>
      <c r="H32" s="155">
        <f>IF($B32=" ","",IFERROR(INDEX(MMWR_RATING_STATE_ROLLUP_PMC[],MATCH($B32,MMWR_RATING_STATE_ROLLUP_PMC[MMWR_RATING_STATE_ROLLUP_PMC],0),MATCH(H$9,MMWR_RATING_STATE_ROLLUP_PMC[#Headers],0)),"ERROR"))</f>
        <v>82.588376020300004</v>
      </c>
      <c r="I32" s="155">
        <f>IF($B32=" ","",IFERROR(INDEX(MMWR_RATING_STATE_ROLLUP_PMC[],MATCH($B32,MMWR_RATING_STATE_ROLLUP_PMC[MMWR_RATING_STATE_ROLLUP_PMC],0),MATCH(I$9,MMWR_RATING_STATE_ROLLUP_PMC[#Headers],0)),"ERROR"))</f>
        <v>79.296501248200002</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6878</v>
      </c>
      <c r="D33" s="155">
        <f>IF($B33=" ","",IFERROR(INDEX(MMWR_RATING_STATE_ROLLUP_PMC[],MATCH($B33,MMWR_RATING_STATE_ROLLUP_PMC[MMWR_RATING_STATE_ROLLUP_PMC],0),MATCH(D$9,MMWR_RATING_STATE_ROLLUP_PMC[#Headers],0)),"ERROR"))</f>
        <v>67.990404187300001</v>
      </c>
      <c r="E33" s="156">
        <f>IF($B33=" ","",IFERROR(INDEX(MMWR_RATING_STATE_ROLLUP_PMC[],MATCH($B33,MMWR_RATING_STATE_ROLLUP_PMC[MMWR_RATING_STATE_ROLLUP_PMC],0),MATCH(E$9,MMWR_RATING_STATE_ROLLUP_PMC[#Headers],0))/$C33,"ERROR"))</f>
        <v>0.13070660075603374</v>
      </c>
      <c r="F33" s="154">
        <f>IF($B33=" ","",IFERROR(INDEX(MMWR_RATING_STATE_ROLLUP_PMC[],MATCH($B33,MMWR_RATING_STATE_ROLLUP_PMC[MMWR_RATING_STATE_ROLLUP_PMC],0),MATCH(F$9,MMWR_RATING_STATE_ROLLUP_PMC[#Headers],0)),"ERROR"))</f>
        <v>1631</v>
      </c>
      <c r="G33" s="154">
        <f>IF($B33=" ","",IFERROR(INDEX(MMWR_RATING_STATE_ROLLUP_PMC[],MATCH($B33,MMWR_RATING_STATE_ROLLUP_PMC[MMWR_RATING_STATE_ROLLUP_PMC],0),MATCH(G$9,MMWR_RATING_STATE_ROLLUP_PMC[#Headers],0)),"ERROR"))</f>
        <v>26547</v>
      </c>
      <c r="H33" s="155">
        <f>IF($B33=" ","",IFERROR(INDEX(MMWR_RATING_STATE_ROLLUP_PMC[],MATCH($B33,MMWR_RATING_STATE_ROLLUP_PMC[MMWR_RATING_STATE_ROLLUP_PMC],0),MATCH(H$9,MMWR_RATING_STATE_ROLLUP_PMC[#Headers],0)),"ERROR"))</f>
        <v>103.14408338440001</v>
      </c>
      <c r="I33" s="155">
        <f>IF($B33=" ","",IFERROR(INDEX(MMWR_RATING_STATE_ROLLUP_PMC[],MATCH($B33,MMWR_RATING_STATE_ROLLUP_PMC[MMWR_RATING_STATE_ROLLUP_PMC],0),MATCH(I$9,MMWR_RATING_STATE_ROLLUP_PMC[#Headers],0)),"ERROR"))</f>
        <v>98.390477266700003</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225</v>
      </c>
      <c r="D34" s="155">
        <f>IF($B34=" ","",IFERROR(INDEX(MMWR_RATING_STATE_ROLLUP_PMC[],MATCH($B34,MMWR_RATING_STATE_ROLLUP_PMC[MMWR_RATING_STATE_ROLLUP_PMC],0),MATCH(D$9,MMWR_RATING_STATE_ROLLUP_PMC[#Headers],0)),"ERROR"))</f>
        <v>71.8533333333</v>
      </c>
      <c r="E34" s="156">
        <f>IF($B34=" ","",IFERROR(INDEX(MMWR_RATING_STATE_ROLLUP_PMC[],MATCH($B34,MMWR_RATING_STATE_ROLLUP_PMC[MMWR_RATING_STATE_ROLLUP_PMC],0),MATCH(E$9,MMWR_RATING_STATE_ROLLUP_PMC[#Headers],0))/$C34,"ERROR"))</f>
        <v>0.1111111111111111</v>
      </c>
      <c r="F34" s="154">
        <f>IF($B34=" ","",IFERROR(INDEX(MMWR_RATING_STATE_ROLLUP_PMC[],MATCH($B34,MMWR_RATING_STATE_ROLLUP_PMC[MMWR_RATING_STATE_ROLLUP_PMC],0),MATCH(F$9,MMWR_RATING_STATE_ROLLUP_PMC[#Headers],0)),"ERROR"))</f>
        <v>52</v>
      </c>
      <c r="G34" s="154">
        <f>IF($B34=" ","",IFERROR(INDEX(MMWR_RATING_STATE_ROLLUP_PMC[],MATCH($B34,MMWR_RATING_STATE_ROLLUP_PMC[MMWR_RATING_STATE_ROLLUP_PMC],0),MATCH(G$9,MMWR_RATING_STATE_ROLLUP_PMC[#Headers],0)),"ERROR"))</f>
        <v>794</v>
      </c>
      <c r="H34" s="155">
        <f>IF($B34=" ","",IFERROR(INDEX(MMWR_RATING_STATE_ROLLUP_PMC[],MATCH($B34,MMWR_RATING_STATE_ROLLUP_PMC[MMWR_RATING_STATE_ROLLUP_PMC],0),MATCH(H$9,MMWR_RATING_STATE_ROLLUP_PMC[#Headers],0)),"ERROR"))</f>
        <v>82.076923076900002</v>
      </c>
      <c r="I34" s="155">
        <f>IF($B34=" ","",IFERROR(INDEX(MMWR_RATING_STATE_ROLLUP_PMC[],MATCH($B34,MMWR_RATING_STATE_ROLLUP_PMC[MMWR_RATING_STATE_ROLLUP_PMC],0),MATCH(I$9,MMWR_RATING_STATE_ROLLUP_PMC[#Headers],0)),"ERROR"))</f>
        <v>96.923173803500006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72</v>
      </c>
      <c r="D35" s="155">
        <f>IF($B35=" ","",IFERROR(INDEX(MMWR_RATING_STATE_ROLLUP_PMC[],MATCH($B35,MMWR_RATING_STATE_ROLLUP_PMC[MMWR_RATING_STATE_ROLLUP_PMC],0),MATCH(D$9,MMWR_RATING_STATE_ROLLUP_PMC[#Headers],0)),"ERROR"))</f>
        <v>63.458333333299997</v>
      </c>
      <c r="E35" s="156">
        <f>IF($B35=" ","",IFERROR(INDEX(MMWR_RATING_STATE_ROLLUP_PMC[],MATCH($B35,MMWR_RATING_STATE_ROLLUP_PMC[MMWR_RATING_STATE_ROLLUP_PMC],0),MATCH(E$9,MMWR_RATING_STATE_ROLLUP_PMC[#Headers],0))/$C35,"ERROR"))</f>
        <v>0.125</v>
      </c>
      <c r="F35" s="154">
        <f>IF($B35=" ","",IFERROR(INDEX(MMWR_RATING_STATE_ROLLUP_PMC[],MATCH($B35,MMWR_RATING_STATE_ROLLUP_PMC[MMWR_RATING_STATE_ROLLUP_PMC],0),MATCH(F$9,MMWR_RATING_STATE_ROLLUP_PMC[#Headers],0)),"ERROR"))</f>
        <v>17</v>
      </c>
      <c r="G35" s="154">
        <f>IF($B35=" ","",IFERROR(INDEX(MMWR_RATING_STATE_ROLLUP_PMC[],MATCH($B35,MMWR_RATING_STATE_ROLLUP_PMC[MMWR_RATING_STATE_ROLLUP_PMC],0),MATCH(G$9,MMWR_RATING_STATE_ROLLUP_PMC[#Headers],0)),"ERROR"))</f>
        <v>268</v>
      </c>
      <c r="H35" s="155">
        <f>IF($B35=" ","",IFERROR(INDEX(MMWR_RATING_STATE_ROLLUP_PMC[],MATCH($B35,MMWR_RATING_STATE_ROLLUP_PMC[MMWR_RATING_STATE_ROLLUP_PMC],0),MATCH(H$9,MMWR_RATING_STATE_ROLLUP_PMC[#Headers],0)),"ERROR"))</f>
        <v>129.0588235294</v>
      </c>
      <c r="I35" s="155">
        <f>IF($B35=" ","",IFERROR(INDEX(MMWR_RATING_STATE_ROLLUP_PMC[],MATCH($B35,MMWR_RATING_STATE_ROLLUP_PMC[MMWR_RATING_STATE_ROLLUP_PMC],0),MATCH(I$9,MMWR_RATING_STATE_ROLLUP_PMC[#Headers],0)),"ERROR"))</f>
        <v>102.4664179104</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33</v>
      </c>
      <c r="D36" s="155">
        <f>IF($B36=" ","",IFERROR(INDEX(MMWR_RATING_STATE_ROLLUP_PMC[],MATCH($B36,MMWR_RATING_STATE_ROLLUP_PMC[MMWR_RATING_STATE_ROLLUP_PMC],0),MATCH(D$9,MMWR_RATING_STATE_ROLLUP_PMC[#Headers],0)),"ERROR"))</f>
        <v>89.090909090899999</v>
      </c>
      <c r="E36" s="156">
        <f>IF($B36=" ","",IFERROR(INDEX(MMWR_RATING_STATE_ROLLUP_PMC[],MATCH($B36,MMWR_RATING_STATE_ROLLUP_PMC[MMWR_RATING_STATE_ROLLUP_PMC],0),MATCH(E$9,MMWR_RATING_STATE_ROLLUP_PMC[#Headers],0))/$C36,"ERROR"))</f>
        <v>0.24242424242424243</v>
      </c>
      <c r="F36" s="154">
        <f>IF($B36=" ","",IFERROR(INDEX(MMWR_RATING_STATE_ROLLUP_PMC[],MATCH($B36,MMWR_RATING_STATE_ROLLUP_PMC[MMWR_RATING_STATE_ROLLUP_PMC],0),MATCH(F$9,MMWR_RATING_STATE_ROLLUP_PMC[#Headers],0)),"ERROR"))</f>
        <v>15</v>
      </c>
      <c r="G36" s="154">
        <f>IF($B36=" ","",IFERROR(INDEX(MMWR_RATING_STATE_ROLLUP_PMC[],MATCH($B36,MMWR_RATING_STATE_ROLLUP_PMC[MMWR_RATING_STATE_ROLLUP_PMC],0),MATCH(G$9,MMWR_RATING_STATE_ROLLUP_PMC[#Headers],0)),"ERROR"))</f>
        <v>228</v>
      </c>
      <c r="H36" s="155">
        <f>IF($B36=" ","",IFERROR(INDEX(MMWR_RATING_STATE_ROLLUP_PMC[],MATCH($B36,MMWR_RATING_STATE_ROLLUP_PMC[MMWR_RATING_STATE_ROLLUP_PMC],0),MATCH(H$9,MMWR_RATING_STATE_ROLLUP_PMC[#Headers],0)),"ERROR"))</f>
        <v>84.2</v>
      </c>
      <c r="I36" s="155">
        <f>IF($B36=" ","",IFERROR(INDEX(MMWR_RATING_STATE_ROLLUP_PMC[],MATCH($B36,MMWR_RATING_STATE_ROLLUP_PMC[MMWR_RATING_STATE_ROLLUP_PMC],0),MATCH(I$9,MMWR_RATING_STATE_ROLLUP_PMC[#Headers],0)),"ERROR"))</f>
        <v>107.9868421053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118</v>
      </c>
      <c r="D37" s="155">
        <f>IF($B37=" ","",IFERROR(INDEX(MMWR_RATING_STATE_ROLLUP_PMC[],MATCH($B37,MMWR_RATING_STATE_ROLLUP_PMC[MMWR_RATING_STATE_ROLLUP_PMC],0),MATCH(D$9,MMWR_RATING_STATE_ROLLUP_PMC[#Headers],0)),"ERROR"))</f>
        <v>59.186440677999997</v>
      </c>
      <c r="E37" s="156">
        <f>IF($B37=" ","",IFERROR(INDEX(MMWR_RATING_STATE_ROLLUP_PMC[],MATCH($B37,MMWR_RATING_STATE_ROLLUP_PMC[MMWR_RATING_STATE_ROLLUP_PMC],0),MATCH(E$9,MMWR_RATING_STATE_ROLLUP_PMC[#Headers],0))/$C37,"ERROR"))</f>
        <v>5.9322033898305086E-2</v>
      </c>
      <c r="F37" s="154">
        <f>IF($B37=" ","",IFERROR(INDEX(MMWR_RATING_STATE_ROLLUP_PMC[],MATCH($B37,MMWR_RATING_STATE_ROLLUP_PMC[MMWR_RATING_STATE_ROLLUP_PMC],0),MATCH(F$9,MMWR_RATING_STATE_ROLLUP_PMC[#Headers],0)),"ERROR"))</f>
        <v>27</v>
      </c>
      <c r="G37" s="154">
        <f>IF($B37=" ","",IFERROR(INDEX(MMWR_RATING_STATE_ROLLUP_PMC[],MATCH($B37,MMWR_RATING_STATE_ROLLUP_PMC[MMWR_RATING_STATE_ROLLUP_PMC],0),MATCH(G$9,MMWR_RATING_STATE_ROLLUP_PMC[#Headers],0)),"ERROR"))</f>
        <v>500</v>
      </c>
      <c r="H37" s="155">
        <f>IF($B37=" ","",IFERROR(INDEX(MMWR_RATING_STATE_ROLLUP_PMC[],MATCH($B37,MMWR_RATING_STATE_ROLLUP_PMC[MMWR_RATING_STATE_ROLLUP_PMC],0),MATCH(H$9,MMWR_RATING_STATE_ROLLUP_PMC[#Headers],0)),"ERROR"))</f>
        <v>90.259259259299995</v>
      </c>
      <c r="I37" s="155">
        <f>IF($B37=" ","",IFERROR(INDEX(MMWR_RATING_STATE_ROLLUP_PMC[],MATCH($B37,MMWR_RATING_STATE_ROLLUP_PMC[MMWR_RATING_STATE_ROLLUP_PMC],0),MATCH(I$9,MMWR_RATING_STATE_ROLLUP_PMC[#Headers],0)),"ERROR"))</f>
        <v>87.8</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474</v>
      </c>
      <c r="D38" s="155">
        <f>IF($B38=" ","",IFERROR(INDEX(MMWR_RATING_STATE_ROLLUP_PMC[],MATCH($B38,MMWR_RATING_STATE_ROLLUP_PMC[MMWR_RATING_STATE_ROLLUP_PMC],0),MATCH(D$9,MMWR_RATING_STATE_ROLLUP_PMC[#Headers],0)),"ERROR"))</f>
        <v>66.7004219409</v>
      </c>
      <c r="E38" s="156">
        <f>IF($B38=" ","",IFERROR(INDEX(MMWR_RATING_STATE_ROLLUP_PMC[],MATCH($B38,MMWR_RATING_STATE_ROLLUP_PMC[MMWR_RATING_STATE_ROLLUP_PMC],0),MATCH(E$9,MMWR_RATING_STATE_ROLLUP_PMC[#Headers],0))/$C38,"ERROR"))</f>
        <v>0.13291139240506328</v>
      </c>
      <c r="F38" s="154">
        <f>IF($B38=" ","",IFERROR(INDEX(MMWR_RATING_STATE_ROLLUP_PMC[],MATCH($B38,MMWR_RATING_STATE_ROLLUP_PMC[MMWR_RATING_STATE_ROLLUP_PMC],0),MATCH(F$9,MMWR_RATING_STATE_ROLLUP_PMC[#Headers],0)),"ERROR"))</f>
        <v>98</v>
      </c>
      <c r="G38" s="154">
        <f>IF($B38=" ","",IFERROR(INDEX(MMWR_RATING_STATE_ROLLUP_PMC[],MATCH($B38,MMWR_RATING_STATE_ROLLUP_PMC[MMWR_RATING_STATE_ROLLUP_PMC],0),MATCH(G$9,MMWR_RATING_STATE_ROLLUP_PMC[#Headers],0)),"ERROR"))</f>
        <v>1727</v>
      </c>
      <c r="H38" s="155">
        <f>IF($B38=" ","",IFERROR(INDEX(MMWR_RATING_STATE_ROLLUP_PMC[],MATCH($B38,MMWR_RATING_STATE_ROLLUP_PMC[MMWR_RATING_STATE_ROLLUP_PMC],0),MATCH(H$9,MMWR_RATING_STATE_ROLLUP_PMC[#Headers],0)),"ERROR"))</f>
        <v>125.31632653059999</v>
      </c>
      <c r="I38" s="155">
        <f>IF($B38=" ","",IFERROR(INDEX(MMWR_RATING_STATE_ROLLUP_PMC[],MATCH($B38,MMWR_RATING_STATE_ROLLUP_PMC[MMWR_RATING_STATE_ROLLUP_PMC],0),MATCH(I$9,MMWR_RATING_STATE_ROLLUP_PMC[#Headers],0)),"ERROR"))</f>
        <v>102.2987840185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435</v>
      </c>
      <c r="D39" s="155">
        <f>IF($B39=" ","",IFERROR(INDEX(MMWR_RATING_STATE_ROLLUP_PMC[],MATCH($B39,MMWR_RATING_STATE_ROLLUP_PMC[MMWR_RATING_STATE_ROLLUP_PMC],0),MATCH(D$9,MMWR_RATING_STATE_ROLLUP_PMC[#Headers],0)),"ERROR"))</f>
        <v>67.901149425300005</v>
      </c>
      <c r="E39" s="156">
        <f>IF($B39=" ","",IFERROR(INDEX(MMWR_RATING_STATE_ROLLUP_PMC[],MATCH($B39,MMWR_RATING_STATE_ROLLUP_PMC[MMWR_RATING_STATE_ROLLUP_PMC],0),MATCH(E$9,MMWR_RATING_STATE_ROLLUP_PMC[#Headers],0))/$C39,"ERROR"))</f>
        <v>0.14022988505747128</v>
      </c>
      <c r="F39" s="154">
        <f>IF($B39=" ","",IFERROR(INDEX(MMWR_RATING_STATE_ROLLUP_PMC[],MATCH($B39,MMWR_RATING_STATE_ROLLUP_PMC[MMWR_RATING_STATE_ROLLUP_PMC],0),MATCH(F$9,MMWR_RATING_STATE_ROLLUP_PMC[#Headers],0)),"ERROR"))</f>
        <v>96</v>
      </c>
      <c r="G39" s="154">
        <f>IF($B39=" ","",IFERROR(INDEX(MMWR_RATING_STATE_ROLLUP_PMC[],MATCH($B39,MMWR_RATING_STATE_ROLLUP_PMC[MMWR_RATING_STATE_ROLLUP_PMC],0),MATCH(G$9,MMWR_RATING_STATE_ROLLUP_PMC[#Headers],0)),"ERROR"))</f>
        <v>1647</v>
      </c>
      <c r="H39" s="155">
        <f>IF($B39=" ","",IFERROR(INDEX(MMWR_RATING_STATE_ROLLUP_PMC[],MATCH($B39,MMWR_RATING_STATE_ROLLUP_PMC[MMWR_RATING_STATE_ROLLUP_PMC],0),MATCH(H$9,MMWR_RATING_STATE_ROLLUP_PMC[#Headers],0)),"ERROR"))</f>
        <v>91.510416666699996</v>
      </c>
      <c r="I39" s="155">
        <f>IF($B39=" ","",IFERROR(INDEX(MMWR_RATING_STATE_ROLLUP_PMC[],MATCH($B39,MMWR_RATING_STATE_ROLLUP_PMC[MMWR_RATING_STATE_ROLLUP_PMC],0),MATCH(I$9,MMWR_RATING_STATE_ROLLUP_PMC[#Headers],0)),"ERROR"))</f>
        <v>93.834244080100007</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98</v>
      </c>
      <c r="D40" s="155">
        <f>IF($B40=" ","",IFERROR(INDEX(MMWR_RATING_STATE_ROLLUP_PMC[],MATCH($B40,MMWR_RATING_STATE_ROLLUP_PMC[MMWR_RATING_STATE_ROLLUP_PMC],0),MATCH(D$9,MMWR_RATING_STATE_ROLLUP_PMC[#Headers],0)),"ERROR"))</f>
        <v>70.234693877599994</v>
      </c>
      <c r="E40" s="156">
        <f>IF($B40=" ","",IFERROR(INDEX(MMWR_RATING_STATE_ROLLUP_PMC[],MATCH($B40,MMWR_RATING_STATE_ROLLUP_PMC[MMWR_RATING_STATE_ROLLUP_PMC],0),MATCH(E$9,MMWR_RATING_STATE_ROLLUP_PMC[#Headers],0))/$C40,"ERROR"))</f>
        <v>0.15306122448979592</v>
      </c>
      <c r="F40" s="154">
        <f>IF($B40=" ","",IFERROR(INDEX(MMWR_RATING_STATE_ROLLUP_PMC[],MATCH($B40,MMWR_RATING_STATE_ROLLUP_PMC[MMWR_RATING_STATE_ROLLUP_PMC],0),MATCH(F$9,MMWR_RATING_STATE_ROLLUP_PMC[#Headers],0)),"ERROR"))</f>
        <v>30</v>
      </c>
      <c r="G40" s="154">
        <f>IF($B40=" ","",IFERROR(INDEX(MMWR_RATING_STATE_ROLLUP_PMC[],MATCH($B40,MMWR_RATING_STATE_ROLLUP_PMC[MMWR_RATING_STATE_ROLLUP_PMC],0),MATCH(G$9,MMWR_RATING_STATE_ROLLUP_PMC[#Headers],0)),"ERROR"))</f>
        <v>416</v>
      </c>
      <c r="H40" s="155">
        <f>IF($B40=" ","",IFERROR(INDEX(MMWR_RATING_STATE_ROLLUP_PMC[],MATCH($B40,MMWR_RATING_STATE_ROLLUP_PMC[MMWR_RATING_STATE_ROLLUP_PMC],0),MATCH(H$9,MMWR_RATING_STATE_ROLLUP_PMC[#Headers],0)),"ERROR"))</f>
        <v>90.766666666700004</v>
      </c>
      <c r="I40" s="155">
        <f>IF($B40=" ","",IFERROR(INDEX(MMWR_RATING_STATE_ROLLUP_PMC[],MATCH($B40,MMWR_RATING_STATE_ROLLUP_PMC[MMWR_RATING_STATE_ROLLUP_PMC],0),MATCH(I$9,MMWR_RATING_STATE_ROLLUP_PMC[#Headers],0)),"ERROR"))</f>
        <v>93.295673076900002</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504</v>
      </c>
      <c r="D41" s="155">
        <f>IF($B41=" ","",IFERROR(INDEX(MMWR_RATING_STATE_ROLLUP_PMC[],MATCH($B41,MMWR_RATING_STATE_ROLLUP_PMC[MMWR_RATING_STATE_ROLLUP_PMC],0),MATCH(D$9,MMWR_RATING_STATE_ROLLUP_PMC[#Headers],0)),"ERROR"))</f>
        <v>70.226190476200003</v>
      </c>
      <c r="E41" s="156">
        <f>IF($B41=" ","",IFERROR(INDEX(MMWR_RATING_STATE_ROLLUP_PMC[],MATCH($B41,MMWR_RATING_STATE_ROLLUP_PMC[MMWR_RATING_STATE_ROLLUP_PMC],0),MATCH(E$9,MMWR_RATING_STATE_ROLLUP_PMC[#Headers],0))/$C41,"ERROR"))</f>
        <v>0.15674603174603174</v>
      </c>
      <c r="F41" s="154">
        <f>IF($B41=" ","",IFERROR(INDEX(MMWR_RATING_STATE_ROLLUP_PMC[],MATCH($B41,MMWR_RATING_STATE_ROLLUP_PMC[MMWR_RATING_STATE_ROLLUP_PMC],0),MATCH(F$9,MMWR_RATING_STATE_ROLLUP_PMC[#Headers],0)),"ERROR"))</f>
        <v>96</v>
      </c>
      <c r="G41" s="154">
        <f>IF($B41=" ","",IFERROR(INDEX(MMWR_RATING_STATE_ROLLUP_PMC[],MATCH($B41,MMWR_RATING_STATE_ROLLUP_PMC[MMWR_RATING_STATE_ROLLUP_PMC],0),MATCH(G$9,MMWR_RATING_STATE_ROLLUP_PMC[#Headers],0)),"ERROR"))</f>
        <v>1793</v>
      </c>
      <c r="H41" s="155">
        <f>IF($B41=" ","",IFERROR(INDEX(MMWR_RATING_STATE_ROLLUP_PMC[],MATCH($B41,MMWR_RATING_STATE_ROLLUP_PMC[MMWR_RATING_STATE_ROLLUP_PMC],0),MATCH(H$9,MMWR_RATING_STATE_ROLLUP_PMC[#Headers],0)),"ERROR"))</f>
        <v>96.197916666699996</v>
      </c>
      <c r="I41" s="155">
        <f>IF($B41=" ","",IFERROR(INDEX(MMWR_RATING_STATE_ROLLUP_PMC[],MATCH($B41,MMWR_RATING_STATE_ROLLUP_PMC[MMWR_RATING_STATE_ROLLUP_PMC],0),MATCH(I$9,MMWR_RATING_STATE_ROLLUP_PMC[#Headers],0)),"ERROR"))</f>
        <v>96.993865030699993</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1089</v>
      </c>
      <c r="D42" s="155">
        <f>IF($B42=" ","",IFERROR(INDEX(MMWR_RATING_STATE_ROLLUP_PMC[],MATCH($B42,MMWR_RATING_STATE_ROLLUP_PMC[MMWR_RATING_STATE_ROLLUP_PMC],0),MATCH(D$9,MMWR_RATING_STATE_ROLLUP_PMC[#Headers],0)),"ERROR"))</f>
        <v>63.884297520700002</v>
      </c>
      <c r="E42" s="156">
        <f>IF($B42=" ","",IFERROR(INDEX(MMWR_RATING_STATE_ROLLUP_PMC[],MATCH($B42,MMWR_RATING_STATE_ROLLUP_PMC[MMWR_RATING_STATE_ROLLUP_PMC],0),MATCH(E$9,MMWR_RATING_STATE_ROLLUP_PMC[#Headers],0))/$C42,"ERROR"))</f>
        <v>0.1147842056932966</v>
      </c>
      <c r="F42" s="154">
        <f>IF($B42=" ","",IFERROR(INDEX(MMWR_RATING_STATE_ROLLUP_PMC[],MATCH($B42,MMWR_RATING_STATE_ROLLUP_PMC[MMWR_RATING_STATE_ROLLUP_PMC],0),MATCH(F$9,MMWR_RATING_STATE_ROLLUP_PMC[#Headers],0)),"ERROR"))</f>
        <v>299</v>
      </c>
      <c r="G42" s="154">
        <f>IF($B42=" ","",IFERROR(INDEX(MMWR_RATING_STATE_ROLLUP_PMC[],MATCH($B42,MMWR_RATING_STATE_ROLLUP_PMC[MMWR_RATING_STATE_ROLLUP_PMC],0),MATCH(G$9,MMWR_RATING_STATE_ROLLUP_PMC[#Headers],0)),"ERROR"))</f>
        <v>4637</v>
      </c>
      <c r="H42" s="155">
        <f>IF($B42=" ","",IFERROR(INDEX(MMWR_RATING_STATE_ROLLUP_PMC[],MATCH($B42,MMWR_RATING_STATE_ROLLUP_PMC[MMWR_RATING_STATE_ROLLUP_PMC],0),MATCH(H$9,MMWR_RATING_STATE_ROLLUP_PMC[#Headers],0)),"ERROR"))</f>
        <v>108.32107023410001</v>
      </c>
      <c r="I42" s="155">
        <f>IF($B42=" ","",IFERROR(INDEX(MMWR_RATING_STATE_ROLLUP_PMC[],MATCH($B42,MMWR_RATING_STATE_ROLLUP_PMC[MMWR_RATING_STATE_ROLLUP_PMC],0),MATCH(I$9,MMWR_RATING_STATE_ROLLUP_PMC[#Headers],0)),"ERROR"))</f>
        <v>99.866939831799996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1236</v>
      </c>
      <c r="D43" s="155">
        <f>IF($B43=" ","",IFERROR(INDEX(MMWR_RATING_STATE_ROLLUP_PMC[],MATCH($B43,MMWR_RATING_STATE_ROLLUP_PMC[MMWR_RATING_STATE_ROLLUP_PMC],0),MATCH(D$9,MMWR_RATING_STATE_ROLLUP_PMC[#Headers],0)),"ERROR"))</f>
        <v>70.613268608400006</v>
      </c>
      <c r="E43" s="156">
        <f>IF($B43=" ","",IFERROR(INDEX(MMWR_RATING_STATE_ROLLUP_PMC[],MATCH($B43,MMWR_RATING_STATE_ROLLUP_PMC[MMWR_RATING_STATE_ROLLUP_PMC],0),MATCH(E$9,MMWR_RATING_STATE_ROLLUP_PMC[#Headers],0))/$C43,"ERROR"))</f>
        <v>0.14077669902912621</v>
      </c>
      <c r="F43" s="154">
        <f>IF($B43=" ","",IFERROR(INDEX(MMWR_RATING_STATE_ROLLUP_PMC[],MATCH($B43,MMWR_RATING_STATE_ROLLUP_PMC[MMWR_RATING_STATE_ROLLUP_PMC],0),MATCH(F$9,MMWR_RATING_STATE_ROLLUP_PMC[#Headers],0)),"ERROR"))</f>
        <v>274</v>
      </c>
      <c r="G43" s="154">
        <f>IF($B43=" ","",IFERROR(INDEX(MMWR_RATING_STATE_ROLLUP_PMC[],MATCH($B43,MMWR_RATING_STATE_ROLLUP_PMC[MMWR_RATING_STATE_ROLLUP_PMC],0),MATCH(G$9,MMWR_RATING_STATE_ROLLUP_PMC[#Headers],0)),"ERROR"))</f>
        <v>4647</v>
      </c>
      <c r="H43" s="155">
        <f>IF($B43=" ","",IFERROR(INDEX(MMWR_RATING_STATE_ROLLUP_PMC[],MATCH($B43,MMWR_RATING_STATE_ROLLUP_PMC[MMWR_RATING_STATE_ROLLUP_PMC],0),MATCH(H$9,MMWR_RATING_STATE_ROLLUP_PMC[#Headers],0)),"ERROR"))</f>
        <v>109.47080291970001</v>
      </c>
      <c r="I43" s="155">
        <f>IF($B43=" ","",IFERROR(INDEX(MMWR_RATING_STATE_ROLLUP_PMC[],MATCH($B43,MMWR_RATING_STATE_ROLLUP_PMC[MMWR_RATING_STATE_ROLLUP_PMC],0),MATCH(I$9,MMWR_RATING_STATE_ROLLUP_PMC[#Headers],0)),"ERROR"))</f>
        <v>98.200344308200002</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1356</v>
      </c>
      <c r="D44" s="155">
        <f>IF($B44=" ","",IFERROR(INDEX(MMWR_RATING_STATE_ROLLUP_PMC[],MATCH($B44,MMWR_RATING_STATE_ROLLUP_PMC[MMWR_RATING_STATE_ROLLUP_PMC],0),MATCH(D$9,MMWR_RATING_STATE_ROLLUP_PMC[#Headers],0)),"ERROR"))</f>
        <v>67.687315634200004</v>
      </c>
      <c r="E44" s="156">
        <f>IF($B44=" ","",IFERROR(INDEX(MMWR_RATING_STATE_ROLLUP_PMC[],MATCH($B44,MMWR_RATING_STATE_ROLLUP_PMC[MMWR_RATING_STATE_ROLLUP_PMC],0),MATCH(E$9,MMWR_RATING_STATE_ROLLUP_PMC[#Headers],0))/$C44,"ERROR"))</f>
        <v>0.10250737463126844</v>
      </c>
      <c r="F44" s="154">
        <f>IF($B44=" ","",IFERROR(INDEX(MMWR_RATING_STATE_ROLLUP_PMC[],MATCH($B44,MMWR_RATING_STATE_ROLLUP_PMC[MMWR_RATING_STATE_ROLLUP_PMC],0),MATCH(F$9,MMWR_RATING_STATE_ROLLUP_PMC[#Headers],0)),"ERROR"))</f>
        <v>352</v>
      </c>
      <c r="G44" s="154">
        <f>IF($B44=" ","",IFERROR(INDEX(MMWR_RATING_STATE_ROLLUP_PMC[],MATCH($B44,MMWR_RATING_STATE_ROLLUP_PMC[MMWR_RATING_STATE_ROLLUP_PMC],0),MATCH(G$9,MMWR_RATING_STATE_ROLLUP_PMC[#Headers],0)),"ERROR"))</f>
        <v>5435</v>
      </c>
      <c r="H44" s="155">
        <f>IF($B44=" ","",IFERROR(INDEX(MMWR_RATING_STATE_ROLLUP_PMC[],MATCH($B44,MMWR_RATING_STATE_ROLLUP_PMC[MMWR_RATING_STATE_ROLLUP_PMC],0),MATCH(H$9,MMWR_RATING_STATE_ROLLUP_PMC[#Headers],0)),"ERROR"))</f>
        <v>99.40625</v>
      </c>
      <c r="I44" s="155">
        <f>IF($B44=" ","",IFERROR(INDEX(MMWR_RATING_STATE_ROLLUP_PMC[],MATCH($B44,MMWR_RATING_STATE_ROLLUP_PMC[MMWR_RATING_STATE_ROLLUP_PMC],0),MATCH(I$9,MMWR_RATING_STATE_ROLLUP_PMC[#Headers],0)),"ERROR"))</f>
        <v>97.064581416699994</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91</v>
      </c>
      <c r="D45" s="155">
        <f>IF($B45=" ","",IFERROR(INDEX(MMWR_RATING_STATE_ROLLUP_PMC[],MATCH($B45,MMWR_RATING_STATE_ROLLUP_PMC[MMWR_RATING_STATE_ROLLUP_PMC],0),MATCH(D$9,MMWR_RATING_STATE_ROLLUP_PMC[#Headers],0)),"ERROR"))</f>
        <v>64.978021978000001</v>
      </c>
      <c r="E45" s="156">
        <f>IF($B45=" ","",IFERROR(INDEX(MMWR_RATING_STATE_ROLLUP_PMC[],MATCH($B45,MMWR_RATING_STATE_ROLLUP_PMC[MMWR_RATING_STATE_ROLLUP_PMC],0),MATCH(E$9,MMWR_RATING_STATE_ROLLUP_PMC[#Headers],0))/$C45,"ERROR"))</f>
        <v>0.13186813186813187</v>
      </c>
      <c r="F45" s="154">
        <f>IF($B45=" ","",IFERROR(INDEX(MMWR_RATING_STATE_ROLLUP_PMC[],MATCH($B45,MMWR_RATING_STATE_ROLLUP_PMC[MMWR_RATING_STATE_ROLLUP_PMC],0),MATCH(F$9,MMWR_RATING_STATE_ROLLUP_PMC[#Headers],0)),"ERROR"))</f>
        <v>30</v>
      </c>
      <c r="G45" s="154">
        <f>IF($B45=" ","",IFERROR(INDEX(MMWR_RATING_STATE_ROLLUP_PMC[],MATCH($B45,MMWR_RATING_STATE_ROLLUP_PMC[MMWR_RATING_STATE_ROLLUP_PMC],0),MATCH(G$9,MMWR_RATING_STATE_ROLLUP_PMC[#Headers],0)),"ERROR"))</f>
        <v>418</v>
      </c>
      <c r="H45" s="155">
        <f>IF($B45=" ","",IFERROR(INDEX(MMWR_RATING_STATE_ROLLUP_PMC[],MATCH($B45,MMWR_RATING_STATE_ROLLUP_PMC[MMWR_RATING_STATE_ROLLUP_PMC],0),MATCH(H$9,MMWR_RATING_STATE_ROLLUP_PMC[#Headers],0)),"ERROR"))</f>
        <v>93.933333333299998</v>
      </c>
      <c r="I45" s="155">
        <f>IF($B45=" ","",IFERROR(INDEX(MMWR_RATING_STATE_ROLLUP_PMC[],MATCH($B45,MMWR_RATING_STATE_ROLLUP_PMC[MMWR_RATING_STATE_ROLLUP_PMC],0),MATCH(I$9,MMWR_RATING_STATE_ROLLUP_PMC[#Headers],0)),"ERROR"))</f>
        <v>98.057416267899995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44</v>
      </c>
      <c r="D46" s="155">
        <f>IF($B46=" ","",IFERROR(INDEX(MMWR_RATING_STATE_ROLLUP_PMC[],MATCH($B46,MMWR_RATING_STATE_ROLLUP_PMC[MMWR_RATING_STATE_ROLLUP_PMC],0),MATCH(D$9,MMWR_RATING_STATE_ROLLUP_PMC[#Headers],0)),"ERROR"))</f>
        <v>61.159090909100001</v>
      </c>
      <c r="E46" s="156">
        <f>IF($B46=" ","",IFERROR(INDEX(MMWR_RATING_STATE_ROLLUP_PMC[],MATCH($B46,MMWR_RATING_STATE_ROLLUP_PMC[MMWR_RATING_STATE_ROLLUP_PMC],0),MATCH(E$9,MMWR_RATING_STATE_ROLLUP_PMC[#Headers],0))/$C46,"ERROR"))</f>
        <v>9.0909090909090912E-2</v>
      </c>
      <c r="F46" s="154">
        <f>IF($B46=" ","",IFERROR(INDEX(MMWR_RATING_STATE_ROLLUP_PMC[],MATCH($B46,MMWR_RATING_STATE_ROLLUP_PMC[MMWR_RATING_STATE_ROLLUP_PMC],0),MATCH(F$9,MMWR_RATING_STATE_ROLLUP_PMC[#Headers],0)),"ERROR"))</f>
        <v>7</v>
      </c>
      <c r="G46" s="154">
        <f>IF($B46=" ","",IFERROR(INDEX(MMWR_RATING_STATE_ROLLUP_PMC[],MATCH($B46,MMWR_RATING_STATE_ROLLUP_PMC[MMWR_RATING_STATE_ROLLUP_PMC],0),MATCH(G$9,MMWR_RATING_STATE_ROLLUP_PMC[#Headers],0)),"ERROR"))</f>
        <v>146</v>
      </c>
      <c r="H46" s="155">
        <f>IF($B46=" ","",IFERROR(INDEX(MMWR_RATING_STATE_ROLLUP_PMC[],MATCH($B46,MMWR_RATING_STATE_ROLLUP_PMC[MMWR_RATING_STATE_ROLLUP_PMC],0),MATCH(H$9,MMWR_RATING_STATE_ROLLUP_PMC[#Headers],0)),"ERROR"))</f>
        <v>76</v>
      </c>
      <c r="I46" s="155">
        <f>IF($B46=" ","",IFERROR(INDEX(MMWR_RATING_STATE_ROLLUP_PMC[],MATCH($B46,MMWR_RATING_STATE_ROLLUP_PMC[MMWR_RATING_STATE_ROLLUP_PMC],0),MATCH(I$9,MMWR_RATING_STATE_ROLLUP_PMC[#Headers],0)),"ERROR"))</f>
        <v>100.1232876712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879</v>
      </c>
      <c r="D47" s="155">
        <f>IF($B47=" ","",IFERROR(INDEX(MMWR_RATING_STATE_ROLLUP_PMC[],MATCH($B47,MMWR_RATING_STATE_ROLLUP_PMC[MMWR_RATING_STATE_ROLLUP_PMC],0),MATCH(D$9,MMWR_RATING_STATE_ROLLUP_PMC[#Headers],0)),"ERROR"))</f>
        <v>70.559726962499994</v>
      </c>
      <c r="E47" s="156">
        <f>IF($B47=" ","",IFERROR(INDEX(MMWR_RATING_STATE_ROLLUP_PMC[],MATCH($B47,MMWR_RATING_STATE_ROLLUP_PMC[MMWR_RATING_STATE_ROLLUP_PMC],0),MATCH(E$9,MMWR_RATING_STATE_ROLLUP_PMC[#Headers],0))/$C47,"ERROR"))</f>
        <v>0.1695108077360637</v>
      </c>
      <c r="F47" s="154">
        <f>IF($B47=" ","",IFERROR(INDEX(MMWR_RATING_STATE_ROLLUP_PMC[],MATCH($B47,MMWR_RATING_STATE_ROLLUP_PMC[MMWR_RATING_STATE_ROLLUP_PMC],0),MATCH(F$9,MMWR_RATING_STATE_ROLLUP_PMC[#Headers],0)),"ERROR"))</f>
        <v>183</v>
      </c>
      <c r="G47" s="154">
        <f>IF($B47=" ","",IFERROR(INDEX(MMWR_RATING_STATE_ROLLUP_PMC[],MATCH($B47,MMWR_RATING_STATE_ROLLUP_PMC[MMWR_RATING_STATE_ROLLUP_PMC],0),MATCH(G$9,MMWR_RATING_STATE_ROLLUP_PMC[#Headers],0)),"ERROR"))</f>
        <v>2928</v>
      </c>
      <c r="H47" s="155">
        <f>IF($B47=" ","",IFERROR(INDEX(MMWR_RATING_STATE_ROLLUP_PMC[],MATCH($B47,MMWR_RATING_STATE_ROLLUP_PMC[MMWR_RATING_STATE_ROLLUP_PMC],0),MATCH(H$9,MMWR_RATING_STATE_ROLLUP_PMC[#Headers],0)),"ERROR"))</f>
        <v>104.09289617490001</v>
      </c>
      <c r="I47" s="155">
        <f>IF($B47=" ","",IFERROR(INDEX(MMWR_RATING_STATE_ROLLUP_PMC[],MATCH($B47,MMWR_RATING_STATE_ROLLUP_PMC[MMWR_RATING_STATE_ROLLUP_PMC],0),MATCH(I$9,MMWR_RATING_STATE_ROLLUP_PMC[#Headers],0)),"ERROR"))</f>
        <v>101.44023224039999</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224</v>
      </c>
      <c r="D48" s="155">
        <f>IF($B48=" ","",IFERROR(INDEX(MMWR_RATING_STATE_ROLLUP_PMC[],MATCH($B48,MMWR_RATING_STATE_ROLLUP_PMC[MMWR_RATING_STATE_ROLLUP_PMC],0),MATCH(D$9,MMWR_RATING_STATE_ROLLUP_PMC[#Headers],0)),"ERROR"))</f>
        <v>63.794642857100001</v>
      </c>
      <c r="E48" s="156">
        <f>IF($B48=" ","",IFERROR(INDEX(MMWR_RATING_STATE_ROLLUP_PMC[],MATCH($B48,MMWR_RATING_STATE_ROLLUP_PMC[MMWR_RATING_STATE_ROLLUP_PMC],0),MATCH(E$9,MMWR_RATING_STATE_ROLLUP_PMC[#Headers],0))/$C48,"ERROR"))</f>
        <v>0.12946428571428573</v>
      </c>
      <c r="F48" s="154">
        <f>IF($B48=" ","",IFERROR(INDEX(MMWR_RATING_STATE_ROLLUP_PMC[],MATCH($B48,MMWR_RATING_STATE_ROLLUP_PMC[MMWR_RATING_STATE_ROLLUP_PMC],0),MATCH(F$9,MMWR_RATING_STATE_ROLLUP_PMC[#Headers],0)),"ERROR"))</f>
        <v>55</v>
      </c>
      <c r="G48" s="154">
        <f>IF($B48=" ","",IFERROR(INDEX(MMWR_RATING_STATE_ROLLUP_PMC[],MATCH($B48,MMWR_RATING_STATE_ROLLUP_PMC[MMWR_RATING_STATE_ROLLUP_PMC],0),MATCH(G$9,MMWR_RATING_STATE_ROLLUP_PMC[#Headers],0)),"ERROR"))</f>
        <v>963</v>
      </c>
      <c r="H48" s="155">
        <f>IF($B48=" ","",IFERROR(INDEX(MMWR_RATING_STATE_ROLLUP_PMC[],MATCH($B48,MMWR_RATING_STATE_ROLLUP_PMC[MMWR_RATING_STATE_ROLLUP_PMC],0),MATCH(H$9,MMWR_RATING_STATE_ROLLUP_PMC[#Headers],0)),"ERROR"))</f>
        <v>95.8</v>
      </c>
      <c r="I48" s="155">
        <f>IF($B48=" ","",IFERROR(INDEX(MMWR_RATING_STATE_ROLLUP_PMC[],MATCH($B48,MMWR_RATING_STATE_ROLLUP_PMC[MMWR_RATING_STATE_ROLLUP_PMC],0),MATCH(I$9,MMWR_RATING_STATE_ROLLUP_PMC[#Headers],0)),"ERROR"))</f>
        <v>99.177570093499995</v>
      </c>
      <c r="J48" s="42"/>
      <c r="K48" s="42"/>
      <c r="L48" s="42"/>
      <c r="M48" s="42"/>
      <c r="N48" s="28"/>
    </row>
    <row r="49" spans="1:14" x14ac:dyDescent="0.2">
      <c r="A49" s="25"/>
      <c r="B49" s="342" t="s">
        <v>1038</v>
      </c>
      <c r="C49" s="343"/>
      <c r="D49" s="343"/>
      <c r="E49" s="343"/>
      <c r="F49" s="343"/>
      <c r="G49" s="343"/>
      <c r="H49" s="343"/>
      <c r="I49" s="343"/>
      <c r="J49" s="343"/>
      <c r="K49" s="343"/>
      <c r="L49" s="343"/>
      <c r="M49" s="393"/>
      <c r="N49" s="28"/>
    </row>
    <row r="50" spans="1:14" x14ac:dyDescent="0.2">
      <c r="A50" s="25"/>
      <c r="B50" s="41" t="s">
        <v>1037</v>
      </c>
      <c r="C50" s="154">
        <f>IF($B50=" ","",IFERROR(INDEX(MMWR_RATING_STATE_ROLLUP_QST[],MATCH($B50,MMWR_RATING_STATE_ROLLUP_QST[MMWR_RATING_STATE_ROLLUP_QST],0),MATCH(C$9,MMWR_RATING_STATE_ROLLUP_QST[#Headers],0)),"ERROR"))</f>
        <v>8007</v>
      </c>
      <c r="D50" s="155">
        <f>IF($B50=" ","",IFERROR(INDEX(MMWR_RATING_STATE_ROLLUP_QST[],MATCH($B50,MMWR_RATING_STATE_ROLLUP_QST[MMWR_RATING_STATE_ROLLUP_QST],0),MATCH(D$9,MMWR_RATING_STATE_ROLLUP_QST[#Headers],0)),"ERROR"))</f>
        <v>65.718371425000001</v>
      </c>
      <c r="E50" s="156">
        <f>IF($B50=" ","",IFERROR(INDEX(MMWR_RATING_STATE_ROLLUP_QST[],MATCH($B50,MMWR_RATING_STATE_ROLLUP_QST[MMWR_RATING_STATE_ROLLUP_QST],0),MATCH(E$9,MMWR_RATING_STATE_ROLLUP_QST[#Headers],0))/$C50,"ERROR"))</f>
        <v>0.11589858873485701</v>
      </c>
      <c r="F50" s="154">
        <f>IF($B50=" ","",IFERROR(INDEX(MMWR_RATING_STATE_ROLLUP_QST[],MATCH($B50,MMWR_RATING_STATE_ROLLUP_QST[MMWR_RATING_STATE_ROLLUP_QST],0),MATCH(F$9,MMWR_RATING_STATE_ROLLUP_QST[#Headers],0)),"ERROR"))</f>
        <v>857</v>
      </c>
      <c r="G50" s="154">
        <f>IF($B50=" ","",IFERROR(INDEX(MMWR_RATING_STATE_ROLLUP_QST[],MATCH($B50,MMWR_RATING_STATE_ROLLUP_QST[MMWR_RATING_STATE_ROLLUP_QST],0),MATCH(G$9,MMWR_RATING_STATE_ROLLUP_QST[#Headers],0)),"ERROR"))</f>
        <v>22212</v>
      </c>
      <c r="H50" s="155">
        <f>IF($B50=" ","",IFERROR(INDEX(MMWR_RATING_STATE_ROLLUP_QST[],MATCH($B50,MMWR_RATING_STATE_ROLLUP_QST[MMWR_RATING_STATE_ROLLUP_QST],0),MATCH(H$9,MMWR_RATING_STATE_ROLLUP_QST[#Headers],0)),"ERROR"))</f>
        <v>110.6709451575</v>
      </c>
      <c r="I50" s="155">
        <f>IF($B50=" ","",IFERROR(INDEX(MMWR_RATING_STATE_ROLLUP_QST[],MATCH($B50,MMWR_RATING_STATE_ROLLUP_QST[MMWR_RATING_STATE_ROLLUP_QST],0),MATCH(I$9,MMWR_RATING_STATE_ROLLUP_QST[#Headers],0)),"ERROR"))</f>
        <v>136.8616063389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1952</v>
      </c>
      <c r="D51" s="155">
        <f>IF($B51=" ","",IFERROR(INDEX(MMWR_RATING_STATE_ROLLUP_QST[],MATCH($B51,MMWR_RATING_STATE_ROLLUP_QST[MMWR_RATING_STATE_ROLLUP_QST],0),MATCH(D$9,MMWR_RATING_STATE_ROLLUP_QST[#Headers],0)),"ERROR"))</f>
        <v>66.040471311499999</v>
      </c>
      <c r="E51" s="156">
        <f>IF($B51=" ","",IFERROR(INDEX(MMWR_RATING_STATE_ROLLUP_QST[],MATCH($B51,MMWR_RATING_STATE_ROLLUP_QST[MMWR_RATING_STATE_ROLLUP_QST],0),MATCH(E$9,MMWR_RATING_STATE_ROLLUP_QST[#Headers],0))/$C51,"ERROR"))</f>
        <v>0.11065573770491803</v>
      </c>
      <c r="F51" s="154">
        <f>IF($B51=" ","",IFERROR(INDEX(MMWR_RATING_STATE_ROLLUP_QST[],MATCH($B51,MMWR_RATING_STATE_ROLLUP_QST[MMWR_RATING_STATE_ROLLUP_QST],0),MATCH(F$9,MMWR_RATING_STATE_ROLLUP_QST[#Headers],0)),"ERROR"))</f>
        <v>183</v>
      </c>
      <c r="G51" s="154">
        <f>IF($B51=" ","",IFERROR(INDEX(MMWR_RATING_STATE_ROLLUP_QST[],MATCH($B51,MMWR_RATING_STATE_ROLLUP_QST[MMWR_RATING_STATE_ROLLUP_QST],0),MATCH(G$9,MMWR_RATING_STATE_ROLLUP_QST[#Headers],0)),"ERROR"))</f>
        <v>4873</v>
      </c>
      <c r="H51" s="155">
        <f>IF($B51=" ","",IFERROR(INDEX(MMWR_RATING_STATE_ROLLUP_QST[],MATCH($B51,MMWR_RATING_STATE_ROLLUP_QST[MMWR_RATING_STATE_ROLLUP_QST],0),MATCH(H$9,MMWR_RATING_STATE_ROLLUP_QST[#Headers],0)),"ERROR"))</f>
        <v>128.15846994539999</v>
      </c>
      <c r="I51" s="155">
        <f>IF($B51=" ","",IFERROR(INDEX(MMWR_RATING_STATE_ROLLUP_QST[],MATCH($B51,MMWR_RATING_STATE_ROLLUP_QST[MMWR_RATING_STATE_ROLLUP_QST],0),MATCH(I$9,MMWR_RATING_STATE_ROLLUP_QST[#Headers],0)),"ERROR"))</f>
        <v>146.46808947260001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57</v>
      </c>
      <c r="D52" s="155">
        <f>IF($B52=" ","",IFERROR(INDEX(MMWR_RATING_STATE_ROLLUP_QST[],MATCH($B52,MMWR_RATING_STATE_ROLLUP_QST[MMWR_RATING_STATE_ROLLUP_QST],0),MATCH(D$9,MMWR_RATING_STATE_ROLLUP_QST[#Headers],0)),"ERROR"))</f>
        <v>63.964912280699998</v>
      </c>
      <c r="E52" s="156">
        <f>IF($B52=" ","",IFERROR(INDEX(MMWR_RATING_STATE_ROLLUP_QST[],MATCH($B52,MMWR_RATING_STATE_ROLLUP_QST[MMWR_RATING_STATE_ROLLUP_QST],0),MATCH(E$9,MMWR_RATING_STATE_ROLLUP_QST[#Headers],0))/$C52,"ERROR"))</f>
        <v>7.0175438596491224E-2</v>
      </c>
      <c r="F52" s="154">
        <f>IF($B52=" ","",IFERROR(INDEX(MMWR_RATING_STATE_ROLLUP_QST[],MATCH($B52,MMWR_RATING_STATE_ROLLUP_QST[MMWR_RATING_STATE_ROLLUP_QST],0),MATCH(F$9,MMWR_RATING_STATE_ROLLUP_QST[#Headers],0)),"ERROR"))</f>
        <v>3</v>
      </c>
      <c r="G52" s="154">
        <f>IF($B52=" ","",IFERROR(INDEX(MMWR_RATING_STATE_ROLLUP_QST[],MATCH($B52,MMWR_RATING_STATE_ROLLUP_QST[MMWR_RATING_STATE_ROLLUP_QST],0),MATCH(G$9,MMWR_RATING_STATE_ROLLUP_QST[#Headers],0)),"ERROR"))</f>
        <v>124</v>
      </c>
      <c r="H52" s="155">
        <f>IF($B52=" ","",IFERROR(INDEX(MMWR_RATING_STATE_ROLLUP_QST[],MATCH($B52,MMWR_RATING_STATE_ROLLUP_QST[MMWR_RATING_STATE_ROLLUP_QST],0),MATCH(H$9,MMWR_RATING_STATE_ROLLUP_QST[#Headers],0)),"ERROR"))</f>
        <v>105.6666666667</v>
      </c>
      <c r="I52" s="155">
        <f>IF($B52=" ","",IFERROR(INDEX(MMWR_RATING_STATE_ROLLUP_QST[],MATCH($B52,MMWR_RATING_STATE_ROLLUP_QST[MMWR_RATING_STATE_ROLLUP_QST],0),MATCH(I$9,MMWR_RATING_STATE_ROLLUP_QST[#Headers],0)),"ERROR"))</f>
        <v>134.67741935480001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13</v>
      </c>
      <c r="D53" s="155">
        <f>IF($B53=" ","",IFERROR(INDEX(MMWR_RATING_STATE_ROLLUP_QST[],MATCH($B53,MMWR_RATING_STATE_ROLLUP_QST[MMWR_RATING_STATE_ROLLUP_QST],0),MATCH(D$9,MMWR_RATING_STATE_ROLLUP_QST[#Headers],0)),"ERROR"))</f>
        <v>41.461538461499998</v>
      </c>
      <c r="E53" s="156">
        <f>IF($B53=" ","",IFERROR(INDEX(MMWR_RATING_STATE_ROLLUP_QST[],MATCH($B53,MMWR_RATING_STATE_ROLLUP_QST[MMWR_RATING_STATE_ROLLUP_QST],0),MATCH(E$9,MMWR_RATING_STATE_ROLLUP_QST[#Headers],0))/$C53,"ERROR"))</f>
        <v>7.6923076923076927E-2</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43</v>
      </c>
      <c r="H53" s="155">
        <f>IF($B53=" ","",IFERROR(INDEX(MMWR_RATING_STATE_ROLLUP_QST[],MATCH($B53,MMWR_RATING_STATE_ROLLUP_QST[MMWR_RATING_STATE_ROLLUP_QST],0),MATCH(H$9,MMWR_RATING_STATE_ROLLUP_QST[#Headers],0)),"ERROR"))</f>
        <v>124</v>
      </c>
      <c r="I53" s="155">
        <f>IF($B53=" ","",IFERROR(INDEX(MMWR_RATING_STATE_ROLLUP_QST[],MATCH($B53,MMWR_RATING_STATE_ROLLUP_QST[MMWR_RATING_STATE_ROLLUP_QST],0),MATCH(I$9,MMWR_RATING_STATE_ROLLUP_QST[#Headers],0)),"ERROR"))</f>
        <v>153.58139534879999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10</v>
      </c>
      <c r="D54" s="155">
        <f>IF($B54=" ","",IFERROR(INDEX(MMWR_RATING_STATE_ROLLUP_QST[],MATCH($B54,MMWR_RATING_STATE_ROLLUP_QST[MMWR_RATING_STATE_ROLLUP_QST],0),MATCH(D$9,MMWR_RATING_STATE_ROLLUP_QST[#Headers],0)),"ERROR"))</f>
        <v>50.9</v>
      </c>
      <c r="E54" s="156">
        <f>IF($B54=" ","",IFERROR(INDEX(MMWR_RATING_STATE_ROLLUP_QST[],MATCH($B54,MMWR_RATING_STATE_ROLLUP_QST[MMWR_RATING_STATE_ROLLUP_QST],0),MATCH(E$9,MMWR_RATING_STATE_ROLLUP_QST[#Headers],0))/$C54,"ERROR"))</f>
        <v>0.1</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39</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152.30769230769999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14</v>
      </c>
      <c r="D55" s="155">
        <f>IF($B55=" ","",IFERROR(INDEX(MMWR_RATING_STATE_ROLLUP_QST[],MATCH($B55,MMWR_RATING_STATE_ROLLUP_QST[MMWR_RATING_STATE_ROLLUP_QST],0),MATCH(D$9,MMWR_RATING_STATE_ROLLUP_QST[#Headers],0)),"ERROR"))</f>
        <v>59.5</v>
      </c>
      <c r="E55" s="156">
        <f>IF($B55=" ","",IFERROR(INDEX(MMWR_RATING_STATE_ROLLUP_QST[],MATCH($B55,MMWR_RATING_STATE_ROLLUP_QST[MMWR_RATING_STATE_ROLLUP_QST],0),MATCH(E$9,MMWR_RATING_STATE_ROLLUP_QST[#Headers],0))/$C55,"ERROR"))</f>
        <v>7.1428571428571425E-2</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52</v>
      </c>
      <c r="H55" s="155">
        <f>IF($B55=" ","",IFERROR(INDEX(MMWR_RATING_STATE_ROLLUP_QST[],MATCH($B55,MMWR_RATING_STATE_ROLLUP_QST[MMWR_RATING_STATE_ROLLUP_QST],0),MATCH(H$9,MMWR_RATING_STATE_ROLLUP_QST[#Headers],0)),"ERROR"))</f>
        <v>215.5</v>
      </c>
      <c r="I55" s="155">
        <f>IF($B55=" ","",IFERROR(INDEX(MMWR_RATING_STATE_ROLLUP_QST[],MATCH($B55,MMWR_RATING_STATE_ROLLUP_QST[MMWR_RATING_STATE_ROLLUP_QST],0),MATCH(I$9,MMWR_RATING_STATE_ROLLUP_QST[#Headers],0)),"ERROR"))</f>
        <v>147.44230769230001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173</v>
      </c>
      <c r="D56" s="155">
        <f>IF($B56=" ","",IFERROR(INDEX(MMWR_RATING_STATE_ROLLUP_QST[],MATCH($B56,MMWR_RATING_STATE_ROLLUP_QST[MMWR_RATING_STATE_ROLLUP_QST],0),MATCH(D$9,MMWR_RATING_STATE_ROLLUP_QST[#Headers],0)),"ERROR"))</f>
        <v>68.346820809199997</v>
      </c>
      <c r="E56" s="156">
        <f>IF($B56=" ","",IFERROR(INDEX(MMWR_RATING_STATE_ROLLUP_QST[],MATCH($B56,MMWR_RATING_STATE_ROLLUP_QST[MMWR_RATING_STATE_ROLLUP_QST],0),MATCH(E$9,MMWR_RATING_STATE_ROLLUP_QST[#Headers],0))/$C56,"ERROR"))</f>
        <v>0.13872832369942195</v>
      </c>
      <c r="F56" s="154">
        <f>IF($B56=" ","",IFERROR(INDEX(MMWR_RATING_STATE_ROLLUP_QST[],MATCH($B56,MMWR_RATING_STATE_ROLLUP_QST[MMWR_RATING_STATE_ROLLUP_QST],0),MATCH(F$9,MMWR_RATING_STATE_ROLLUP_QST[#Headers],0)),"ERROR"))</f>
        <v>14</v>
      </c>
      <c r="G56" s="154">
        <f>IF($B56=" ","",IFERROR(INDEX(MMWR_RATING_STATE_ROLLUP_QST[],MATCH($B56,MMWR_RATING_STATE_ROLLUP_QST[MMWR_RATING_STATE_ROLLUP_QST],0),MATCH(G$9,MMWR_RATING_STATE_ROLLUP_QST[#Headers],0)),"ERROR"))</f>
        <v>519</v>
      </c>
      <c r="H56" s="155">
        <f>IF($B56=" ","",IFERROR(INDEX(MMWR_RATING_STATE_ROLLUP_QST[],MATCH($B56,MMWR_RATING_STATE_ROLLUP_QST[MMWR_RATING_STATE_ROLLUP_QST],0),MATCH(H$9,MMWR_RATING_STATE_ROLLUP_QST[#Headers],0)),"ERROR"))</f>
        <v>140.57142857139999</v>
      </c>
      <c r="I56" s="155">
        <f>IF($B56=" ","",IFERROR(INDEX(MMWR_RATING_STATE_ROLLUP_QST[],MATCH($B56,MMWR_RATING_STATE_ROLLUP_QST[MMWR_RATING_STATE_ROLLUP_QST],0),MATCH(I$9,MMWR_RATING_STATE_ROLLUP_QST[#Headers],0)),"ERROR"))</f>
        <v>145.50674373800001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77</v>
      </c>
      <c r="D57" s="155">
        <f>IF($B57=" ","",IFERROR(INDEX(MMWR_RATING_STATE_ROLLUP_QST[],MATCH($B57,MMWR_RATING_STATE_ROLLUP_QST[MMWR_RATING_STATE_ROLLUP_QST],0),MATCH(D$9,MMWR_RATING_STATE_ROLLUP_QST[#Headers],0)),"ERROR"))</f>
        <v>58.129870129899999</v>
      </c>
      <c r="E57" s="156">
        <f>IF($B57=" ","",IFERROR(INDEX(MMWR_RATING_STATE_ROLLUP_QST[],MATCH($B57,MMWR_RATING_STATE_ROLLUP_QST[MMWR_RATING_STATE_ROLLUP_QST],0),MATCH(E$9,MMWR_RATING_STATE_ROLLUP_QST[#Headers],0))/$C57,"ERROR"))</f>
        <v>5.1948051948051951E-2</v>
      </c>
      <c r="F57" s="154">
        <f>IF($B57=" ","",IFERROR(INDEX(MMWR_RATING_STATE_ROLLUP_QST[],MATCH($B57,MMWR_RATING_STATE_ROLLUP_QST[MMWR_RATING_STATE_ROLLUP_QST],0),MATCH(F$9,MMWR_RATING_STATE_ROLLUP_QST[#Headers],0)),"ERROR"))</f>
        <v>10</v>
      </c>
      <c r="G57" s="154">
        <f>IF($B57=" ","",IFERROR(INDEX(MMWR_RATING_STATE_ROLLUP_QST[],MATCH($B57,MMWR_RATING_STATE_ROLLUP_QST[MMWR_RATING_STATE_ROLLUP_QST],0),MATCH(G$9,MMWR_RATING_STATE_ROLLUP_QST[#Headers],0)),"ERROR"))</f>
        <v>203</v>
      </c>
      <c r="H57" s="155">
        <f>IF($B57=" ","",IFERROR(INDEX(MMWR_RATING_STATE_ROLLUP_QST[],MATCH($B57,MMWR_RATING_STATE_ROLLUP_QST[MMWR_RATING_STATE_ROLLUP_QST],0),MATCH(H$9,MMWR_RATING_STATE_ROLLUP_QST[#Headers],0)),"ERROR"))</f>
        <v>97.5</v>
      </c>
      <c r="I57" s="155">
        <f>IF($B57=" ","",IFERROR(INDEX(MMWR_RATING_STATE_ROLLUP_QST[],MATCH($B57,MMWR_RATING_STATE_ROLLUP_QST[MMWR_RATING_STATE_ROLLUP_QST],0),MATCH(I$9,MMWR_RATING_STATE_ROLLUP_QST[#Headers],0)),"ERROR"))</f>
        <v>135.2660098522</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29</v>
      </c>
      <c r="D58" s="155">
        <f>IF($B58=" ","",IFERROR(INDEX(MMWR_RATING_STATE_ROLLUP_QST[],MATCH($B58,MMWR_RATING_STATE_ROLLUP_QST[MMWR_RATING_STATE_ROLLUP_QST],0),MATCH(D$9,MMWR_RATING_STATE_ROLLUP_QST[#Headers],0)),"ERROR"))</f>
        <v>67.034482758600006</v>
      </c>
      <c r="E58" s="156">
        <f>IF($B58=" ","",IFERROR(INDEX(MMWR_RATING_STATE_ROLLUP_QST[],MATCH($B58,MMWR_RATING_STATE_ROLLUP_QST[MMWR_RATING_STATE_ROLLUP_QST],0),MATCH(E$9,MMWR_RATING_STATE_ROLLUP_QST[#Headers],0))/$C58,"ERROR"))</f>
        <v>6.8965517241379309E-2</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52</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144.23076923080001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95</v>
      </c>
      <c r="D59" s="155">
        <f>IF($B59=" ","",IFERROR(INDEX(MMWR_RATING_STATE_ROLLUP_QST[],MATCH($B59,MMWR_RATING_STATE_ROLLUP_QST[MMWR_RATING_STATE_ROLLUP_QST],0),MATCH(D$9,MMWR_RATING_STATE_ROLLUP_QST[#Headers],0)),"ERROR"))</f>
        <v>59.915789473700002</v>
      </c>
      <c r="E59" s="156">
        <f>IF($B59=" ","",IFERROR(INDEX(MMWR_RATING_STATE_ROLLUP_QST[],MATCH($B59,MMWR_RATING_STATE_ROLLUP_QST[MMWR_RATING_STATE_ROLLUP_QST],0),MATCH(E$9,MMWR_RATING_STATE_ROLLUP_QST[#Headers],0))/$C59,"ERROR"))</f>
        <v>8.4210526315789472E-2</v>
      </c>
      <c r="F59" s="154">
        <f>IF($B59=" ","",IFERROR(INDEX(MMWR_RATING_STATE_ROLLUP_QST[],MATCH($B59,MMWR_RATING_STATE_ROLLUP_QST[MMWR_RATING_STATE_ROLLUP_QST],0),MATCH(F$9,MMWR_RATING_STATE_ROLLUP_QST[#Headers],0)),"ERROR"))</f>
        <v>12</v>
      </c>
      <c r="G59" s="154">
        <f>IF($B59=" ","",IFERROR(INDEX(MMWR_RATING_STATE_ROLLUP_QST[],MATCH($B59,MMWR_RATING_STATE_ROLLUP_QST[MMWR_RATING_STATE_ROLLUP_QST],0),MATCH(G$9,MMWR_RATING_STATE_ROLLUP_QST[#Headers],0)),"ERROR"))</f>
        <v>241</v>
      </c>
      <c r="H59" s="155">
        <f>IF($B59=" ","",IFERROR(INDEX(MMWR_RATING_STATE_ROLLUP_QST[],MATCH($B59,MMWR_RATING_STATE_ROLLUP_QST[MMWR_RATING_STATE_ROLLUP_QST],0),MATCH(H$9,MMWR_RATING_STATE_ROLLUP_QST[#Headers],0)),"ERROR"))</f>
        <v>129.75</v>
      </c>
      <c r="I59" s="155">
        <f>IF($B59=" ","",IFERROR(INDEX(MMWR_RATING_STATE_ROLLUP_QST[],MATCH($B59,MMWR_RATING_STATE_ROLLUP_QST[MMWR_RATING_STATE_ROLLUP_QST],0),MATCH(I$9,MMWR_RATING_STATE_ROLLUP_QST[#Headers],0)),"ERROR"))</f>
        <v>144.4190871369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219</v>
      </c>
      <c r="D60" s="155">
        <f>IF($B60=" ","",IFERROR(INDEX(MMWR_RATING_STATE_ROLLUP_QST[],MATCH($B60,MMWR_RATING_STATE_ROLLUP_QST[MMWR_RATING_STATE_ROLLUP_QST],0),MATCH(D$9,MMWR_RATING_STATE_ROLLUP_QST[#Headers],0)),"ERROR"))</f>
        <v>59.013698630100002</v>
      </c>
      <c r="E60" s="156">
        <f>IF($B60=" ","",IFERROR(INDEX(MMWR_RATING_STATE_ROLLUP_QST[],MATCH($B60,MMWR_RATING_STATE_ROLLUP_QST[MMWR_RATING_STATE_ROLLUP_QST],0),MATCH(E$9,MMWR_RATING_STATE_ROLLUP_QST[#Headers],0))/$C60,"ERROR"))</f>
        <v>7.3059360730593603E-2</v>
      </c>
      <c r="F60" s="154">
        <f>IF($B60=" ","",IFERROR(INDEX(MMWR_RATING_STATE_ROLLUP_QST[],MATCH($B60,MMWR_RATING_STATE_ROLLUP_QST[MMWR_RATING_STATE_ROLLUP_QST],0),MATCH(F$9,MMWR_RATING_STATE_ROLLUP_QST[#Headers],0)),"ERROR"))</f>
        <v>25</v>
      </c>
      <c r="G60" s="154">
        <f>IF($B60=" ","",IFERROR(INDEX(MMWR_RATING_STATE_ROLLUP_QST[],MATCH($B60,MMWR_RATING_STATE_ROLLUP_QST[MMWR_RATING_STATE_ROLLUP_QST],0),MATCH(G$9,MMWR_RATING_STATE_ROLLUP_QST[#Headers],0)),"ERROR"))</f>
        <v>540</v>
      </c>
      <c r="H60" s="155">
        <f>IF($B60=" ","",IFERROR(INDEX(MMWR_RATING_STATE_ROLLUP_QST[],MATCH($B60,MMWR_RATING_STATE_ROLLUP_QST[MMWR_RATING_STATE_ROLLUP_QST],0),MATCH(H$9,MMWR_RATING_STATE_ROLLUP_QST[#Headers],0)),"ERROR"))</f>
        <v>118.28</v>
      </c>
      <c r="I60" s="155">
        <f>IF($B60=" ","",IFERROR(INDEX(MMWR_RATING_STATE_ROLLUP_QST[],MATCH($B60,MMWR_RATING_STATE_ROLLUP_QST[MMWR_RATING_STATE_ROLLUP_QST],0),MATCH(I$9,MMWR_RATING_STATE_ROLLUP_QST[#Headers],0)),"ERROR"))</f>
        <v>137.31296296299999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488</v>
      </c>
      <c r="D61" s="155">
        <f>IF($B61=" ","",IFERROR(INDEX(MMWR_RATING_STATE_ROLLUP_QST[],MATCH($B61,MMWR_RATING_STATE_ROLLUP_QST[MMWR_RATING_STATE_ROLLUP_QST],0),MATCH(D$9,MMWR_RATING_STATE_ROLLUP_QST[#Headers],0)),"ERROR"))</f>
        <v>68.196721311499999</v>
      </c>
      <c r="E61" s="156">
        <f>IF($B61=" ","",IFERROR(INDEX(MMWR_RATING_STATE_ROLLUP_QST[],MATCH($B61,MMWR_RATING_STATE_ROLLUP_QST[MMWR_RATING_STATE_ROLLUP_QST],0),MATCH(E$9,MMWR_RATING_STATE_ROLLUP_QST[#Headers],0))/$C61,"ERROR"))</f>
        <v>0.11475409836065574</v>
      </c>
      <c r="F61" s="154">
        <f>IF($B61=" ","",IFERROR(INDEX(MMWR_RATING_STATE_ROLLUP_QST[],MATCH($B61,MMWR_RATING_STATE_ROLLUP_QST[MMWR_RATING_STATE_ROLLUP_QST],0),MATCH(F$9,MMWR_RATING_STATE_ROLLUP_QST[#Headers],0)),"ERROR"))</f>
        <v>54</v>
      </c>
      <c r="G61" s="154">
        <f>IF($B61=" ","",IFERROR(INDEX(MMWR_RATING_STATE_ROLLUP_QST[],MATCH($B61,MMWR_RATING_STATE_ROLLUP_QST[MMWR_RATING_STATE_ROLLUP_QST],0),MATCH(G$9,MMWR_RATING_STATE_ROLLUP_QST[#Headers],0)),"ERROR"))</f>
        <v>1183</v>
      </c>
      <c r="H61" s="155">
        <f>IF($B61=" ","",IFERROR(INDEX(MMWR_RATING_STATE_ROLLUP_QST[],MATCH($B61,MMWR_RATING_STATE_ROLLUP_QST[MMWR_RATING_STATE_ROLLUP_QST],0),MATCH(H$9,MMWR_RATING_STATE_ROLLUP_QST[#Headers],0)),"ERROR"))</f>
        <v>133.2222222222</v>
      </c>
      <c r="I61" s="155">
        <f>IF($B61=" ","",IFERROR(INDEX(MMWR_RATING_STATE_ROLLUP_QST[],MATCH($B61,MMWR_RATING_STATE_ROLLUP_QST[MMWR_RATING_STATE_ROLLUP_QST],0),MATCH(I$9,MMWR_RATING_STATE_ROLLUP_QST[#Headers],0)),"ERROR"))</f>
        <v>149.24344885880001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169</v>
      </c>
      <c r="D62" s="155">
        <f>IF($B62=" ","",IFERROR(INDEX(MMWR_RATING_STATE_ROLLUP_QST[],MATCH($B62,MMWR_RATING_STATE_ROLLUP_QST[MMWR_RATING_STATE_ROLLUP_QST],0),MATCH(D$9,MMWR_RATING_STATE_ROLLUP_QST[#Headers],0)),"ERROR"))</f>
        <v>67.698224852099997</v>
      </c>
      <c r="E62" s="156">
        <f>IF($B62=" ","",IFERROR(INDEX(MMWR_RATING_STATE_ROLLUP_QST[],MATCH($B62,MMWR_RATING_STATE_ROLLUP_QST[MMWR_RATING_STATE_ROLLUP_QST],0),MATCH(E$9,MMWR_RATING_STATE_ROLLUP_QST[#Headers],0))/$C62,"ERROR"))</f>
        <v>0.1242603550295858</v>
      </c>
      <c r="F62" s="154">
        <f>IF($B62=" ","",IFERROR(INDEX(MMWR_RATING_STATE_ROLLUP_QST[],MATCH($B62,MMWR_RATING_STATE_ROLLUP_QST[MMWR_RATING_STATE_ROLLUP_QST],0),MATCH(F$9,MMWR_RATING_STATE_ROLLUP_QST[#Headers],0)),"ERROR"))</f>
        <v>18</v>
      </c>
      <c r="G62" s="154">
        <f>IF($B62=" ","",IFERROR(INDEX(MMWR_RATING_STATE_ROLLUP_QST[],MATCH($B62,MMWR_RATING_STATE_ROLLUP_QST[MMWR_RATING_STATE_ROLLUP_QST],0),MATCH(G$9,MMWR_RATING_STATE_ROLLUP_QST[#Headers],0)),"ERROR"))</f>
        <v>436</v>
      </c>
      <c r="H62" s="155">
        <f>IF($B62=" ","",IFERROR(INDEX(MMWR_RATING_STATE_ROLLUP_QST[],MATCH($B62,MMWR_RATING_STATE_ROLLUP_QST[MMWR_RATING_STATE_ROLLUP_QST],0),MATCH(H$9,MMWR_RATING_STATE_ROLLUP_QST[#Headers],0)),"ERROR"))</f>
        <v>100.8333333333</v>
      </c>
      <c r="I62" s="155">
        <f>IF($B62=" ","",IFERROR(INDEX(MMWR_RATING_STATE_ROLLUP_QST[],MATCH($B62,MMWR_RATING_STATE_ROLLUP_QST[MMWR_RATING_STATE_ROLLUP_QST],0),MATCH(I$9,MMWR_RATING_STATE_ROLLUP_QST[#Headers],0)),"ERROR"))</f>
        <v>139.5435779817</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6</v>
      </c>
      <c r="D63" s="155">
        <f>IF($B63=" ","",IFERROR(INDEX(MMWR_RATING_STATE_ROLLUP_QST[],MATCH($B63,MMWR_RATING_STATE_ROLLUP_QST[MMWR_RATING_STATE_ROLLUP_QST],0),MATCH(D$9,MMWR_RATING_STATE_ROLLUP_QST[#Headers],0)),"ERROR"))</f>
        <v>56.666666666700003</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29</v>
      </c>
      <c r="H63" s="155">
        <f>IF($B63=" ","",IFERROR(INDEX(MMWR_RATING_STATE_ROLLUP_QST[],MATCH($B63,MMWR_RATING_STATE_ROLLUP_QST[MMWR_RATING_STATE_ROLLUP_QST],0),MATCH(H$9,MMWR_RATING_STATE_ROLLUP_QST[#Headers],0)),"ERROR"))</f>
        <v>123</v>
      </c>
      <c r="I63" s="155">
        <f>IF($B63=" ","",IFERROR(INDEX(MMWR_RATING_STATE_ROLLUP_QST[],MATCH($B63,MMWR_RATING_STATE_ROLLUP_QST[MMWR_RATING_STATE_ROLLUP_QST],0),MATCH(I$9,MMWR_RATING_STATE_ROLLUP_QST[#Headers],0)),"ERROR"))</f>
        <v>152.7586206897</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9</v>
      </c>
      <c r="D64" s="155">
        <f>IF($B64=" ","",IFERROR(INDEX(MMWR_RATING_STATE_ROLLUP_QST[],MATCH($B64,MMWR_RATING_STATE_ROLLUP_QST[MMWR_RATING_STATE_ROLLUP_QST],0),MATCH(D$9,MMWR_RATING_STATE_ROLLUP_QST[#Headers],0)),"ERROR"))</f>
        <v>43.666666666700003</v>
      </c>
      <c r="E64" s="156">
        <f>IF($B64=" ","",IFERROR(INDEX(MMWR_RATING_STATE_ROLLUP_QST[],MATCH($B64,MMWR_RATING_STATE_ROLLUP_QST[MMWR_RATING_STATE_ROLLUP_QST],0),MATCH(E$9,MMWR_RATING_STATE_ROLLUP_QST[#Headers],0))/$C64,"ERROR"))</f>
        <v>0.1111111111111111</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13</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148.61538461539999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569</v>
      </c>
      <c r="D65" s="155">
        <f>IF($B65=" ","",IFERROR(INDEX(MMWR_RATING_STATE_ROLLUP_QST[],MATCH($B65,MMWR_RATING_STATE_ROLLUP_QST[MMWR_RATING_STATE_ROLLUP_QST],0),MATCH(D$9,MMWR_RATING_STATE_ROLLUP_QST[#Headers],0)),"ERROR"))</f>
        <v>69.191564147600005</v>
      </c>
      <c r="E65" s="156">
        <f>IF($B65=" ","",IFERROR(INDEX(MMWR_RATING_STATE_ROLLUP_QST[],MATCH($B65,MMWR_RATING_STATE_ROLLUP_QST[MMWR_RATING_STATE_ROLLUP_QST],0),MATCH(E$9,MMWR_RATING_STATE_ROLLUP_QST[#Headers],0))/$C65,"ERROR"))</f>
        <v>0.12829525483304041</v>
      </c>
      <c r="F65" s="154">
        <f>IF($B65=" ","",IFERROR(INDEX(MMWR_RATING_STATE_ROLLUP_QST[],MATCH($B65,MMWR_RATING_STATE_ROLLUP_QST[MMWR_RATING_STATE_ROLLUP_QST],0),MATCH(F$9,MMWR_RATING_STATE_ROLLUP_QST[#Headers],0)),"ERROR"))</f>
        <v>41</v>
      </c>
      <c r="G65" s="154">
        <f>IF($B65=" ","",IFERROR(INDEX(MMWR_RATING_STATE_ROLLUP_QST[],MATCH($B65,MMWR_RATING_STATE_ROLLUP_QST[MMWR_RATING_STATE_ROLLUP_QST],0),MATCH(G$9,MMWR_RATING_STATE_ROLLUP_QST[#Headers],0)),"ERROR"))</f>
        <v>1352</v>
      </c>
      <c r="H65" s="155">
        <f>IF($B65=" ","",IFERROR(INDEX(MMWR_RATING_STATE_ROLLUP_QST[],MATCH($B65,MMWR_RATING_STATE_ROLLUP_QST[MMWR_RATING_STATE_ROLLUP_QST],0),MATCH(H$9,MMWR_RATING_STATE_ROLLUP_QST[#Headers],0)),"ERROR"))</f>
        <v>140.56097560980001</v>
      </c>
      <c r="I65" s="155">
        <f>IF($B65=" ","",IFERROR(INDEX(MMWR_RATING_STATE_ROLLUP_QST[],MATCH($B65,MMWR_RATING_STATE_ROLLUP_QST[MMWR_RATING_STATE_ROLLUP_QST],0),MATCH(I$9,MMWR_RATING_STATE_ROLLUP_QST[#Headers],0)),"ERROR"))</f>
        <v>153.16863905330001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24</v>
      </c>
      <c r="D66" s="155">
        <f>IF($B66=" ","",IFERROR(INDEX(MMWR_RATING_STATE_ROLLUP_QST[],MATCH($B66,MMWR_RATING_STATE_ROLLUP_QST[MMWR_RATING_STATE_ROLLUP_QST],0),MATCH(D$9,MMWR_RATING_STATE_ROLLUP_QST[#Headers],0)),"ERROR"))</f>
        <v>70.833333333300004</v>
      </c>
      <c r="E66" s="156">
        <f>IF($B66=" ","",IFERROR(INDEX(MMWR_RATING_STATE_ROLLUP_QST[],MATCH($B66,MMWR_RATING_STATE_ROLLUP_QST[MMWR_RATING_STATE_ROLLUP_QST],0),MATCH(E$9,MMWR_RATING_STATE_ROLLUP_QST[#Headers],0))/$C66,"ERROR"))</f>
        <v>0.16666666666666666</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47</v>
      </c>
      <c r="H66" s="155">
        <f>IF($B66=" ","",IFERROR(INDEX(MMWR_RATING_STATE_ROLLUP_QST[],MATCH($B66,MMWR_RATING_STATE_ROLLUP_QST[MMWR_RATING_STATE_ROLLUP_QST],0),MATCH(H$9,MMWR_RATING_STATE_ROLLUP_QST[#Headers],0)),"ERROR"))</f>
        <v>105</v>
      </c>
      <c r="I66" s="155">
        <f>IF($B66=" ","",IFERROR(INDEX(MMWR_RATING_STATE_ROLLUP_QST[],MATCH($B66,MMWR_RATING_STATE_ROLLUP_QST[MMWR_RATING_STATE_ROLLUP_QST],0),MATCH(I$9,MMWR_RATING_STATE_ROLLUP_QST[#Headers],0)),"ERROR"))</f>
        <v>139.4680851064</v>
      </c>
      <c r="J66" s="42"/>
      <c r="K66" s="42"/>
      <c r="L66" s="42"/>
      <c r="M66" s="42"/>
      <c r="N66" s="28"/>
    </row>
    <row r="67" spans="1:14" x14ac:dyDescent="0.2">
      <c r="A67" s="25"/>
      <c r="B67" s="342" t="s">
        <v>1039</v>
      </c>
      <c r="C67" s="343"/>
      <c r="D67" s="343"/>
      <c r="E67" s="343"/>
      <c r="F67" s="343"/>
      <c r="G67" s="343"/>
      <c r="H67" s="343"/>
      <c r="I67" s="343"/>
      <c r="J67" s="343"/>
      <c r="K67" s="343"/>
      <c r="L67" s="343"/>
      <c r="M67" s="393"/>
      <c r="N67" s="28"/>
    </row>
    <row r="68" spans="1:14" ht="25.5" x14ac:dyDescent="0.2">
      <c r="A68" s="25"/>
      <c r="B68" s="250" t="s">
        <v>1035</v>
      </c>
      <c r="C68" s="154">
        <f>IF($B68=" ","",IFERROR(INDEX(MMWR_RATING_STATE_ROLLUP_BDD[],MATCH($B68,MMWR_RATING_STATE_ROLLUP_BDD[MMWR_RATING_STATE_ROLLUP_BDD],0),MATCH(C$9,MMWR_RATING_STATE_ROLLUP_BDD[#Headers],0)),"ERROR"))</f>
        <v>8816</v>
      </c>
      <c r="D68" s="155">
        <f>IF($B68=" ","",IFERROR(INDEX(MMWR_RATING_STATE_ROLLUP_BDD[],MATCH($B68,MMWR_RATING_STATE_ROLLUP_BDD[MMWR_RATING_STATE_ROLLUP_BDD],0),MATCH(D$9,MMWR_RATING_STATE_ROLLUP_BDD[#Headers],0)),"ERROR"))</f>
        <v>59.302745009100001</v>
      </c>
      <c r="E68" s="156">
        <f>IF($B68=" ","",IFERROR(INDEX(MMWR_RATING_STATE_ROLLUP_BDD[],MATCH($B68,MMWR_RATING_STATE_ROLLUP_BDD[MMWR_RATING_STATE_ROLLUP_BDD],0),MATCH(E$9,MMWR_RATING_STATE_ROLLUP_BDD[#Headers],0))/$C68,"ERROR"))</f>
        <v>9.3806715063520868E-2</v>
      </c>
      <c r="F68" s="154">
        <f>IF($B68=" ","",IFERROR(INDEX(MMWR_RATING_STATE_ROLLUP_BDD[],MATCH($B68,MMWR_RATING_STATE_ROLLUP_BDD[MMWR_RATING_STATE_ROLLUP_BDD],0),MATCH(F$9,MMWR_RATING_STATE_ROLLUP_BDD[#Headers],0)),"ERROR"))</f>
        <v>896</v>
      </c>
      <c r="G68" s="154">
        <f>IF($B68=" ","",IFERROR(INDEX(MMWR_RATING_STATE_ROLLUP_BDD[],MATCH($B68,MMWR_RATING_STATE_ROLLUP_BDD[MMWR_RATING_STATE_ROLLUP_BDD],0),MATCH(G$9,MMWR_RATING_STATE_ROLLUP_BDD[#Headers],0)),"ERROR"))</f>
        <v>25172</v>
      </c>
      <c r="H68" s="155">
        <f>IF($B68=" ","",IFERROR(INDEX(MMWR_RATING_STATE_ROLLUP_BDD[],MATCH($B68,MMWR_RATING_STATE_ROLLUP_BDD[MMWR_RATING_STATE_ROLLUP_BDD],0),MATCH(H$9,MMWR_RATING_STATE_ROLLUP_BDD[#Headers],0)),"ERROR"))</f>
        <v>112.24888392859999</v>
      </c>
      <c r="I68" s="155">
        <f>IF($B68=" ","",IFERROR(INDEX(MMWR_RATING_STATE_ROLLUP_BDD[],MATCH($B68,MMWR_RATING_STATE_ROLLUP_BDD[MMWR_RATING_STATE_ROLLUP_BDD],0),MATCH(I$9,MMWR_RATING_STATE_ROLLUP_BDD[#Headers],0)),"ERROR"))</f>
        <v>130.45038137610001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2360</v>
      </c>
      <c r="D69" s="155">
        <f>IF($B69=" ","",IFERROR(INDEX(MMWR_RATING_STATE_ROLLUP_BDD[],MATCH($B69,MMWR_RATING_STATE_ROLLUP_BDD[MMWR_RATING_STATE_ROLLUP_BDD],0),MATCH(D$9,MMWR_RATING_STATE_ROLLUP_BDD[#Headers],0)),"ERROR"))</f>
        <v>57.0525423729</v>
      </c>
      <c r="E69" s="156">
        <f>IF($B69=" ","",IFERROR(INDEX(MMWR_RATING_STATE_ROLLUP_BDD[],MATCH($B69,MMWR_RATING_STATE_ROLLUP_BDD[MMWR_RATING_STATE_ROLLUP_BDD],0),MATCH(E$9,MMWR_RATING_STATE_ROLLUP_BDD[#Headers],0))/$C69,"ERROR"))</f>
        <v>9.4067796610169493E-2</v>
      </c>
      <c r="F69" s="154">
        <f>IF($B69=" ","",IFERROR(INDEX(MMWR_RATING_STATE_ROLLUP_BDD[],MATCH($B69,MMWR_RATING_STATE_ROLLUP_BDD[MMWR_RATING_STATE_ROLLUP_BDD],0),MATCH(F$9,MMWR_RATING_STATE_ROLLUP_BDD[#Headers],0)),"ERROR"))</f>
        <v>205</v>
      </c>
      <c r="G69" s="154">
        <f>IF($B69=" ","",IFERROR(INDEX(MMWR_RATING_STATE_ROLLUP_BDD[],MATCH($B69,MMWR_RATING_STATE_ROLLUP_BDD[MMWR_RATING_STATE_ROLLUP_BDD],0),MATCH(G$9,MMWR_RATING_STATE_ROLLUP_BDD[#Headers],0)),"ERROR"))</f>
        <v>6612</v>
      </c>
      <c r="H69" s="155">
        <f>IF($B69=" ","",IFERROR(INDEX(MMWR_RATING_STATE_ROLLUP_BDD[],MATCH($B69,MMWR_RATING_STATE_ROLLUP_BDD[MMWR_RATING_STATE_ROLLUP_BDD],0),MATCH(H$9,MMWR_RATING_STATE_ROLLUP_BDD[#Headers],0)),"ERROR"))</f>
        <v>98.853658536599994</v>
      </c>
      <c r="I69" s="155">
        <f>IF($B69=" ","",IFERROR(INDEX(MMWR_RATING_STATE_ROLLUP_BDD[],MATCH($B69,MMWR_RATING_STATE_ROLLUP_BDD[MMWR_RATING_STATE_ROLLUP_BDD],0),MATCH(I$9,MMWR_RATING_STATE_ROLLUP_BDD[#Headers],0)),"ERROR"))</f>
        <v>140.0468844525</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37</v>
      </c>
      <c r="D70" s="155">
        <f>IF($B70=" ","",IFERROR(INDEX(MMWR_RATING_STATE_ROLLUP_BDD[],MATCH($B70,MMWR_RATING_STATE_ROLLUP_BDD[MMWR_RATING_STATE_ROLLUP_BDD],0),MATCH(D$9,MMWR_RATING_STATE_ROLLUP_BDD[#Headers],0)),"ERROR"))</f>
        <v>55.675675675699999</v>
      </c>
      <c r="E70" s="156">
        <f>IF($B70=" ","",IFERROR(INDEX(MMWR_RATING_STATE_ROLLUP_BDD[],MATCH($B70,MMWR_RATING_STATE_ROLLUP_BDD[MMWR_RATING_STATE_ROLLUP_BDD],0),MATCH(E$9,MMWR_RATING_STATE_ROLLUP_BDD[#Headers],0))/$C70,"ERROR"))</f>
        <v>5.4054054054054057E-2</v>
      </c>
      <c r="F70" s="154">
        <f>IF($B70=" ","",IFERROR(INDEX(MMWR_RATING_STATE_ROLLUP_BDD[],MATCH($B70,MMWR_RATING_STATE_ROLLUP_BDD[MMWR_RATING_STATE_ROLLUP_BDD],0),MATCH(F$9,MMWR_RATING_STATE_ROLLUP_BDD[#Headers],0)),"ERROR"))</f>
        <v>6</v>
      </c>
      <c r="G70" s="154">
        <f>IF($B70=" ","",IFERROR(INDEX(MMWR_RATING_STATE_ROLLUP_BDD[],MATCH($B70,MMWR_RATING_STATE_ROLLUP_BDD[MMWR_RATING_STATE_ROLLUP_BDD],0),MATCH(G$9,MMWR_RATING_STATE_ROLLUP_BDD[#Headers],0)),"ERROR"))</f>
        <v>140</v>
      </c>
      <c r="H70" s="155">
        <f>IF($B70=" ","",IFERROR(INDEX(MMWR_RATING_STATE_ROLLUP_BDD[],MATCH($B70,MMWR_RATING_STATE_ROLLUP_BDD[MMWR_RATING_STATE_ROLLUP_BDD],0),MATCH(H$9,MMWR_RATING_STATE_ROLLUP_BDD[#Headers],0)),"ERROR"))</f>
        <v>87</v>
      </c>
      <c r="I70" s="155">
        <f>IF($B70=" ","",IFERROR(INDEX(MMWR_RATING_STATE_ROLLUP_BDD[],MATCH($B70,MMWR_RATING_STATE_ROLLUP_BDD[MMWR_RATING_STATE_ROLLUP_BDD],0),MATCH(I$9,MMWR_RATING_STATE_ROLLUP_BDD[#Headers],0)),"ERROR"))</f>
        <v>133.3785714286</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21</v>
      </c>
      <c r="D71" s="155">
        <f>IF($B71=" ","",IFERROR(INDEX(MMWR_RATING_STATE_ROLLUP_BDD[],MATCH($B71,MMWR_RATING_STATE_ROLLUP_BDD[MMWR_RATING_STATE_ROLLUP_BDD],0),MATCH(D$9,MMWR_RATING_STATE_ROLLUP_BDD[#Headers],0)),"ERROR"))</f>
        <v>60.095238095200003</v>
      </c>
      <c r="E71" s="156">
        <f>IF($B71=" ","",IFERROR(INDEX(MMWR_RATING_STATE_ROLLUP_BDD[],MATCH($B71,MMWR_RATING_STATE_ROLLUP_BDD[MMWR_RATING_STATE_ROLLUP_BDD],0),MATCH(E$9,MMWR_RATING_STATE_ROLLUP_BDD[#Headers],0))/$C71,"ERROR"))</f>
        <v>9.5238095238095233E-2</v>
      </c>
      <c r="F71" s="154">
        <f>IF($B71=" ","",IFERROR(INDEX(MMWR_RATING_STATE_ROLLUP_BDD[],MATCH($B71,MMWR_RATING_STATE_ROLLUP_BDD[MMWR_RATING_STATE_ROLLUP_BDD],0),MATCH(F$9,MMWR_RATING_STATE_ROLLUP_BDD[#Headers],0)),"ERROR"))</f>
        <v>1</v>
      </c>
      <c r="G71" s="154">
        <f>IF($B71=" ","",IFERROR(INDEX(MMWR_RATING_STATE_ROLLUP_BDD[],MATCH($B71,MMWR_RATING_STATE_ROLLUP_BDD[MMWR_RATING_STATE_ROLLUP_BDD],0),MATCH(G$9,MMWR_RATING_STATE_ROLLUP_BDD[#Headers],0)),"ERROR"))</f>
        <v>54</v>
      </c>
      <c r="H71" s="155">
        <f>IF($B71=" ","",IFERROR(INDEX(MMWR_RATING_STATE_ROLLUP_BDD[],MATCH($B71,MMWR_RATING_STATE_ROLLUP_BDD[MMWR_RATING_STATE_ROLLUP_BDD],0),MATCH(H$9,MMWR_RATING_STATE_ROLLUP_BDD[#Headers],0)),"ERROR"))</f>
        <v>186</v>
      </c>
      <c r="I71" s="155">
        <f>IF($B71=" ","",IFERROR(INDEX(MMWR_RATING_STATE_ROLLUP_BDD[],MATCH($B71,MMWR_RATING_STATE_ROLLUP_BDD[MMWR_RATING_STATE_ROLLUP_BDD],0),MATCH(I$9,MMWR_RATING_STATE_ROLLUP_BDD[#Headers],0)),"ERROR"))</f>
        <v>152.5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13</v>
      </c>
      <c r="D72" s="155">
        <f>IF($B72=" ","",IFERROR(INDEX(MMWR_RATING_STATE_ROLLUP_BDD[],MATCH($B72,MMWR_RATING_STATE_ROLLUP_BDD[MMWR_RATING_STATE_ROLLUP_BDD],0),MATCH(D$9,MMWR_RATING_STATE_ROLLUP_BDD[#Headers],0)),"ERROR"))</f>
        <v>41</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4</v>
      </c>
      <c r="G72" s="154">
        <f>IF($B72=" ","",IFERROR(INDEX(MMWR_RATING_STATE_ROLLUP_BDD[],MATCH($B72,MMWR_RATING_STATE_ROLLUP_BDD[MMWR_RATING_STATE_ROLLUP_BDD],0),MATCH(G$9,MMWR_RATING_STATE_ROLLUP_BDD[#Headers],0)),"ERROR"))</f>
        <v>59</v>
      </c>
      <c r="H72" s="155">
        <f>IF($B72=" ","",IFERROR(INDEX(MMWR_RATING_STATE_ROLLUP_BDD[],MATCH($B72,MMWR_RATING_STATE_ROLLUP_BDD[MMWR_RATING_STATE_ROLLUP_BDD],0),MATCH(H$9,MMWR_RATING_STATE_ROLLUP_BDD[#Headers],0)),"ERROR"))</f>
        <v>41.5</v>
      </c>
      <c r="I72" s="155">
        <f>IF($B72=" ","",IFERROR(INDEX(MMWR_RATING_STATE_ROLLUP_BDD[],MATCH($B72,MMWR_RATING_STATE_ROLLUP_BDD[MMWR_RATING_STATE_ROLLUP_BDD],0),MATCH(I$9,MMWR_RATING_STATE_ROLLUP_BDD[#Headers],0)),"ERROR"))</f>
        <v>124.7118644068</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14</v>
      </c>
      <c r="D73" s="155">
        <f>IF($B73=" ","",IFERROR(INDEX(MMWR_RATING_STATE_ROLLUP_BDD[],MATCH($B73,MMWR_RATING_STATE_ROLLUP_BDD[MMWR_RATING_STATE_ROLLUP_BDD],0),MATCH(D$9,MMWR_RATING_STATE_ROLLUP_BDD[#Headers],0)),"ERROR"))</f>
        <v>37.428571428600002</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2</v>
      </c>
      <c r="G73" s="154">
        <f>IF($B73=" ","",IFERROR(INDEX(MMWR_RATING_STATE_ROLLUP_BDD[],MATCH($B73,MMWR_RATING_STATE_ROLLUP_BDD[MMWR_RATING_STATE_ROLLUP_BDD],0),MATCH(G$9,MMWR_RATING_STATE_ROLLUP_BDD[#Headers],0)),"ERROR"))</f>
        <v>54</v>
      </c>
      <c r="H73" s="155">
        <f>IF($B73=" ","",IFERROR(INDEX(MMWR_RATING_STATE_ROLLUP_BDD[],MATCH($B73,MMWR_RATING_STATE_ROLLUP_BDD[MMWR_RATING_STATE_ROLLUP_BDD],0),MATCH(H$9,MMWR_RATING_STATE_ROLLUP_BDD[#Headers],0)),"ERROR"))</f>
        <v>47</v>
      </c>
      <c r="I73" s="155">
        <f>IF($B73=" ","",IFERROR(INDEX(MMWR_RATING_STATE_ROLLUP_BDD[],MATCH($B73,MMWR_RATING_STATE_ROLLUP_BDD[MMWR_RATING_STATE_ROLLUP_BDD],0),MATCH(I$9,MMWR_RATING_STATE_ROLLUP_BDD[#Headers],0)),"ERROR"))</f>
        <v>128.9074074074</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201</v>
      </c>
      <c r="D74" s="155">
        <f>IF($B74=" ","",IFERROR(INDEX(MMWR_RATING_STATE_ROLLUP_BDD[],MATCH($B74,MMWR_RATING_STATE_ROLLUP_BDD[MMWR_RATING_STATE_ROLLUP_BDD],0),MATCH(D$9,MMWR_RATING_STATE_ROLLUP_BDD[#Headers],0)),"ERROR"))</f>
        <v>62.019900497499997</v>
      </c>
      <c r="E74" s="156">
        <f>IF($B74=" ","",IFERROR(INDEX(MMWR_RATING_STATE_ROLLUP_BDD[],MATCH($B74,MMWR_RATING_STATE_ROLLUP_BDD[MMWR_RATING_STATE_ROLLUP_BDD],0),MATCH(E$9,MMWR_RATING_STATE_ROLLUP_BDD[#Headers],0))/$C74,"ERROR"))</f>
        <v>9.950248756218906E-2</v>
      </c>
      <c r="F74" s="154">
        <f>IF($B74=" ","",IFERROR(INDEX(MMWR_RATING_STATE_ROLLUP_BDD[],MATCH($B74,MMWR_RATING_STATE_ROLLUP_BDD[MMWR_RATING_STATE_ROLLUP_BDD],0),MATCH(F$9,MMWR_RATING_STATE_ROLLUP_BDD[#Headers],0)),"ERROR"))</f>
        <v>21</v>
      </c>
      <c r="G74" s="154">
        <f>IF($B74=" ","",IFERROR(INDEX(MMWR_RATING_STATE_ROLLUP_BDD[],MATCH($B74,MMWR_RATING_STATE_ROLLUP_BDD[MMWR_RATING_STATE_ROLLUP_BDD],0),MATCH(G$9,MMWR_RATING_STATE_ROLLUP_BDD[#Headers],0)),"ERROR"))</f>
        <v>726</v>
      </c>
      <c r="H74" s="155">
        <f>IF($B74=" ","",IFERROR(INDEX(MMWR_RATING_STATE_ROLLUP_BDD[],MATCH($B74,MMWR_RATING_STATE_ROLLUP_BDD[MMWR_RATING_STATE_ROLLUP_BDD],0),MATCH(H$9,MMWR_RATING_STATE_ROLLUP_BDD[#Headers],0)),"ERROR"))</f>
        <v>96.523809523799997</v>
      </c>
      <c r="I74" s="155">
        <f>IF($B74=" ","",IFERROR(INDEX(MMWR_RATING_STATE_ROLLUP_BDD[],MATCH($B74,MMWR_RATING_STATE_ROLLUP_BDD[MMWR_RATING_STATE_ROLLUP_BDD],0),MATCH(I$9,MMWR_RATING_STATE_ROLLUP_BDD[#Headers],0)),"ERROR"))</f>
        <v>141.33195592289999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61</v>
      </c>
      <c r="D75" s="155">
        <f>IF($B75=" ","",IFERROR(INDEX(MMWR_RATING_STATE_ROLLUP_BDD[],MATCH($B75,MMWR_RATING_STATE_ROLLUP_BDD[MMWR_RATING_STATE_ROLLUP_BDD],0),MATCH(D$9,MMWR_RATING_STATE_ROLLUP_BDD[#Headers],0)),"ERROR"))</f>
        <v>58.327868852500004</v>
      </c>
      <c r="E75" s="156">
        <f>IF($B75=" ","",IFERROR(INDEX(MMWR_RATING_STATE_ROLLUP_BDD[],MATCH($B75,MMWR_RATING_STATE_ROLLUP_BDD[MMWR_RATING_STATE_ROLLUP_BDD],0),MATCH(E$9,MMWR_RATING_STATE_ROLLUP_BDD[#Headers],0))/$C75,"ERROR"))</f>
        <v>8.1967213114754092E-2</v>
      </c>
      <c r="F75" s="154">
        <f>IF($B75=" ","",IFERROR(INDEX(MMWR_RATING_STATE_ROLLUP_BDD[],MATCH($B75,MMWR_RATING_STATE_ROLLUP_BDD[MMWR_RATING_STATE_ROLLUP_BDD],0),MATCH(F$9,MMWR_RATING_STATE_ROLLUP_BDD[#Headers],0)),"ERROR"))</f>
        <v>7</v>
      </c>
      <c r="G75" s="154">
        <f>IF($B75=" ","",IFERROR(INDEX(MMWR_RATING_STATE_ROLLUP_BDD[],MATCH($B75,MMWR_RATING_STATE_ROLLUP_BDD[MMWR_RATING_STATE_ROLLUP_BDD],0),MATCH(G$9,MMWR_RATING_STATE_ROLLUP_BDD[#Headers],0)),"ERROR"))</f>
        <v>125</v>
      </c>
      <c r="H75" s="155">
        <f>IF($B75=" ","",IFERROR(INDEX(MMWR_RATING_STATE_ROLLUP_BDD[],MATCH($B75,MMWR_RATING_STATE_ROLLUP_BDD[MMWR_RATING_STATE_ROLLUP_BDD],0),MATCH(H$9,MMWR_RATING_STATE_ROLLUP_BDD[#Headers],0)),"ERROR"))</f>
        <v>47.571428571399998</v>
      </c>
      <c r="I75" s="155">
        <f>IF($B75=" ","",IFERROR(INDEX(MMWR_RATING_STATE_ROLLUP_BDD[],MATCH($B75,MMWR_RATING_STATE_ROLLUP_BDD[MMWR_RATING_STATE_ROLLUP_BDD],0),MATCH(I$9,MMWR_RATING_STATE_ROLLUP_BDD[#Headers],0)),"ERROR"))</f>
        <v>120</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11</v>
      </c>
      <c r="D76" s="155">
        <f>IF($B76=" ","",IFERROR(INDEX(MMWR_RATING_STATE_ROLLUP_BDD[],MATCH($B76,MMWR_RATING_STATE_ROLLUP_BDD[MMWR_RATING_STATE_ROLLUP_BDD],0),MATCH(D$9,MMWR_RATING_STATE_ROLLUP_BDD[#Headers],0)),"ERROR"))</f>
        <v>37.272727272700003</v>
      </c>
      <c r="E76" s="156">
        <f>IF($B76=" ","",IFERROR(INDEX(MMWR_RATING_STATE_ROLLUP_BDD[],MATCH($B76,MMWR_RATING_STATE_ROLLUP_BDD[MMWR_RATING_STATE_ROLLUP_BDD],0),MATCH(E$9,MMWR_RATING_STATE_ROLLUP_BDD[#Headers],0))/$C76,"ERROR"))</f>
        <v>9.0909090909090912E-2</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51</v>
      </c>
      <c r="H76" s="155">
        <f>IF($B76=" ","",IFERROR(INDEX(MMWR_RATING_STATE_ROLLUP_BDD[],MATCH($B76,MMWR_RATING_STATE_ROLLUP_BDD[MMWR_RATING_STATE_ROLLUP_BDD],0),MATCH(H$9,MMWR_RATING_STATE_ROLLUP_BDD[#Headers],0)),"ERROR"))</f>
        <v>66</v>
      </c>
      <c r="I76" s="155">
        <f>IF($B76=" ","",IFERROR(INDEX(MMWR_RATING_STATE_ROLLUP_BDD[],MATCH($B76,MMWR_RATING_STATE_ROLLUP_BDD[MMWR_RATING_STATE_ROLLUP_BDD],0),MATCH(I$9,MMWR_RATING_STATE_ROLLUP_BDD[#Headers],0)),"ERROR"))</f>
        <v>136.9411764706</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74</v>
      </c>
      <c r="D77" s="155">
        <f>IF($B77=" ","",IFERROR(INDEX(MMWR_RATING_STATE_ROLLUP_BDD[],MATCH($B77,MMWR_RATING_STATE_ROLLUP_BDD[MMWR_RATING_STATE_ROLLUP_BDD],0),MATCH(D$9,MMWR_RATING_STATE_ROLLUP_BDD[#Headers],0)),"ERROR"))</f>
        <v>66.243243243199998</v>
      </c>
      <c r="E77" s="156">
        <f>IF($B77=" ","",IFERROR(INDEX(MMWR_RATING_STATE_ROLLUP_BDD[],MATCH($B77,MMWR_RATING_STATE_ROLLUP_BDD[MMWR_RATING_STATE_ROLLUP_BDD],0),MATCH(E$9,MMWR_RATING_STATE_ROLLUP_BDD[#Headers],0))/$C77,"ERROR"))</f>
        <v>0.12162162162162163</v>
      </c>
      <c r="F77" s="154">
        <f>IF($B77=" ","",IFERROR(INDEX(MMWR_RATING_STATE_ROLLUP_BDD[],MATCH($B77,MMWR_RATING_STATE_ROLLUP_BDD[MMWR_RATING_STATE_ROLLUP_BDD],0),MATCH(F$9,MMWR_RATING_STATE_ROLLUP_BDD[#Headers],0)),"ERROR"))</f>
        <v>7</v>
      </c>
      <c r="G77" s="154">
        <f>IF($B77=" ","",IFERROR(INDEX(MMWR_RATING_STATE_ROLLUP_BDD[],MATCH($B77,MMWR_RATING_STATE_ROLLUP_BDD[MMWR_RATING_STATE_ROLLUP_BDD],0),MATCH(G$9,MMWR_RATING_STATE_ROLLUP_BDD[#Headers],0)),"ERROR"))</f>
        <v>182</v>
      </c>
      <c r="H77" s="155">
        <f>IF($B77=" ","",IFERROR(INDEX(MMWR_RATING_STATE_ROLLUP_BDD[],MATCH($B77,MMWR_RATING_STATE_ROLLUP_BDD[MMWR_RATING_STATE_ROLLUP_BDD],0),MATCH(H$9,MMWR_RATING_STATE_ROLLUP_BDD[#Headers],0)),"ERROR"))</f>
        <v>80.571428571400006</v>
      </c>
      <c r="I77" s="155">
        <f>IF($B77=" ","",IFERROR(INDEX(MMWR_RATING_STATE_ROLLUP_BDD[],MATCH($B77,MMWR_RATING_STATE_ROLLUP_BDD[MMWR_RATING_STATE_ROLLUP_BDD],0),MATCH(I$9,MMWR_RATING_STATE_ROLLUP_BDD[#Headers],0)),"ERROR"))</f>
        <v>134.7362637363</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147</v>
      </c>
      <c r="D78" s="155">
        <f>IF($B78=" ","",IFERROR(INDEX(MMWR_RATING_STATE_ROLLUP_BDD[],MATCH($B78,MMWR_RATING_STATE_ROLLUP_BDD[MMWR_RATING_STATE_ROLLUP_BDD],0),MATCH(D$9,MMWR_RATING_STATE_ROLLUP_BDD[#Headers],0)),"ERROR"))</f>
        <v>59.517006802700003</v>
      </c>
      <c r="E78" s="156">
        <f>IF($B78=" ","",IFERROR(INDEX(MMWR_RATING_STATE_ROLLUP_BDD[],MATCH($B78,MMWR_RATING_STATE_ROLLUP_BDD[MMWR_RATING_STATE_ROLLUP_BDD],0),MATCH(E$9,MMWR_RATING_STATE_ROLLUP_BDD[#Headers],0))/$C78,"ERROR"))</f>
        <v>0.12925170068027211</v>
      </c>
      <c r="F78" s="154">
        <f>IF($B78=" ","",IFERROR(INDEX(MMWR_RATING_STATE_ROLLUP_BDD[],MATCH($B78,MMWR_RATING_STATE_ROLLUP_BDD[MMWR_RATING_STATE_ROLLUP_BDD],0),MATCH(F$9,MMWR_RATING_STATE_ROLLUP_BDD[#Headers],0)),"ERROR"))</f>
        <v>22</v>
      </c>
      <c r="G78" s="154">
        <f>IF($B78=" ","",IFERROR(INDEX(MMWR_RATING_STATE_ROLLUP_BDD[],MATCH($B78,MMWR_RATING_STATE_ROLLUP_BDD[MMWR_RATING_STATE_ROLLUP_BDD],0),MATCH(G$9,MMWR_RATING_STATE_ROLLUP_BDD[#Headers],0)),"ERROR"))</f>
        <v>395</v>
      </c>
      <c r="H78" s="155">
        <f>IF($B78=" ","",IFERROR(INDEX(MMWR_RATING_STATE_ROLLUP_BDD[],MATCH($B78,MMWR_RATING_STATE_ROLLUP_BDD[MMWR_RATING_STATE_ROLLUP_BDD],0),MATCH(H$9,MMWR_RATING_STATE_ROLLUP_BDD[#Headers],0)),"ERROR"))</f>
        <v>87.272727272699996</v>
      </c>
      <c r="I78" s="155">
        <f>IF($B78=" ","",IFERROR(INDEX(MMWR_RATING_STATE_ROLLUP_BDD[],MATCH($B78,MMWR_RATING_STATE_ROLLUP_BDD[MMWR_RATING_STATE_ROLLUP_BDD],0),MATCH(I$9,MMWR_RATING_STATE_ROLLUP_BDD[#Headers],0)),"ERROR"))</f>
        <v>128.0405063291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793</v>
      </c>
      <c r="D79" s="155">
        <f>IF($B79=" ","",IFERROR(INDEX(MMWR_RATING_STATE_ROLLUP_BDD[],MATCH($B79,MMWR_RATING_STATE_ROLLUP_BDD[MMWR_RATING_STATE_ROLLUP_BDD],0),MATCH(D$9,MMWR_RATING_STATE_ROLLUP_BDD[#Headers],0)),"ERROR"))</f>
        <v>52.576292559899997</v>
      </c>
      <c r="E79" s="156">
        <f>IF($B79=" ","",IFERROR(INDEX(MMWR_RATING_STATE_ROLLUP_BDD[],MATCH($B79,MMWR_RATING_STATE_ROLLUP_BDD[MMWR_RATING_STATE_ROLLUP_BDD],0),MATCH(E$9,MMWR_RATING_STATE_ROLLUP_BDD[#Headers],0))/$C79,"ERROR"))</f>
        <v>7.1878940731399749E-2</v>
      </c>
      <c r="F79" s="154">
        <f>IF($B79=" ","",IFERROR(INDEX(MMWR_RATING_STATE_ROLLUP_BDD[],MATCH($B79,MMWR_RATING_STATE_ROLLUP_BDD[MMWR_RATING_STATE_ROLLUP_BDD],0),MATCH(F$9,MMWR_RATING_STATE_ROLLUP_BDD[#Headers],0)),"ERROR"))</f>
        <v>54</v>
      </c>
      <c r="G79" s="154">
        <f>IF($B79=" ","",IFERROR(INDEX(MMWR_RATING_STATE_ROLLUP_BDD[],MATCH($B79,MMWR_RATING_STATE_ROLLUP_BDD[MMWR_RATING_STATE_ROLLUP_BDD],0),MATCH(G$9,MMWR_RATING_STATE_ROLLUP_BDD[#Headers],0)),"ERROR"))</f>
        <v>2083</v>
      </c>
      <c r="H79" s="155">
        <f>IF($B79=" ","",IFERROR(INDEX(MMWR_RATING_STATE_ROLLUP_BDD[],MATCH($B79,MMWR_RATING_STATE_ROLLUP_BDD[MMWR_RATING_STATE_ROLLUP_BDD],0),MATCH(H$9,MMWR_RATING_STATE_ROLLUP_BDD[#Headers],0)),"ERROR"))</f>
        <v>107.7037037037</v>
      </c>
      <c r="I79" s="155">
        <f>IF($B79=" ","",IFERROR(INDEX(MMWR_RATING_STATE_ROLLUP_BDD[],MATCH($B79,MMWR_RATING_STATE_ROLLUP_BDD[MMWR_RATING_STATE_ROLLUP_BDD],0),MATCH(I$9,MMWR_RATING_STATE_ROLLUP_BDD[#Headers],0)),"ERROR"))</f>
        <v>140.4071051368</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122</v>
      </c>
      <c r="D80" s="155">
        <f>IF($B80=" ","",IFERROR(INDEX(MMWR_RATING_STATE_ROLLUP_BDD[],MATCH($B80,MMWR_RATING_STATE_ROLLUP_BDD[MMWR_RATING_STATE_ROLLUP_BDD],0),MATCH(D$9,MMWR_RATING_STATE_ROLLUP_BDD[#Headers],0)),"ERROR"))</f>
        <v>70.868852458999996</v>
      </c>
      <c r="E80" s="156">
        <f>IF($B80=" ","",IFERROR(INDEX(MMWR_RATING_STATE_ROLLUP_BDD[],MATCH($B80,MMWR_RATING_STATE_ROLLUP_BDD[MMWR_RATING_STATE_ROLLUP_BDD],0),MATCH(E$9,MMWR_RATING_STATE_ROLLUP_BDD[#Headers],0))/$C80,"ERROR"))</f>
        <v>0.18032786885245902</v>
      </c>
      <c r="F80" s="154">
        <f>IF($B80=" ","",IFERROR(INDEX(MMWR_RATING_STATE_ROLLUP_BDD[],MATCH($B80,MMWR_RATING_STATE_ROLLUP_BDD[MMWR_RATING_STATE_ROLLUP_BDD],0),MATCH(F$9,MMWR_RATING_STATE_ROLLUP_BDD[#Headers],0)),"ERROR"))</f>
        <v>22</v>
      </c>
      <c r="G80" s="154">
        <f>IF($B80=" ","",IFERROR(INDEX(MMWR_RATING_STATE_ROLLUP_BDD[],MATCH($B80,MMWR_RATING_STATE_ROLLUP_BDD[MMWR_RATING_STATE_ROLLUP_BDD],0),MATCH(G$9,MMWR_RATING_STATE_ROLLUP_BDD[#Headers],0)),"ERROR"))</f>
        <v>368</v>
      </c>
      <c r="H80" s="155">
        <f>IF($B80=" ","",IFERROR(INDEX(MMWR_RATING_STATE_ROLLUP_BDD[],MATCH($B80,MMWR_RATING_STATE_ROLLUP_BDD[MMWR_RATING_STATE_ROLLUP_BDD],0),MATCH(H$9,MMWR_RATING_STATE_ROLLUP_BDD[#Headers],0)),"ERROR"))</f>
        <v>84</v>
      </c>
      <c r="I80" s="155">
        <f>IF($B80=" ","",IFERROR(INDEX(MMWR_RATING_STATE_ROLLUP_BDD[],MATCH($B80,MMWR_RATING_STATE_ROLLUP_BDD[MMWR_RATING_STATE_ROLLUP_BDD],0),MATCH(I$9,MMWR_RATING_STATE_ROLLUP_BDD[#Headers],0)),"ERROR"))</f>
        <v>128.05706521740001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8</v>
      </c>
      <c r="D81" s="155">
        <f>IF($B81=" ","",IFERROR(INDEX(MMWR_RATING_STATE_ROLLUP_BDD[],MATCH($B81,MMWR_RATING_STATE_ROLLUP_BDD[MMWR_RATING_STATE_ROLLUP_BDD],0),MATCH(D$9,MMWR_RATING_STATE_ROLLUP_BDD[#Headers],0)),"ERROR"))</f>
        <v>57.625</v>
      </c>
      <c r="E81" s="156">
        <f>IF($B81=" ","",IFERROR(INDEX(MMWR_RATING_STATE_ROLLUP_BDD[],MATCH($B81,MMWR_RATING_STATE_ROLLUP_BDD[MMWR_RATING_STATE_ROLLUP_BDD],0),MATCH(E$9,MMWR_RATING_STATE_ROLLUP_BDD[#Headers],0))/$C81,"ERROR"))</f>
        <v>0.125</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24</v>
      </c>
      <c r="H81" s="155">
        <f>IF($B81=" ","",IFERROR(INDEX(MMWR_RATING_STATE_ROLLUP_BDD[],MATCH($B81,MMWR_RATING_STATE_ROLLUP_BDD[MMWR_RATING_STATE_ROLLUP_BDD],0),MATCH(H$9,MMWR_RATING_STATE_ROLLUP_BDD[#Headers],0)),"ERROR"))</f>
        <v>50</v>
      </c>
      <c r="I81" s="155">
        <f>IF($B81=" ","",IFERROR(INDEX(MMWR_RATING_STATE_ROLLUP_BDD[],MATCH($B81,MMWR_RATING_STATE_ROLLUP_BDD[MMWR_RATING_STATE_ROLLUP_BDD],0),MATCH(I$9,MMWR_RATING_STATE_ROLLUP_BDD[#Headers],0)),"ERROR"))</f>
        <v>121.8333333333</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10</v>
      </c>
      <c r="D82" s="155">
        <f>IF($B82=" ","",IFERROR(INDEX(MMWR_RATING_STATE_ROLLUP_BDD[],MATCH($B82,MMWR_RATING_STATE_ROLLUP_BDD[MMWR_RATING_STATE_ROLLUP_BDD],0),MATCH(D$9,MMWR_RATING_STATE_ROLLUP_BDD[#Headers],0)),"ERROR"))</f>
        <v>60.2</v>
      </c>
      <c r="E82" s="156">
        <f>IF($B82=" ","",IFERROR(INDEX(MMWR_RATING_STATE_ROLLUP_BDD[],MATCH($B82,MMWR_RATING_STATE_ROLLUP_BDD[MMWR_RATING_STATE_ROLLUP_BDD],0),MATCH(E$9,MMWR_RATING_STATE_ROLLUP_BDD[#Headers],0))/$C82,"ERROR"))</f>
        <v>0.1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834</v>
      </c>
      <c r="D83" s="155">
        <f>IF($B83=" ","",IFERROR(INDEX(MMWR_RATING_STATE_ROLLUP_BDD[],MATCH($B83,MMWR_RATING_STATE_ROLLUP_BDD[MMWR_RATING_STATE_ROLLUP_BDD],0),MATCH(D$9,MMWR_RATING_STATE_ROLLUP_BDD[#Headers],0)),"ERROR"))</f>
        <v>57.571942446000001</v>
      </c>
      <c r="E83" s="156">
        <f>IF($B83=" ","",IFERROR(INDEX(MMWR_RATING_STATE_ROLLUP_BDD[],MATCH($B83,MMWR_RATING_STATE_ROLLUP_BDD[MMWR_RATING_STATE_ROLLUP_BDD],0),MATCH(E$9,MMWR_RATING_STATE_ROLLUP_BDD[#Headers],0))/$C83,"ERROR"))</f>
        <v>9.7122302158273388E-2</v>
      </c>
      <c r="F83" s="154">
        <f>IF($B83=" ","",IFERROR(INDEX(MMWR_RATING_STATE_ROLLUP_BDD[],MATCH($B83,MMWR_RATING_STATE_ROLLUP_BDD[MMWR_RATING_STATE_ROLLUP_BDD],0),MATCH(F$9,MMWR_RATING_STATE_ROLLUP_BDD[#Headers],0)),"ERROR"))</f>
        <v>54</v>
      </c>
      <c r="G83" s="154">
        <f>IF($B83=" ","",IFERROR(INDEX(MMWR_RATING_STATE_ROLLUP_BDD[],MATCH($B83,MMWR_RATING_STATE_ROLLUP_BDD[MMWR_RATING_STATE_ROLLUP_BDD],0),MATCH(G$9,MMWR_RATING_STATE_ROLLUP_BDD[#Headers],0)),"ERROR"))</f>
        <v>2261</v>
      </c>
      <c r="H83" s="155">
        <f>IF($B83=" ","",IFERROR(INDEX(MMWR_RATING_STATE_ROLLUP_BDD[],MATCH($B83,MMWR_RATING_STATE_ROLLUP_BDD[MMWR_RATING_STATE_ROLLUP_BDD],0),MATCH(H$9,MMWR_RATING_STATE_ROLLUP_BDD[#Headers],0)),"ERROR"))</f>
        <v>119.537037037</v>
      </c>
      <c r="I83" s="155">
        <f>IF($B83=" ","",IFERROR(INDEX(MMWR_RATING_STATE_ROLLUP_BDD[],MATCH($B83,MMWR_RATING_STATE_ROLLUP_BDD[MMWR_RATING_STATE_ROLLUP_BDD],0),MATCH(I$9,MMWR_RATING_STATE_ROLLUP_BDD[#Headers],0)),"ERROR"))</f>
        <v>146.63025210079999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14</v>
      </c>
      <c r="D84" s="155">
        <f>IF($B84=" ","",IFERROR(INDEX(MMWR_RATING_STATE_ROLLUP_BDD[],MATCH($B84,MMWR_RATING_STATE_ROLLUP_BDD[MMWR_RATING_STATE_ROLLUP_BDD],0),MATCH(D$9,MMWR_RATING_STATE_ROLLUP_BDD[#Headers],0)),"ERROR"))</f>
        <v>54.5</v>
      </c>
      <c r="E84" s="156">
        <f>IF($B84=" ","",IFERROR(INDEX(MMWR_RATING_STATE_ROLLUP_BDD[],MATCH($B84,MMWR_RATING_STATE_ROLLUP_BDD[MMWR_RATING_STATE_ROLLUP_BDD],0),MATCH(E$9,MMWR_RATING_STATE_ROLLUP_BDD[#Headers],0))/$C84,"ERROR"))</f>
        <v>0.14285714285714285</v>
      </c>
      <c r="F84" s="154">
        <f>IF($B84=" ","",IFERROR(INDEX(MMWR_RATING_STATE_ROLLUP_BDD[],MATCH($B84,MMWR_RATING_STATE_ROLLUP_BDD[MMWR_RATING_STATE_ROLLUP_BDD],0),MATCH(F$9,MMWR_RATING_STATE_ROLLUP_BDD[#Headers],0)),"ERROR"))</f>
        <v>3</v>
      </c>
      <c r="G84" s="154">
        <f>IF($B84=" ","",IFERROR(INDEX(MMWR_RATING_STATE_ROLLUP_BDD[],MATCH($B84,MMWR_RATING_STATE_ROLLUP_BDD[MMWR_RATING_STATE_ROLLUP_BDD],0),MATCH(G$9,MMWR_RATING_STATE_ROLLUP_BDD[#Headers],0)),"ERROR"))</f>
        <v>78</v>
      </c>
      <c r="H84" s="155">
        <f>IF($B84=" ","",IFERROR(INDEX(MMWR_RATING_STATE_ROLLUP_BDD[],MATCH($B84,MMWR_RATING_STATE_ROLLUP_BDD[MMWR_RATING_STATE_ROLLUP_BDD],0),MATCH(H$9,MMWR_RATING_STATE_ROLLUP_BDD[#Headers],0)),"ERROR"))</f>
        <v>72.666666666699996</v>
      </c>
      <c r="I84" s="155">
        <f>IF($B84=" ","",IFERROR(INDEX(MMWR_RATING_STATE_ROLLUP_BDD[],MATCH($B84,MMWR_RATING_STATE_ROLLUP_BDD[MMWR_RATING_STATE_ROLLUP_BDD],0),MATCH(I$9,MMWR_RATING_STATE_ROLLUP_BDD[#Headers],0)),"ERROR"))</f>
        <v>123.6025641026</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August 13,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487</v>
      </c>
      <c r="S6" s="441" t="s">
        <v>279</v>
      </c>
      <c r="T6" s="442"/>
      <c r="U6" s="65" t="s">
        <v>134</v>
      </c>
      <c r="V6" s="25"/>
    </row>
    <row r="7" spans="1:22" s="1" customFormat="1" ht="32.25" customHeight="1" thickBot="1" x14ac:dyDescent="0.25">
      <c r="A7" s="25"/>
      <c r="B7" s="410" t="s">
        <v>298</v>
      </c>
      <c r="C7" s="411"/>
      <c r="D7" s="411"/>
      <c r="E7" s="411"/>
      <c r="F7" s="166">
        <f>SUM(F8:F10)</f>
        <v>120492</v>
      </c>
      <c r="G7" s="167">
        <f>SUM(G8:G10)</f>
        <v>29716</v>
      </c>
      <c r="H7" s="168">
        <f t="shared" ref="H7:H44" si="0">IF(G7="--", 0, G7/F7)</f>
        <v>0.24662218238555256</v>
      </c>
      <c r="I7" s="25"/>
      <c r="J7" s="410" t="s">
        <v>264</v>
      </c>
      <c r="K7" s="411"/>
      <c r="L7" s="167">
        <f>SUM(L8:L10)</f>
        <v>29274</v>
      </c>
      <c r="M7" s="167">
        <f>SUM(M8:M10)</f>
        <v>3832</v>
      </c>
      <c r="N7" s="178">
        <f>IF(M7="--", 0, M7/L7)</f>
        <v>0.13090114094418256</v>
      </c>
      <c r="O7" s="66"/>
      <c r="P7" s="410" t="s">
        <v>965</v>
      </c>
      <c r="Q7" s="411"/>
      <c r="R7" s="179">
        <f>R8+R9+R10+R11+R12</f>
        <v>315987</v>
      </c>
      <c r="S7" s="410"/>
      <c r="T7" s="411"/>
      <c r="U7" s="67"/>
      <c r="V7" s="25"/>
    </row>
    <row r="8" spans="1:22" s="1" customFormat="1" ht="51" customHeight="1" x14ac:dyDescent="0.2">
      <c r="A8" s="25"/>
      <c r="B8" s="323" t="s">
        <v>249</v>
      </c>
      <c r="C8" s="324"/>
      <c r="D8" s="324"/>
      <c r="E8" s="403"/>
      <c r="F8" s="169">
        <f>IFERROR(VLOOKUP(MID(B8,4,3),MMWR_TRAD_AGG_NATIONAL[],2,0),"--")</f>
        <v>291</v>
      </c>
      <c r="G8" s="170">
        <f>IFERROR(VLOOKUP(MID(B8,4,3),MMWR_TRAD_AGG_NATIONAL[],3,0),"--")</f>
        <v>161</v>
      </c>
      <c r="H8" s="171">
        <f t="shared" si="0"/>
        <v>0.5532646048109966</v>
      </c>
      <c r="I8" s="25"/>
      <c r="J8" s="421" t="s">
        <v>266</v>
      </c>
      <c r="K8" s="440"/>
      <c r="L8" s="169">
        <f>IFERROR(VLOOKUP(MID(J8,4,3),MMWR_TRAD_AGG_NATIONAL[],2,0),"--")</f>
        <v>6712</v>
      </c>
      <c r="M8" s="170">
        <f>IFERROR(VLOOKUP(MID(J8,4,3),MMWR_TRAD_AGG_NATIONAL[],3,0),"--")</f>
        <v>494</v>
      </c>
      <c r="N8" s="171">
        <f>IF(M8="--", 0, M8/L8)</f>
        <v>7.3599523241954706E-2</v>
      </c>
      <c r="O8" s="68" t="s">
        <v>310</v>
      </c>
      <c r="P8" s="443" t="s">
        <v>240</v>
      </c>
      <c r="Q8" s="444"/>
      <c r="R8" s="180">
        <f>VLOOKUP(P8,MMWR_APP_NATIONAL[],2,0)</f>
        <v>230579</v>
      </c>
      <c r="S8" s="445" t="s">
        <v>229</v>
      </c>
      <c r="T8" s="422"/>
      <c r="U8" s="181">
        <f>VLOOKUP(P8,MMWR_APP_NATIONAL[],3,0)</f>
        <v>410.05038773140001</v>
      </c>
      <c r="V8" s="25"/>
    </row>
    <row r="9" spans="1:22" s="1" customFormat="1" ht="45" customHeight="1" x14ac:dyDescent="0.2">
      <c r="A9" s="25"/>
      <c r="B9" s="323" t="s">
        <v>247</v>
      </c>
      <c r="C9" s="324"/>
      <c r="D9" s="324"/>
      <c r="E9" s="403"/>
      <c r="F9" s="169">
        <f>IFERROR(VLOOKUP(MID(B9,4,3),MMWR_TRAD_AGG_NATIONAL[],2,0),"--")</f>
        <v>36392</v>
      </c>
      <c r="G9" s="170">
        <f>IFERROR(VLOOKUP(MID(B9,4,3),MMWR_TRAD_AGG_NATIONAL[],3,0),"--")</f>
        <v>9669</v>
      </c>
      <c r="H9" s="171">
        <f t="shared" si="0"/>
        <v>0.26569026159595516</v>
      </c>
      <c r="I9" s="68" t="s">
        <v>310</v>
      </c>
      <c r="J9" s="323" t="s">
        <v>265</v>
      </c>
      <c r="K9" s="324"/>
      <c r="L9" s="169">
        <f>IFERROR(VLOOKUP(MID(J9,4,3),MMWR_TRAD_AGG_NATIONAL[],2,0),"--")</f>
        <v>7186</v>
      </c>
      <c r="M9" s="170">
        <f>IFERROR(VLOOKUP(MID(J9,4,3),MMWR_TRAD_AGG_NATIONAL[],3,0),"--")</f>
        <v>437</v>
      </c>
      <c r="N9" s="171">
        <f>IF(M9="--", 0, M9/L9)</f>
        <v>6.0812691344280544E-2</v>
      </c>
      <c r="O9" s="68" t="s">
        <v>310</v>
      </c>
      <c r="P9" s="401" t="s">
        <v>241</v>
      </c>
      <c r="Q9" s="402"/>
      <c r="R9" s="182">
        <f>VLOOKUP(P9,MMWR_APP_NATIONAL[],2,0)</f>
        <v>51303</v>
      </c>
      <c r="S9" s="397" t="s">
        <v>230</v>
      </c>
      <c r="T9" s="398"/>
      <c r="U9" s="183">
        <f>VLOOKUP(P9,MMWR_APP_NATIONAL[],3,0)</f>
        <v>523.75716819679997</v>
      </c>
      <c r="V9" s="25"/>
    </row>
    <row r="10" spans="1:22" s="1" customFormat="1" ht="63" customHeight="1" thickBot="1" x14ac:dyDescent="0.25">
      <c r="A10" s="25"/>
      <c r="B10" s="323" t="s">
        <v>248</v>
      </c>
      <c r="C10" s="324"/>
      <c r="D10" s="324"/>
      <c r="E10" s="403"/>
      <c r="F10" s="169">
        <f>IFERROR(VLOOKUP(MID(B10,4,3),MMWR_TRAD_AGG_NATIONAL[],2,0),"--")</f>
        <v>83809</v>
      </c>
      <c r="G10" s="170">
        <f>IFERROR(VLOOKUP(MID(B10,4,3),MMWR_TRAD_AGG_NATIONAL[],3,0),"--")</f>
        <v>19886</v>
      </c>
      <c r="H10" s="171">
        <f t="shared" si="0"/>
        <v>0.2372776193487573</v>
      </c>
      <c r="I10" s="68" t="s">
        <v>310</v>
      </c>
      <c r="J10" s="325" t="s">
        <v>267</v>
      </c>
      <c r="K10" s="326"/>
      <c r="L10" s="169">
        <f>IFERROR(VLOOKUP(MID(J10,4,3),MMWR_TRAD_AGG_NATIONAL[],2,0),"--")</f>
        <v>15376</v>
      </c>
      <c r="M10" s="170">
        <f>IFERROR(VLOOKUP(MID(J10,4,3),MMWR_TRAD_AGG_NATIONAL[],3,0),"--")</f>
        <v>2901</v>
      </c>
      <c r="N10" s="171">
        <f>IF(M10="--", 0, M10/L10)</f>
        <v>0.1886706555671176</v>
      </c>
      <c r="O10" s="69"/>
      <c r="P10" s="401" t="s">
        <v>242</v>
      </c>
      <c r="Q10" s="402"/>
      <c r="R10" s="182">
        <f>VLOOKUP(P10,MMWR_APP_NATIONAL[],2,0)</f>
        <v>22216</v>
      </c>
      <c r="S10" s="397" t="s">
        <v>231</v>
      </c>
      <c r="T10" s="398"/>
      <c r="U10" s="183">
        <f>VLOOKUP(P10,MMWR_APP_NATIONAL[],3,0)</f>
        <v>506.85424827769998</v>
      </c>
      <c r="V10" s="25"/>
    </row>
    <row r="11" spans="1:22" s="1" customFormat="1" ht="45" customHeight="1" thickBot="1" x14ac:dyDescent="0.25">
      <c r="A11" s="25"/>
      <c r="B11" s="410" t="s">
        <v>299</v>
      </c>
      <c r="C11" s="411"/>
      <c r="D11" s="411"/>
      <c r="E11" s="411"/>
      <c r="F11" s="166">
        <f>SUM(F12:F13)</f>
        <v>11110</v>
      </c>
      <c r="G11" s="167">
        <f>SUM(G12:G13)</f>
        <v>2691</v>
      </c>
      <c r="H11" s="168">
        <f t="shared" si="0"/>
        <v>0.24221422142214222</v>
      </c>
      <c r="I11" s="25"/>
      <c r="J11" s="410" t="s">
        <v>237</v>
      </c>
      <c r="K11" s="411"/>
      <c r="L11" s="166">
        <f>SUM(L12:L17)</f>
        <v>31696</v>
      </c>
      <c r="M11" s="166">
        <f>SUM(M12:M17)</f>
        <v>7326</v>
      </c>
      <c r="N11" s="159">
        <f>IF(M11="--", 0, M11/L11)</f>
        <v>0.23113326602725895</v>
      </c>
      <c r="O11" s="69"/>
      <c r="P11" s="401" t="s">
        <v>966</v>
      </c>
      <c r="Q11" s="402"/>
      <c r="R11" s="182">
        <f>VLOOKUP(P11,MMWR_APP_NATIONAL[],2,0)</f>
        <v>11312</v>
      </c>
      <c r="S11" s="397" t="s">
        <v>232</v>
      </c>
      <c r="T11" s="398"/>
      <c r="U11" s="183">
        <f>VLOOKUP(P11,MMWR_APP_NATIONAL[],3,0)</f>
        <v>183.10237821589999</v>
      </c>
      <c r="V11" s="25"/>
    </row>
    <row r="12" spans="1:22" s="1" customFormat="1" ht="46.5" customHeight="1" thickBot="1" x14ac:dyDescent="0.25">
      <c r="A12" s="25"/>
      <c r="B12" s="404" t="s">
        <v>269</v>
      </c>
      <c r="C12" s="405"/>
      <c r="D12" s="405"/>
      <c r="E12" s="406"/>
      <c r="F12" s="169">
        <f>IFERROR(VLOOKUP(MID(B12,4,3),MMWR_TRAD_AGG_NATIONAL[],2,0),"--")</f>
        <v>9903</v>
      </c>
      <c r="G12" s="170">
        <f>IFERROR(VLOOKUP(MID(B12,4,3),MMWR_TRAD_AGG_NATIONAL[],3,0),"--")</f>
        <v>1916</v>
      </c>
      <c r="H12" s="171">
        <f t="shared" si="0"/>
        <v>0.19347672422498233</v>
      </c>
      <c r="I12" s="68" t="s">
        <v>310</v>
      </c>
      <c r="J12" s="325" t="s">
        <v>259</v>
      </c>
      <c r="K12" s="398"/>
      <c r="L12" s="169">
        <f>IFERROR(VLOOKUP(MID(J12,4,3)&amp;"p",MMWR_TRAD_AGG_NATIONAL[],2,0),"--")</f>
        <v>905</v>
      </c>
      <c r="M12" s="170">
        <f>IFERROR(VLOOKUP(MID(J12,4,3)&amp;"p",MMWR_TRAD_AGG_NATIONAL[],3,0),"--")</f>
        <v>35</v>
      </c>
      <c r="N12" s="171">
        <f t="shared" ref="N12:N17" si="1">IF(L12="--", 0,M12/L12)</f>
        <v>3.8674033149171269E-2</v>
      </c>
      <c r="O12" s="69"/>
      <c r="P12" s="401" t="s">
        <v>947</v>
      </c>
      <c r="Q12" s="402"/>
      <c r="R12" s="182">
        <f>VLOOKUP(P12,MMWR_APP_NATIONAL[],2,0)</f>
        <v>577</v>
      </c>
      <c r="S12" s="399" t="s">
        <v>964</v>
      </c>
      <c r="T12" s="400"/>
      <c r="U12" s="183">
        <f>VLOOKUP(P12,MMWR_APP_NATIONAL[],3,0)</f>
        <v>439.09012131719999</v>
      </c>
      <c r="V12" s="25"/>
    </row>
    <row r="13" spans="1:22" s="1" customFormat="1" ht="49.5" customHeight="1" thickBot="1" x14ac:dyDescent="0.25">
      <c r="A13" s="25"/>
      <c r="B13" s="404" t="s">
        <v>1056</v>
      </c>
      <c r="C13" s="405"/>
      <c r="D13" s="405"/>
      <c r="E13" s="406"/>
      <c r="F13" s="169">
        <f>IFERROR(VLOOKUP(MID(B13,4,3),MMWR_TRAD_AGG_NATIONAL[],2,0),"--")</f>
        <v>1207</v>
      </c>
      <c r="G13" s="170">
        <f>IFERROR(VLOOKUP(MID(B13,4,3),MMWR_TRAD_AGG_NATIONAL[],3,0),"--")</f>
        <v>775</v>
      </c>
      <c r="H13" s="171">
        <f t="shared" si="0"/>
        <v>0.64208782104391049</v>
      </c>
      <c r="I13" s="25"/>
      <c r="J13" s="325" t="s">
        <v>268</v>
      </c>
      <c r="K13" s="398"/>
      <c r="L13" s="169">
        <f>IFERROR(VLOOKUP(MID(J13,4,3),MMWR_TRAD_AGG_NATIONAL[],2,0),"--")</f>
        <v>4898</v>
      </c>
      <c r="M13" s="170">
        <f>IFERROR(VLOOKUP(MID(J13,4,3),MMWR_TRAD_AGG_NATIONAL[],3,0),"--")</f>
        <v>1002</v>
      </c>
      <c r="N13" s="171">
        <f t="shared" si="1"/>
        <v>0.20457329522253981</v>
      </c>
      <c r="O13" s="69"/>
      <c r="P13" s="410" t="s">
        <v>975</v>
      </c>
      <c r="Q13" s="411"/>
      <c r="R13" s="412"/>
      <c r="S13" s="413">
        <f>VLOOKUP(P13,MMWR_APP_NATIONAL[],2,0)</f>
        <v>27984</v>
      </c>
      <c r="T13" s="414"/>
      <c r="U13" s="415"/>
      <c r="V13" s="25"/>
    </row>
    <row r="14" spans="1:22" s="1" customFormat="1" ht="45" customHeight="1" thickBot="1" x14ac:dyDescent="0.25">
      <c r="A14" s="25"/>
      <c r="B14" s="410" t="s">
        <v>1</v>
      </c>
      <c r="C14" s="411"/>
      <c r="D14" s="411"/>
      <c r="E14" s="411"/>
      <c r="F14" s="166">
        <f>SUM(F15:F21)</f>
        <v>213910</v>
      </c>
      <c r="G14" s="167">
        <f>SUM(G15:G21)</f>
        <v>41044</v>
      </c>
      <c r="H14" s="168">
        <f t="shared" si="0"/>
        <v>0.19187508765368613</v>
      </c>
      <c r="I14" s="25"/>
      <c r="J14" s="325" t="s">
        <v>270</v>
      </c>
      <c r="K14" s="398"/>
      <c r="L14" s="169">
        <f>IFERROR(VLOOKUP(MID(J14,4,3),MMWR_TRAD_AGG_NATIONAL[],2,0),"--")</f>
        <v>13969</v>
      </c>
      <c r="M14" s="170">
        <f>IFERROR(VLOOKUP(MID(J14,4,3),MMWR_TRAD_AGG_NATIONAL[],3,0),"--")</f>
        <v>4457</v>
      </c>
      <c r="N14" s="171">
        <f t="shared" si="1"/>
        <v>0.31906364091917816</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212939</v>
      </c>
      <c r="G15" s="170">
        <f>IFERROR(VLOOKUP(MID(B15,4,3),MMWR_TRAD_AGG_NATIONAL[],3,0),"--")</f>
        <v>40771</v>
      </c>
      <c r="H15" s="171">
        <f t="shared" si="0"/>
        <v>0.19146797909260399</v>
      </c>
      <c r="I15" s="68" t="s">
        <v>310</v>
      </c>
      <c r="J15" s="325" t="s">
        <v>271</v>
      </c>
      <c r="K15" s="398"/>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453</v>
      </c>
      <c r="G16" s="170">
        <f>IFERROR(VLOOKUP(MID(B16,4,3),MMWR_TRAD_AGG_NATIONAL[],3,0),"--")</f>
        <v>24</v>
      </c>
      <c r="H16" s="171">
        <f t="shared" si="0"/>
        <v>5.2980132450331126E-2</v>
      </c>
      <c r="I16" s="68" t="s">
        <v>310</v>
      </c>
      <c r="J16" s="325" t="s">
        <v>272</v>
      </c>
      <c r="K16" s="398"/>
      <c r="L16" s="169">
        <f>IFERROR(VLOOKUP(MID(J16,4,3),MMWR_TRAD_AGG_NATIONAL[],2,0),"--")</f>
        <v>5642</v>
      </c>
      <c r="M16" s="170">
        <f>IFERROR(VLOOKUP(MID(J16,4,3),MMWR_TRAD_AGG_NATIONAL[],3,0),"--")</f>
        <v>1483</v>
      </c>
      <c r="N16" s="171">
        <f t="shared" si="1"/>
        <v>0.26285005317263382</v>
      </c>
      <c r="O16" s="69"/>
      <c r="P16" s="407" t="s">
        <v>948</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216</v>
      </c>
      <c r="G17" s="170">
        <f>IFERROR(VLOOKUP(MID(B17,4,3),MMWR_TRAD_AGG_NATIONAL[],3,0),"--")</f>
        <v>141</v>
      </c>
      <c r="H17" s="171">
        <f t="shared" si="0"/>
        <v>0.65277777777777779</v>
      </c>
      <c r="I17" s="25"/>
      <c r="J17" s="325" t="s">
        <v>273</v>
      </c>
      <c r="K17" s="398"/>
      <c r="L17" s="169">
        <f>IFERROR(VLOOKUP(MID(J17,4,3),MMWR_TRAD_AGG_NATIONAL[],2,0),"--")</f>
        <v>6282</v>
      </c>
      <c r="M17" s="170">
        <f>IFERROR(VLOOKUP(MID(J17,4,3),MMWR_TRAD_AGG_NATIONAL[],3,0),"--")</f>
        <v>349</v>
      </c>
      <c r="N17" s="171">
        <f t="shared" si="1"/>
        <v>5.5555555555555552E-2</v>
      </c>
      <c r="O17" s="72"/>
      <c r="P17" s="416" t="s">
        <v>245</v>
      </c>
      <c r="Q17" s="417"/>
      <c r="R17" s="417"/>
      <c r="S17" s="184">
        <f>IFERROR(VLOOKUP("160",MMWR_TRAD_AGG_NATIONAL[],2,0),"--")</f>
        <v>34662</v>
      </c>
      <c r="T17" s="28"/>
      <c r="U17" s="71"/>
      <c r="V17" s="25"/>
    </row>
    <row r="18" spans="1:22" s="1" customFormat="1" ht="32.25" customHeight="1" thickBot="1" x14ac:dyDescent="0.25">
      <c r="A18" s="25"/>
      <c r="B18" s="325" t="s">
        <v>253</v>
      </c>
      <c r="C18" s="326"/>
      <c r="D18" s="326"/>
      <c r="E18" s="398"/>
      <c r="F18" s="169">
        <f>IFERROR(VLOOKUP(MID(B18,4,3),MMWR_TRAD_AGG_NATIONAL[],2,0),"--")</f>
        <v>3</v>
      </c>
      <c r="G18" s="170">
        <f>IFERROR(VLOOKUP(MID(B18,4,3),MMWR_TRAD_AGG_NATIONAL[],3,0),"--")</f>
        <v>1</v>
      </c>
      <c r="H18" s="171">
        <f t="shared" si="0"/>
        <v>0.33333333333333331</v>
      </c>
      <c r="I18" s="68" t="s">
        <v>310</v>
      </c>
      <c r="J18" s="410" t="s">
        <v>15</v>
      </c>
      <c r="K18" s="411"/>
      <c r="L18" s="166">
        <f>SUM(L19:L21)</f>
        <v>250</v>
      </c>
      <c r="M18" s="166">
        <f>SUM(M19:M21)</f>
        <v>233</v>
      </c>
      <c r="N18" s="159">
        <f t="shared" ref="N18:N26" si="2">IF(M18="--", 0, M18/L18)</f>
        <v>0.93200000000000005</v>
      </c>
      <c r="O18" s="73"/>
      <c r="P18" s="418" t="s">
        <v>246</v>
      </c>
      <c r="Q18" s="419"/>
      <c r="R18" s="419"/>
      <c r="S18" s="185">
        <f>IFERROR(VLOOKUP("165",MMWR_TRAD_AGG_NATIONAL[],2,0),"--")</f>
        <v>10557</v>
      </c>
      <c r="T18" s="28"/>
      <c r="U18" s="71"/>
      <c r="V18" s="25"/>
    </row>
    <row r="19" spans="1:22" s="1" customFormat="1" ht="41.25" customHeight="1" x14ac:dyDescent="0.4">
      <c r="A19" s="25"/>
      <c r="B19" s="325" t="s">
        <v>254</v>
      </c>
      <c r="C19" s="326"/>
      <c r="D19" s="326"/>
      <c r="E19" s="398"/>
      <c r="F19" s="169">
        <f>IFERROR(VLOOKUP(MID(B19,4,3),MMWR_TRAD_AGG_NATIONAL[],2,0),"--")</f>
        <v>1</v>
      </c>
      <c r="G19" s="170">
        <f>IFERROR(VLOOKUP(MID(B19,4,3),MMWR_TRAD_AGG_NATIONAL[],3,0),"--")</f>
        <v>0</v>
      </c>
      <c r="H19" s="171">
        <f t="shared" si="0"/>
        <v>0</v>
      </c>
      <c r="I19" s="68" t="s">
        <v>310</v>
      </c>
      <c r="J19" s="325" t="s">
        <v>274</v>
      </c>
      <c r="K19" s="398"/>
      <c r="L19" s="169">
        <f>IFERROR(VLOOKUP(MID(J19,4,3),MMWR_TRAD_AGG_NATIONAL[],2,0),"--")</f>
        <v>190</v>
      </c>
      <c r="M19" s="170">
        <f>IFERROR(VLOOKUP(MID(J19,4,3),MMWR_TRAD_AGG_NATIONAL[],3,0),"--")</f>
        <v>188</v>
      </c>
      <c r="N19" s="171">
        <f t="shared" si="2"/>
        <v>0.98947368421052628</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9</v>
      </c>
      <c r="G20" s="170">
        <f>IFERROR(VLOOKUP(MID(B20,4,3),MMWR_TRAD_AGG_NATIONAL[],3,0),"--")</f>
        <v>5</v>
      </c>
      <c r="H20" s="171">
        <f t="shared" si="0"/>
        <v>0.55555555555555558</v>
      </c>
      <c r="I20" s="68" t="s">
        <v>310</v>
      </c>
      <c r="J20" s="325" t="s">
        <v>297</v>
      </c>
      <c r="K20" s="398"/>
      <c r="L20" s="169">
        <f>IFERROR(VLOOKUP(MID(J20,4,3),MMWR_TRAD_AGG_NATIONAL[],2,0),"--")</f>
        <v>36</v>
      </c>
      <c r="M20" s="170">
        <f>IFERROR(VLOOKUP(MID(J20,4,3),MMWR_TRAD_AGG_NATIONAL[],3,0),"--")</f>
        <v>28</v>
      </c>
      <c r="N20" s="171">
        <f t="shared" si="2"/>
        <v>0.77777777777777779</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289</v>
      </c>
      <c r="G21" s="170">
        <f>IFERROR(VLOOKUP(MID(B21,4,3),MMWR_TRAD_AGG_NATIONAL[],3,0),"--")</f>
        <v>102</v>
      </c>
      <c r="H21" s="171">
        <f t="shared" si="0"/>
        <v>0.35294117647058826</v>
      </c>
      <c r="I21" s="68" t="s">
        <v>310</v>
      </c>
      <c r="J21" s="325" t="s">
        <v>275</v>
      </c>
      <c r="K21" s="398"/>
      <c r="L21" s="169">
        <f>IFERROR(VLOOKUP(MID(J21,4,3),MMWR_TRAD_AGG_NATIONAL[],2,0),"--")</f>
        <v>24</v>
      </c>
      <c r="M21" s="170">
        <f>IFERROR(VLOOKUP(MID(J21,4,3),MMWR_TRAD_AGG_NATIONAL[],3,0),"--")</f>
        <v>17</v>
      </c>
      <c r="N21" s="171">
        <f t="shared" si="2"/>
        <v>0.70833333333333337</v>
      </c>
      <c r="O21" s="56"/>
      <c r="P21" s="56"/>
      <c r="Q21" s="56"/>
      <c r="R21" s="56"/>
      <c r="S21" s="56"/>
      <c r="T21" s="56"/>
      <c r="U21" s="74"/>
      <c r="V21" s="25"/>
    </row>
    <row r="22" spans="1:22" s="1" customFormat="1" ht="32.25" customHeight="1" thickBot="1" x14ac:dyDescent="0.45">
      <c r="A22" s="25"/>
      <c r="B22" s="410" t="s">
        <v>13</v>
      </c>
      <c r="C22" s="411"/>
      <c r="D22" s="411"/>
      <c r="E22" s="411"/>
      <c r="F22" s="166">
        <f>SUM(F23:F29)</f>
        <v>440872</v>
      </c>
      <c r="G22" s="167">
        <f>SUM(G23:G29)</f>
        <v>213147</v>
      </c>
      <c r="H22" s="168">
        <f t="shared" si="0"/>
        <v>0.48346685659329691</v>
      </c>
      <c r="I22" s="25"/>
      <c r="J22" s="410" t="s">
        <v>224</v>
      </c>
      <c r="K22" s="411"/>
      <c r="L22" s="166">
        <f>SUM(L23:L26)</f>
        <v>1755</v>
      </c>
      <c r="M22" s="166">
        <f>SUM(M23:M26)</f>
        <v>570</v>
      </c>
      <c r="N22" s="159">
        <f t="shared" si="2"/>
        <v>0.3247863247863248</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129711</v>
      </c>
      <c r="G23" s="170">
        <f>IFERROR(VLOOKUP(MID(B23,4,3),MMWR_TRAD_AGG_NATIONAL[],3,0),"--")</f>
        <v>79387</v>
      </c>
      <c r="H23" s="171">
        <f t="shared" si="0"/>
        <v>0.61202982013861584</v>
      </c>
      <c r="I23" s="25"/>
      <c r="J23" s="421" t="s">
        <v>278</v>
      </c>
      <c r="K23" s="422"/>
      <c r="L23" s="172">
        <f>IFERROR(VLOOKUP(MID(J23,4,3),MMWR_TRAD_AGG_NATIONAL[],2,0),"--")</f>
        <v>262</v>
      </c>
      <c r="M23" s="173">
        <f>IFERROR(VLOOKUP(MID(J23,4,3),MMWR_TRAD_AGG_NATIONAL[],3,0),"--")</f>
        <v>93</v>
      </c>
      <c r="N23" s="174">
        <f t="shared" si="2"/>
        <v>0.35496183206106868</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124</v>
      </c>
      <c r="G24" s="170">
        <f>IFERROR(VLOOKUP(MID(B24,4,3),MMWR_TRAD_AGG_NATIONAL[],3,0),"--")</f>
        <v>73</v>
      </c>
      <c r="H24" s="171">
        <f t="shared" si="0"/>
        <v>0.58870967741935487</v>
      </c>
      <c r="I24" s="25"/>
      <c r="J24" s="325" t="s">
        <v>277</v>
      </c>
      <c r="K24" s="398"/>
      <c r="L24" s="169">
        <f>IFERROR(VLOOKUP(MID(J24,4,3),MMWR_TRAD_AGG_NATIONAL[],2,0),"--")</f>
        <v>505</v>
      </c>
      <c r="M24" s="170">
        <f>IFERROR(VLOOKUP(MID(J24,4,3),MMWR_TRAD_AGG_NATIONAL[],3,0),"--")</f>
        <v>21</v>
      </c>
      <c r="N24" s="171">
        <f t="shared" si="2"/>
        <v>4.1584158415841586E-2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355</v>
      </c>
      <c r="G25" s="170">
        <f>IFERROR(VLOOKUP(MID(B25,4,3),MMWR_TRAD_AGG_NATIONAL[],3,0),"--")</f>
        <v>278</v>
      </c>
      <c r="H25" s="171">
        <f t="shared" si="0"/>
        <v>0.78309859154929573</v>
      </c>
      <c r="I25" s="25"/>
      <c r="J25" s="325" t="s">
        <v>276</v>
      </c>
      <c r="K25" s="398"/>
      <c r="L25" s="169">
        <f>IFERROR(VLOOKUP(MID(J25,4,3),MMWR_TRAD_AGG_NATIONAL[],2,0),"--")</f>
        <v>946</v>
      </c>
      <c r="M25" s="170">
        <f>IFERROR(VLOOKUP(MID(J25,4,3),MMWR_TRAD_AGG_NATIONAL[],3,0),"--")</f>
        <v>426</v>
      </c>
      <c r="N25" s="171">
        <f t="shared" si="2"/>
        <v>0.45031712473572938</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96319</v>
      </c>
      <c r="G26" s="170">
        <f>IFERROR(VLOOKUP(MID(B26,4,3),MMWR_TRAD_AGG_NATIONAL[],3,0),"--")</f>
        <v>72470</v>
      </c>
      <c r="H26" s="171">
        <f t="shared" si="0"/>
        <v>0.75239568517115007</v>
      </c>
      <c r="I26" s="56"/>
      <c r="J26" s="327" t="s">
        <v>313</v>
      </c>
      <c r="K26" s="400"/>
      <c r="L26" s="175">
        <f>IFERROR(VLOOKUP(MID(J26,4,3),MMWR_TRAD_AGG_NATIONAL[],2,0),"--")</f>
        <v>42</v>
      </c>
      <c r="M26" s="176">
        <f>IFERROR(VLOOKUP(MID(J26,4,3),MMWR_TRAD_AGG_NATIONAL[],3,0),"--")</f>
        <v>30</v>
      </c>
      <c r="N26" s="177">
        <f t="shared" si="2"/>
        <v>0.7142857142857143</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264</v>
      </c>
      <c r="G27" s="170">
        <f>IFERROR(VLOOKUP(MID(B27,4,3),MMWR_TRAD_AGG_NATIONAL[],3,0),"--")</f>
        <v>226</v>
      </c>
      <c r="H27" s="171">
        <f t="shared" si="0"/>
        <v>0.85606060606060608</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22418</v>
      </c>
      <c r="G28" s="170">
        <f>IFERROR(VLOOKUP(MID(B28,4,3),MMWR_TRAD_AGG_NATIONAL[],3,0),"--")</f>
        <v>3610</v>
      </c>
      <c r="H28" s="171">
        <f t="shared" si="0"/>
        <v>0.16103131412258007</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191681</v>
      </c>
      <c r="G29" s="170">
        <f>IFERROR(VLOOKUP(MID(B29,4,3),MMWR_TRAD_AGG_NATIONAL[],3,0),"--")</f>
        <v>57103</v>
      </c>
      <c r="H29" s="171">
        <f t="shared" si="0"/>
        <v>0.29790641743313107</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126939</v>
      </c>
      <c r="G30" s="167">
        <f>SUM(G31:G37)</f>
        <v>97946</v>
      </c>
      <c r="H30" s="159">
        <f t="shared" si="0"/>
        <v>0.77159895697933656</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21</v>
      </c>
      <c r="G31" s="170">
        <f>IFERROR(VLOOKUP(MID(B31,4,3),MMWR_TRAD_AGG_NATIONAL[],3,0),"--")</f>
        <v>19</v>
      </c>
      <c r="H31" s="171">
        <f t="shared" si="0"/>
        <v>0.90476190476190477</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34544</v>
      </c>
      <c r="G32" s="170">
        <f>IFERROR(VLOOKUP(MID(B32,4,3),MMWR_TRAD_AGG_NATIONAL[],3,0),"--")</f>
        <v>24049</v>
      </c>
      <c r="H32" s="171">
        <f t="shared" si="0"/>
        <v>0.69618457619268181</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25353</v>
      </c>
      <c r="G36" s="170">
        <f>IFERROR(VLOOKUP(MID(B36,4,3),MMWR_TRAD_AGG_NATIONAL[],3,0),"--")</f>
        <v>17411</v>
      </c>
      <c r="H36" s="171">
        <f t="shared" si="0"/>
        <v>0.68674318621070485</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67021</v>
      </c>
      <c r="G37" s="170">
        <f>IFERROR(VLOOKUP(MID(B37,4,3)&amp;"G",MMWR_TRAD_AGG_NATIONAL[],3,0),"--")</f>
        <v>56467</v>
      </c>
      <c r="H37" s="171">
        <f t="shared" si="0"/>
        <v>0.84252696915892034</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170304</v>
      </c>
      <c r="G38" s="167">
        <f>SUM(G39:G44)</f>
        <v>117744</v>
      </c>
      <c r="H38" s="168">
        <f t="shared" si="0"/>
        <v>0.69137542277339348</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8498</v>
      </c>
      <c r="G39" s="173">
        <f>IFERROR(VLOOKUP(MID(B39,4,3),MMWR_TRAD_AGG_NATIONAL[],3,0),"--")</f>
        <v>6517</v>
      </c>
      <c r="H39" s="174">
        <f t="shared" si="0"/>
        <v>0.76688632619439867</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62821</v>
      </c>
      <c r="G40" s="170">
        <f>IFERROR(VLOOKUP(MID(B40,4,3),MMWR_TRAD_AGG_NATIONAL[],3,0),"--")</f>
        <v>48278</v>
      </c>
      <c r="H40" s="171">
        <f t="shared" si="0"/>
        <v>0.76850097897199976</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905</v>
      </c>
      <c r="G41" s="170">
        <f>IFERROR(VLOOKUP(MID(B41,4,3),MMWR_TRAD_AGG_NATIONAL[],3,0),"--")</f>
        <v>357</v>
      </c>
      <c r="H41" s="171">
        <f t="shared" si="0"/>
        <v>0.39447513812154694</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80029</v>
      </c>
      <c r="G42" s="170">
        <f>IFERROR(VLOOKUP(MID(B42,4,3),MMWR_TRAD_AGG_NATIONAL[],3,0),"--")</f>
        <v>47722</v>
      </c>
      <c r="H42" s="171">
        <f t="shared" si="0"/>
        <v>0.59630883804620827</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17580</v>
      </c>
      <c r="G43" s="170">
        <f>IFERROR(VLOOKUP(MID(B43,4,3),MMWR_TRAD_AGG_NATIONAL[],3,0),"--")</f>
        <v>14485</v>
      </c>
      <c r="H43" s="171">
        <f t="shared" si="0"/>
        <v>0.82394766780432305</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471</v>
      </c>
      <c r="G44" s="176">
        <f>IFERROR(VLOOKUP(MID(B44,4,3),MMWR_TRAD_AGG_NATIONAL[],3,0),"--")</f>
        <v>385</v>
      </c>
      <c r="H44" s="177">
        <f t="shared" si="0"/>
        <v>0.81740976645435248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AUGUST 13,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228892</v>
      </c>
      <c r="D6" s="186">
        <f>IFERROR(VLOOKUP($B6,MMWR_TRAD_AGG_DISTRICT_COMP[],D$1,0),"ERROR")</f>
        <v>367.93050434269998</v>
      </c>
      <c r="E6" s="194">
        <f>IFERROR(VLOOKUP($B6,MMWR_TRAD_AGG_DISTRICT_COMP[],E$1,0),"ERROR")</f>
        <v>345512</v>
      </c>
      <c r="F6" s="188">
        <f>IFERROR(VLOOKUP($B6,MMWR_TRAD_AGG_DISTRICT_COMP[],F$1,0),"ERROR")</f>
        <v>73451</v>
      </c>
      <c r="G6" s="211">
        <f t="shared" ref="G6:G69" si="0">IFERROR(F6/E6,"0%")</f>
        <v>0.21258595938780708</v>
      </c>
      <c r="H6" s="187">
        <f>IFERROR(VLOOKUP($B6,MMWR_TRAD_AGG_DISTRICT_COMP[],H$1,0),"ERROR")</f>
        <v>440872</v>
      </c>
      <c r="I6" s="188">
        <f>IFERROR(VLOOKUP($B6,MMWR_TRAD_AGG_DISTRICT_COMP[],I$1,0),"ERROR")</f>
        <v>213147</v>
      </c>
      <c r="J6" s="211">
        <f t="shared" ref="J6:J69" si="1">IFERROR(I6/H6,"0%")</f>
        <v>0.48346685659329691</v>
      </c>
      <c r="K6" s="187">
        <f>IFERROR(VLOOKUP($B6,MMWR_TRAD_AGG_DISTRICT_COMP[],K$1,0),"ERROR")</f>
        <v>130859</v>
      </c>
      <c r="L6" s="188">
        <f>IFERROR(VLOOKUP($B6,MMWR_TRAD_AGG_DISTRICT_COMP[],L$1,0),"ERROR")</f>
        <v>101610</v>
      </c>
      <c r="M6" s="211">
        <f t="shared" ref="M6:M69" si="2">IFERROR(L6/K6,"0%")</f>
        <v>0.77648461320963791</v>
      </c>
      <c r="N6" s="187">
        <f>IFERROR(VLOOKUP($B6,MMWR_TRAD_AGG_DISTRICT_COMP[],N$1,0),"ERROR")</f>
        <v>171560</v>
      </c>
      <c r="O6" s="188">
        <f>IFERROR(VLOOKUP($B6,MMWR_TRAD_AGG_DISTRICT_COMP[],O$1,0),"ERROR")</f>
        <v>118364</v>
      </c>
      <c r="P6" s="211">
        <f t="shared" ref="P6:P69" si="3">IFERROR(O6/N6,"0%")</f>
        <v>0.68992772207973885</v>
      </c>
      <c r="Q6" s="200">
        <f>IFERROR(VLOOKUP($B6,MMWR_TRAD_AGG_DISTRICT_COMP[],Q$1,0),"ERROR")</f>
        <v>23035</v>
      </c>
      <c r="R6" s="200">
        <f>IFERROR(VLOOKUP($B6,MMWR_TRAD_AGG_DISTRICT_COMP[],R$1,0),"ERROR")</f>
        <v>4532</v>
      </c>
      <c r="S6" s="203">
        <f>S7+S25+S38+S49+S62+S70</f>
        <v>311037</v>
      </c>
      <c r="T6" s="25"/>
    </row>
    <row r="7" spans="1:20" x14ac:dyDescent="0.2">
      <c r="A7" s="92"/>
      <c r="B7" s="101" t="s">
        <v>368</v>
      </c>
      <c r="C7" s="212">
        <f>IFERROR(VLOOKUP($B7,MMWR_TRAD_AGG_DISTRICT_COMP[],C$1,0),"ERROR")</f>
        <v>61989</v>
      </c>
      <c r="D7" s="197">
        <f>IFERROR(VLOOKUP($B7,MMWR_TRAD_AGG_DISTRICT_COMP[],D$1,0),"ERROR")</f>
        <v>426.55275936049998</v>
      </c>
      <c r="E7" s="213">
        <f>IFERROR(VLOOKUP($B7,MMWR_TRAD_AGG_DISTRICT_COMP[],E$1,0),"ERROR")</f>
        <v>80383</v>
      </c>
      <c r="F7" s="212">
        <f>IFERROR(VLOOKUP($B7,MMWR_TRAD_AGG_DISTRICT_COMP[],F$1,0),"ERROR")</f>
        <v>18005</v>
      </c>
      <c r="G7" s="214">
        <f t="shared" si="0"/>
        <v>0.22399014717042159</v>
      </c>
      <c r="H7" s="212">
        <f>IFERROR(VLOOKUP($B7,MMWR_TRAD_AGG_DISTRICT_COMP[],H$1,0),"ERROR")</f>
        <v>108563</v>
      </c>
      <c r="I7" s="212">
        <f>IFERROR(VLOOKUP($B7,MMWR_TRAD_AGG_DISTRICT_COMP[],I$1,0),"ERROR")</f>
        <v>57090</v>
      </c>
      <c r="J7" s="214">
        <f t="shared" si="1"/>
        <v>0.52586977146910086</v>
      </c>
      <c r="K7" s="212">
        <f>IFERROR(VLOOKUP($B7,MMWR_TRAD_AGG_DISTRICT_COMP[],K$1,0),"ERROR")</f>
        <v>36883</v>
      </c>
      <c r="L7" s="212">
        <f>IFERROR(VLOOKUP($B7,MMWR_TRAD_AGG_DISTRICT_COMP[],L$1,0),"ERROR")</f>
        <v>29172</v>
      </c>
      <c r="M7" s="214">
        <f t="shared" si="2"/>
        <v>0.79093349239487032</v>
      </c>
      <c r="N7" s="212">
        <f>IFERROR(VLOOKUP($B7,MMWR_TRAD_AGG_DISTRICT_COMP[],N$1,0),"ERROR")</f>
        <v>28987</v>
      </c>
      <c r="O7" s="212">
        <f>IFERROR(VLOOKUP($B7,MMWR_TRAD_AGG_DISTRICT_COMP[],O$1,0),"ERROR")</f>
        <v>23916</v>
      </c>
      <c r="P7" s="214">
        <f t="shared" si="3"/>
        <v>0.82505950943526407</v>
      </c>
      <c r="Q7" s="212">
        <f>IFERROR(VLOOKUP($B7,MMWR_TRAD_AGG_DISTRICT_COMP[],Q$1,0),"ERROR")</f>
        <v>14337</v>
      </c>
      <c r="R7" s="215">
        <f>IFERROR(VLOOKUP($B7,MMWR_TRAD_AGG_DISTRICT_COMP[],R$1,0),"ERROR")</f>
        <v>48</v>
      </c>
      <c r="S7" s="215">
        <f>IFERROR(VLOOKUP($B7,MMWR_APP_RO[],S$1,0),"ERROR")</f>
        <v>56942</v>
      </c>
      <c r="T7" s="25"/>
    </row>
    <row r="8" spans="1:20" x14ac:dyDescent="0.2">
      <c r="A8" s="107"/>
      <c r="B8" s="108" t="s">
        <v>33</v>
      </c>
      <c r="C8" s="209">
        <f>IFERROR(VLOOKUP($B8,MMWR_TRAD_AGG_RO_COMP[],C$1,0),"ERROR")</f>
        <v>7611</v>
      </c>
      <c r="D8" s="198">
        <f>IFERROR(VLOOKUP($B8,MMWR_TRAD_AGG_RO_COMP[],D$1,0),"ERROR")</f>
        <v>699.40507160690004</v>
      </c>
      <c r="E8" s="195">
        <f>IFERROR(VLOOKUP($B8,MMWR_TRAD_AGG_RO_COMP[],E$1,0),"ERROR")</f>
        <v>5388</v>
      </c>
      <c r="F8" s="191">
        <f>IFERROR(VLOOKUP($B8,MMWR_TRAD_AGG_RO_COMP[],F$1,0),"ERROR")</f>
        <v>1299</v>
      </c>
      <c r="G8" s="216">
        <f t="shared" si="0"/>
        <v>0.24109131403118039</v>
      </c>
      <c r="H8" s="190">
        <f>IFERROR(VLOOKUP($B8,MMWR_TRAD_AGG_RO_COMP[],H$1,0),"ERROR")</f>
        <v>10416</v>
      </c>
      <c r="I8" s="191">
        <f>IFERROR(VLOOKUP($B8,MMWR_TRAD_AGG_RO_COMP[],I$1,0),"ERROR")</f>
        <v>7235</v>
      </c>
      <c r="J8" s="216">
        <f t="shared" si="1"/>
        <v>0.69460445468509979</v>
      </c>
      <c r="K8" s="204">
        <f>IFERROR(VLOOKUP($B8,MMWR_TRAD_AGG_RO_COMP[],K$1,0),"ERROR")</f>
        <v>3391</v>
      </c>
      <c r="L8" s="205">
        <f>IFERROR(VLOOKUP($B8,MMWR_TRAD_AGG_RO_COMP[],L$1,0),"ERROR")</f>
        <v>3076</v>
      </c>
      <c r="M8" s="216">
        <f t="shared" si="2"/>
        <v>0.90710704806841636</v>
      </c>
      <c r="N8" s="204">
        <f>IFERROR(VLOOKUP($B8,MMWR_TRAD_AGG_RO_COMP[],N$1,0),"ERROR")</f>
        <v>1514</v>
      </c>
      <c r="O8" s="205">
        <f>IFERROR(VLOOKUP($B8,MMWR_TRAD_AGG_RO_COMP[],O$1,0),"ERROR")</f>
        <v>1218</v>
      </c>
      <c r="P8" s="216">
        <f t="shared" si="3"/>
        <v>0.80449141347424047</v>
      </c>
      <c r="Q8" s="201">
        <f>IFERROR(VLOOKUP($B8,MMWR_TRAD_AGG_RO_COMP[],Q$1,0),"ERROR")</f>
        <v>0</v>
      </c>
      <c r="R8" s="201">
        <f>IFERROR(VLOOKUP($B8,MMWR_TRAD_AGG_RO_COMP[],R$1,0),"ERROR")</f>
        <v>7</v>
      </c>
      <c r="S8" s="201">
        <f>IFERROR(VLOOKUP($B8,MMWR_APP_RO[],S$1,0),"ERROR")</f>
        <v>4805</v>
      </c>
      <c r="T8" s="25"/>
    </row>
    <row r="9" spans="1:20" x14ac:dyDescent="0.2">
      <c r="A9" s="107"/>
      <c r="B9" s="108" t="s">
        <v>35</v>
      </c>
      <c r="C9" s="209">
        <f>IFERROR(VLOOKUP($B9,MMWR_TRAD_AGG_RO_COMP[],C$1,0),"ERROR")</f>
        <v>3215</v>
      </c>
      <c r="D9" s="198">
        <f>IFERROR(VLOOKUP($B9,MMWR_TRAD_AGG_RO_COMP[],D$1,0),"ERROR")</f>
        <v>610.17076205290005</v>
      </c>
      <c r="E9" s="195">
        <f>IFERROR(VLOOKUP($B9,MMWR_TRAD_AGG_RO_COMP[],E$1,0),"ERROR")</f>
        <v>3248</v>
      </c>
      <c r="F9" s="191">
        <f>IFERROR(VLOOKUP($B9,MMWR_TRAD_AGG_RO_COMP[],F$1,0),"ERROR")</f>
        <v>676</v>
      </c>
      <c r="G9" s="216">
        <f t="shared" si="0"/>
        <v>0.20812807881773399</v>
      </c>
      <c r="H9" s="190">
        <f>IFERROR(VLOOKUP($B9,MMWR_TRAD_AGG_RO_COMP[],H$1,0),"ERROR")</f>
        <v>6617</v>
      </c>
      <c r="I9" s="191">
        <f>IFERROR(VLOOKUP($B9,MMWR_TRAD_AGG_RO_COMP[],I$1,0),"ERROR")</f>
        <v>3564</v>
      </c>
      <c r="J9" s="216">
        <f t="shared" si="1"/>
        <v>0.53861266434940303</v>
      </c>
      <c r="K9" s="204">
        <f>IFERROR(VLOOKUP($B9,MMWR_TRAD_AGG_RO_COMP[],K$1,0),"ERROR")</f>
        <v>2539</v>
      </c>
      <c r="L9" s="205">
        <f>IFERROR(VLOOKUP($B9,MMWR_TRAD_AGG_RO_COMP[],L$1,0),"ERROR")</f>
        <v>2097</v>
      </c>
      <c r="M9" s="216">
        <f t="shared" si="2"/>
        <v>0.82591571484836546</v>
      </c>
      <c r="N9" s="204">
        <f>IFERROR(VLOOKUP($B9,MMWR_TRAD_AGG_RO_COMP[],N$1,0),"ERROR")</f>
        <v>543</v>
      </c>
      <c r="O9" s="205">
        <f>IFERROR(VLOOKUP($B9,MMWR_TRAD_AGG_RO_COMP[],O$1,0),"ERROR")</f>
        <v>468</v>
      </c>
      <c r="P9" s="216">
        <f t="shared" si="3"/>
        <v>0.86187845303867405</v>
      </c>
      <c r="Q9" s="201">
        <f>IFERROR(VLOOKUP($B9,MMWR_TRAD_AGG_RO_COMP[],Q$1,0),"ERROR")</f>
        <v>0</v>
      </c>
      <c r="R9" s="201">
        <f>IFERROR(VLOOKUP($B9,MMWR_TRAD_AGG_RO_COMP[],R$1,0),"ERROR")</f>
        <v>4</v>
      </c>
      <c r="S9" s="201">
        <f>IFERROR(VLOOKUP($B9,MMWR_APP_RO[],S$1,0),"ERROR")</f>
        <v>3168</v>
      </c>
      <c r="T9" s="25"/>
    </row>
    <row r="10" spans="1:20" x14ac:dyDescent="0.2">
      <c r="A10" s="107"/>
      <c r="B10" s="108" t="s">
        <v>24</v>
      </c>
      <c r="C10" s="209">
        <f>IFERROR(VLOOKUP($B10,MMWR_TRAD_AGG_RO_COMP[],C$1,0),"ERROR")</f>
        <v>588</v>
      </c>
      <c r="D10" s="198">
        <f>IFERROR(VLOOKUP($B10,MMWR_TRAD_AGG_RO_COMP[],D$1,0),"ERROR")</f>
        <v>154.20918367350001</v>
      </c>
      <c r="E10" s="195">
        <f>IFERROR(VLOOKUP($B10,MMWR_TRAD_AGG_RO_COMP[],E$1,0),"ERROR")</f>
        <v>3809</v>
      </c>
      <c r="F10" s="191">
        <f>IFERROR(VLOOKUP($B10,MMWR_TRAD_AGG_RO_COMP[],F$1,0),"ERROR")</f>
        <v>728</v>
      </c>
      <c r="G10" s="216">
        <f t="shared" si="0"/>
        <v>0.19112627986348124</v>
      </c>
      <c r="H10" s="190">
        <f>IFERROR(VLOOKUP($B10,MMWR_TRAD_AGG_RO_COMP[],H$1,0),"ERROR")</f>
        <v>2945</v>
      </c>
      <c r="I10" s="191">
        <f>IFERROR(VLOOKUP($B10,MMWR_TRAD_AGG_RO_COMP[],I$1,0),"ERROR")</f>
        <v>887</v>
      </c>
      <c r="J10" s="216">
        <f t="shared" si="1"/>
        <v>0.30118845500848895</v>
      </c>
      <c r="K10" s="204">
        <f>IFERROR(VLOOKUP($B10,MMWR_TRAD_AGG_RO_COMP[],K$1,0),"ERROR")</f>
        <v>981</v>
      </c>
      <c r="L10" s="205">
        <f>IFERROR(VLOOKUP($B10,MMWR_TRAD_AGG_RO_COMP[],L$1,0),"ERROR")</f>
        <v>668</v>
      </c>
      <c r="M10" s="216">
        <f t="shared" si="2"/>
        <v>0.68093781855249746</v>
      </c>
      <c r="N10" s="204">
        <f>IFERROR(VLOOKUP($B10,MMWR_TRAD_AGG_RO_COMP[],N$1,0),"ERROR")</f>
        <v>311</v>
      </c>
      <c r="O10" s="205">
        <f>IFERROR(VLOOKUP($B10,MMWR_TRAD_AGG_RO_COMP[],O$1,0),"ERROR")</f>
        <v>156</v>
      </c>
      <c r="P10" s="216">
        <f t="shared" si="3"/>
        <v>0.50160771704180063</v>
      </c>
      <c r="Q10" s="201">
        <f>IFERROR(VLOOKUP($B10,MMWR_TRAD_AGG_RO_COMP[],Q$1,0),"ERROR")</f>
        <v>0</v>
      </c>
      <c r="R10" s="201">
        <f>IFERROR(VLOOKUP($B10,MMWR_TRAD_AGG_RO_COMP[],R$1,0),"ERROR")</f>
        <v>0</v>
      </c>
      <c r="S10" s="201">
        <f>IFERROR(VLOOKUP($B10,MMWR_APP_RO[],S$1,0),"ERROR")</f>
        <v>2120</v>
      </c>
      <c r="T10" s="25"/>
    </row>
    <row r="11" spans="1:20" x14ac:dyDescent="0.2">
      <c r="A11" s="107"/>
      <c r="B11" s="108" t="s">
        <v>44</v>
      </c>
      <c r="C11" s="209">
        <f>IFERROR(VLOOKUP($B11,MMWR_TRAD_AGG_RO_COMP[],C$1,0),"ERROR")</f>
        <v>535</v>
      </c>
      <c r="D11" s="198">
        <f>IFERROR(VLOOKUP($B11,MMWR_TRAD_AGG_RO_COMP[],D$1,0),"ERROR")</f>
        <v>292.23551401869997</v>
      </c>
      <c r="E11" s="195">
        <f>IFERROR(VLOOKUP($B11,MMWR_TRAD_AGG_RO_COMP[],E$1,0),"ERROR")</f>
        <v>1752</v>
      </c>
      <c r="F11" s="191">
        <f>IFERROR(VLOOKUP($B11,MMWR_TRAD_AGG_RO_COMP[],F$1,0),"ERROR")</f>
        <v>329</v>
      </c>
      <c r="G11" s="216">
        <f t="shared" si="0"/>
        <v>0.18778538812785389</v>
      </c>
      <c r="H11" s="190">
        <f>IFERROR(VLOOKUP($B11,MMWR_TRAD_AGG_RO_COMP[],H$1,0),"ERROR")</f>
        <v>2455</v>
      </c>
      <c r="I11" s="191">
        <f>IFERROR(VLOOKUP($B11,MMWR_TRAD_AGG_RO_COMP[],I$1,0),"ERROR")</f>
        <v>672</v>
      </c>
      <c r="J11" s="216">
        <f t="shared" si="1"/>
        <v>0.27372708757637476</v>
      </c>
      <c r="K11" s="204">
        <f>IFERROR(VLOOKUP($B11,MMWR_TRAD_AGG_RO_COMP[],K$1,0),"ERROR")</f>
        <v>454</v>
      </c>
      <c r="L11" s="205">
        <f>IFERROR(VLOOKUP($B11,MMWR_TRAD_AGG_RO_COMP[],L$1,0),"ERROR")</f>
        <v>268</v>
      </c>
      <c r="M11" s="216">
        <f t="shared" si="2"/>
        <v>0.5903083700440529</v>
      </c>
      <c r="N11" s="204">
        <f>IFERROR(VLOOKUP($B11,MMWR_TRAD_AGG_RO_COMP[],N$1,0),"ERROR")</f>
        <v>819</v>
      </c>
      <c r="O11" s="205">
        <f>IFERROR(VLOOKUP($B11,MMWR_TRAD_AGG_RO_COMP[],O$1,0),"ERROR")</f>
        <v>696</v>
      </c>
      <c r="P11" s="216">
        <f t="shared" si="3"/>
        <v>0.8498168498168498</v>
      </c>
      <c r="Q11" s="201">
        <f>IFERROR(VLOOKUP($B11,MMWR_TRAD_AGG_RO_COMP[],Q$1,0),"ERROR")</f>
        <v>0</v>
      </c>
      <c r="R11" s="201">
        <f>IFERROR(VLOOKUP($B11,MMWR_TRAD_AGG_RO_COMP[],R$1,0),"ERROR")</f>
        <v>5</v>
      </c>
      <c r="S11" s="201">
        <f>IFERROR(VLOOKUP($B11,MMWR_APP_RO[],S$1,0),"ERROR")</f>
        <v>1385</v>
      </c>
      <c r="T11" s="25"/>
    </row>
    <row r="12" spans="1:20" x14ac:dyDescent="0.2">
      <c r="A12" s="107"/>
      <c r="B12" s="108" t="s">
        <v>47</v>
      </c>
      <c r="C12" s="209">
        <f>IFERROR(VLOOKUP($B12,MMWR_TRAD_AGG_RO_COMP[],C$1,0),"ERROR")</f>
        <v>1822</v>
      </c>
      <c r="D12" s="198">
        <f>IFERROR(VLOOKUP($B12,MMWR_TRAD_AGG_RO_COMP[],D$1,0),"ERROR")</f>
        <v>247.9374313941</v>
      </c>
      <c r="E12" s="195">
        <f>IFERROR(VLOOKUP($B12,MMWR_TRAD_AGG_RO_COMP[],E$1,0),"ERROR")</f>
        <v>2343</v>
      </c>
      <c r="F12" s="191">
        <f>IFERROR(VLOOKUP($B12,MMWR_TRAD_AGG_RO_COMP[],F$1,0),"ERROR")</f>
        <v>385</v>
      </c>
      <c r="G12" s="216">
        <f t="shared" si="0"/>
        <v>0.16431924882629109</v>
      </c>
      <c r="H12" s="190">
        <f>IFERROR(VLOOKUP($B12,MMWR_TRAD_AGG_RO_COMP[],H$1,0),"ERROR")</f>
        <v>3449</v>
      </c>
      <c r="I12" s="191">
        <f>IFERROR(VLOOKUP($B12,MMWR_TRAD_AGG_RO_COMP[],I$1,0),"ERROR")</f>
        <v>1732</v>
      </c>
      <c r="J12" s="216">
        <f t="shared" si="1"/>
        <v>0.5021745433458974</v>
      </c>
      <c r="K12" s="204">
        <f>IFERROR(VLOOKUP($B12,MMWR_TRAD_AGG_RO_COMP[],K$1,0),"ERROR")</f>
        <v>466</v>
      </c>
      <c r="L12" s="205">
        <f>IFERROR(VLOOKUP($B12,MMWR_TRAD_AGG_RO_COMP[],L$1,0),"ERROR")</f>
        <v>379</v>
      </c>
      <c r="M12" s="216">
        <f t="shared" si="2"/>
        <v>0.81330472103004292</v>
      </c>
      <c r="N12" s="204">
        <f>IFERROR(VLOOKUP($B12,MMWR_TRAD_AGG_RO_COMP[],N$1,0),"ERROR")</f>
        <v>1340</v>
      </c>
      <c r="O12" s="205">
        <f>IFERROR(VLOOKUP($B12,MMWR_TRAD_AGG_RO_COMP[],O$1,0),"ERROR")</f>
        <v>969</v>
      </c>
      <c r="P12" s="216">
        <f t="shared" si="3"/>
        <v>0.7231343283582089</v>
      </c>
      <c r="Q12" s="201">
        <f>IFERROR(VLOOKUP($B12,MMWR_TRAD_AGG_RO_COMP[],Q$1,0),"ERROR")</f>
        <v>1</v>
      </c>
      <c r="R12" s="201">
        <f>IFERROR(VLOOKUP($B12,MMWR_TRAD_AGG_RO_COMP[],R$1,0),"ERROR")</f>
        <v>3</v>
      </c>
      <c r="S12" s="201">
        <f>IFERROR(VLOOKUP($B12,MMWR_APP_RO[],S$1,0),"ERROR")</f>
        <v>2540</v>
      </c>
      <c r="T12" s="25"/>
    </row>
    <row r="13" spans="1:20" x14ac:dyDescent="0.2">
      <c r="A13" s="107"/>
      <c r="B13" s="108" t="s">
        <v>54</v>
      </c>
      <c r="C13" s="209">
        <f>IFERROR(VLOOKUP($B13,MMWR_TRAD_AGG_RO_COMP[],C$1,0),"ERROR")</f>
        <v>932</v>
      </c>
      <c r="D13" s="198">
        <f>IFERROR(VLOOKUP($B13,MMWR_TRAD_AGG_RO_COMP[],D$1,0),"ERROR")</f>
        <v>251.91523605149999</v>
      </c>
      <c r="E13" s="195">
        <f>IFERROR(VLOOKUP($B13,MMWR_TRAD_AGG_RO_COMP[],E$1,0),"ERROR")</f>
        <v>1231</v>
      </c>
      <c r="F13" s="191">
        <f>IFERROR(VLOOKUP($B13,MMWR_TRAD_AGG_RO_COMP[],F$1,0),"ERROR")</f>
        <v>195</v>
      </c>
      <c r="G13" s="216">
        <f t="shared" si="0"/>
        <v>0.15840779853777417</v>
      </c>
      <c r="H13" s="190">
        <f>IFERROR(VLOOKUP($B13,MMWR_TRAD_AGG_RO_COMP[],H$1,0),"ERROR")</f>
        <v>1796</v>
      </c>
      <c r="I13" s="191">
        <f>IFERROR(VLOOKUP($B13,MMWR_TRAD_AGG_RO_COMP[],I$1,0),"ERROR")</f>
        <v>764</v>
      </c>
      <c r="J13" s="216">
        <f t="shared" si="1"/>
        <v>0.42538975501113585</v>
      </c>
      <c r="K13" s="204">
        <f>IFERROR(VLOOKUP($B13,MMWR_TRAD_AGG_RO_COMP[],K$1,0),"ERROR")</f>
        <v>242</v>
      </c>
      <c r="L13" s="205">
        <f>IFERROR(VLOOKUP($B13,MMWR_TRAD_AGG_RO_COMP[],L$1,0),"ERROR")</f>
        <v>147</v>
      </c>
      <c r="M13" s="216">
        <f t="shared" si="2"/>
        <v>0.6074380165289256</v>
      </c>
      <c r="N13" s="204">
        <f>IFERROR(VLOOKUP($B13,MMWR_TRAD_AGG_RO_COMP[],N$1,0),"ERROR")</f>
        <v>140</v>
      </c>
      <c r="O13" s="205">
        <f>IFERROR(VLOOKUP($B13,MMWR_TRAD_AGG_RO_COMP[],O$1,0),"ERROR")</f>
        <v>59</v>
      </c>
      <c r="P13" s="216">
        <f t="shared" si="3"/>
        <v>0.42142857142857143</v>
      </c>
      <c r="Q13" s="201">
        <f>IFERROR(VLOOKUP($B13,MMWR_TRAD_AGG_RO_COMP[],Q$1,0),"ERROR")</f>
        <v>0</v>
      </c>
      <c r="R13" s="201">
        <f>IFERROR(VLOOKUP($B13,MMWR_TRAD_AGG_RO_COMP[],R$1,0),"ERROR")</f>
        <v>1</v>
      </c>
      <c r="S13" s="201">
        <f>IFERROR(VLOOKUP($B13,MMWR_APP_RO[],S$1,0),"ERROR")</f>
        <v>568</v>
      </c>
      <c r="T13" s="25"/>
    </row>
    <row r="14" spans="1:20" x14ac:dyDescent="0.2">
      <c r="A14" s="107"/>
      <c r="B14" s="108" t="s">
        <v>60</v>
      </c>
      <c r="C14" s="209">
        <f>IFERROR(VLOOKUP($B14,MMWR_TRAD_AGG_RO_COMP[],C$1,0),"ERROR")</f>
        <v>2194</v>
      </c>
      <c r="D14" s="198">
        <f>IFERROR(VLOOKUP($B14,MMWR_TRAD_AGG_RO_COMP[],D$1,0),"ERROR")</f>
        <v>299.27666362809998</v>
      </c>
      <c r="E14" s="195">
        <f>IFERROR(VLOOKUP($B14,MMWR_TRAD_AGG_RO_COMP[],E$1,0),"ERROR")</f>
        <v>4698</v>
      </c>
      <c r="F14" s="191">
        <f>IFERROR(VLOOKUP($B14,MMWR_TRAD_AGG_RO_COMP[],F$1,0),"ERROR")</f>
        <v>1439</v>
      </c>
      <c r="G14" s="216">
        <f t="shared" si="0"/>
        <v>0.3063005534269902</v>
      </c>
      <c r="H14" s="190">
        <f>IFERROR(VLOOKUP($B14,MMWR_TRAD_AGG_RO_COMP[],H$1,0),"ERROR")</f>
        <v>4921</v>
      </c>
      <c r="I14" s="191">
        <f>IFERROR(VLOOKUP($B14,MMWR_TRAD_AGG_RO_COMP[],I$1,0),"ERROR")</f>
        <v>1946</v>
      </c>
      <c r="J14" s="216">
        <f t="shared" si="1"/>
        <v>0.39544807965860596</v>
      </c>
      <c r="K14" s="204">
        <f>IFERROR(VLOOKUP($B14,MMWR_TRAD_AGG_RO_COMP[],K$1,0),"ERROR")</f>
        <v>1926</v>
      </c>
      <c r="L14" s="205">
        <f>IFERROR(VLOOKUP($B14,MMWR_TRAD_AGG_RO_COMP[],L$1,0),"ERROR")</f>
        <v>1644</v>
      </c>
      <c r="M14" s="216">
        <f t="shared" si="2"/>
        <v>0.85358255451713394</v>
      </c>
      <c r="N14" s="204">
        <f>IFERROR(VLOOKUP($B14,MMWR_TRAD_AGG_RO_COMP[],N$1,0),"ERROR")</f>
        <v>4047</v>
      </c>
      <c r="O14" s="205">
        <f>IFERROR(VLOOKUP($B14,MMWR_TRAD_AGG_RO_COMP[],O$1,0),"ERROR")</f>
        <v>3217</v>
      </c>
      <c r="P14" s="216">
        <f t="shared" si="3"/>
        <v>0.79490980973560665</v>
      </c>
      <c r="Q14" s="201">
        <f>IFERROR(VLOOKUP($B14,MMWR_TRAD_AGG_RO_COMP[],Q$1,0),"ERROR")</f>
        <v>0</v>
      </c>
      <c r="R14" s="201">
        <f>IFERROR(VLOOKUP($B14,MMWR_TRAD_AGG_RO_COMP[],R$1,0),"ERROR")</f>
        <v>1</v>
      </c>
      <c r="S14" s="201">
        <f>IFERROR(VLOOKUP($B14,MMWR_APP_RO[],S$1,0),"ERROR")</f>
        <v>3307</v>
      </c>
      <c r="T14" s="25"/>
    </row>
    <row r="15" spans="1:20" x14ac:dyDescent="0.2">
      <c r="A15" s="107"/>
      <c r="B15" s="108" t="s">
        <v>61</v>
      </c>
      <c r="C15" s="209">
        <f>IFERROR(VLOOKUP($B15,MMWR_TRAD_AGG_RO_COMP[],C$1,0),"ERROR")</f>
        <v>434</v>
      </c>
      <c r="D15" s="198">
        <f>IFERROR(VLOOKUP($B15,MMWR_TRAD_AGG_RO_COMP[],D$1,0),"ERROR")</f>
        <v>128.83179723500001</v>
      </c>
      <c r="E15" s="195">
        <f>IFERROR(VLOOKUP($B15,MMWR_TRAD_AGG_RO_COMP[],E$1,0),"ERROR")</f>
        <v>2734</v>
      </c>
      <c r="F15" s="191">
        <f>IFERROR(VLOOKUP($B15,MMWR_TRAD_AGG_RO_COMP[],F$1,0),"ERROR")</f>
        <v>710</v>
      </c>
      <c r="G15" s="216">
        <f t="shared" si="0"/>
        <v>0.25969275786393564</v>
      </c>
      <c r="H15" s="190">
        <f>IFERROR(VLOOKUP($B15,MMWR_TRAD_AGG_RO_COMP[],H$1,0),"ERROR")</f>
        <v>1722</v>
      </c>
      <c r="I15" s="191">
        <f>IFERROR(VLOOKUP($B15,MMWR_TRAD_AGG_RO_COMP[],I$1,0),"ERROR")</f>
        <v>346</v>
      </c>
      <c r="J15" s="216">
        <f t="shared" si="1"/>
        <v>0.20092915214866433</v>
      </c>
      <c r="K15" s="204">
        <f>IFERROR(VLOOKUP($B15,MMWR_TRAD_AGG_RO_COMP[],K$1,0),"ERROR")</f>
        <v>523</v>
      </c>
      <c r="L15" s="205">
        <f>IFERROR(VLOOKUP($B15,MMWR_TRAD_AGG_RO_COMP[],L$1,0),"ERROR")</f>
        <v>471</v>
      </c>
      <c r="M15" s="216">
        <f t="shared" si="2"/>
        <v>0.9005736137667304</v>
      </c>
      <c r="N15" s="204">
        <f>IFERROR(VLOOKUP($B15,MMWR_TRAD_AGG_RO_COMP[],N$1,0),"ERROR")</f>
        <v>1443</v>
      </c>
      <c r="O15" s="205">
        <f>IFERROR(VLOOKUP($B15,MMWR_TRAD_AGG_RO_COMP[],O$1,0),"ERROR")</f>
        <v>1218</v>
      </c>
      <c r="P15" s="216">
        <f t="shared" si="3"/>
        <v>0.84407484407484412</v>
      </c>
      <c r="Q15" s="201">
        <f>IFERROR(VLOOKUP($B15,MMWR_TRAD_AGG_RO_COMP[],Q$1,0),"ERROR")</f>
        <v>0</v>
      </c>
      <c r="R15" s="201">
        <f>IFERROR(VLOOKUP($B15,MMWR_TRAD_AGG_RO_COMP[],R$1,0),"ERROR")</f>
        <v>1</v>
      </c>
      <c r="S15" s="201">
        <f>IFERROR(VLOOKUP($B15,MMWR_APP_RO[],S$1,0),"ERROR")</f>
        <v>2465</v>
      </c>
      <c r="T15" s="25"/>
    </row>
    <row r="16" spans="1:20" x14ac:dyDescent="0.2">
      <c r="A16" s="107"/>
      <c r="B16" s="108" t="s">
        <v>63</v>
      </c>
      <c r="C16" s="209">
        <f>IFERROR(VLOOKUP($B16,MMWR_TRAD_AGG_RO_COMP[],C$1,0),"ERROR")</f>
        <v>4083</v>
      </c>
      <c r="D16" s="198">
        <f>IFERROR(VLOOKUP($B16,MMWR_TRAD_AGG_RO_COMP[],D$1,0),"ERROR")</f>
        <v>403.48787656140001</v>
      </c>
      <c r="E16" s="195">
        <f>IFERROR(VLOOKUP($B16,MMWR_TRAD_AGG_RO_COMP[],E$1,0),"ERROR")</f>
        <v>13655</v>
      </c>
      <c r="F16" s="191">
        <f>IFERROR(VLOOKUP($B16,MMWR_TRAD_AGG_RO_COMP[],F$1,0),"ERROR")</f>
        <v>3646</v>
      </c>
      <c r="G16" s="216">
        <f t="shared" si="0"/>
        <v>0.26700842182350787</v>
      </c>
      <c r="H16" s="190">
        <f>IFERROR(VLOOKUP($B16,MMWR_TRAD_AGG_RO_COMP[],H$1,0),"ERROR")</f>
        <v>8156</v>
      </c>
      <c r="I16" s="191">
        <f>IFERROR(VLOOKUP($B16,MMWR_TRAD_AGG_RO_COMP[],I$1,0),"ERROR")</f>
        <v>4221</v>
      </c>
      <c r="J16" s="216">
        <f t="shared" si="1"/>
        <v>0.51753310446297207</v>
      </c>
      <c r="K16" s="204">
        <f>IFERROR(VLOOKUP($B16,MMWR_TRAD_AGG_RO_COMP[],K$1,0),"ERROR")</f>
        <v>1660</v>
      </c>
      <c r="L16" s="205">
        <f>IFERROR(VLOOKUP($B16,MMWR_TRAD_AGG_RO_COMP[],L$1,0),"ERROR")</f>
        <v>1397</v>
      </c>
      <c r="M16" s="216">
        <f t="shared" si="2"/>
        <v>0.84156626506024101</v>
      </c>
      <c r="N16" s="204">
        <f>IFERROR(VLOOKUP($B16,MMWR_TRAD_AGG_RO_COMP[],N$1,0),"ERROR")</f>
        <v>6960</v>
      </c>
      <c r="O16" s="205">
        <f>IFERROR(VLOOKUP($B16,MMWR_TRAD_AGG_RO_COMP[],O$1,0),"ERROR")</f>
        <v>6358</v>
      </c>
      <c r="P16" s="216">
        <f t="shared" si="3"/>
        <v>0.91350574712643673</v>
      </c>
      <c r="Q16" s="201">
        <f>IFERROR(VLOOKUP($B16,MMWR_TRAD_AGG_RO_COMP[],Q$1,0),"ERROR")</f>
        <v>14328</v>
      </c>
      <c r="R16" s="201">
        <f>IFERROR(VLOOKUP($B16,MMWR_TRAD_AGG_RO_COMP[],R$1,0),"ERROR")</f>
        <v>0</v>
      </c>
      <c r="S16" s="201">
        <f>IFERROR(VLOOKUP($B16,MMWR_APP_RO[],S$1,0),"ERROR")</f>
        <v>5923</v>
      </c>
      <c r="T16" s="25"/>
    </row>
    <row r="17" spans="1:20" x14ac:dyDescent="0.2">
      <c r="A17" s="107"/>
      <c r="B17" s="108" t="s">
        <v>65</v>
      </c>
      <c r="C17" s="209">
        <f>IFERROR(VLOOKUP($B17,MMWR_TRAD_AGG_RO_COMP[],C$1,0),"ERROR")</f>
        <v>2875</v>
      </c>
      <c r="D17" s="198">
        <f>IFERROR(VLOOKUP($B17,MMWR_TRAD_AGG_RO_COMP[],D$1,0),"ERROR")</f>
        <v>368.25182608699998</v>
      </c>
      <c r="E17" s="195">
        <f>IFERROR(VLOOKUP($B17,MMWR_TRAD_AGG_RO_COMP[],E$1,0),"ERROR")</f>
        <v>4671</v>
      </c>
      <c r="F17" s="191">
        <f>IFERROR(VLOOKUP($B17,MMWR_TRAD_AGG_RO_COMP[],F$1,0),"ERROR")</f>
        <v>1424</v>
      </c>
      <c r="G17" s="216">
        <f t="shared" si="0"/>
        <v>0.30485977306786555</v>
      </c>
      <c r="H17" s="190">
        <f>IFERROR(VLOOKUP($B17,MMWR_TRAD_AGG_RO_COMP[],H$1,0),"ERROR")</f>
        <v>5490</v>
      </c>
      <c r="I17" s="191">
        <f>IFERROR(VLOOKUP($B17,MMWR_TRAD_AGG_RO_COMP[],I$1,0),"ERROR")</f>
        <v>2892</v>
      </c>
      <c r="J17" s="216">
        <f t="shared" si="1"/>
        <v>0.52677595628415297</v>
      </c>
      <c r="K17" s="204">
        <f>IFERROR(VLOOKUP($B17,MMWR_TRAD_AGG_RO_COMP[],K$1,0),"ERROR")</f>
        <v>578</v>
      </c>
      <c r="L17" s="205">
        <f>IFERROR(VLOOKUP($B17,MMWR_TRAD_AGG_RO_COMP[],L$1,0),"ERROR")</f>
        <v>466</v>
      </c>
      <c r="M17" s="216">
        <f t="shared" si="2"/>
        <v>0.80622837370242217</v>
      </c>
      <c r="N17" s="204">
        <f>IFERROR(VLOOKUP($B17,MMWR_TRAD_AGG_RO_COMP[],N$1,0),"ERROR")</f>
        <v>802</v>
      </c>
      <c r="O17" s="205">
        <f>IFERROR(VLOOKUP($B17,MMWR_TRAD_AGG_RO_COMP[],O$1,0),"ERROR")</f>
        <v>588</v>
      </c>
      <c r="P17" s="216">
        <f t="shared" si="3"/>
        <v>0.73316708229426431</v>
      </c>
      <c r="Q17" s="201">
        <f>IFERROR(VLOOKUP($B17,MMWR_TRAD_AGG_RO_COMP[],Q$1,0),"ERROR")</f>
        <v>0</v>
      </c>
      <c r="R17" s="201">
        <f>IFERROR(VLOOKUP($B17,MMWR_TRAD_AGG_RO_COMP[],R$1,0),"ERROR")</f>
        <v>1</v>
      </c>
      <c r="S17" s="201">
        <f>IFERROR(VLOOKUP($B17,MMWR_APP_RO[],S$1,0),"ERROR")</f>
        <v>4909</v>
      </c>
      <c r="T17" s="25"/>
    </row>
    <row r="18" spans="1:20" x14ac:dyDescent="0.2">
      <c r="A18" s="107"/>
      <c r="B18" s="108" t="s">
        <v>67</v>
      </c>
      <c r="C18" s="209">
        <f>IFERROR(VLOOKUP($B18,MMWR_TRAD_AGG_RO_COMP[],C$1,0),"ERROR")</f>
        <v>803</v>
      </c>
      <c r="D18" s="198">
        <f>IFERROR(VLOOKUP($B18,MMWR_TRAD_AGG_RO_COMP[],D$1,0),"ERROR")</f>
        <v>339.9240348692</v>
      </c>
      <c r="E18" s="195">
        <f>IFERROR(VLOOKUP($B18,MMWR_TRAD_AGG_RO_COMP[],E$1,0),"ERROR")</f>
        <v>2686</v>
      </c>
      <c r="F18" s="191">
        <f>IFERROR(VLOOKUP($B18,MMWR_TRAD_AGG_RO_COMP[],F$1,0),"ERROR")</f>
        <v>355</v>
      </c>
      <c r="G18" s="216">
        <f t="shared" si="0"/>
        <v>0.13216679076693968</v>
      </c>
      <c r="H18" s="190">
        <f>IFERROR(VLOOKUP($B18,MMWR_TRAD_AGG_RO_COMP[],H$1,0),"ERROR")</f>
        <v>3026</v>
      </c>
      <c r="I18" s="191">
        <f>IFERROR(VLOOKUP($B18,MMWR_TRAD_AGG_RO_COMP[],I$1,0),"ERROR")</f>
        <v>852</v>
      </c>
      <c r="J18" s="216">
        <f t="shared" si="1"/>
        <v>0.28155981493721083</v>
      </c>
      <c r="K18" s="204">
        <f>IFERROR(VLOOKUP($B18,MMWR_TRAD_AGG_RO_COMP[],K$1,0),"ERROR")</f>
        <v>1454</v>
      </c>
      <c r="L18" s="205">
        <f>IFERROR(VLOOKUP($B18,MMWR_TRAD_AGG_RO_COMP[],L$1,0),"ERROR")</f>
        <v>1353</v>
      </c>
      <c r="M18" s="216">
        <f t="shared" si="2"/>
        <v>0.93053645116918848</v>
      </c>
      <c r="N18" s="204">
        <f>IFERROR(VLOOKUP($B18,MMWR_TRAD_AGG_RO_COMP[],N$1,0),"ERROR")</f>
        <v>428</v>
      </c>
      <c r="O18" s="205">
        <f>IFERROR(VLOOKUP($B18,MMWR_TRAD_AGG_RO_COMP[],O$1,0),"ERROR")</f>
        <v>246</v>
      </c>
      <c r="P18" s="216">
        <f t="shared" si="3"/>
        <v>0.57476635514018692</v>
      </c>
      <c r="Q18" s="201">
        <f>IFERROR(VLOOKUP($B18,MMWR_TRAD_AGG_RO_COMP[],Q$1,0),"ERROR")</f>
        <v>0</v>
      </c>
      <c r="R18" s="201">
        <f>IFERROR(VLOOKUP($B18,MMWR_TRAD_AGG_RO_COMP[],R$1,0),"ERROR")</f>
        <v>1</v>
      </c>
      <c r="S18" s="201">
        <f>IFERROR(VLOOKUP($B18,MMWR_APP_RO[],S$1,0),"ERROR")</f>
        <v>1109</v>
      </c>
      <c r="T18" s="25"/>
    </row>
    <row r="19" spans="1:20" x14ac:dyDescent="0.2">
      <c r="A19" s="107"/>
      <c r="B19" s="108" t="s">
        <v>69</v>
      </c>
      <c r="C19" s="209">
        <f>IFERROR(VLOOKUP($B19,MMWR_TRAD_AGG_RO_COMP[],C$1,0),"ERROR")</f>
        <v>14031</v>
      </c>
      <c r="D19" s="198">
        <f>IFERROR(VLOOKUP($B19,MMWR_TRAD_AGG_RO_COMP[],D$1,0),"ERROR")</f>
        <v>320.42826598250002</v>
      </c>
      <c r="E19" s="195">
        <f>IFERROR(VLOOKUP($B19,MMWR_TRAD_AGG_RO_COMP[],E$1,0),"ERROR")</f>
        <v>11955</v>
      </c>
      <c r="F19" s="191">
        <f>IFERROR(VLOOKUP($B19,MMWR_TRAD_AGG_RO_COMP[],F$1,0),"ERROR")</f>
        <v>2175</v>
      </c>
      <c r="G19" s="216">
        <f t="shared" si="0"/>
        <v>0.18193224592220827</v>
      </c>
      <c r="H19" s="190">
        <f>IFERROR(VLOOKUP($B19,MMWR_TRAD_AGG_RO_COMP[],H$1,0),"ERROR")</f>
        <v>19833</v>
      </c>
      <c r="I19" s="191">
        <f>IFERROR(VLOOKUP($B19,MMWR_TRAD_AGG_RO_COMP[],I$1,0),"ERROR")</f>
        <v>9873</v>
      </c>
      <c r="J19" s="216">
        <f t="shared" si="1"/>
        <v>0.49780668582665255</v>
      </c>
      <c r="K19" s="204">
        <f>IFERROR(VLOOKUP($B19,MMWR_TRAD_AGG_RO_COMP[],K$1,0),"ERROR")</f>
        <v>7871</v>
      </c>
      <c r="L19" s="205">
        <f>IFERROR(VLOOKUP($B19,MMWR_TRAD_AGG_RO_COMP[],L$1,0),"ERROR")</f>
        <v>6395</v>
      </c>
      <c r="M19" s="216">
        <f t="shared" si="2"/>
        <v>0.81247617837631814</v>
      </c>
      <c r="N19" s="204">
        <f>IFERROR(VLOOKUP($B19,MMWR_TRAD_AGG_RO_COMP[],N$1,0),"ERROR")</f>
        <v>4662</v>
      </c>
      <c r="O19" s="205">
        <f>IFERROR(VLOOKUP($B19,MMWR_TRAD_AGG_RO_COMP[],O$1,0),"ERROR")</f>
        <v>4070</v>
      </c>
      <c r="P19" s="216">
        <f t="shared" si="3"/>
        <v>0.87301587301587302</v>
      </c>
      <c r="Q19" s="201">
        <f>IFERROR(VLOOKUP($B19,MMWR_TRAD_AGG_RO_COMP[],Q$1,0),"ERROR")</f>
        <v>5</v>
      </c>
      <c r="R19" s="201">
        <f>IFERROR(VLOOKUP($B19,MMWR_TRAD_AGG_RO_COMP[],R$1,0),"ERROR")</f>
        <v>7</v>
      </c>
      <c r="S19" s="201">
        <f>IFERROR(VLOOKUP($B19,MMWR_APP_RO[],S$1,0),"ERROR")</f>
        <v>14805</v>
      </c>
      <c r="T19" s="25"/>
    </row>
    <row r="20" spans="1:20" x14ac:dyDescent="0.2">
      <c r="A20" s="107"/>
      <c r="B20" s="108" t="s">
        <v>78</v>
      </c>
      <c r="C20" s="209">
        <f>IFERROR(VLOOKUP($B20,MMWR_TRAD_AGG_RO_COMP[],C$1,0),"ERROR")</f>
        <v>1264</v>
      </c>
      <c r="D20" s="198">
        <f>IFERROR(VLOOKUP($B20,MMWR_TRAD_AGG_RO_COMP[],D$1,0),"ERROR")</f>
        <v>281.69778481010002</v>
      </c>
      <c r="E20" s="195">
        <f>IFERROR(VLOOKUP($B20,MMWR_TRAD_AGG_RO_COMP[],E$1,0),"ERROR")</f>
        <v>1481</v>
      </c>
      <c r="F20" s="191">
        <f>IFERROR(VLOOKUP($B20,MMWR_TRAD_AGG_RO_COMP[],F$1,0),"ERROR")</f>
        <v>170</v>
      </c>
      <c r="G20" s="216">
        <f t="shared" si="0"/>
        <v>0.11478730587440918</v>
      </c>
      <c r="H20" s="190">
        <f>IFERROR(VLOOKUP($B20,MMWR_TRAD_AGG_RO_COMP[],H$1,0),"ERROR")</f>
        <v>2439</v>
      </c>
      <c r="I20" s="191">
        <f>IFERROR(VLOOKUP($B20,MMWR_TRAD_AGG_RO_COMP[],I$1,0),"ERROR")</f>
        <v>1035</v>
      </c>
      <c r="J20" s="216">
        <f t="shared" si="1"/>
        <v>0.42435424354243545</v>
      </c>
      <c r="K20" s="204">
        <f>IFERROR(VLOOKUP($B20,MMWR_TRAD_AGG_RO_COMP[],K$1,0),"ERROR")</f>
        <v>861</v>
      </c>
      <c r="L20" s="205">
        <f>IFERROR(VLOOKUP($B20,MMWR_TRAD_AGG_RO_COMP[],L$1,0),"ERROR")</f>
        <v>654</v>
      </c>
      <c r="M20" s="216">
        <f t="shared" si="2"/>
        <v>0.75958188153310102</v>
      </c>
      <c r="N20" s="204">
        <f>IFERROR(VLOOKUP($B20,MMWR_TRAD_AGG_RO_COMP[],N$1,0),"ERROR")</f>
        <v>227</v>
      </c>
      <c r="O20" s="205">
        <f>IFERROR(VLOOKUP($B20,MMWR_TRAD_AGG_RO_COMP[],O$1,0),"ERROR")</f>
        <v>156</v>
      </c>
      <c r="P20" s="216">
        <f t="shared" si="3"/>
        <v>0.68722466960352424</v>
      </c>
      <c r="Q20" s="201">
        <f>IFERROR(VLOOKUP($B20,MMWR_TRAD_AGG_RO_COMP[],Q$1,0),"ERROR")</f>
        <v>1</v>
      </c>
      <c r="R20" s="201">
        <f>IFERROR(VLOOKUP($B20,MMWR_TRAD_AGG_RO_COMP[],R$1,0),"ERROR")</f>
        <v>0</v>
      </c>
      <c r="S20" s="201">
        <f>IFERROR(VLOOKUP($B20,MMWR_APP_RO[],S$1,0),"ERROR")</f>
        <v>976</v>
      </c>
      <c r="T20" s="25"/>
    </row>
    <row r="21" spans="1:20" x14ac:dyDescent="0.2">
      <c r="A21" s="107"/>
      <c r="B21" s="108" t="s">
        <v>429</v>
      </c>
      <c r="C21" s="209">
        <f>IFERROR(VLOOKUP($B21,MMWR_TRAD_AGG_RO_COMP[],C$1,0),"ERROR")</f>
        <v>5197</v>
      </c>
      <c r="D21" s="198">
        <f>IFERROR(VLOOKUP($B21,MMWR_TRAD_AGG_RO_COMP[],D$1,0),"ERROR")</f>
        <v>884.20781219929995</v>
      </c>
      <c r="E21" s="195">
        <f>IFERROR(VLOOKUP($B21,MMWR_TRAD_AGG_RO_COMP[],E$1,0),"ERROR")</f>
        <v>836</v>
      </c>
      <c r="F21" s="191">
        <f>IFERROR(VLOOKUP($B21,MMWR_TRAD_AGG_RO_COMP[],F$1,0),"ERROR")</f>
        <v>116</v>
      </c>
      <c r="G21" s="216">
        <f t="shared" si="0"/>
        <v>0.13875598086124402</v>
      </c>
      <c r="H21" s="190">
        <f>IFERROR(VLOOKUP($B21,MMWR_TRAD_AGG_RO_COMP[],H$1,0),"ERROR")</f>
        <v>5593</v>
      </c>
      <c r="I21" s="191">
        <f>IFERROR(VLOOKUP($B21,MMWR_TRAD_AGG_RO_COMP[],I$1,0),"ERROR")</f>
        <v>4296</v>
      </c>
      <c r="J21" s="216">
        <f t="shared" si="1"/>
        <v>0.76810298587520109</v>
      </c>
      <c r="K21" s="204">
        <f>IFERROR(VLOOKUP($B21,MMWR_TRAD_AGG_RO_COMP[],K$1,0),"ERROR")</f>
        <v>1050</v>
      </c>
      <c r="L21" s="205">
        <f>IFERROR(VLOOKUP($B21,MMWR_TRAD_AGG_RO_COMP[],L$1,0),"ERROR")</f>
        <v>716</v>
      </c>
      <c r="M21" s="216">
        <f t="shared" si="2"/>
        <v>0.6819047619047619</v>
      </c>
      <c r="N21" s="204">
        <f>IFERROR(VLOOKUP($B21,MMWR_TRAD_AGG_RO_COMP[],N$1,0),"ERROR")</f>
        <v>1137</v>
      </c>
      <c r="O21" s="205">
        <f>IFERROR(VLOOKUP($B21,MMWR_TRAD_AGG_RO_COMP[],O$1,0),"ERROR")</f>
        <v>1120</v>
      </c>
      <c r="P21" s="216">
        <f t="shared" si="3"/>
        <v>0.98504837291116976</v>
      </c>
      <c r="Q21" s="201">
        <f>IFERROR(VLOOKUP($B21,MMWR_TRAD_AGG_RO_COMP[],Q$1,0),"ERROR")</f>
        <v>0</v>
      </c>
      <c r="R21" s="201">
        <f>IFERROR(VLOOKUP($B21,MMWR_TRAD_AGG_RO_COMP[],R$1,0),"ERROR")</f>
        <v>0</v>
      </c>
      <c r="S21" s="201">
        <f>IFERROR(VLOOKUP($B21,MMWR_APP_RO[],S$1,0),"ERROR")</f>
        <v>35</v>
      </c>
      <c r="T21" s="25"/>
    </row>
    <row r="22" spans="1:20" x14ac:dyDescent="0.2">
      <c r="A22" s="107"/>
      <c r="B22" s="108" t="s">
        <v>135</v>
      </c>
      <c r="C22" s="209">
        <f>IFERROR(VLOOKUP($B22,MMWR_TRAD_AGG_RO_COMP[],C$1,0),"ERROR")</f>
        <v>475</v>
      </c>
      <c r="D22" s="198">
        <f>IFERROR(VLOOKUP($B22,MMWR_TRAD_AGG_RO_COMP[],D$1,0),"ERROR")</f>
        <v>334.2294736842</v>
      </c>
      <c r="E22" s="195">
        <f>IFERROR(VLOOKUP($B22,MMWR_TRAD_AGG_RO_COMP[],E$1,0),"ERROR")</f>
        <v>509</v>
      </c>
      <c r="F22" s="191">
        <f>IFERROR(VLOOKUP($B22,MMWR_TRAD_AGG_RO_COMP[],F$1,0),"ERROR")</f>
        <v>120</v>
      </c>
      <c r="G22" s="216">
        <f t="shared" si="0"/>
        <v>0.23575638506876229</v>
      </c>
      <c r="H22" s="190">
        <f>IFERROR(VLOOKUP($B22,MMWR_TRAD_AGG_RO_COMP[],H$1,0),"ERROR")</f>
        <v>1049</v>
      </c>
      <c r="I22" s="191">
        <f>IFERROR(VLOOKUP($B22,MMWR_TRAD_AGG_RO_COMP[],I$1,0),"ERROR")</f>
        <v>430</v>
      </c>
      <c r="J22" s="216">
        <f t="shared" si="1"/>
        <v>0.40991420400381318</v>
      </c>
      <c r="K22" s="204">
        <f>IFERROR(VLOOKUP($B22,MMWR_TRAD_AGG_RO_COMP[],K$1,0),"ERROR")</f>
        <v>161</v>
      </c>
      <c r="L22" s="205">
        <f>IFERROR(VLOOKUP($B22,MMWR_TRAD_AGG_RO_COMP[],L$1,0),"ERROR")</f>
        <v>128</v>
      </c>
      <c r="M22" s="216">
        <f t="shared" si="2"/>
        <v>0.79503105590062106</v>
      </c>
      <c r="N22" s="204">
        <f>IFERROR(VLOOKUP($B22,MMWR_TRAD_AGG_RO_COMP[],N$1,0),"ERROR")</f>
        <v>193</v>
      </c>
      <c r="O22" s="205">
        <f>IFERROR(VLOOKUP($B22,MMWR_TRAD_AGG_RO_COMP[],O$1,0),"ERROR")</f>
        <v>116</v>
      </c>
      <c r="P22" s="216">
        <f t="shared" si="3"/>
        <v>0.60103626943005184</v>
      </c>
      <c r="Q22" s="201">
        <f>IFERROR(VLOOKUP($B22,MMWR_TRAD_AGG_RO_COMP[],Q$1,0),"ERROR")</f>
        <v>1</v>
      </c>
      <c r="R22" s="201">
        <f>IFERROR(VLOOKUP($B22,MMWR_TRAD_AGG_RO_COMP[],R$1,0),"ERROR")</f>
        <v>2</v>
      </c>
      <c r="S22" s="201">
        <f>IFERROR(VLOOKUP($B22,MMWR_APP_RO[],S$1,0),"ERROR")</f>
        <v>208</v>
      </c>
      <c r="T22" s="25"/>
    </row>
    <row r="23" spans="1:20" x14ac:dyDescent="0.2">
      <c r="A23" s="107"/>
      <c r="B23" s="108" t="s">
        <v>82</v>
      </c>
      <c r="C23" s="209">
        <f>IFERROR(VLOOKUP($B23,MMWR_TRAD_AGG_RO_COMP[],C$1,0),"ERROR")</f>
        <v>474</v>
      </c>
      <c r="D23" s="198">
        <f>IFERROR(VLOOKUP($B23,MMWR_TRAD_AGG_RO_COMP[],D$1,0),"ERROR")</f>
        <v>405.73206751049997</v>
      </c>
      <c r="E23" s="195">
        <f>IFERROR(VLOOKUP($B23,MMWR_TRAD_AGG_RO_COMP[],E$1,0),"ERROR")</f>
        <v>828</v>
      </c>
      <c r="F23" s="191">
        <f>IFERROR(VLOOKUP($B23,MMWR_TRAD_AGG_RO_COMP[],F$1,0),"ERROR")</f>
        <v>179</v>
      </c>
      <c r="G23" s="216">
        <f t="shared" si="0"/>
        <v>0.21618357487922704</v>
      </c>
      <c r="H23" s="190">
        <f>IFERROR(VLOOKUP($B23,MMWR_TRAD_AGG_RO_COMP[],H$1,0),"ERROR")</f>
        <v>810</v>
      </c>
      <c r="I23" s="191">
        <f>IFERROR(VLOOKUP($B23,MMWR_TRAD_AGG_RO_COMP[],I$1,0),"ERROR")</f>
        <v>373</v>
      </c>
      <c r="J23" s="216">
        <f t="shared" si="1"/>
        <v>0.46049382716049381</v>
      </c>
      <c r="K23" s="204">
        <f>IFERROR(VLOOKUP($B23,MMWR_TRAD_AGG_RO_COMP[],K$1,0),"ERROR")</f>
        <v>49</v>
      </c>
      <c r="L23" s="205">
        <f>IFERROR(VLOOKUP($B23,MMWR_TRAD_AGG_RO_COMP[],L$1,0),"ERROR")</f>
        <v>46</v>
      </c>
      <c r="M23" s="216">
        <f t="shared" si="2"/>
        <v>0.93877551020408168</v>
      </c>
      <c r="N23" s="204">
        <f>IFERROR(VLOOKUP($B23,MMWR_TRAD_AGG_RO_COMP[],N$1,0),"ERROR")</f>
        <v>90</v>
      </c>
      <c r="O23" s="205">
        <f>IFERROR(VLOOKUP($B23,MMWR_TRAD_AGG_RO_COMP[],O$1,0),"ERROR")</f>
        <v>48</v>
      </c>
      <c r="P23" s="216">
        <f t="shared" si="3"/>
        <v>0.53333333333333333</v>
      </c>
      <c r="Q23" s="201">
        <f>IFERROR(VLOOKUP($B23,MMWR_TRAD_AGG_RO_COMP[],Q$1,0),"ERROR")</f>
        <v>0</v>
      </c>
      <c r="R23" s="201">
        <f>IFERROR(VLOOKUP($B23,MMWR_TRAD_AGG_RO_COMP[],R$1,0),"ERROR")</f>
        <v>0</v>
      </c>
      <c r="S23" s="201">
        <f>IFERROR(VLOOKUP($B23,MMWR_APP_RO[],S$1,0),"ERROR")</f>
        <v>150</v>
      </c>
      <c r="T23" s="25"/>
    </row>
    <row r="24" spans="1:20" x14ac:dyDescent="0.2">
      <c r="A24" s="92"/>
      <c r="B24" s="116" t="s">
        <v>83</v>
      </c>
      <c r="C24" s="210">
        <f>IFERROR(VLOOKUP($B24,MMWR_TRAD_AGG_RO_COMP[],C$1,0),"ERROR")</f>
        <v>15456</v>
      </c>
      <c r="D24" s="199">
        <f>IFERROR(VLOOKUP($B24,MMWR_TRAD_AGG_RO_COMP[],D$1,0),"ERROR")</f>
        <v>306.23777173910003</v>
      </c>
      <c r="E24" s="196">
        <f>IFERROR(VLOOKUP($B24,MMWR_TRAD_AGG_RO_COMP[],E$1,0),"ERROR")</f>
        <v>18559</v>
      </c>
      <c r="F24" s="193">
        <f>IFERROR(VLOOKUP($B24,MMWR_TRAD_AGG_RO_COMP[],F$1,0),"ERROR")</f>
        <v>4059</v>
      </c>
      <c r="G24" s="217">
        <f t="shared" si="0"/>
        <v>0.2187079045207177</v>
      </c>
      <c r="H24" s="192">
        <f>IFERROR(VLOOKUP($B24,MMWR_TRAD_AGG_RO_COMP[],H$1,0),"ERROR")</f>
        <v>27846</v>
      </c>
      <c r="I24" s="193">
        <f>IFERROR(VLOOKUP($B24,MMWR_TRAD_AGG_RO_COMP[],I$1,0),"ERROR")</f>
        <v>15972</v>
      </c>
      <c r="J24" s="217">
        <f t="shared" si="1"/>
        <v>0.57358327946563237</v>
      </c>
      <c r="K24" s="206">
        <f>IFERROR(VLOOKUP($B24,MMWR_TRAD_AGG_RO_COMP[],K$1,0),"ERROR")</f>
        <v>12677</v>
      </c>
      <c r="L24" s="207">
        <f>IFERROR(VLOOKUP($B24,MMWR_TRAD_AGG_RO_COMP[],L$1,0),"ERROR")</f>
        <v>9267</v>
      </c>
      <c r="M24" s="217">
        <f t="shared" si="2"/>
        <v>0.73100891378086297</v>
      </c>
      <c r="N24" s="206">
        <f>IFERROR(VLOOKUP($B24,MMWR_TRAD_AGG_RO_COMP[],N$1,0),"ERROR")</f>
        <v>4331</v>
      </c>
      <c r="O24" s="207">
        <f>IFERROR(VLOOKUP($B24,MMWR_TRAD_AGG_RO_COMP[],O$1,0),"ERROR")</f>
        <v>3213</v>
      </c>
      <c r="P24" s="217">
        <f t="shared" si="3"/>
        <v>0.74186100207804206</v>
      </c>
      <c r="Q24" s="202">
        <f>IFERROR(VLOOKUP($B24,MMWR_TRAD_AGG_RO_COMP[],Q$1,0),"ERROR")</f>
        <v>1</v>
      </c>
      <c r="R24" s="202">
        <f>IFERROR(VLOOKUP($B24,MMWR_TRAD_AGG_RO_COMP[],R$1,0),"ERROR")</f>
        <v>15</v>
      </c>
      <c r="S24" s="201">
        <f>IFERROR(VLOOKUP($B24,MMWR_APP_RO[],S$1,0),"ERROR")</f>
        <v>8469</v>
      </c>
      <c r="T24" s="25"/>
    </row>
    <row r="25" spans="1:20" x14ac:dyDescent="0.2">
      <c r="A25" s="107"/>
      <c r="B25" s="101" t="s">
        <v>389</v>
      </c>
      <c r="C25" s="212">
        <f>IFERROR(VLOOKUP($B25,MMWR_TRAD_AGG_DISTRICT_COMP[],C$1,0),"ERROR")</f>
        <v>32139</v>
      </c>
      <c r="D25" s="197">
        <f>IFERROR(VLOOKUP($B25,MMWR_TRAD_AGG_DISTRICT_COMP[],D$1,0),"ERROR")</f>
        <v>318.36569277199999</v>
      </c>
      <c r="E25" s="213">
        <f>IFERROR(VLOOKUP($B25,MMWR_TRAD_AGG_DISTRICT_COMP[],E$1,0),"ERROR")</f>
        <v>59930</v>
      </c>
      <c r="F25" s="218">
        <f>IFERROR(VLOOKUP($B25,MMWR_TRAD_AGG_DISTRICT_COMP[],F$1,0),"ERROR")</f>
        <v>11634</v>
      </c>
      <c r="G25" s="214">
        <f t="shared" si="0"/>
        <v>0.19412648089437679</v>
      </c>
      <c r="H25" s="218">
        <f>IFERROR(VLOOKUP($B25,MMWR_TRAD_AGG_DISTRICT_COMP[],H$1,0),"ERROR")</f>
        <v>73050</v>
      </c>
      <c r="I25" s="218">
        <f>IFERROR(VLOOKUP($B25,MMWR_TRAD_AGG_DISTRICT_COMP[],I$1,0),"ERROR")</f>
        <v>28140</v>
      </c>
      <c r="J25" s="214">
        <f t="shared" si="1"/>
        <v>0.38521560574948666</v>
      </c>
      <c r="K25" s="212">
        <f>IFERROR(VLOOKUP($B25,MMWR_TRAD_AGG_DISTRICT_COMP[],K$1,0),"ERROR")</f>
        <v>19086</v>
      </c>
      <c r="L25" s="212">
        <f>IFERROR(VLOOKUP($B25,MMWR_TRAD_AGG_DISTRICT_COMP[],L$1,0),"ERROR")</f>
        <v>14739</v>
      </c>
      <c r="M25" s="214">
        <f t="shared" si="2"/>
        <v>0.77224143351147434</v>
      </c>
      <c r="N25" s="212">
        <f>IFERROR(VLOOKUP($B25,MMWR_TRAD_AGG_DISTRICT_COMP[],N$1,0),"ERROR")</f>
        <v>12166</v>
      </c>
      <c r="O25" s="212">
        <f>IFERROR(VLOOKUP($B25,MMWR_TRAD_AGG_DISTRICT_COMP[],O$1,0),"ERROR")</f>
        <v>8483</v>
      </c>
      <c r="P25" s="214">
        <f t="shared" si="3"/>
        <v>0.69727108334703269</v>
      </c>
      <c r="Q25" s="212">
        <f>IFERROR(VLOOKUP($B25,MMWR_TRAD_AGG_DISTRICT_COMP[],Q$1,0),"ERROR")</f>
        <v>7987</v>
      </c>
      <c r="R25" s="215">
        <f>IFERROR(VLOOKUP($B25,MMWR_TRAD_AGG_DISTRICT_COMP[],R$1,0),"ERROR")</f>
        <v>1106</v>
      </c>
      <c r="S25" s="215">
        <f>IFERROR(VLOOKUP($B25,MMWR_APP_RO[],S$1,0),"ERROR")</f>
        <v>50509</v>
      </c>
      <c r="T25" s="25"/>
    </row>
    <row r="26" spans="1:20" x14ac:dyDescent="0.2">
      <c r="A26" s="107"/>
      <c r="B26" s="108" t="s">
        <v>37</v>
      </c>
      <c r="C26" s="209">
        <f>IFERROR(VLOOKUP($B26,MMWR_TRAD_AGG_RO_COMP[],C$1,0),"ERROR")</f>
        <v>4384</v>
      </c>
      <c r="D26" s="198">
        <f>IFERROR(VLOOKUP($B26,MMWR_TRAD_AGG_RO_COMP[],D$1,0),"ERROR")</f>
        <v>492.37819343069998</v>
      </c>
      <c r="E26" s="195">
        <f>IFERROR(VLOOKUP($B26,MMWR_TRAD_AGG_RO_COMP[],E$1,0),"ERROR")</f>
        <v>6309</v>
      </c>
      <c r="F26" s="191">
        <f>IFERROR(VLOOKUP($B26,MMWR_TRAD_AGG_RO_COMP[],F$1,0),"ERROR")</f>
        <v>1699</v>
      </c>
      <c r="G26" s="216">
        <f t="shared" si="0"/>
        <v>0.26929782849896972</v>
      </c>
      <c r="H26" s="190">
        <f>IFERROR(VLOOKUP($B26,MMWR_TRAD_AGG_RO_COMP[],H$1,0),"ERROR")</f>
        <v>7676</v>
      </c>
      <c r="I26" s="191">
        <f>IFERROR(VLOOKUP($B26,MMWR_TRAD_AGG_RO_COMP[],I$1,0),"ERROR")</f>
        <v>4486</v>
      </c>
      <c r="J26" s="216">
        <f t="shared" si="1"/>
        <v>0.58441896821261075</v>
      </c>
      <c r="K26" s="204">
        <f>IFERROR(VLOOKUP($B26,MMWR_TRAD_AGG_RO_COMP[],K$1,0),"ERROR")</f>
        <v>1742</v>
      </c>
      <c r="L26" s="205">
        <f>IFERROR(VLOOKUP($B26,MMWR_TRAD_AGG_RO_COMP[],L$1,0),"ERROR")</f>
        <v>1621</v>
      </c>
      <c r="M26" s="216">
        <f t="shared" si="2"/>
        <v>0.93053960964408722</v>
      </c>
      <c r="N26" s="204">
        <f>IFERROR(VLOOKUP($B26,MMWR_TRAD_AGG_RO_COMP[],N$1,0),"ERROR")</f>
        <v>1504</v>
      </c>
      <c r="O26" s="205">
        <f>IFERROR(VLOOKUP($B26,MMWR_TRAD_AGG_RO_COMP[],O$1,0),"ERROR")</f>
        <v>943</v>
      </c>
      <c r="P26" s="216">
        <f t="shared" si="3"/>
        <v>0.6269946808510638</v>
      </c>
      <c r="Q26" s="201">
        <f>IFERROR(VLOOKUP($B26,MMWR_TRAD_AGG_RO_COMP[],Q$1,0),"ERROR")</f>
        <v>5</v>
      </c>
      <c r="R26" s="201">
        <f>IFERROR(VLOOKUP($B26,MMWR_TRAD_AGG_RO_COMP[],R$1,0),"ERROR")</f>
        <v>218</v>
      </c>
      <c r="S26" s="201">
        <f>IFERROR(VLOOKUP($B26,MMWR_APP_RO[],S$1,0),"ERROR")</f>
        <v>8191</v>
      </c>
      <c r="T26" s="25"/>
    </row>
    <row r="27" spans="1:20" x14ac:dyDescent="0.2">
      <c r="A27" s="107"/>
      <c r="B27" s="108" t="s">
        <v>38</v>
      </c>
      <c r="C27" s="209">
        <f>IFERROR(VLOOKUP($B27,MMWR_TRAD_AGG_RO_COMP[],C$1,0),"ERROR")</f>
        <v>4233</v>
      </c>
      <c r="D27" s="198">
        <f>IFERROR(VLOOKUP($B27,MMWR_TRAD_AGG_RO_COMP[],D$1,0),"ERROR")</f>
        <v>375.6361918261</v>
      </c>
      <c r="E27" s="195">
        <f>IFERROR(VLOOKUP($B27,MMWR_TRAD_AGG_RO_COMP[],E$1,0),"ERROR")</f>
        <v>7685</v>
      </c>
      <c r="F27" s="191">
        <f>IFERROR(VLOOKUP($B27,MMWR_TRAD_AGG_RO_COMP[],F$1,0),"ERROR")</f>
        <v>1552</v>
      </c>
      <c r="G27" s="216">
        <f t="shared" si="0"/>
        <v>0.20195185426154846</v>
      </c>
      <c r="H27" s="190">
        <f>IFERROR(VLOOKUP($B27,MMWR_TRAD_AGG_RO_COMP[],H$1,0),"ERROR")</f>
        <v>7971</v>
      </c>
      <c r="I27" s="191">
        <f>IFERROR(VLOOKUP($B27,MMWR_TRAD_AGG_RO_COMP[],I$1,0),"ERROR")</f>
        <v>3277</v>
      </c>
      <c r="J27" s="216">
        <f t="shared" si="1"/>
        <v>0.41111529293689625</v>
      </c>
      <c r="K27" s="204">
        <f>IFERROR(VLOOKUP($B27,MMWR_TRAD_AGG_RO_COMP[],K$1,0),"ERROR")</f>
        <v>1981</v>
      </c>
      <c r="L27" s="205">
        <f>IFERROR(VLOOKUP($B27,MMWR_TRAD_AGG_RO_COMP[],L$1,0),"ERROR")</f>
        <v>1790</v>
      </c>
      <c r="M27" s="216">
        <f t="shared" si="2"/>
        <v>0.90358404846037355</v>
      </c>
      <c r="N27" s="204">
        <f>IFERROR(VLOOKUP($B27,MMWR_TRAD_AGG_RO_COMP[],N$1,0),"ERROR")</f>
        <v>2875</v>
      </c>
      <c r="O27" s="205">
        <f>IFERROR(VLOOKUP($B27,MMWR_TRAD_AGG_RO_COMP[],O$1,0),"ERROR")</f>
        <v>2291</v>
      </c>
      <c r="P27" s="216">
        <f t="shared" si="3"/>
        <v>0.79686956521739127</v>
      </c>
      <c r="Q27" s="201">
        <f>IFERROR(VLOOKUP($B27,MMWR_TRAD_AGG_RO_COMP[],Q$1,0),"ERROR")</f>
        <v>1</v>
      </c>
      <c r="R27" s="201">
        <f>IFERROR(VLOOKUP($B27,MMWR_TRAD_AGG_RO_COMP[],R$1,0),"ERROR")</f>
        <v>336</v>
      </c>
      <c r="S27" s="201">
        <f>IFERROR(VLOOKUP($B27,MMWR_APP_RO[],S$1,0),"ERROR")</f>
        <v>12359</v>
      </c>
      <c r="T27" s="25"/>
    </row>
    <row r="28" spans="1:20" x14ac:dyDescent="0.2">
      <c r="A28" s="107"/>
      <c r="B28" s="108" t="s">
        <v>41</v>
      </c>
      <c r="C28" s="209">
        <f>IFERROR(VLOOKUP($B28,MMWR_TRAD_AGG_RO_COMP[],C$1,0),"ERROR")</f>
        <v>582</v>
      </c>
      <c r="D28" s="198">
        <f>IFERROR(VLOOKUP($B28,MMWR_TRAD_AGG_RO_COMP[],D$1,0),"ERROR")</f>
        <v>119.54295532650001</v>
      </c>
      <c r="E28" s="195">
        <f>IFERROR(VLOOKUP($B28,MMWR_TRAD_AGG_RO_COMP[],E$1,0),"ERROR")</f>
        <v>2616</v>
      </c>
      <c r="F28" s="191">
        <f>IFERROR(VLOOKUP($B28,MMWR_TRAD_AGG_RO_COMP[],F$1,0),"ERROR")</f>
        <v>358</v>
      </c>
      <c r="G28" s="216">
        <f t="shared" si="0"/>
        <v>0.13685015290519878</v>
      </c>
      <c r="H28" s="190">
        <f>IFERROR(VLOOKUP($B28,MMWR_TRAD_AGG_RO_COMP[],H$1,0),"ERROR")</f>
        <v>2056</v>
      </c>
      <c r="I28" s="191">
        <f>IFERROR(VLOOKUP($B28,MMWR_TRAD_AGG_RO_COMP[],I$1,0),"ERROR")</f>
        <v>258</v>
      </c>
      <c r="J28" s="216">
        <f t="shared" si="1"/>
        <v>0.1254863813229572</v>
      </c>
      <c r="K28" s="204">
        <f>IFERROR(VLOOKUP($B28,MMWR_TRAD_AGG_RO_COMP[],K$1,0),"ERROR")</f>
        <v>154</v>
      </c>
      <c r="L28" s="205">
        <f>IFERROR(VLOOKUP($B28,MMWR_TRAD_AGG_RO_COMP[],L$1,0),"ERROR")</f>
        <v>89</v>
      </c>
      <c r="M28" s="216">
        <f t="shared" si="2"/>
        <v>0.57792207792207795</v>
      </c>
      <c r="N28" s="204">
        <f>IFERROR(VLOOKUP($B28,MMWR_TRAD_AGG_RO_COMP[],N$1,0),"ERROR")</f>
        <v>224</v>
      </c>
      <c r="O28" s="205">
        <f>IFERROR(VLOOKUP($B28,MMWR_TRAD_AGG_RO_COMP[],O$1,0),"ERROR")</f>
        <v>98</v>
      </c>
      <c r="P28" s="216">
        <f t="shared" si="3"/>
        <v>0.4375</v>
      </c>
      <c r="Q28" s="201">
        <f>IFERROR(VLOOKUP($B28,MMWR_TRAD_AGG_RO_COMP[],Q$1,0),"ERROR")</f>
        <v>0</v>
      </c>
      <c r="R28" s="201">
        <f>IFERROR(VLOOKUP($B28,MMWR_TRAD_AGG_RO_COMP[],R$1,0),"ERROR")</f>
        <v>9</v>
      </c>
      <c r="S28" s="201">
        <f>IFERROR(VLOOKUP($B28,MMWR_APP_RO[],S$1,0),"ERROR")</f>
        <v>1507</v>
      </c>
      <c r="T28" s="25"/>
    </row>
    <row r="29" spans="1:20" x14ac:dyDescent="0.2">
      <c r="A29" s="107"/>
      <c r="B29" s="108" t="s">
        <v>42</v>
      </c>
      <c r="C29" s="209">
        <f>IFERROR(VLOOKUP($B29,MMWR_TRAD_AGG_RO_COMP[],C$1,0),"ERROR")</f>
        <v>2492</v>
      </c>
      <c r="D29" s="198">
        <f>IFERROR(VLOOKUP($B29,MMWR_TRAD_AGG_RO_COMP[],D$1,0),"ERROR")</f>
        <v>389.88764044940001</v>
      </c>
      <c r="E29" s="195">
        <f>IFERROR(VLOOKUP($B29,MMWR_TRAD_AGG_RO_COMP[],E$1,0),"ERROR")</f>
        <v>7129</v>
      </c>
      <c r="F29" s="191">
        <f>IFERROR(VLOOKUP($B29,MMWR_TRAD_AGG_RO_COMP[],F$1,0),"ERROR")</f>
        <v>1682</v>
      </c>
      <c r="G29" s="216">
        <f t="shared" si="0"/>
        <v>0.2359377191751999</v>
      </c>
      <c r="H29" s="190">
        <f>IFERROR(VLOOKUP($B29,MMWR_TRAD_AGG_RO_COMP[],H$1,0),"ERROR")</f>
        <v>7436</v>
      </c>
      <c r="I29" s="191">
        <f>IFERROR(VLOOKUP($B29,MMWR_TRAD_AGG_RO_COMP[],I$1,0),"ERROR")</f>
        <v>3261</v>
      </c>
      <c r="J29" s="216">
        <f t="shared" si="1"/>
        <v>0.43854222700376544</v>
      </c>
      <c r="K29" s="204">
        <f>IFERROR(VLOOKUP($B29,MMWR_TRAD_AGG_RO_COMP[],K$1,0),"ERROR")</f>
        <v>2463</v>
      </c>
      <c r="L29" s="205">
        <f>IFERROR(VLOOKUP($B29,MMWR_TRAD_AGG_RO_COMP[],L$1,0),"ERROR")</f>
        <v>2250</v>
      </c>
      <c r="M29" s="216">
        <f t="shared" si="2"/>
        <v>0.91352009744214369</v>
      </c>
      <c r="N29" s="204">
        <f>IFERROR(VLOOKUP($B29,MMWR_TRAD_AGG_RO_COMP[],N$1,0),"ERROR")</f>
        <v>1122</v>
      </c>
      <c r="O29" s="205">
        <f>IFERROR(VLOOKUP($B29,MMWR_TRAD_AGG_RO_COMP[],O$1,0),"ERROR")</f>
        <v>533</v>
      </c>
      <c r="P29" s="216">
        <f t="shared" si="3"/>
        <v>0.47504456327985739</v>
      </c>
      <c r="Q29" s="201">
        <f>IFERROR(VLOOKUP($B29,MMWR_TRAD_AGG_RO_COMP[],Q$1,0),"ERROR")</f>
        <v>1</v>
      </c>
      <c r="R29" s="201">
        <f>IFERROR(VLOOKUP($B29,MMWR_TRAD_AGG_RO_COMP[],R$1,0),"ERROR")</f>
        <v>219</v>
      </c>
      <c r="S29" s="201">
        <f>IFERROR(VLOOKUP($B29,MMWR_APP_RO[],S$1,0),"ERROR")</f>
        <v>4787</v>
      </c>
      <c r="T29" s="25"/>
    </row>
    <row r="30" spans="1:20" x14ac:dyDescent="0.2">
      <c r="A30" s="107"/>
      <c r="B30" s="108" t="s">
        <v>43</v>
      </c>
      <c r="C30" s="209">
        <f>IFERROR(VLOOKUP($B30,MMWR_TRAD_AGG_RO_COMP[],C$1,0),"ERROR")</f>
        <v>251</v>
      </c>
      <c r="D30" s="198">
        <f>IFERROR(VLOOKUP($B30,MMWR_TRAD_AGG_RO_COMP[],D$1,0),"ERROR")</f>
        <v>83.840637450200006</v>
      </c>
      <c r="E30" s="195">
        <f>IFERROR(VLOOKUP($B30,MMWR_TRAD_AGG_RO_COMP[],E$1,0),"ERROR")</f>
        <v>1060</v>
      </c>
      <c r="F30" s="191">
        <f>IFERROR(VLOOKUP($B30,MMWR_TRAD_AGG_RO_COMP[],F$1,0),"ERROR")</f>
        <v>135</v>
      </c>
      <c r="G30" s="216">
        <f t="shared" si="0"/>
        <v>0.12735849056603774</v>
      </c>
      <c r="H30" s="190">
        <f>IFERROR(VLOOKUP($B30,MMWR_TRAD_AGG_RO_COMP[],H$1,0),"ERROR")</f>
        <v>1063</v>
      </c>
      <c r="I30" s="191">
        <f>IFERROR(VLOOKUP($B30,MMWR_TRAD_AGG_RO_COMP[],I$1,0),"ERROR")</f>
        <v>47</v>
      </c>
      <c r="J30" s="216">
        <f t="shared" si="1"/>
        <v>4.4214487300094071E-2</v>
      </c>
      <c r="K30" s="204">
        <f>IFERROR(VLOOKUP($B30,MMWR_TRAD_AGG_RO_COMP[],K$1,0),"ERROR")</f>
        <v>173</v>
      </c>
      <c r="L30" s="205">
        <f>IFERROR(VLOOKUP($B30,MMWR_TRAD_AGG_RO_COMP[],L$1,0),"ERROR")</f>
        <v>70</v>
      </c>
      <c r="M30" s="216">
        <f t="shared" si="2"/>
        <v>0.40462427745664742</v>
      </c>
      <c r="N30" s="204">
        <f>IFERROR(VLOOKUP($B30,MMWR_TRAD_AGG_RO_COMP[],N$1,0),"ERROR")</f>
        <v>67</v>
      </c>
      <c r="O30" s="205">
        <f>IFERROR(VLOOKUP($B30,MMWR_TRAD_AGG_RO_COMP[],O$1,0),"ERROR")</f>
        <v>44</v>
      </c>
      <c r="P30" s="216">
        <f t="shared" si="3"/>
        <v>0.65671641791044777</v>
      </c>
      <c r="Q30" s="201">
        <f>IFERROR(VLOOKUP($B30,MMWR_TRAD_AGG_RO_COMP[],Q$1,0),"ERROR")</f>
        <v>0</v>
      </c>
      <c r="R30" s="201">
        <f>IFERROR(VLOOKUP($B30,MMWR_TRAD_AGG_RO_COMP[],R$1,0),"ERROR")</f>
        <v>0</v>
      </c>
      <c r="S30" s="201">
        <f>IFERROR(VLOOKUP($B30,MMWR_APP_RO[],S$1,0),"ERROR")</f>
        <v>570</v>
      </c>
      <c r="T30" s="25"/>
    </row>
    <row r="31" spans="1:20" x14ac:dyDescent="0.2">
      <c r="A31" s="107"/>
      <c r="B31" s="108" t="s">
        <v>48</v>
      </c>
      <c r="C31" s="209">
        <f>IFERROR(VLOOKUP($B31,MMWR_TRAD_AGG_RO_COMP[],C$1,0),"ERROR")</f>
        <v>5299</v>
      </c>
      <c r="D31" s="198">
        <f>IFERROR(VLOOKUP($B31,MMWR_TRAD_AGG_RO_COMP[],D$1,0),"ERROR")</f>
        <v>530.42498584639998</v>
      </c>
      <c r="E31" s="195">
        <f>IFERROR(VLOOKUP($B31,MMWR_TRAD_AGG_RO_COMP[],E$1,0),"ERROR")</f>
        <v>4809</v>
      </c>
      <c r="F31" s="191">
        <f>IFERROR(VLOOKUP($B31,MMWR_TRAD_AGG_RO_COMP[],F$1,0),"ERROR")</f>
        <v>863</v>
      </c>
      <c r="G31" s="216">
        <f t="shared" si="0"/>
        <v>0.17945518818881265</v>
      </c>
      <c r="H31" s="190">
        <f>IFERROR(VLOOKUP($B31,MMWR_TRAD_AGG_RO_COMP[],H$1,0),"ERROR")</f>
        <v>10435</v>
      </c>
      <c r="I31" s="191">
        <f>IFERROR(VLOOKUP($B31,MMWR_TRAD_AGG_RO_COMP[],I$1,0),"ERROR")</f>
        <v>6318</v>
      </c>
      <c r="J31" s="216">
        <f t="shared" si="1"/>
        <v>0.60546238620028747</v>
      </c>
      <c r="K31" s="204">
        <f>IFERROR(VLOOKUP($B31,MMWR_TRAD_AGG_RO_COMP[],K$1,0),"ERROR")</f>
        <v>2240</v>
      </c>
      <c r="L31" s="205">
        <f>IFERROR(VLOOKUP($B31,MMWR_TRAD_AGG_RO_COMP[],L$1,0),"ERROR")</f>
        <v>1647</v>
      </c>
      <c r="M31" s="216">
        <f t="shared" si="2"/>
        <v>0.73526785714285714</v>
      </c>
      <c r="N31" s="204">
        <f>IFERROR(VLOOKUP($B31,MMWR_TRAD_AGG_RO_COMP[],N$1,0),"ERROR")</f>
        <v>2566</v>
      </c>
      <c r="O31" s="205">
        <f>IFERROR(VLOOKUP($B31,MMWR_TRAD_AGG_RO_COMP[],O$1,0),"ERROR")</f>
        <v>1967</v>
      </c>
      <c r="P31" s="216">
        <f t="shared" si="3"/>
        <v>0.7665627435697584</v>
      </c>
      <c r="Q31" s="201">
        <f>IFERROR(VLOOKUP($B31,MMWR_TRAD_AGG_RO_COMP[],Q$1,0),"ERROR")</f>
        <v>1</v>
      </c>
      <c r="R31" s="201">
        <f>IFERROR(VLOOKUP($B31,MMWR_TRAD_AGG_RO_COMP[],R$1,0),"ERROR")</f>
        <v>242</v>
      </c>
      <c r="S31" s="201">
        <f>IFERROR(VLOOKUP($B31,MMWR_APP_RO[],S$1,0),"ERROR")</f>
        <v>8060</v>
      </c>
      <c r="T31" s="25"/>
    </row>
    <row r="32" spans="1:20" x14ac:dyDescent="0.2">
      <c r="A32" s="107"/>
      <c r="B32" s="108" t="s">
        <v>50</v>
      </c>
      <c r="C32" s="209">
        <f>IFERROR(VLOOKUP($B32,MMWR_TRAD_AGG_RO_COMP[],C$1,0),"ERROR")</f>
        <v>1582</v>
      </c>
      <c r="D32" s="198">
        <f>IFERROR(VLOOKUP($B32,MMWR_TRAD_AGG_RO_COMP[],D$1,0),"ERROR")</f>
        <v>120.47281921619999</v>
      </c>
      <c r="E32" s="195">
        <f>IFERROR(VLOOKUP($B32,MMWR_TRAD_AGG_RO_COMP[],E$1,0),"ERROR")</f>
        <v>1893</v>
      </c>
      <c r="F32" s="191">
        <f>IFERROR(VLOOKUP($B32,MMWR_TRAD_AGG_RO_COMP[],F$1,0),"ERROR")</f>
        <v>218</v>
      </c>
      <c r="G32" s="216">
        <f t="shared" si="0"/>
        <v>0.11516111991547807</v>
      </c>
      <c r="H32" s="190">
        <f>IFERROR(VLOOKUP($B32,MMWR_TRAD_AGG_RO_COMP[],H$1,0),"ERROR")</f>
        <v>3330</v>
      </c>
      <c r="I32" s="191">
        <f>IFERROR(VLOOKUP($B32,MMWR_TRAD_AGG_RO_COMP[],I$1,0),"ERROR")</f>
        <v>855</v>
      </c>
      <c r="J32" s="216">
        <f t="shared" si="1"/>
        <v>0.25675675675675674</v>
      </c>
      <c r="K32" s="204">
        <f>IFERROR(VLOOKUP($B32,MMWR_TRAD_AGG_RO_COMP[],K$1,0),"ERROR")</f>
        <v>721</v>
      </c>
      <c r="L32" s="205">
        <f>IFERROR(VLOOKUP($B32,MMWR_TRAD_AGG_RO_COMP[],L$1,0),"ERROR")</f>
        <v>458</v>
      </c>
      <c r="M32" s="216">
        <f t="shared" si="2"/>
        <v>0.63522884882108188</v>
      </c>
      <c r="N32" s="204">
        <f>IFERROR(VLOOKUP($B32,MMWR_TRAD_AGG_RO_COMP[],N$1,0),"ERROR")</f>
        <v>571</v>
      </c>
      <c r="O32" s="205">
        <f>IFERROR(VLOOKUP($B32,MMWR_TRAD_AGG_RO_COMP[],O$1,0),"ERROR")</f>
        <v>376</v>
      </c>
      <c r="P32" s="216">
        <f t="shared" si="3"/>
        <v>0.65849387040280205</v>
      </c>
      <c r="Q32" s="201">
        <f>IFERROR(VLOOKUP($B32,MMWR_TRAD_AGG_RO_COMP[],Q$1,0),"ERROR")</f>
        <v>1</v>
      </c>
      <c r="R32" s="201">
        <f>IFERROR(VLOOKUP($B32,MMWR_TRAD_AGG_RO_COMP[],R$1,0),"ERROR")</f>
        <v>18</v>
      </c>
      <c r="S32" s="201">
        <f>IFERROR(VLOOKUP($B32,MMWR_APP_RO[],S$1,0),"ERROR")</f>
        <v>1157</v>
      </c>
      <c r="T32" s="25"/>
    </row>
    <row r="33" spans="1:20" x14ac:dyDescent="0.2">
      <c r="A33" s="107"/>
      <c r="B33" s="108" t="s">
        <v>56</v>
      </c>
      <c r="C33" s="209">
        <f>IFERROR(VLOOKUP($B33,MMWR_TRAD_AGG_RO_COMP[],C$1,0),"ERROR")</f>
        <v>4716</v>
      </c>
      <c r="D33" s="198">
        <f>IFERROR(VLOOKUP($B33,MMWR_TRAD_AGG_RO_COMP[],D$1,0),"ERROR")</f>
        <v>158.00954198470001</v>
      </c>
      <c r="E33" s="195">
        <f>IFERROR(VLOOKUP($B33,MMWR_TRAD_AGG_RO_COMP[],E$1,0),"ERROR")</f>
        <v>6775</v>
      </c>
      <c r="F33" s="191">
        <f>IFERROR(VLOOKUP($B33,MMWR_TRAD_AGG_RO_COMP[],F$1,0),"ERROR")</f>
        <v>1188</v>
      </c>
      <c r="G33" s="216">
        <f t="shared" si="0"/>
        <v>0.17535055350553505</v>
      </c>
      <c r="H33" s="190">
        <f>IFERROR(VLOOKUP($B33,MMWR_TRAD_AGG_RO_COMP[],H$1,0),"ERROR")</f>
        <v>8689</v>
      </c>
      <c r="I33" s="191">
        <f>IFERROR(VLOOKUP($B33,MMWR_TRAD_AGG_RO_COMP[],I$1,0),"ERROR")</f>
        <v>2240</v>
      </c>
      <c r="J33" s="216">
        <f t="shared" si="1"/>
        <v>0.25779721486937507</v>
      </c>
      <c r="K33" s="204">
        <f>IFERROR(VLOOKUP($B33,MMWR_TRAD_AGG_RO_COMP[],K$1,0),"ERROR")</f>
        <v>976</v>
      </c>
      <c r="L33" s="205">
        <f>IFERROR(VLOOKUP($B33,MMWR_TRAD_AGG_RO_COMP[],L$1,0),"ERROR")</f>
        <v>694</v>
      </c>
      <c r="M33" s="216">
        <f t="shared" si="2"/>
        <v>0.71106557377049184</v>
      </c>
      <c r="N33" s="204">
        <f>IFERROR(VLOOKUP($B33,MMWR_TRAD_AGG_RO_COMP[],N$1,0),"ERROR")</f>
        <v>619</v>
      </c>
      <c r="O33" s="205">
        <f>IFERROR(VLOOKUP($B33,MMWR_TRAD_AGG_RO_COMP[],O$1,0),"ERROR")</f>
        <v>382</v>
      </c>
      <c r="P33" s="216">
        <f t="shared" si="3"/>
        <v>0.61712439418416798</v>
      </c>
      <c r="Q33" s="201">
        <f>IFERROR(VLOOKUP($B33,MMWR_TRAD_AGG_RO_COMP[],Q$1,0),"ERROR")</f>
        <v>7948</v>
      </c>
      <c r="R33" s="201">
        <f>IFERROR(VLOOKUP($B33,MMWR_TRAD_AGG_RO_COMP[],R$1,0),"ERROR")</f>
        <v>0</v>
      </c>
      <c r="S33" s="201">
        <f>IFERROR(VLOOKUP($B33,MMWR_APP_RO[],S$1,0),"ERROR")</f>
        <v>3036</v>
      </c>
      <c r="T33" s="25"/>
    </row>
    <row r="34" spans="1:20" x14ac:dyDescent="0.2">
      <c r="A34" s="107"/>
      <c r="B34" s="108" t="s">
        <v>74</v>
      </c>
      <c r="C34" s="209">
        <f>IFERROR(VLOOKUP($B34,MMWR_TRAD_AGG_RO_COMP[],C$1,0),"ERROR")</f>
        <v>297</v>
      </c>
      <c r="D34" s="198">
        <f>IFERROR(VLOOKUP($B34,MMWR_TRAD_AGG_RO_COMP[],D$1,0),"ERROR")</f>
        <v>88.845117845100006</v>
      </c>
      <c r="E34" s="195">
        <f>IFERROR(VLOOKUP($B34,MMWR_TRAD_AGG_RO_COMP[],E$1,0),"ERROR")</f>
        <v>1405</v>
      </c>
      <c r="F34" s="191">
        <f>IFERROR(VLOOKUP($B34,MMWR_TRAD_AGG_RO_COMP[],F$1,0),"ERROR")</f>
        <v>248</v>
      </c>
      <c r="G34" s="216">
        <f t="shared" si="0"/>
        <v>0.17651245551601424</v>
      </c>
      <c r="H34" s="190">
        <f>IFERROR(VLOOKUP($B34,MMWR_TRAD_AGG_RO_COMP[],H$1,0),"ERROR")</f>
        <v>1131</v>
      </c>
      <c r="I34" s="191">
        <f>IFERROR(VLOOKUP($B34,MMWR_TRAD_AGG_RO_COMP[],I$1,0),"ERROR")</f>
        <v>94</v>
      </c>
      <c r="J34" s="216">
        <f t="shared" si="1"/>
        <v>8.3112290008841738E-2</v>
      </c>
      <c r="K34" s="204">
        <f>IFERROR(VLOOKUP($B34,MMWR_TRAD_AGG_RO_COMP[],K$1,0),"ERROR")</f>
        <v>380</v>
      </c>
      <c r="L34" s="205">
        <f>IFERROR(VLOOKUP($B34,MMWR_TRAD_AGG_RO_COMP[],L$1,0),"ERROR")</f>
        <v>134</v>
      </c>
      <c r="M34" s="216">
        <f t="shared" si="2"/>
        <v>0.35263157894736841</v>
      </c>
      <c r="N34" s="204">
        <f>IFERROR(VLOOKUP($B34,MMWR_TRAD_AGG_RO_COMP[],N$1,0),"ERROR")</f>
        <v>28</v>
      </c>
      <c r="O34" s="205">
        <f>IFERROR(VLOOKUP($B34,MMWR_TRAD_AGG_RO_COMP[],O$1,0),"ERROR")</f>
        <v>14</v>
      </c>
      <c r="P34" s="216">
        <f t="shared" si="3"/>
        <v>0.5</v>
      </c>
      <c r="Q34" s="201">
        <f>IFERROR(VLOOKUP($B34,MMWR_TRAD_AGG_RO_COMP[],Q$1,0),"ERROR")</f>
        <v>0</v>
      </c>
      <c r="R34" s="201">
        <f>IFERROR(VLOOKUP($B34,MMWR_TRAD_AGG_RO_COMP[],R$1,0),"ERROR")</f>
        <v>0</v>
      </c>
      <c r="S34" s="201">
        <f>IFERROR(VLOOKUP($B34,MMWR_APP_RO[],S$1,0),"ERROR")</f>
        <v>223</v>
      </c>
      <c r="T34" s="25"/>
    </row>
    <row r="35" spans="1:20" x14ac:dyDescent="0.2">
      <c r="A35" s="107"/>
      <c r="B35" s="108" t="s">
        <v>75</v>
      </c>
      <c r="C35" s="209">
        <f>IFERROR(VLOOKUP($B35,MMWR_TRAD_AGG_RO_COMP[],C$1,0),"ERROR")</f>
        <v>3293</v>
      </c>
      <c r="D35" s="198">
        <f>IFERROR(VLOOKUP($B35,MMWR_TRAD_AGG_RO_COMP[],D$1,0),"ERROR")</f>
        <v>228.13574248410001</v>
      </c>
      <c r="E35" s="195">
        <f>IFERROR(VLOOKUP($B35,MMWR_TRAD_AGG_RO_COMP[],E$1,0),"ERROR")</f>
        <v>6294</v>
      </c>
      <c r="F35" s="191">
        <f>IFERROR(VLOOKUP($B35,MMWR_TRAD_AGG_RO_COMP[],F$1,0),"ERROR")</f>
        <v>1297</v>
      </c>
      <c r="G35" s="216">
        <f t="shared" si="0"/>
        <v>0.20606927232284716</v>
      </c>
      <c r="H35" s="190">
        <f>IFERROR(VLOOKUP($B35,MMWR_TRAD_AGG_RO_COMP[],H$1,0),"ERROR")</f>
        <v>6811</v>
      </c>
      <c r="I35" s="191">
        <f>IFERROR(VLOOKUP($B35,MMWR_TRAD_AGG_RO_COMP[],I$1,0),"ERROR")</f>
        <v>2938</v>
      </c>
      <c r="J35" s="216">
        <f t="shared" si="1"/>
        <v>0.43136103362208195</v>
      </c>
      <c r="K35" s="204">
        <f>IFERROR(VLOOKUP($B35,MMWR_TRAD_AGG_RO_COMP[],K$1,0),"ERROR")</f>
        <v>2133</v>
      </c>
      <c r="L35" s="205">
        <f>IFERROR(VLOOKUP($B35,MMWR_TRAD_AGG_RO_COMP[],L$1,0),"ERROR")</f>
        <v>1807</v>
      </c>
      <c r="M35" s="216">
        <f t="shared" si="2"/>
        <v>0.84716361931551809</v>
      </c>
      <c r="N35" s="204">
        <f>IFERROR(VLOOKUP($B35,MMWR_TRAD_AGG_RO_COMP[],N$1,0),"ERROR")</f>
        <v>1245</v>
      </c>
      <c r="O35" s="205">
        <f>IFERROR(VLOOKUP($B35,MMWR_TRAD_AGG_RO_COMP[],O$1,0),"ERROR")</f>
        <v>1018</v>
      </c>
      <c r="P35" s="216">
        <f t="shared" si="3"/>
        <v>0.81767068273092369</v>
      </c>
      <c r="Q35" s="201">
        <f>IFERROR(VLOOKUP($B35,MMWR_TRAD_AGG_RO_COMP[],Q$1,0),"ERROR")</f>
        <v>0</v>
      </c>
      <c r="R35" s="201">
        <f>IFERROR(VLOOKUP($B35,MMWR_TRAD_AGG_RO_COMP[],R$1,0),"ERROR")</f>
        <v>55</v>
      </c>
      <c r="S35" s="201">
        <f>IFERROR(VLOOKUP($B35,MMWR_APP_RO[],S$1,0),"ERROR")</f>
        <v>5722</v>
      </c>
      <c r="T35" s="25"/>
    </row>
    <row r="36" spans="1:20" x14ac:dyDescent="0.2">
      <c r="A36" s="28"/>
      <c r="B36" s="108" t="s">
        <v>76</v>
      </c>
      <c r="C36" s="219">
        <f>IFERROR(VLOOKUP($B36,MMWR_TRAD_AGG_RO_COMP[],C$1,0),"ERROR")</f>
        <v>3375</v>
      </c>
      <c r="D36" s="220">
        <f>IFERROR(VLOOKUP($B36,MMWR_TRAD_AGG_RO_COMP[],D$1,0),"ERROR")</f>
        <v>167.20829629630001</v>
      </c>
      <c r="E36" s="221">
        <f>IFERROR(VLOOKUP($B36,MMWR_TRAD_AGG_RO_COMP[],E$1,0),"ERROR")</f>
        <v>11351</v>
      </c>
      <c r="F36" s="222">
        <f>IFERROR(VLOOKUP($B36,MMWR_TRAD_AGG_RO_COMP[],F$1,0),"ERROR")</f>
        <v>1985</v>
      </c>
      <c r="G36" s="223">
        <f t="shared" si="0"/>
        <v>0.17487446039996477</v>
      </c>
      <c r="H36" s="224">
        <f>IFERROR(VLOOKUP($B36,MMWR_TRAD_AGG_RO_COMP[],H$1,0),"ERROR")</f>
        <v>13232</v>
      </c>
      <c r="I36" s="222">
        <f>IFERROR(VLOOKUP($B36,MMWR_TRAD_AGG_RO_COMP[],I$1,0),"ERROR")</f>
        <v>3212</v>
      </c>
      <c r="J36" s="223">
        <f t="shared" si="1"/>
        <v>0.24274486094316808</v>
      </c>
      <c r="K36" s="225">
        <f>IFERROR(VLOOKUP($B36,MMWR_TRAD_AGG_RO_COMP[],K$1,0),"ERROR")</f>
        <v>5086</v>
      </c>
      <c r="L36" s="226">
        <f>IFERROR(VLOOKUP($B36,MMWR_TRAD_AGG_RO_COMP[],L$1,0),"ERROR")</f>
        <v>3681</v>
      </c>
      <c r="M36" s="223">
        <f t="shared" si="2"/>
        <v>0.72375147463625644</v>
      </c>
      <c r="N36" s="225">
        <f>IFERROR(VLOOKUP($B36,MMWR_TRAD_AGG_RO_COMP[],N$1,0),"ERROR")</f>
        <v>1112</v>
      </c>
      <c r="O36" s="226">
        <f>IFERROR(VLOOKUP($B36,MMWR_TRAD_AGG_RO_COMP[],O$1,0),"ERROR")</f>
        <v>685</v>
      </c>
      <c r="P36" s="223">
        <f t="shared" si="3"/>
        <v>0.61600719424460426</v>
      </c>
      <c r="Q36" s="227">
        <f>IFERROR(VLOOKUP($B36,MMWR_TRAD_AGG_RO_COMP[],Q$1,0),"ERROR")</f>
        <v>30</v>
      </c>
      <c r="R36" s="227">
        <f>IFERROR(VLOOKUP($B36,MMWR_TRAD_AGG_RO_COMP[],R$1,0),"ERROR")</f>
        <v>0</v>
      </c>
      <c r="S36" s="201">
        <f>IFERROR(VLOOKUP($B36,MMWR_APP_RO[],S$1,0),"ERROR")</f>
        <v>3569</v>
      </c>
      <c r="T36" s="28"/>
    </row>
    <row r="37" spans="1:20" x14ac:dyDescent="0.2">
      <c r="A37" s="28"/>
      <c r="B37" s="116" t="s">
        <v>81</v>
      </c>
      <c r="C37" s="228">
        <f>IFERROR(VLOOKUP($B37,MMWR_TRAD_AGG_RO_COMP[],C$1,0),"ERROR")</f>
        <v>1635</v>
      </c>
      <c r="D37" s="229">
        <f>IFERROR(VLOOKUP($B37,MMWR_TRAD_AGG_RO_COMP[],D$1,0),"ERROR")</f>
        <v>203.44587155959999</v>
      </c>
      <c r="E37" s="230">
        <f>IFERROR(VLOOKUP($B37,MMWR_TRAD_AGG_RO_COMP[],E$1,0),"ERROR")</f>
        <v>2604</v>
      </c>
      <c r="F37" s="231">
        <f>IFERROR(VLOOKUP($B37,MMWR_TRAD_AGG_RO_COMP[],F$1,0),"ERROR")</f>
        <v>409</v>
      </c>
      <c r="G37" s="232">
        <f t="shared" si="0"/>
        <v>0.15706605222734255</v>
      </c>
      <c r="H37" s="233">
        <f>IFERROR(VLOOKUP($B37,MMWR_TRAD_AGG_RO_COMP[],H$1,0),"ERROR")</f>
        <v>3220</v>
      </c>
      <c r="I37" s="231">
        <f>IFERROR(VLOOKUP($B37,MMWR_TRAD_AGG_RO_COMP[],I$1,0),"ERROR")</f>
        <v>1154</v>
      </c>
      <c r="J37" s="232">
        <f t="shared" si="1"/>
        <v>0.35838509316770184</v>
      </c>
      <c r="K37" s="234">
        <f>IFERROR(VLOOKUP($B37,MMWR_TRAD_AGG_RO_COMP[],K$1,0),"ERROR")</f>
        <v>1037</v>
      </c>
      <c r="L37" s="235">
        <f>IFERROR(VLOOKUP($B37,MMWR_TRAD_AGG_RO_COMP[],L$1,0),"ERROR")</f>
        <v>498</v>
      </c>
      <c r="M37" s="232">
        <f t="shared" si="2"/>
        <v>0.4802314368370299</v>
      </c>
      <c r="N37" s="234">
        <f>IFERROR(VLOOKUP($B37,MMWR_TRAD_AGG_RO_COMP[],N$1,0),"ERROR")</f>
        <v>233</v>
      </c>
      <c r="O37" s="235">
        <f>IFERROR(VLOOKUP($B37,MMWR_TRAD_AGG_RO_COMP[],O$1,0),"ERROR")</f>
        <v>132</v>
      </c>
      <c r="P37" s="232">
        <f t="shared" si="3"/>
        <v>0.5665236051502146</v>
      </c>
      <c r="Q37" s="236">
        <f>IFERROR(VLOOKUP($B37,MMWR_TRAD_AGG_RO_COMP[],Q$1,0),"ERROR")</f>
        <v>0</v>
      </c>
      <c r="R37" s="236">
        <f>IFERROR(VLOOKUP($B37,MMWR_TRAD_AGG_RO_COMP[],R$1,0),"ERROR")</f>
        <v>9</v>
      </c>
      <c r="S37" s="201">
        <f>IFERROR(VLOOKUP($B37,MMWR_APP_RO[],S$1,0),"ERROR")</f>
        <v>1328</v>
      </c>
      <c r="T37" s="28"/>
    </row>
    <row r="38" spans="1:20" x14ac:dyDescent="0.2">
      <c r="A38" s="28"/>
      <c r="B38" s="101" t="s">
        <v>384</v>
      </c>
      <c r="C38" s="212">
        <f>IFERROR(VLOOKUP($B38,MMWR_TRAD_AGG_DISTRICT_COMP[],C$1,0),"ERROR")</f>
        <v>38138</v>
      </c>
      <c r="D38" s="197">
        <f>IFERROR(VLOOKUP($B38,MMWR_TRAD_AGG_DISTRICT_COMP[],D$1,0),"ERROR")</f>
        <v>329.04790497670001</v>
      </c>
      <c r="E38" s="213">
        <f>IFERROR(VLOOKUP($B38,MMWR_TRAD_AGG_DISTRICT_COMP[],E$1,0),"ERROR")</f>
        <v>65809</v>
      </c>
      <c r="F38" s="218">
        <f>IFERROR(VLOOKUP($B38,MMWR_TRAD_AGG_DISTRICT_COMP[],F$1,0),"ERROR")</f>
        <v>13293</v>
      </c>
      <c r="G38" s="214">
        <f t="shared" si="0"/>
        <v>0.20199364828518895</v>
      </c>
      <c r="H38" s="218">
        <f>IFERROR(VLOOKUP($B38,MMWR_TRAD_AGG_DISTRICT_COMP[],H$1,0),"ERROR")</f>
        <v>77982</v>
      </c>
      <c r="I38" s="218">
        <f>IFERROR(VLOOKUP($B38,MMWR_TRAD_AGG_DISTRICT_COMP[],I$1,0),"ERROR")</f>
        <v>34586</v>
      </c>
      <c r="J38" s="214">
        <f t="shared" si="1"/>
        <v>0.44351260547305787</v>
      </c>
      <c r="K38" s="212">
        <f>IFERROR(VLOOKUP($B38,MMWR_TRAD_AGG_DISTRICT_COMP[],K$1,0),"ERROR")</f>
        <v>21628</v>
      </c>
      <c r="L38" s="212">
        <f>IFERROR(VLOOKUP($B38,MMWR_TRAD_AGG_DISTRICT_COMP[],L$1,0),"ERROR")</f>
        <v>15720</v>
      </c>
      <c r="M38" s="214">
        <f t="shared" si="2"/>
        <v>0.7268355835028667</v>
      </c>
      <c r="N38" s="212">
        <f>IFERROR(VLOOKUP($B38,MMWR_TRAD_AGG_DISTRICT_COMP[],N$1,0),"ERROR")</f>
        <v>19763</v>
      </c>
      <c r="O38" s="212">
        <f>IFERROR(VLOOKUP($B38,MMWR_TRAD_AGG_DISTRICT_COMP[],O$1,0),"ERROR")</f>
        <v>12162</v>
      </c>
      <c r="P38" s="214">
        <f t="shared" si="3"/>
        <v>0.61539239993928052</v>
      </c>
      <c r="Q38" s="212">
        <f>IFERROR(VLOOKUP($B38,MMWR_TRAD_AGG_DISTRICT_COMP[],Q$1,0),"ERROR")</f>
        <v>55</v>
      </c>
      <c r="R38" s="215">
        <f>IFERROR(VLOOKUP($B38,MMWR_TRAD_AGG_DISTRICT_COMP[],R$1,0),"ERROR")</f>
        <v>1215</v>
      </c>
      <c r="S38" s="215">
        <f>IFERROR(VLOOKUP($B38,MMWR_APP_RO[],S$1,0),"ERROR")</f>
        <v>67547</v>
      </c>
      <c r="T38" s="28"/>
    </row>
    <row r="39" spans="1:20" x14ac:dyDescent="0.2">
      <c r="A39" s="28"/>
      <c r="B39" s="108" t="s">
        <v>36</v>
      </c>
      <c r="C39" s="219">
        <f>IFERROR(VLOOKUP($B39,MMWR_TRAD_AGG_RO_COMP[],C$1,0),"ERROR")</f>
        <v>180</v>
      </c>
      <c r="D39" s="220">
        <f>IFERROR(VLOOKUP($B39,MMWR_TRAD_AGG_RO_COMP[],D$1,0),"ERROR")</f>
        <v>282.82777777780001</v>
      </c>
      <c r="E39" s="221">
        <f>IFERROR(VLOOKUP($B39,MMWR_TRAD_AGG_RO_COMP[],E$1,0),"ERROR")</f>
        <v>720</v>
      </c>
      <c r="F39" s="222">
        <f>IFERROR(VLOOKUP($B39,MMWR_TRAD_AGG_RO_COMP[],F$1,0),"ERROR")</f>
        <v>73</v>
      </c>
      <c r="G39" s="223">
        <f t="shared" si="0"/>
        <v>0.10138888888888889</v>
      </c>
      <c r="H39" s="224">
        <f>IFERROR(VLOOKUP($B39,MMWR_TRAD_AGG_RO_COMP[],H$1,0),"ERROR")</f>
        <v>637</v>
      </c>
      <c r="I39" s="222">
        <f>IFERROR(VLOOKUP($B39,MMWR_TRAD_AGG_RO_COMP[],I$1,0),"ERROR")</f>
        <v>191</v>
      </c>
      <c r="J39" s="223">
        <f t="shared" si="1"/>
        <v>0.29984301412872844</v>
      </c>
      <c r="K39" s="225">
        <f>IFERROR(VLOOKUP($B39,MMWR_TRAD_AGG_RO_COMP[],K$1,0),"ERROR")</f>
        <v>163</v>
      </c>
      <c r="L39" s="226">
        <f>IFERROR(VLOOKUP($B39,MMWR_TRAD_AGG_RO_COMP[],L$1,0),"ERROR")</f>
        <v>95</v>
      </c>
      <c r="M39" s="223">
        <f t="shared" si="2"/>
        <v>0.58282208588957052</v>
      </c>
      <c r="N39" s="225">
        <f>IFERROR(VLOOKUP($B39,MMWR_TRAD_AGG_RO_COMP[],N$1,0),"ERROR")</f>
        <v>115</v>
      </c>
      <c r="O39" s="226">
        <f>IFERROR(VLOOKUP($B39,MMWR_TRAD_AGG_RO_COMP[],O$1,0),"ERROR")</f>
        <v>43</v>
      </c>
      <c r="P39" s="223">
        <f t="shared" si="3"/>
        <v>0.37391304347826088</v>
      </c>
      <c r="Q39" s="227">
        <f>IFERROR(VLOOKUP($B39,MMWR_TRAD_AGG_RO_COMP[],Q$1,0),"ERROR")</f>
        <v>2</v>
      </c>
      <c r="R39" s="227">
        <f>IFERROR(VLOOKUP($B39,MMWR_TRAD_AGG_RO_COMP[],R$1,0),"ERROR")</f>
        <v>4</v>
      </c>
      <c r="S39" s="201">
        <f>IFERROR(VLOOKUP($B39,MMWR_APP_RO[],S$1,0),"ERROR")</f>
        <v>303</v>
      </c>
      <c r="T39" s="28"/>
    </row>
    <row r="40" spans="1:20" x14ac:dyDescent="0.2">
      <c r="A40" s="28"/>
      <c r="B40" s="108" t="s">
        <v>40</v>
      </c>
      <c r="C40" s="219">
        <f>IFERROR(VLOOKUP($B40,MMWR_TRAD_AGG_RO_COMP[],C$1,0),"ERROR")</f>
        <v>4762</v>
      </c>
      <c r="D40" s="220">
        <f>IFERROR(VLOOKUP($B40,MMWR_TRAD_AGG_RO_COMP[],D$1,0),"ERROR")</f>
        <v>401.034649307</v>
      </c>
      <c r="E40" s="221">
        <f>IFERROR(VLOOKUP($B40,MMWR_TRAD_AGG_RO_COMP[],E$1,0),"ERROR")</f>
        <v>7165</v>
      </c>
      <c r="F40" s="222">
        <f>IFERROR(VLOOKUP($B40,MMWR_TRAD_AGG_RO_COMP[],F$1,0),"ERROR")</f>
        <v>2107</v>
      </c>
      <c r="G40" s="223">
        <f t="shared" si="0"/>
        <v>0.29406838799720864</v>
      </c>
      <c r="H40" s="224">
        <f>IFERROR(VLOOKUP($B40,MMWR_TRAD_AGG_RO_COMP[],H$1,0),"ERROR")</f>
        <v>9394</v>
      </c>
      <c r="I40" s="222">
        <f>IFERROR(VLOOKUP($B40,MMWR_TRAD_AGG_RO_COMP[],I$1,0),"ERROR")</f>
        <v>4963</v>
      </c>
      <c r="J40" s="223">
        <f t="shared" si="1"/>
        <v>0.52831594634873325</v>
      </c>
      <c r="K40" s="225">
        <f>IFERROR(VLOOKUP($B40,MMWR_TRAD_AGG_RO_COMP[],K$1,0),"ERROR")</f>
        <v>3893</v>
      </c>
      <c r="L40" s="226">
        <f>IFERROR(VLOOKUP($B40,MMWR_TRAD_AGG_RO_COMP[],L$1,0),"ERROR")</f>
        <v>3295</v>
      </c>
      <c r="M40" s="223">
        <f t="shared" si="2"/>
        <v>0.84639095812997689</v>
      </c>
      <c r="N40" s="225">
        <f>IFERROR(VLOOKUP($B40,MMWR_TRAD_AGG_RO_COMP[],N$1,0),"ERROR")</f>
        <v>695</v>
      </c>
      <c r="O40" s="226">
        <f>IFERROR(VLOOKUP($B40,MMWR_TRAD_AGG_RO_COMP[],O$1,0),"ERROR")</f>
        <v>479</v>
      </c>
      <c r="P40" s="223">
        <f t="shared" si="3"/>
        <v>0.6892086330935252</v>
      </c>
      <c r="Q40" s="227">
        <f>IFERROR(VLOOKUP($B40,MMWR_TRAD_AGG_RO_COMP[],Q$1,0),"ERROR")</f>
        <v>0</v>
      </c>
      <c r="R40" s="227">
        <f>IFERROR(VLOOKUP($B40,MMWR_TRAD_AGG_RO_COMP[],R$1,0),"ERROR")</f>
        <v>53</v>
      </c>
      <c r="S40" s="201">
        <f>IFERROR(VLOOKUP($B40,MMWR_APP_RO[],S$1,0),"ERROR")</f>
        <v>6394</v>
      </c>
      <c r="T40" s="28"/>
    </row>
    <row r="41" spans="1:20" x14ac:dyDescent="0.2">
      <c r="A41" s="28"/>
      <c r="B41" s="108" t="s">
        <v>181</v>
      </c>
      <c r="C41" s="219">
        <f>IFERROR(VLOOKUP($B41,MMWR_TRAD_AGG_RO_COMP[],C$1,0),"ERROR")</f>
        <v>273</v>
      </c>
      <c r="D41" s="220">
        <f>IFERROR(VLOOKUP($B41,MMWR_TRAD_AGG_RO_COMP[],D$1,0),"ERROR")</f>
        <v>192.0989010989</v>
      </c>
      <c r="E41" s="221">
        <f>IFERROR(VLOOKUP($B41,MMWR_TRAD_AGG_RO_COMP[],E$1,0),"ERROR")</f>
        <v>642</v>
      </c>
      <c r="F41" s="222">
        <f>IFERROR(VLOOKUP($B41,MMWR_TRAD_AGG_RO_COMP[],F$1,0),"ERROR")</f>
        <v>60</v>
      </c>
      <c r="G41" s="223">
        <f t="shared" si="0"/>
        <v>9.3457943925233641E-2</v>
      </c>
      <c r="H41" s="224">
        <f>IFERROR(VLOOKUP($B41,MMWR_TRAD_AGG_RO_COMP[],H$1,0),"ERROR")</f>
        <v>1117</v>
      </c>
      <c r="I41" s="222">
        <f>IFERROR(VLOOKUP($B41,MMWR_TRAD_AGG_RO_COMP[],I$1,0),"ERROR")</f>
        <v>98</v>
      </c>
      <c r="J41" s="223">
        <f t="shared" si="1"/>
        <v>8.7735004476275733E-2</v>
      </c>
      <c r="K41" s="225">
        <f>IFERROR(VLOOKUP($B41,MMWR_TRAD_AGG_RO_COMP[],K$1,0),"ERROR")</f>
        <v>359</v>
      </c>
      <c r="L41" s="226">
        <f>IFERROR(VLOOKUP($B41,MMWR_TRAD_AGG_RO_COMP[],L$1,0),"ERROR")</f>
        <v>189</v>
      </c>
      <c r="M41" s="223">
        <f t="shared" si="2"/>
        <v>0.52646239554317553</v>
      </c>
      <c r="N41" s="225">
        <f>IFERROR(VLOOKUP($B41,MMWR_TRAD_AGG_RO_COMP[],N$1,0),"ERROR")</f>
        <v>234</v>
      </c>
      <c r="O41" s="226">
        <f>IFERROR(VLOOKUP($B41,MMWR_TRAD_AGG_RO_COMP[],O$1,0),"ERROR")</f>
        <v>121</v>
      </c>
      <c r="P41" s="223">
        <f t="shared" si="3"/>
        <v>0.51709401709401714</v>
      </c>
      <c r="Q41" s="227">
        <f>IFERROR(VLOOKUP($B41,MMWR_TRAD_AGG_RO_COMP[],Q$1,0),"ERROR")</f>
        <v>0</v>
      </c>
      <c r="R41" s="227">
        <f>IFERROR(VLOOKUP($B41,MMWR_TRAD_AGG_RO_COMP[],R$1,0),"ERROR")</f>
        <v>3</v>
      </c>
      <c r="S41" s="201">
        <f>IFERROR(VLOOKUP($B41,MMWR_APP_RO[],S$1,0),"ERROR")</f>
        <v>467</v>
      </c>
      <c r="T41" s="28"/>
    </row>
    <row r="42" spans="1:20" x14ac:dyDescent="0.2">
      <c r="A42" s="28"/>
      <c r="B42" s="108" t="s">
        <v>46</v>
      </c>
      <c r="C42" s="219">
        <f>IFERROR(VLOOKUP($B42,MMWR_TRAD_AGG_RO_COMP[],C$1,0),"ERROR")</f>
        <v>9736</v>
      </c>
      <c r="D42" s="220">
        <f>IFERROR(VLOOKUP($B42,MMWR_TRAD_AGG_RO_COMP[],D$1,0),"ERROR")</f>
        <v>365.32169268690001</v>
      </c>
      <c r="E42" s="221">
        <f>IFERROR(VLOOKUP($B42,MMWR_TRAD_AGG_RO_COMP[],E$1,0),"ERROR")</f>
        <v>17624</v>
      </c>
      <c r="F42" s="222">
        <f>IFERROR(VLOOKUP($B42,MMWR_TRAD_AGG_RO_COMP[],F$1,0),"ERROR")</f>
        <v>4168</v>
      </c>
      <c r="G42" s="223">
        <f t="shared" si="0"/>
        <v>0.23649568769859283</v>
      </c>
      <c r="H42" s="224">
        <f>IFERROR(VLOOKUP($B42,MMWR_TRAD_AGG_RO_COMP[],H$1,0),"ERROR")</f>
        <v>17491</v>
      </c>
      <c r="I42" s="222">
        <f>IFERROR(VLOOKUP($B42,MMWR_TRAD_AGG_RO_COMP[],I$1,0),"ERROR")</f>
        <v>9531</v>
      </c>
      <c r="J42" s="223">
        <f t="shared" si="1"/>
        <v>0.54490881024526905</v>
      </c>
      <c r="K42" s="225">
        <f>IFERROR(VLOOKUP($B42,MMWR_TRAD_AGG_RO_COMP[],K$1,0),"ERROR")</f>
        <v>3637</v>
      </c>
      <c r="L42" s="226">
        <f>IFERROR(VLOOKUP($B42,MMWR_TRAD_AGG_RO_COMP[],L$1,0),"ERROR")</f>
        <v>2969</v>
      </c>
      <c r="M42" s="223">
        <f t="shared" si="2"/>
        <v>0.81633214187517189</v>
      </c>
      <c r="N42" s="225">
        <f>IFERROR(VLOOKUP($B42,MMWR_TRAD_AGG_RO_COMP[],N$1,0),"ERROR")</f>
        <v>3430</v>
      </c>
      <c r="O42" s="226">
        <f>IFERROR(VLOOKUP($B42,MMWR_TRAD_AGG_RO_COMP[],O$1,0),"ERROR")</f>
        <v>2820</v>
      </c>
      <c r="P42" s="223">
        <f t="shared" si="3"/>
        <v>0.82215743440233235</v>
      </c>
      <c r="Q42" s="227">
        <f>IFERROR(VLOOKUP($B42,MMWR_TRAD_AGG_RO_COMP[],Q$1,0),"ERROR")</f>
        <v>1</v>
      </c>
      <c r="R42" s="227">
        <f>IFERROR(VLOOKUP($B42,MMWR_TRAD_AGG_RO_COMP[],R$1,0),"ERROR")</f>
        <v>251</v>
      </c>
      <c r="S42" s="201">
        <f>IFERROR(VLOOKUP($B42,MMWR_APP_RO[],S$1,0),"ERROR")</f>
        <v>19548</v>
      </c>
      <c r="T42" s="28"/>
    </row>
    <row r="43" spans="1:20" x14ac:dyDescent="0.2">
      <c r="A43" s="28"/>
      <c r="B43" s="108" t="s">
        <v>49</v>
      </c>
      <c r="C43" s="219">
        <f>IFERROR(VLOOKUP($B43,MMWR_TRAD_AGG_RO_COMP[],C$1,0),"ERROR")</f>
        <v>2557</v>
      </c>
      <c r="D43" s="220">
        <f>IFERROR(VLOOKUP($B43,MMWR_TRAD_AGG_RO_COMP[],D$1,0),"ERROR")</f>
        <v>404.14626515449999</v>
      </c>
      <c r="E43" s="221">
        <f>IFERROR(VLOOKUP($B43,MMWR_TRAD_AGG_RO_COMP[],E$1,0),"ERROR")</f>
        <v>4555</v>
      </c>
      <c r="F43" s="222">
        <f>IFERROR(VLOOKUP($B43,MMWR_TRAD_AGG_RO_COMP[],F$1,0),"ERROR")</f>
        <v>1401</v>
      </c>
      <c r="G43" s="223">
        <f t="shared" si="0"/>
        <v>0.30757409440175631</v>
      </c>
      <c r="H43" s="224">
        <f>IFERROR(VLOOKUP($B43,MMWR_TRAD_AGG_RO_COMP[],H$1,0),"ERROR")</f>
        <v>6466</v>
      </c>
      <c r="I43" s="222">
        <f>IFERROR(VLOOKUP($B43,MMWR_TRAD_AGG_RO_COMP[],I$1,0),"ERROR")</f>
        <v>3594</v>
      </c>
      <c r="J43" s="223">
        <f t="shared" si="1"/>
        <v>0.55583049798948347</v>
      </c>
      <c r="K43" s="225">
        <f>IFERROR(VLOOKUP($B43,MMWR_TRAD_AGG_RO_COMP[],K$1,0),"ERROR")</f>
        <v>2611</v>
      </c>
      <c r="L43" s="226">
        <f>IFERROR(VLOOKUP($B43,MMWR_TRAD_AGG_RO_COMP[],L$1,0),"ERROR")</f>
        <v>2054</v>
      </c>
      <c r="M43" s="223">
        <f t="shared" si="2"/>
        <v>0.78667177326694748</v>
      </c>
      <c r="N43" s="225">
        <f>IFERROR(VLOOKUP($B43,MMWR_TRAD_AGG_RO_COMP[],N$1,0),"ERROR")</f>
        <v>850</v>
      </c>
      <c r="O43" s="226">
        <f>IFERROR(VLOOKUP($B43,MMWR_TRAD_AGG_RO_COMP[],O$1,0),"ERROR")</f>
        <v>654</v>
      </c>
      <c r="P43" s="223">
        <f t="shared" si="3"/>
        <v>0.76941176470588235</v>
      </c>
      <c r="Q43" s="227">
        <f>IFERROR(VLOOKUP($B43,MMWR_TRAD_AGG_RO_COMP[],Q$1,0),"ERROR")</f>
        <v>46</v>
      </c>
      <c r="R43" s="227">
        <f>IFERROR(VLOOKUP($B43,MMWR_TRAD_AGG_RO_COMP[],R$1,0),"ERROR")</f>
        <v>292</v>
      </c>
      <c r="S43" s="201">
        <f>IFERROR(VLOOKUP($B43,MMWR_APP_RO[],S$1,0),"ERROR")</f>
        <v>4630</v>
      </c>
      <c r="T43" s="28"/>
    </row>
    <row r="44" spans="1:20" x14ac:dyDescent="0.2">
      <c r="A44" s="28"/>
      <c r="B44" s="108" t="s">
        <v>51</v>
      </c>
      <c r="C44" s="219">
        <f>IFERROR(VLOOKUP($B44,MMWR_TRAD_AGG_RO_COMP[],C$1,0),"ERROR")</f>
        <v>3120</v>
      </c>
      <c r="D44" s="220">
        <f>IFERROR(VLOOKUP($B44,MMWR_TRAD_AGG_RO_COMP[],D$1,0),"ERROR")</f>
        <v>261.95608974359999</v>
      </c>
      <c r="E44" s="221">
        <f>IFERROR(VLOOKUP($B44,MMWR_TRAD_AGG_RO_COMP[],E$1,0),"ERROR")</f>
        <v>3364</v>
      </c>
      <c r="F44" s="222">
        <f>IFERROR(VLOOKUP($B44,MMWR_TRAD_AGG_RO_COMP[],F$1,0),"ERROR")</f>
        <v>466</v>
      </c>
      <c r="G44" s="223">
        <f t="shared" si="0"/>
        <v>0.13852556480380498</v>
      </c>
      <c r="H44" s="224">
        <f>IFERROR(VLOOKUP($B44,MMWR_TRAD_AGG_RO_COMP[],H$1,0),"ERROR")</f>
        <v>7443</v>
      </c>
      <c r="I44" s="222">
        <f>IFERROR(VLOOKUP($B44,MMWR_TRAD_AGG_RO_COMP[],I$1,0),"ERROR")</f>
        <v>3178</v>
      </c>
      <c r="J44" s="223">
        <f t="shared" si="1"/>
        <v>0.42697836893725649</v>
      </c>
      <c r="K44" s="225">
        <f>IFERROR(VLOOKUP($B44,MMWR_TRAD_AGG_RO_COMP[],K$1,0),"ERROR")</f>
        <v>3573</v>
      </c>
      <c r="L44" s="226">
        <f>IFERROR(VLOOKUP($B44,MMWR_TRAD_AGG_RO_COMP[],L$1,0),"ERROR")</f>
        <v>2684</v>
      </c>
      <c r="M44" s="223">
        <f t="shared" si="2"/>
        <v>0.75118947663028268</v>
      </c>
      <c r="N44" s="225">
        <f>IFERROR(VLOOKUP($B44,MMWR_TRAD_AGG_RO_COMP[],N$1,0),"ERROR")</f>
        <v>1703</v>
      </c>
      <c r="O44" s="226">
        <f>IFERROR(VLOOKUP($B44,MMWR_TRAD_AGG_RO_COMP[],O$1,0),"ERROR")</f>
        <v>1133</v>
      </c>
      <c r="P44" s="223">
        <f t="shared" si="3"/>
        <v>0.66529653552554313</v>
      </c>
      <c r="Q44" s="227">
        <f>IFERROR(VLOOKUP($B44,MMWR_TRAD_AGG_RO_COMP[],Q$1,0),"ERROR")</f>
        <v>0</v>
      </c>
      <c r="R44" s="227">
        <f>IFERROR(VLOOKUP($B44,MMWR_TRAD_AGG_RO_COMP[],R$1,0),"ERROR")</f>
        <v>96</v>
      </c>
      <c r="S44" s="201">
        <f>IFERROR(VLOOKUP($B44,MMWR_APP_RO[],S$1,0),"ERROR")</f>
        <v>5296</v>
      </c>
      <c r="T44" s="28"/>
    </row>
    <row r="45" spans="1:20" x14ac:dyDescent="0.2">
      <c r="A45" s="28"/>
      <c r="B45" s="108" t="s">
        <v>27</v>
      </c>
      <c r="C45" s="219">
        <f>IFERROR(VLOOKUP($B45,MMWR_TRAD_AGG_RO_COMP[],C$1,0),"ERROR")</f>
        <v>1079</v>
      </c>
      <c r="D45" s="220">
        <f>IFERROR(VLOOKUP($B45,MMWR_TRAD_AGG_RO_COMP[],D$1,0),"ERROR")</f>
        <v>80.330861909199996</v>
      </c>
      <c r="E45" s="221">
        <f>IFERROR(VLOOKUP($B45,MMWR_TRAD_AGG_RO_COMP[],E$1,0),"ERROR")</f>
        <v>6343</v>
      </c>
      <c r="F45" s="222">
        <f>IFERROR(VLOOKUP($B45,MMWR_TRAD_AGG_RO_COMP[],F$1,0),"ERROR")</f>
        <v>559</v>
      </c>
      <c r="G45" s="223">
        <f t="shared" si="0"/>
        <v>8.8128645751221812E-2</v>
      </c>
      <c r="H45" s="224">
        <f>IFERROR(VLOOKUP($B45,MMWR_TRAD_AGG_RO_COMP[],H$1,0),"ERROR")</f>
        <v>5626</v>
      </c>
      <c r="I45" s="222">
        <f>IFERROR(VLOOKUP($B45,MMWR_TRAD_AGG_RO_COMP[],I$1,0),"ERROR")</f>
        <v>710</v>
      </c>
      <c r="J45" s="223">
        <f t="shared" si="1"/>
        <v>0.12619978670458584</v>
      </c>
      <c r="K45" s="225">
        <f>IFERROR(VLOOKUP($B45,MMWR_TRAD_AGG_RO_COMP[],K$1,0),"ERROR")</f>
        <v>1023</v>
      </c>
      <c r="L45" s="226">
        <f>IFERROR(VLOOKUP($B45,MMWR_TRAD_AGG_RO_COMP[],L$1,0),"ERROR")</f>
        <v>423</v>
      </c>
      <c r="M45" s="223">
        <f t="shared" si="2"/>
        <v>0.41348973607038125</v>
      </c>
      <c r="N45" s="225">
        <f>IFERROR(VLOOKUP($B45,MMWR_TRAD_AGG_RO_COMP[],N$1,0),"ERROR")</f>
        <v>1605</v>
      </c>
      <c r="O45" s="226">
        <f>IFERROR(VLOOKUP($B45,MMWR_TRAD_AGG_RO_COMP[],O$1,0),"ERROR")</f>
        <v>1032</v>
      </c>
      <c r="P45" s="223">
        <f t="shared" si="3"/>
        <v>0.64299065420560753</v>
      </c>
      <c r="Q45" s="227">
        <f>IFERROR(VLOOKUP($B45,MMWR_TRAD_AGG_RO_COMP[],Q$1,0),"ERROR")</f>
        <v>1</v>
      </c>
      <c r="R45" s="227">
        <f>IFERROR(VLOOKUP($B45,MMWR_TRAD_AGG_RO_COMP[],R$1,0),"ERROR")</f>
        <v>17</v>
      </c>
      <c r="S45" s="201">
        <f>IFERROR(VLOOKUP($B45,MMWR_APP_RO[],S$1,0),"ERROR")</f>
        <v>3848</v>
      </c>
      <c r="T45" s="28"/>
    </row>
    <row r="46" spans="1:20" x14ac:dyDescent="0.2">
      <c r="A46" s="28"/>
      <c r="B46" s="108" t="s">
        <v>59</v>
      </c>
      <c r="C46" s="219">
        <f>IFERROR(VLOOKUP($B46,MMWR_TRAD_AGG_RO_COMP[],C$1,0),"ERROR")</f>
        <v>3455</v>
      </c>
      <c r="D46" s="220">
        <f>IFERROR(VLOOKUP($B46,MMWR_TRAD_AGG_RO_COMP[],D$1,0),"ERROR")</f>
        <v>428.97395079590001</v>
      </c>
      <c r="E46" s="221">
        <f>IFERROR(VLOOKUP($B46,MMWR_TRAD_AGG_RO_COMP[],E$1,0),"ERROR")</f>
        <v>4978</v>
      </c>
      <c r="F46" s="222">
        <f>IFERROR(VLOOKUP($B46,MMWR_TRAD_AGG_RO_COMP[],F$1,0),"ERROR")</f>
        <v>1003</v>
      </c>
      <c r="G46" s="223">
        <f t="shared" si="0"/>
        <v>0.20148654077942948</v>
      </c>
      <c r="H46" s="224">
        <f>IFERROR(VLOOKUP($B46,MMWR_TRAD_AGG_RO_COMP[],H$1,0),"ERROR")</f>
        <v>6497</v>
      </c>
      <c r="I46" s="222">
        <f>IFERROR(VLOOKUP($B46,MMWR_TRAD_AGG_RO_COMP[],I$1,0),"ERROR")</f>
        <v>3118</v>
      </c>
      <c r="J46" s="223">
        <f t="shared" si="1"/>
        <v>0.47991380637217179</v>
      </c>
      <c r="K46" s="225">
        <f>IFERROR(VLOOKUP($B46,MMWR_TRAD_AGG_RO_COMP[],K$1,0),"ERROR")</f>
        <v>1248</v>
      </c>
      <c r="L46" s="226">
        <f>IFERROR(VLOOKUP($B46,MMWR_TRAD_AGG_RO_COMP[],L$1,0),"ERROR")</f>
        <v>882</v>
      </c>
      <c r="M46" s="223">
        <f t="shared" si="2"/>
        <v>0.70673076923076927</v>
      </c>
      <c r="N46" s="225">
        <f>IFERROR(VLOOKUP($B46,MMWR_TRAD_AGG_RO_COMP[],N$1,0),"ERROR")</f>
        <v>1918</v>
      </c>
      <c r="O46" s="226">
        <f>IFERROR(VLOOKUP($B46,MMWR_TRAD_AGG_RO_COMP[],O$1,0),"ERROR")</f>
        <v>1346</v>
      </c>
      <c r="P46" s="223">
        <f t="shared" si="3"/>
        <v>0.70177267987486969</v>
      </c>
      <c r="Q46" s="227">
        <f>IFERROR(VLOOKUP($B46,MMWR_TRAD_AGG_RO_COMP[],Q$1,0),"ERROR")</f>
        <v>2</v>
      </c>
      <c r="R46" s="227">
        <f>IFERROR(VLOOKUP($B46,MMWR_TRAD_AGG_RO_COMP[],R$1,0),"ERROR")</f>
        <v>275</v>
      </c>
      <c r="S46" s="201">
        <f>IFERROR(VLOOKUP($B46,MMWR_APP_RO[],S$1,0),"ERROR")</f>
        <v>5854</v>
      </c>
      <c r="T46" s="28"/>
    </row>
    <row r="47" spans="1:20" x14ac:dyDescent="0.2">
      <c r="A47" s="28"/>
      <c r="B47" s="108" t="s">
        <v>70</v>
      </c>
      <c r="C47" s="219">
        <f>IFERROR(VLOOKUP($B47,MMWR_TRAD_AGG_RO_COMP[],C$1,0),"ERROR")</f>
        <v>3016</v>
      </c>
      <c r="D47" s="220">
        <f>IFERROR(VLOOKUP($B47,MMWR_TRAD_AGG_RO_COMP[],D$1,0),"ERROR")</f>
        <v>225.1538461538</v>
      </c>
      <c r="E47" s="221">
        <f>IFERROR(VLOOKUP($B47,MMWR_TRAD_AGG_RO_COMP[],E$1,0),"ERROR")</f>
        <v>3305</v>
      </c>
      <c r="F47" s="222">
        <f>IFERROR(VLOOKUP($B47,MMWR_TRAD_AGG_RO_COMP[],F$1,0),"ERROR")</f>
        <v>462</v>
      </c>
      <c r="G47" s="223">
        <f t="shared" si="0"/>
        <v>0.13978819969742814</v>
      </c>
      <c r="H47" s="224">
        <f>IFERROR(VLOOKUP($B47,MMWR_TRAD_AGG_RO_COMP[],H$1,0),"ERROR")</f>
        <v>6579</v>
      </c>
      <c r="I47" s="222">
        <f>IFERROR(VLOOKUP($B47,MMWR_TRAD_AGG_RO_COMP[],I$1,0),"ERROR")</f>
        <v>2254</v>
      </c>
      <c r="J47" s="223">
        <f t="shared" si="1"/>
        <v>0.34260525915792672</v>
      </c>
      <c r="K47" s="225">
        <f>IFERROR(VLOOKUP($B47,MMWR_TRAD_AGG_RO_COMP[],K$1,0),"ERROR")</f>
        <v>1501</v>
      </c>
      <c r="L47" s="226">
        <f>IFERROR(VLOOKUP($B47,MMWR_TRAD_AGG_RO_COMP[],L$1,0),"ERROR")</f>
        <v>711</v>
      </c>
      <c r="M47" s="223">
        <f t="shared" si="2"/>
        <v>0.47368421052631576</v>
      </c>
      <c r="N47" s="225">
        <f>IFERROR(VLOOKUP($B47,MMWR_TRAD_AGG_RO_COMP[],N$1,0),"ERROR")</f>
        <v>498</v>
      </c>
      <c r="O47" s="226">
        <f>IFERROR(VLOOKUP($B47,MMWR_TRAD_AGG_RO_COMP[],O$1,0),"ERROR")</f>
        <v>251</v>
      </c>
      <c r="P47" s="223">
        <f t="shared" si="3"/>
        <v>0.50401606425702816</v>
      </c>
      <c r="Q47" s="227">
        <f>IFERROR(VLOOKUP($B47,MMWR_TRAD_AGG_RO_COMP[],Q$1,0),"ERROR")</f>
        <v>0</v>
      </c>
      <c r="R47" s="227">
        <f>IFERROR(VLOOKUP($B47,MMWR_TRAD_AGG_RO_COMP[],R$1,0),"ERROR")</f>
        <v>2</v>
      </c>
      <c r="S47" s="201">
        <f>IFERROR(VLOOKUP($B47,MMWR_APP_RO[],S$1,0),"ERROR")</f>
        <v>984</v>
      </c>
      <c r="T47" s="28"/>
    </row>
    <row r="48" spans="1:20" x14ac:dyDescent="0.2">
      <c r="A48" s="28"/>
      <c r="B48" s="116" t="s">
        <v>79</v>
      </c>
      <c r="C48" s="228">
        <f>IFERROR(VLOOKUP($B48,MMWR_TRAD_AGG_RO_COMP[],C$1,0),"ERROR")</f>
        <v>9960</v>
      </c>
      <c r="D48" s="229">
        <f>IFERROR(VLOOKUP($B48,MMWR_TRAD_AGG_RO_COMP[],D$1,0),"ERROR")</f>
        <v>289.23965863450002</v>
      </c>
      <c r="E48" s="230">
        <f>IFERROR(VLOOKUP($B48,MMWR_TRAD_AGG_RO_COMP[],E$1,0),"ERROR")</f>
        <v>17113</v>
      </c>
      <c r="F48" s="231">
        <f>IFERROR(VLOOKUP($B48,MMWR_TRAD_AGG_RO_COMP[],F$1,0),"ERROR")</f>
        <v>2994</v>
      </c>
      <c r="G48" s="232">
        <f t="shared" si="0"/>
        <v>0.17495471279144509</v>
      </c>
      <c r="H48" s="233">
        <f>IFERROR(VLOOKUP($B48,MMWR_TRAD_AGG_RO_COMP[],H$1,0),"ERROR")</f>
        <v>16732</v>
      </c>
      <c r="I48" s="231">
        <f>IFERROR(VLOOKUP($B48,MMWR_TRAD_AGG_RO_COMP[],I$1,0),"ERROR")</f>
        <v>6949</v>
      </c>
      <c r="J48" s="232">
        <f t="shared" si="1"/>
        <v>0.41531197704996414</v>
      </c>
      <c r="K48" s="234">
        <f>IFERROR(VLOOKUP($B48,MMWR_TRAD_AGG_RO_COMP[],K$1,0),"ERROR")</f>
        <v>3620</v>
      </c>
      <c r="L48" s="235">
        <f>IFERROR(VLOOKUP($B48,MMWR_TRAD_AGG_RO_COMP[],L$1,0),"ERROR")</f>
        <v>2418</v>
      </c>
      <c r="M48" s="232">
        <f t="shared" si="2"/>
        <v>0.66795580110497232</v>
      </c>
      <c r="N48" s="234">
        <f>IFERROR(VLOOKUP($B48,MMWR_TRAD_AGG_RO_COMP[],N$1,0),"ERROR")</f>
        <v>8715</v>
      </c>
      <c r="O48" s="235">
        <f>IFERROR(VLOOKUP($B48,MMWR_TRAD_AGG_RO_COMP[],O$1,0),"ERROR")</f>
        <v>4283</v>
      </c>
      <c r="P48" s="232">
        <f t="shared" si="3"/>
        <v>0.49145152036718304</v>
      </c>
      <c r="Q48" s="236">
        <f>IFERROR(VLOOKUP($B48,MMWR_TRAD_AGG_RO_COMP[],Q$1,0),"ERROR")</f>
        <v>3</v>
      </c>
      <c r="R48" s="236">
        <f>IFERROR(VLOOKUP($B48,MMWR_TRAD_AGG_RO_COMP[],R$1,0),"ERROR")</f>
        <v>222</v>
      </c>
      <c r="S48" s="201">
        <f>IFERROR(VLOOKUP($B48,MMWR_APP_RO[],S$1,0),"ERROR")</f>
        <v>20223</v>
      </c>
      <c r="T48" s="28"/>
    </row>
    <row r="49" spans="1:20" x14ac:dyDescent="0.2">
      <c r="A49" s="28"/>
      <c r="B49" s="101" t="s">
        <v>403</v>
      </c>
      <c r="C49" s="212">
        <f>IFERROR(VLOOKUP($B49,MMWR_TRAD_AGG_DISTRICT_COMP[],C$1,0),"ERROR")</f>
        <v>42040</v>
      </c>
      <c r="D49" s="197">
        <f>IFERROR(VLOOKUP($B49,MMWR_TRAD_AGG_DISTRICT_COMP[],D$1,0),"ERROR")</f>
        <v>382.35756422449998</v>
      </c>
      <c r="E49" s="213">
        <f>IFERROR(VLOOKUP($B49,MMWR_TRAD_AGG_DISTRICT_COMP[],E$1,0),"ERROR")</f>
        <v>64853</v>
      </c>
      <c r="F49" s="218">
        <f>IFERROR(VLOOKUP($B49,MMWR_TRAD_AGG_DISTRICT_COMP[],F$1,0),"ERROR")</f>
        <v>13014</v>
      </c>
      <c r="G49" s="214">
        <f t="shared" si="0"/>
        <v>0.20066920574221703</v>
      </c>
      <c r="H49" s="218">
        <f>IFERROR(VLOOKUP($B49,MMWR_TRAD_AGG_DISTRICT_COMP[],H$1,0),"ERROR")</f>
        <v>85620</v>
      </c>
      <c r="I49" s="218">
        <f>IFERROR(VLOOKUP($B49,MMWR_TRAD_AGG_DISTRICT_COMP[],I$1,0),"ERROR")</f>
        <v>42285</v>
      </c>
      <c r="J49" s="214">
        <f t="shared" si="1"/>
        <v>0.49386825508058863</v>
      </c>
      <c r="K49" s="212">
        <f>IFERROR(VLOOKUP($B49,MMWR_TRAD_AGG_DISTRICT_COMP[],K$1,0),"ERROR")</f>
        <v>25327</v>
      </c>
      <c r="L49" s="212">
        <f>IFERROR(VLOOKUP($B49,MMWR_TRAD_AGG_DISTRICT_COMP[],L$1,0),"ERROR")</f>
        <v>18644</v>
      </c>
      <c r="M49" s="214">
        <f t="shared" si="2"/>
        <v>0.73613140127137044</v>
      </c>
      <c r="N49" s="212">
        <f>IFERROR(VLOOKUP($B49,MMWR_TRAD_AGG_DISTRICT_COMP[],N$1,0),"ERROR")</f>
        <v>19166</v>
      </c>
      <c r="O49" s="212">
        <f>IFERROR(VLOOKUP($B49,MMWR_TRAD_AGG_DISTRICT_COMP[],O$1,0),"ERROR")</f>
        <v>14799</v>
      </c>
      <c r="P49" s="214">
        <f t="shared" si="3"/>
        <v>0.77214859647292078</v>
      </c>
      <c r="Q49" s="212">
        <f>IFERROR(VLOOKUP($B49,MMWR_TRAD_AGG_DISTRICT_COMP[],Q$1,0),"ERROR")</f>
        <v>465</v>
      </c>
      <c r="R49" s="215">
        <f>IFERROR(VLOOKUP($B49,MMWR_TRAD_AGG_DISTRICT_COMP[],R$1,0),"ERROR")</f>
        <v>768</v>
      </c>
      <c r="S49" s="215">
        <f>IFERROR(VLOOKUP($B49,MMWR_APP_RO[],S$1,0),"ERROR")</f>
        <v>40246</v>
      </c>
      <c r="T49" s="28"/>
    </row>
    <row r="50" spans="1:20" x14ac:dyDescent="0.2">
      <c r="A50" s="28"/>
      <c r="B50" s="108" t="s">
        <v>31</v>
      </c>
      <c r="C50" s="219">
        <f>IFERROR(VLOOKUP($B50,MMWR_TRAD_AGG_RO_COMP[],C$1,0),"ERROR")</f>
        <v>587</v>
      </c>
      <c r="D50" s="220">
        <f>IFERROR(VLOOKUP($B50,MMWR_TRAD_AGG_RO_COMP[],D$1,0),"ERROR")</f>
        <v>168.6405451448</v>
      </c>
      <c r="E50" s="221">
        <f>IFERROR(VLOOKUP($B50,MMWR_TRAD_AGG_RO_COMP[],E$1,0),"ERROR")</f>
        <v>2921</v>
      </c>
      <c r="F50" s="222">
        <f>IFERROR(VLOOKUP($B50,MMWR_TRAD_AGG_RO_COMP[],F$1,0),"ERROR")</f>
        <v>654</v>
      </c>
      <c r="G50" s="223">
        <f t="shared" si="0"/>
        <v>0.22389592605272168</v>
      </c>
      <c r="H50" s="224">
        <f>IFERROR(VLOOKUP($B50,MMWR_TRAD_AGG_RO_COMP[],H$1,0),"ERROR")</f>
        <v>1696</v>
      </c>
      <c r="I50" s="222">
        <f>IFERROR(VLOOKUP($B50,MMWR_TRAD_AGG_RO_COMP[],I$1,0),"ERROR")</f>
        <v>372</v>
      </c>
      <c r="J50" s="223">
        <f t="shared" si="1"/>
        <v>0.21933962264150944</v>
      </c>
      <c r="K50" s="225">
        <f>IFERROR(VLOOKUP($B50,MMWR_TRAD_AGG_RO_COMP[],K$1,0),"ERROR")</f>
        <v>321</v>
      </c>
      <c r="L50" s="226">
        <f>IFERROR(VLOOKUP($B50,MMWR_TRAD_AGG_RO_COMP[],L$1,0),"ERROR")</f>
        <v>137</v>
      </c>
      <c r="M50" s="223">
        <f t="shared" si="2"/>
        <v>0.42679127725856697</v>
      </c>
      <c r="N50" s="225">
        <f>IFERROR(VLOOKUP($B50,MMWR_TRAD_AGG_RO_COMP[],N$1,0),"ERROR")</f>
        <v>402</v>
      </c>
      <c r="O50" s="226">
        <f>IFERROR(VLOOKUP($B50,MMWR_TRAD_AGG_RO_COMP[],O$1,0),"ERROR")</f>
        <v>264</v>
      </c>
      <c r="P50" s="223">
        <f t="shared" si="3"/>
        <v>0.65671641791044777</v>
      </c>
      <c r="Q50" s="227">
        <f>IFERROR(VLOOKUP($B50,MMWR_TRAD_AGG_RO_COMP[],Q$1,0),"ERROR")</f>
        <v>0</v>
      </c>
      <c r="R50" s="227">
        <f>IFERROR(VLOOKUP($B50,MMWR_TRAD_AGG_RO_COMP[],R$1,0),"ERROR")</f>
        <v>9</v>
      </c>
      <c r="S50" s="201">
        <f>IFERROR(VLOOKUP($B50,MMWR_APP_RO[],S$1,0),"ERROR")</f>
        <v>1468</v>
      </c>
      <c r="T50" s="28"/>
    </row>
    <row r="51" spans="1:20" x14ac:dyDescent="0.2">
      <c r="A51" s="28"/>
      <c r="B51" s="108" t="s">
        <v>32</v>
      </c>
      <c r="C51" s="219">
        <f>IFERROR(VLOOKUP($B51,MMWR_TRAD_AGG_RO_COMP[],C$1,0),"ERROR")</f>
        <v>2050</v>
      </c>
      <c r="D51" s="220">
        <f>IFERROR(VLOOKUP($B51,MMWR_TRAD_AGG_RO_COMP[],D$1,0),"ERROR")</f>
        <v>488.26146341459997</v>
      </c>
      <c r="E51" s="221">
        <f>IFERROR(VLOOKUP($B51,MMWR_TRAD_AGG_RO_COMP[],E$1,0),"ERROR")</f>
        <v>1004</v>
      </c>
      <c r="F51" s="222">
        <f>IFERROR(VLOOKUP($B51,MMWR_TRAD_AGG_RO_COMP[],F$1,0),"ERROR")</f>
        <v>276</v>
      </c>
      <c r="G51" s="223">
        <f t="shared" si="0"/>
        <v>0.27490039840637448</v>
      </c>
      <c r="H51" s="224">
        <f>IFERROR(VLOOKUP($B51,MMWR_TRAD_AGG_RO_COMP[],H$1,0),"ERROR")</f>
        <v>3200</v>
      </c>
      <c r="I51" s="222">
        <f>IFERROR(VLOOKUP($B51,MMWR_TRAD_AGG_RO_COMP[],I$1,0),"ERROR")</f>
        <v>2143</v>
      </c>
      <c r="J51" s="223">
        <f t="shared" si="1"/>
        <v>0.66968749999999999</v>
      </c>
      <c r="K51" s="225">
        <f>IFERROR(VLOOKUP($B51,MMWR_TRAD_AGG_RO_COMP[],K$1,0),"ERROR")</f>
        <v>1654</v>
      </c>
      <c r="L51" s="226">
        <f>IFERROR(VLOOKUP($B51,MMWR_TRAD_AGG_RO_COMP[],L$1,0),"ERROR")</f>
        <v>1303</v>
      </c>
      <c r="M51" s="223">
        <f t="shared" si="2"/>
        <v>0.78778718258766622</v>
      </c>
      <c r="N51" s="225">
        <f>IFERROR(VLOOKUP($B51,MMWR_TRAD_AGG_RO_COMP[],N$1,0),"ERROR")</f>
        <v>253</v>
      </c>
      <c r="O51" s="226">
        <f>IFERROR(VLOOKUP($B51,MMWR_TRAD_AGG_RO_COMP[],O$1,0),"ERROR")</f>
        <v>219</v>
      </c>
      <c r="P51" s="223">
        <f t="shared" si="3"/>
        <v>0.86561264822134387</v>
      </c>
      <c r="Q51" s="227">
        <f>IFERROR(VLOOKUP($B51,MMWR_TRAD_AGG_RO_COMP[],Q$1,0),"ERROR")</f>
        <v>0</v>
      </c>
      <c r="R51" s="227">
        <f>IFERROR(VLOOKUP($B51,MMWR_TRAD_AGG_RO_COMP[],R$1,0),"ERROR")</f>
        <v>3</v>
      </c>
      <c r="S51" s="201">
        <f>IFERROR(VLOOKUP($B51,MMWR_APP_RO[],S$1,0),"ERROR")</f>
        <v>179</v>
      </c>
      <c r="T51" s="28"/>
    </row>
    <row r="52" spans="1:20" x14ac:dyDescent="0.2">
      <c r="A52" s="28"/>
      <c r="B52" s="108" t="s">
        <v>34</v>
      </c>
      <c r="C52" s="219">
        <f>IFERROR(VLOOKUP($B52,MMWR_TRAD_AGG_RO_COMP[],C$1,0),"ERROR")</f>
        <v>408</v>
      </c>
      <c r="D52" s="220">
        <f>IFERROR(VLOOKUP($B52,MMWR_TRAD_AGG_RO_COMP[],D$1,0),"ERROR")</f>
        <v>84.838235294100002</v>
      </c>
      <c r="E52" s="221">
        <f>IFERROR(VLOOKUP($B52,MMWR_TRAD_AGG_RO_COMP[],E$1,0),"ERROR")</f>
        <v>1697</v>
      </c>
      <c r="F52" s="222">
        <f>IFERROR(VLOOKUP($B52,MMWR_TRAD_AGG_RO_COMP[],F$1,0),"ERROR")</f>
        <v>445</v>
      </c>
      <c r="G52" s="223">
        <f t="shared" si="0"/>
        <v>0.26222746022392457</v>
      </c>
      <c r="H52" s="224">
        <f>IFERROR(VLOOKUP($B52,MMWR_TRAD_AGG_RO_COMP[],H$1,0),"ERROR")</f>
        <v>1263</v>
      </c>
      <c r="I52" s="222">
        <f>IFERROR(VLOOKUP($B52,MMWR_TRAD_AGG_RO_COMP[],I$1,0),"ERROR")</f>
        <v>143</v>
      </c>
      <c r="J52" s="223">
        <f t="shared" si="1"/>
        <v>0.11322248614410134</v>
      </c>
      <c r="K52" s="225">
        <f>IFERROR(VLOOKUP($B52,MMWR_TRAD_AGG_RO_COMP[],K$1,0),"ERROR")</f>
        <v>244</v>
      </c>
      <c r="L52" s="226">
        <f>IFERROR(VLOOKUP($B52,MMWR_TRAD_AGG_RO_COMP[],L$1,0),"ERROR")</f>
        <v>55</v>
      </c>
      <c r="M52" s="223">
        <f t="shared" si="2"/>
        <v>0.22540983606557377</v>
      </c>
      <c r="N52" s="225">
        <f>IFERROR(VLOOKUP($B52,MMWR_TRAD_AGG_RO_COMP[],N$1,0),"ERROR")</f>
        <v>135</v>
      </c>
      <c r="O52" s="226">
        <f>IFERROR(VLOOKUP($B52,MMWR_TRAD_AGG_RO_COMP[],O$1,0),"ERROR")</f>
        <v>82</v>
      </c>
      <c r="P52" s="223">
        <f t="shared" si="3"/>
        <v>0.6074074074074074</v>
      </c>
      <c r="Q52" s="227">
        <f>IFERROR(VLOOKUP($B52,MMWR_TRAD_AGG_RO_COMP[],Q$1,0),"ERROR")</f>
        <v>0</v>
      </c>
      <c r="R52" s="227">
        <f>IFERROR(VLOOKUP($B52,MMWR_TRAD_AGG_RO_COMP[],R$1,0),"ERROR")</f>
        <v>5</v>
      </c>
      <c r="S52" s="201">
        <f>IFERROR(VLOOKUP($B52,MMWR_APP_RO[],S$1,0),"ERROR")</f>
        <v>773</v>
      </c>
      <c r="T52" s="28"/>
    </row>
    <row r="53" spans="1:20" x14ac:dyDescent="0.2">
      <c r="A53" s="28"/>
      <c r="B53" s="108" t="s">
        <v>45</v>
      </c>
      <c r="C53" s="219">
        <f>IFERROR(VLOOKUP($B53,MMWR_TRAD_AGG_RO_COMP[],C$1,0),"ERROR")</f>
        <v>1021</v>
      </c>
      <c r="D53" s="220">
        <f>IFERROR(VLOOKUP($B53,MMWR_TRAD_AGG_RO_COMP[],D$1,0),"ERROR")</f>
        <v>203.2585700294</v>
      </c>
      <c r="E53" s="221">
        <f>IFERROR(VLOOKUP($B53,MMWR_TRAD_AGG_RO_COMP[],E$1,0),"ERROR")</f>
        <v>2498</v>
      </c>
      <c r="F53" s="222">
        <f>IFERROR(VLOOKUP($B53,MMWR_TRAD_AGG_RO_COMP[],F$1,0),"ERROR")</f>
        <v>416</v>
      </c>
      <c r="G53" s="223">
        <f t="shared" si="0"/>
        <v>0.16653322658126501</v>
      </c>
      <c r="H53" s="224">
        <f>IFERROR(VLOOKUP($B53,MMWR_TRAD_AGG_RO_COMP[],H$1,0),"ERROR")</f>
        <v>2182</v>
      </c>
      <c r="I53" s="222">
        <f>IFERROR(VLOOKUP($B53,MMWR_TRAD_AGG_RO_COMP[],I$1,0),"ERROR")</f>
        <v>587</v>
      </c>
      <c r="J53" s="223">
        <f t="shared" si="1"/>
        <v>0.26901924839596703</v>
      </c>
      <c r="K53" s="225">
        <f>IFERROR(VLOOKUP($B53,MMWR_TRAD_AGG_RO_COMP[],K$1,0),"ERROR")</f>
        <v>956</v>
      </c>
      <c r="L53" s="226">
        <f>IFERROR(VLOOKUP($B53,MMWR_TRAD_AGG_RO_COMP[],L$1,0),"ERROR")</f>
        <v>514</v>
      </c>
      <c r="M53" s="223">
        <f t="shared" si="2"/>
        <v>0.53765690376569042</v>
      </c>
      <c r="N53" s="225">
        <f>IFERROR(VLOOKUP($B53,MMWR_TRAD_AGG_RO_COMP[],N$1,0),"ERROR")</f>
        <v>197</v>
      </c>
      <c r="O53" s="226">
        <f>IFERROR(VLOOKUP($B53,MMWR_TRAD_AGG_RO_COMP[],O$1,0),"ERROR")</f>
        <v>103</v>
      </c>
      <c r="P53" s="223">
        <f t="shared" si="3"/>
        <v>0.52284263959390864</v>
      </c>
      <c r="Q53" s="227">
        <f>IFERROR(VLOOKUP($B53,MMWR_TRAD_AGG_RO_COMP[],Q$1,0),"ERROR")</f>
        <v>0</v>
      </c>
      <c r="R53" s="227">
        <f>IFERROR(VLOOKUP($B53,MMWR_TRAD_AGG_RO_COMP[],R$1,0),"ERROR")</f>
        <v>0</v>
      </c>
      <c r="S53" s="201">
        <f>IFERROR(VLOOKUP($B53,MMWR_APP_RO[],S$1,0),"ERROR")</f>
        <v>1319</v>
      </c>
      <c r="T53" s="28"/>
    </row>
    <row r="54" spans="1:20" x14ac:dyDescent="0.2">
      <c r="A54" s="28"/>
      <c r="B54" s="108" t="s">
        <v>52</v>
      </c>
      <c r="C54" s="219">
        <f>IFERROR(VLOOKUP($B54,MMWR_TRAD_AGG_RO_COMP[],C$1,0),"ERROR")</f>
        <v>5972</v>
      </c>
      <c r="D54" s="220">
        <f>IFERROR(VLOOKUP($B54,MMWR_TRAD_AGG_RO_COMP[],D$1,0),"ERROR")</f>
        <v>437.81145344940001</v>
      </c>
      <c r="E54" s="221">
        <f>IFERROR(VLOOKUP($B54,MMWR_TRAD_AGG_RO_COMP[],E$1,0),"ERROR")</f>
        <v>10891</v>
      </c>
      <c r="F54" s="222">
        <f>IFERROR(VLOOKUP($B54,MMWR_TRAD_AGG_RO_COMP[],F$1,0),"ERROR")</f>
        <v>2121</v>
      </c>
      <c r="G54" s="223">
        <f t="shared" si="0"/>
        <v>0.19474795702873932</v>
      </c>
      <c r="H54" s="224">
        <f>IFERROR(VLOOKUP($B54,MMWR_TRAD_AGG_RO_COMP[],H$1,0),"ERROR")</f>
        <v>10472</v>
      </c>
      <c r="I54" s="222">
        <f>IFERROR(VLOOKUP($B54,MMWR_TRAD_AGG_RO_COMP[],I$1,0),"ERROR")</f>
        <v>5273</v>
      </c>
      <c r="J54" s="223">
        <f t="shared" si="1"/>
        <v>0.50353323147440798</v>
      </c>
      <c r="K54" s="225">
        <f>IFERROR(VLOOKUP($B54,MMWR_TRAD_AGG_RO_COMP[],K$1,0),"ERROR")</f>
        <v>1046</v>
      </c>
      <c r="L54" s="226">
        <f>IFERROR(VLOOKUP($B54,MMWR_TRAD_AGG_RO_COMP[],L$1,0),"ERROR")</f>
        <v>872</v>
      </c>
      <c r="M54" s="223">
        <f t="shared" si="2"/>
        <v>0.83365200764818359</v>
      </c>
      <c r="N54" s="225">
        <f>IFERROR(VLOOKUP($B54,MMWR_TRAD_AGG_RO_COMP[],N$1,0),"ERROR")</f>
        <v>4004</v>
      </c>
      <c r="O54" s="226">
        <f>IFERROR(VLOOKUP($B54,MMWR_TRAD_AGG_RO_COMP[],O$1,0),"ERROR")</f>
        <v>3276</v>
      </c>
      <c r="P54" s="223">
        <f t="shared" si="3"/>
        <v>0.81818181818181823</v>
      </c>
      <c r="Q54" s="227">
        <f>IFERROR(VLOOKUP($B54,MMWR_TRAD_AGG_RO_COMP[],Q$1,0),"ERROR")</f>
        <v>4</v>
      </c>
      <c r="R54" s="227">
        <f>IFERROR(VLOOKUP($B54,MMWR_TRAD_AGG_RO_COMP[],R$1,0),"ERROR")</f>
        <v>36</v>
      </c>
      <c r="S54" s="201">
        <f>IFERROR(VLOOKUP($B54,MMWR_APP_RO[],S$1,0),"ERROR")</f>
        <v>4914</v>
      </c>
      <c r="T54" s="28"/>
    </row>
    <row r="55" spans="1:20" x14ac:dyDescent="0.2">
      <c r="A55" s="28"/>
      <c r="B55" s="108" t="s">
        <v>55</v>
      </c>
      <c r="C55" s="219">
        <f>IFERROR(VLOOKUP($B55,MMWR_TRAD_AGG_RO_COMP[],C$1,0),"ERROR")</f>
        <v>472</v>
      </c>
      <c r="D55" s="220">
        <f>IFERROR(VLOOKUP($B55,MMWR_TRAD_AGG_RO_COMP[],D$1,0),"ERROR")</f>
        <v>199.63347457629999</v>
      </c>
      <c r="E55" s="221">
        <f>IFERROR(VLOOKUP($B55,MMWR_TRAD_AGG_RO_COMP[],E$1,0),"ERROR")</f>
        <v>822</v>
      </c>
      <c r="F55" s="222">
        <f>IFERROR(VLOOKUP($B55,MMWR_TRAD_AGG_RO_COMP[],F$1,0),"ERROR")</f>
        <v>240</v>
      </c>
      <c r="G55" s="223">
        <f t="shared" si="0"/>
        <v>0.29197080291970801</v>
      </c>
      <c r="H55" s="224">
        <f>IFERROR(VLOOKUP($B55,MMWR_TRAD_AGG_RO_COMP[],H$1,0),"ERROR")</f>
        <v>802</v>
      </c>
      <c r="I55" s="222">
        <f>IFERROR(VLOOKUP($B55,MMWR_TRAD_AGG_RO_COMP[],I$1,0),"ERROR")</f>
        <v>347</v>
      </c>
      <c r="J55" s="223">
        <f t="shared" si="1"/>
        <v>0.43266832917705733</v>
      </c>
      <c r="K55" s="225">
        <f>IFERROR(VLOOKUP($B55,MMWR_TRAD_AGG_RO_COMP[],K$1,0),"ERROR")</f>
        <v>383</v>
      </c>
      <c r="L55" s="226">
        <f>IFERROR(VLOOKUP($B55,MMWR_TRAD_AGG_RO_COMP[],L$1,0),"ERROR")</f>
        <v>322</v>
      </c>
      <c r="M55" s="223">
        <f t="shared" si="2"/>
        <v>0.84073107049608353</v>
      </c>
      <c r="N55" s="225">
        <f>IFERROR(VLOOKUP($B55,MMWR_TRAD_AGG_RO_COMP[],N$1,0),"ERROR")</f>
        <v>293</v>
      </c>
      <c r="O55" s="226">
        <f>IFERROR(VLOOKUP($B55,MMWR_TRAD_AGG_RO_COMP[],O$1,0),"ERROR")</f>
        <v>141</v>
      </c>
      <c r="P55" s="223">
        <f t="shared" si="3"/>
        <v>0.48122866894197952</v>
      </c>
      <c r="Q55" s="227">
        <f>IFERROR(VLOOKUP($B55,MMWR_TRAD_AGG_RO_COMP[],Q$1,0),"ERROR")</f>
        <v>456</v>
      </c>
      <c r="R55" s="227">
        <f>IFERROR(VLOOKUP($B55,MMWR_TRAD_AGG_RO_COMP[],R$1,0),"ERROR")</f>
        <v>133</v>
      </c>
      <c r="S55" s="201">
        <f>IFERROR(VLOOKUP($B55,MMWR_APP_RO[],S$1,0),"ERROR")</f>
        <v>815</v>
      </c>
      <c r="T55" s="28"/>
    </row>
    <row r="56" spans="1:20" x14ac:dyDescent="0.2">
      <c r="A56" s="28"/>
      <c r="B56" s="108" t="s">
        <v>62</v>
      </c>
      <c r="C56" s="219">
        <f>IFERROR(VLOOKUP($B56,MMWR_TRAD_AGG_RO_COMP[],C$1,0),"ERROR")</f>
        <v>6710</v>
      </c>
      <c r="D56" s="220">
        <f>IFERROR(VLOOKUP($B56,MMWR_TRAD_AGG_RO_COMP[],D$1,0),"ERROR")</f>
        <v>458.13845007449999</v>
      </c>
      <c r="E56" s="221">
        <f>IFERROR(VLOOKUP($B56,MMWR_TRAD_AGG_RO_COMP[],E$1,0),"ERROR")</f>
        <v>11482</v>
      </c>
      <c r="F56" s="222">
        <f>IFERROR(VLOOKUP($B56,MMWR_TRAD_AGG_RO_COMP[],F$1,0),"ERROR")</f>
        <v>2803</v>
      </c>
      <c r="G56" s="223">
        <f t="shared" si="0"/>
        <v>0.24412123323462812</v>
      </c>
      <c r="H56" s="224">
        <f>IFERROR(VLOOKUP($B56,MMWR_TRAD_AGG_RO_COMP[],H$1,0),"ERROR")</f>
        <v>12311</v>
      </c>
      <c r="I56" s="222">
        <f>IFERROR(VLOOKUP($B56,MMWR_TRAD_AGG_RO_COMP[],I$1,0),"ERROR")</f>
        <v>7606</v>
      </c>
      <c r="J56" s="223">
        <f t="shared" si="1"/>
        <v>0.61782146048249531</v>
      </c>
      <c r="K56" s="225">
        <f>IFERROR(VLOOKUP($B56,MMWR_TRAD_AGG_RO_COMP[],K$1,0),"ERROR")</f>
        <v>3752</v>
      </c>
      <c r="L56" s="226">
        <f>IFERROR(VLOOKUP($B56,MMWR_TRAD_AGG_RO_COMP[],L$1,0),"ERROR")</f>
        <v>3372</v>
      </c>
      <c r="M56" s="223">
        <f t="shared" si="2"/>
        <v>0.8987206823027718</v>
      </c>
      <c r="N56" s="225">
        <f>IFERROR(VLOOKUP($B56,MMWR_TRAD_AGG_RO_COMP[],N$1,0),"ERROR")</f>
        <v>2692</v>
      </c>
      <c r="O56" s="226">
        <f>IFERROR(VLOOKUP($B56,MMWR_TRAD_AGG_RO_COMP[],O$1,0),"ERROR")</f>
        <v>2143</v>
      </c>
      <c r="P56" s="223">
        <f t="shared" si="3"/>
        <v>0.79606240713224363</v>
      </c>
      <c r="Q56" s="227">
        <f>IFERROR(VLOOKUP($B56,MMWR_TRAD_AGG_RO_COMP[],Q$1,0),"ERROR")</f>
        <v>0</v>
      </c>
      <c r="R56" s="227">
        <f>IFERROR(VLOOKUP($B56,MMWR_TRAD_AGG_RO_COMP[],R$1,0),"ERROR")</f>
        <v>48</v>
      </c>
      <c r="S56" s="201">
        <f>IFERROR(VLOOKUP($B56,MMWR_APP_RO[],S$1,0),"ERROR")</f>
        <v>8271</v>
      </c>
      <c r="T56" s="28"/>
    </row>
    <row r="57" spans="1:20" x14ac:dyDescent="0.2">
      <c r="A57" s="28"/>
      <c r="B57" s="108" t="s">
        <v>64</v>
      </c>
      <c r="C57" s="219">
        <f>IFERROR(VLOOKUP($B57,MMWR_TRAD_AGG_RO_COMP[],C$1,0),"ERROR")</f>
        <v>3179</v>
      </c>
      <c r="D57" s="220">
        <f>IFERROR(VLOOKUP($B57,MMWR_TRAD_AGG_RO_COMP[],D$1,0),"ERROR")</f>
        <v>237.7376533501</v>
      </c>
      <c r="E57" s="221">
        <f>IFERROR(VLOOKUP($B57,MMWR_TRAD_AGG_RO_COMP[],E$1,0),"ERROR")</f>
        <v>4842</v>
      </c>
      <c r="F57" s="222">
        <f>IFERROR(VLOOKUP($B57,MMWR_TRAD_AGG_RO_COMP[],F$1,0),"ERROR")</f>
        <v>662</v>
      </c>
      <c r="G57" s="223">
        <f t="shared" si="0"/>
        <v>0.13672036348616273</v>
      </c>
      <c r="H57" s="224">
        <f>IFERROR(VLOOKUP($B57,MMWR_TRAD_AGG_RO_COMP[],H$1,0),"ERROR")</f>
        <v>6239</v>
      </c>
      <c r="I57" s="222">
        <f>IFERROR(VLOOKUP($B57,MMWR_TRAD_AGG_RO_COMP[],I$1,0),"ERROR")</f>
        <v>1986</v>
      </c>
      <c r="J57" s="223">
        <f t="shared" si="1"/>
        <v>0.31832024362878669</v>
      </c>
      <c r="K57" s="225">
        <f>IFERROR(VLOOKUP($B57,MMWR_TRAD_AGG_RO_COMP[],K$1,0),"ERROR")</f>
        <v>1791</v>
      </c>
      <c r="L57" s="226">
        <f>IFERROR(VLOOKUP($B57,MMWR_TRAD_AGG_RO_COMP[],L$1,0),"ERROR")</f>
        <v>1036</v>
      </c>
      <c r="M57" s="223">
        <f t="shared" si="2"/>
        <v>0.5784477945281965</v>
      </c>
      <c r="N57" s="225">
        <f>IFERROR(VLOOKUP($B57,MMWR_TRAD_AGG_RO_COMP[],N$1,0),"ERROR")</f>
        <v>1265</v>
      </c>
      <c r="O57" s="226">
        <f>IFERROR(VLOOKUP($B57,MMWR_TRAD_AGG_RO_COMP[],O$1,0),"ERROR")</f>
        <v>767</v>
      </c>
      <c r="P57" s="223">
        <f t="shared" si="3"/>
        <v>0.60632411067193681</v>
      </c>
      <c r="Q57" s="227">
        <f>IFERROR(VLOOKUP($B57,MMWR_TRAD_AGG_RO_COMP[],Q$1,0),"ERROR")</f>
        <v>0</v>
      </c>
      <c r="R57" s="227">
        <f>IFERROR(VLOOKUP($B57,MMWR_TRAD_AGG_RO_COMP[],R$1,0),"ERROR")</f>
        <v>80</v>
      </c>
      <c r="S57" s="201">
        <f>IFERROR(VLOOKUP($B57,MMWR_APP_RO[],S$1,0),"ERROR")</f>
        <v>6680</v>
      </c>
      <c r="T57" s="28"/>
    </row>
    <row r="58" spans="1:20" x14ac:dyDescent="0.2">
      <c r="A58" s="28"/>
      <c r="B58" s="108" t="s">
        <v>66</v>
      </c>
      <c r="C58" s="219">
        <f>IFERROR(VLOOKUP($B58,MMWR_TRAD_AGG_RO_COMP[],C$1,0),"ERROR")</f>
        <v>5254</v>
      </c>
      <c r="D58" s="220">
        <f>IFERROR(VLOOKUP($B58,MMWR_TRAD_AGG_RO_COMP[],D$1,0),"ERROR")</f>
        <v>376.50323563000001</v>
      </c>
      <c r="E58" s="221">
        <f>IFERROR(VLOOKUP($B58,MMWR_TRAD_AGG_RO_COMP[],E$1,0),"ERROR")</f>
        <v>4663</v>
      </c>
      <c r="F58" s="222">
        <f>IFERROR(VLOOKUP($B58,MMWR_TRAD_AGG_RO_COMP[],F$1,0),"ERROR")</f>
        <v>913</v>
      </c>
      <c r="G58" s="223">
        <f t="shared" si="0"/>
        <v>0.195796697405104</v>
      </c>
      <c r="H58" s="224">
        <f>IFERROR(VLOOKUP($B58,MMWR_TRAD_AGG_RO_COMP[],H$1,0),"ERROR")</f>
        <v>8143</v>
      </c>
      <c r="I58" s="222">
        <f>IFERROR(VLOOKUP($B58,MMWR_TRAD_AGG_RO_COMP[],I$1,0),"ERROR")</f>
        <v>4490</v>
      </c>
      <c r="J58" s="223">
        <f t="shared" si="1"/>
        <v>0.5513938351958737</v>
      </c>
      <c r="K58" s="225">
        <f>IFERROR(VLOOKUP($B58,MMWR_TRAD_AGG_RO_COMP[],K$1,0),"ERROR")</f>
        <v>3240</v>
      </c>
      <c r="L58" s="226">
        <f>IFERROR(VLOOKUP($B58,MMWR_TRAD_AGG_RO_COMP[],L$1,0),"ERROR")</f>
        <v>2814</v>
      </c>
      <c r="M58" s="223">
        <f t="shared" si="2"/>
        <v>0.86851851851851847</v>
      </c>
      <c r="N58" s="225">
        <f>IFERROR(VLOOKUP($B58,MMWR_TRAD_AGG_RO_COMP[],N$1,0),"ERROR")</f>
        <v>2229</v>
      </c>
      <c r="O58" s="226">
        <f>IFERROR(VLOOKUP($B58,MMWR_TRAD_AGG_RO_COMP[],O$1,0),"ERROR")</f>
        <v>1720</v>
      </c>
      <c r="P58" s="223">
        <f t="shared" si="3"/>
        <v>0.77164647824136379</v>
      </c>
      <c r="Q58" s="227">
        <f>IFERROR(VLOOKUP($B58,MMWR_TRAD_AGG_RO_COMP[],Q$1,0),"ERROR")</f>
        <v>0</v>
      </c>
      <c r="R58" s="227">
        <f>IFERROR(VLOOKUP($B58,MMWR_TRAD_AGG_RO_COMP[],R$1,0),"ERROR")</f>
        <v>107</v>
      </c>
      <c r="S58" s="201">
        <f>IFERROR(VLOOKUP($B58,MMWR_APP_RO[],S$1,0),"ERROR")</f>
        <v>4621</v>
      </c>
      <c r="T58" s="28"/>
    </row>
    <row r="59" spans="1:20" x14ac:dyDescent="0.2">
      <c r="A59" s="28"/>
      <c r="B59" s="108" t="s">
        <v>68</v>
      </c>
      <c r="C59" s="219">
        <f>IFERROR(VLOOKUP($B59,MMWR_TRAD_AGG_RO_COMP[],C$1,0),"ERROR")</f>
        <v>2296</v>
      </c>
      <c r="D59" s="220">
        <f>IFERROR(VLOOKUP($B59,MMWR_TRAD_AGG_RO_COMP[],D$1,0),"ERROR")</f>
        <v>455.7225609756</v>
      </c>
      <c r="E59" s="221">
        <f>IFERROR(VLOOKUP($B59,MMWR_TRAD_AGG_RO_COMP[],E$1,0),"ERROR")</f>
        <v>3585</v>
      </c>
      <c r="F59" s="222">
        <f>IFERROR(VLOOKUP($B59,MMWR_TRAD_AGG_RO_COMP[],F$1,0),"ERROR")</f>
        <v>960</v>
      </c>
      <c r="G59" s="223">
        <f t="shared" si="0"/>
        <v>0.26778242677824265</v>
      </c>
      <c r="H59" s="224">
        <f>IFERROR(VLOOKUP($B59,MMWR_TRAD_AGG_RO_COMP[],H$1,0),"ERROR")</f>
        <v>3609</v>
      </c>
      <c r="I59" s="222">
        <f>IFERROR(VLOOKUP($B59,MMWR_TRAD_AGG_RO_COMP[],I$1,0),"ERROR")</f>
        <v>2073</v>
      </c>
      <c r="J59" s="223">
        <f t="shared" si="1"/>
        <v>0.57439733998337494</v>
      </c>
      <c r="K59" s="225">
        <f>IFERROR(VLOOKUP($B59,MMWR_TRAD_AGG_RO_COMP[],K$1,0),"ERROR")</f>
        <v>607</v>
      </c>
      <c r="L59" s="226">
        <f>IFERROR(VLOOKUP($B59,MMWR_TRAD_AGG_RO_COMP[],L$1,0),"ERROR")</f>
        <v>467</v>
      </c>
      <c r="M59" s="223">
        <f t="shared" si="2"/>
        <v>0.7693574958813838</v>
      </c>
      <c r="N59" s="225">
        <f>IFERROR(VLOOKUP($B59,MMWR_TRAD_AGG_RO_COMP[],N$1,0),"ERROR")</f>
        <v>1133</v>
      </c>
      <c r="O59" s="226">
        <f>IFERROR(VLOOKUP($B59,MMWR_TRAD_AGG_RO_COMP[],O$1,0),"ERROR")</f>
        <v>937</v>
      </c>
      <c r="P59" s="223">
        <f t="shared" si="3"/>
        <v>0.82700794351279783</v>
      </c>
      <c r="Q59" s="227">
        <f>IFERROR(VLOOKUP($B59,MMWR_TRAD_AGG_RO_COMP[],Q$1,0),"ERROR")</f>
        <v>0</v>
      </c>
      <c r="R59" s="227">
        <f>IFERROR(VLOOKUP($B59,MMWR_TRAD_AGG_RO_COMP[],R$1,0),"ERROR")</f>
        <v>126</v>
      </c>
      <c r="S59" s="201">
        <f>IFERROR(VLOOKUP($B59,MMWR_APP_RO[],S$1,0),"ERROR")</f>
        <v>2898</v>
      </c>
      <c r="T59" s="28"/>
    </row>
    <row r="60" spans="1:20" x14ac:dyDescent="0.2">
      <c r="A60" s="28"/>
      <c r="B60" s="108" t="s">
        <v>71</v>
      </c>
      <c r="C60" s="219">
        <f>IFERROR(VLOOKUP($B60,MMWR_TRAD_AGG_RO_COMP[],C$1,0),"ERROR")</f>
        <v>4943</v>
      </c>
      <c r="D60" s="220">
        <f>IFERROR(VLOOKUP($B60,MMWR_TRAD_AGG_RO_COMP[],D$1,0),"ERROR")</f>
        <v>330.44648998579999</v>
      </c>
      <c r="E60" s="221">
        <f>IFERROR(VLOOKUP($B60,MMWR_TRAD_AGG_RO_COMP[],E$1,0),"ERROR")</f>
        <v>12559</v>
      </c>
      <c r="F60" s="222">
        <f>IFERROR(VLOOKUP($B60,MMWR_TRAD_AGG_RO_COMP[],F$1,0),"ERROR")</f>
        <v>2087</v>
      </c>
      <c r="G60" s="223">
        <f t="shared" si="0"/>
        <v>0.16617565092762163</v>
      </c>
      <c r="H60" s="224">
        <f>IFERROR(VLOOKUP($B60,MMWR_TRAD_AGG_RO_COMP[],H$1,0),"ERROR")</f>
        <v>17567</v>
      </c>
      <c r="I60" s="222">
        <f>IFERROR(VLOOKUP($B60,MMWR_TRAD_AGG_RO_COMP[],I$1,0),"ERROR")</f>
        <v>7913</v>
      </c>
      <c r="J60" s="223">
        <f t="shared" si="1"/>
        <v>0.45044686059088063</v>
      </c>
      <c r="K60" s="225">
        <f>IFERROR(VLOOKUP($B60,MMWR_TRAD_AGG_RO_COMP[],K$1,0),"ERROR")</f>
        <v>6607</v>
      </c>
      <c r="L60" s="226">
        <f>IFERROR(VLOOKUP($B60,MMWR_TRAD_AGG_RO_COMP[],L$1,0),"ERROR")</f>
        <v>4555</v>
      </c>
      <c r="M60" s="223">
        <f t="shared" si="2"/>
        <v>0.68942031179052521</v>
      </c>
      <c r="N60" s="225">
        <f>IFERROR(VLOOKUP($B60,MMWR_TRAD_AGG_RO_COMP[],N$1,0),"ERROR")</f>
        <v>2344</v>
      </c>
      <c r="O60" s="226">
        <f>IFERROR(VLOOKUP($B60,MMWR_TRAD_AGG_RO_COMP[],O$1,0),"ERROR")</f>
        <v>1635</v>
      </c>
      <c r="P60" s="223">
        <f t="shared" si="3"/>
        <v>0.6975255972696246</v>
      </c>
      <c r="Q60" s="227">
        <f>IFERROR(VLOOKUP($B60,MMWR_TRAD_AGG_RO_COMP[],Q$1,0),"ERROR")</f>
        <v>0</v>
      </c>
      <c r="R60" s="227">
        <f>IFERROR(VLOOKUP($B60,MMWR_TRAD_AGG_RO_COMP[],R$1,0),"ERROR")</f>
        <v>61</v>
      </c>
      <c r="S60" s="201">
        <f>IFERROR(VLOOKUP($B60,MMWR_APP_RO[],S$1,0),"ERROR")</f>
        <v>3699</v>
      </c>
      <c r="T60" s="28"/>
    </row>
    <row r="61" spans="1:20" x14ac:dyDescent="0.2">
      <c r="A61" s="28"/>
      <c r="B61" s="116" t="s">
        <v>73</v>
      </c>
      <c r="C61" s="228">
        <f>IFERROR(VLOOKUP($B61,MMWR_TRAD_AGG_RO_COMP[],C$1,0),"ERROR")</f>
        <v>9148</v>
      </c>
      <c r="D61" s="229">
        <f>IFERROR(VLOOKUP($B61,MMWR_TRAD_AGG_RO_COMP[],D$1,0),"ERROR")</f>
        <v>386.49376912989999</v>
      </c>
      <c r="E61" s="230">
        <f>IFERROR(VLOOKUP($B61,MMWR_TRAD_AGG_RO_COMP[],E$1,0),"ERROR")</f>
        <v>7889</v>
      </c>
      <c r="F61" s="231">
        <f>IFERROR(VLOOKUP($B61,MMWR_TRAD_AGG_RO_COMP[],F$1,0),"ERROR")</f>
        <v>1437</v>
      </c>
      <c r="G61" s="232">
        <f t="shared" si="0"/>
        <v>0.18215236405121055</v>
      </c>
      <c r="H61" s="233">
        <f>IFERROR(VLOOKUP($B61,MMWR_TRAD_AGG_RO_COMP[],H$1,0),"ERROR")</f>
        <v>18136</v>
      </c>
      <c r="I61" s="231">
        <f>IFERROR(VLOOKUP($B61,MMWR_TRAD_AGG_RO_COMP[],I$1,0),"ERROR")</f>
        <v>9352</v>
      </c>
      <c r="J61" s="232">
        <f t="shared" si="1"/>
        <v>0.51565946184384648</v>
      </c>
      <c r="K61" s="234">
        <f>IFERROR(VLOOKUP($B61,MMWR_TRAD_AGG_RO_COMP[],K$1,0),"ERROR")</f>
        <v>4726</v>
      </c>
      <c r="L61" s="235">
        <f>IFERROR(VLOOKUP($B61,MMWR_TRAD_AGG_RO_COMP[],L$1,0),"ERROR")</f>
        <v>3197</v>
      </c>
      <c r="M61" s="232">
        <f t="shared" si="2"/>
        <v>0.67647058823529416</v>
      </c>
      <c r="N61" s="234">
        <f>IFERROR(VLOOKUP($B61,MMWR_TRAD_AGG_RO_COMP[],N$1,0),"ERROR")</f>
        <v>4219</v>
      </c>
      <c r="O61" s="235">
        <f>IFERROR(VLOOKUP($B61,MMWR_TRAD_AGG_RO_COMP[],O$1,0),"ERROR")</f>
        <v>3512</v>
      </c>
      <c r="P61" s="232">
        <f t="shared" si="3"/>
        <v>0.83242474520028442</v>
      </c>
      <c r="Q61" s="236">
        <f>IFERROR(VLOOKUP($B61,MMWR_TRAD_AGG_RO_COMP[],Q$1,0),"ERROR")</f>
        <v>5</v>
      </c>
      <c r="R61" s="236">
        <f>IFERROR(VLOOKUP($B61,MMWR_TRAD_AGG_RO_COMP[],R$1,0),"ERROR")</f>
        <v>160</v>
      </c>
      <c r="S61" s="201">
        <f>IFERROR(VLOOKUP($B61,MMWR_APP_RO[],S$1,0),"ERROR")</f>
        <v>4609</v>
      </c>
      <c r="T61" s="28"/>
    </row>
    <row r="62" spans="1:20" x14ac:dyDescent="0.2">
      <c r="A62" s="28"/>
      <c r="B62" s="101" t="s">
        <v>379</v>
      </c>
      <c r="C62" s="212">
        <f>IFERROR(VLOOKUP($B62,MMWR_TRAD_AGG_DISTRICT_COMP[],C$1,0),"ERROR")</f>
        <v>54508</v>
      </c>
      <c r="D62" s="197">
        <f>IFERROR(VLOOKUP($B62,MMWR_TRAD_AGG_DISTRICT_COMP[],D$1,0),"ERROR")</f>
        <v>346.55720261250002</v>
      </c>
      <c r="E62" s="213">
        <f>IFERROR(VLOOKUP($B62,MMWR_TRAD_AGG_DISTRICT_COMP[],E$1,0),"ERROR")</f>
        <v>74474</v>
      </c>
      <c r="F62" s="218">
        <f>IFERROR(VLOOKUP($B62,MMWR_TRAD_AGG_DISTRICT_COMP[],F$1,0),"ERROR")</f>
        <v>17452</v>
      </c>
      <c r="G62" s="214">
        <f t="shared" si="0"/>
        <v>0.23433681553293767</v>
      </c>
      <c r="H62" s="218">
        <f>IFERROR(VLOOKUP($B62,MMWR_TRAD_AGG_DISTRICT_COMP[],H$1,0),"ERROR")</f>
        <v>95396</v>
      </c>
      <c r="I62" s="218">
        <f>IFERROR(VLOOKUP($B62,MMWR_TRAD_AGG_DISTRICT_COMP[],I$1,0),"ERROR")</f>
        <v>50953</v>
      </c>
      <c r="J62" s="214">
        <f t="shared" si="1"/>
        <v>0.5341209275022013</v>
      </c>
      <c r="K62" s="212">
        <f>IFERROR(VLOOKUP($B62,MMWR_TRAD_AGG_DISTRICT_COMP[],K$1,0),"ERROR")</f>
        <v>27824</v>
      </c>
      <c r="L62" s="212">
        <f>IFERROR(VLOOKUP($B62,MMWR_TRAD_AGG_DISTRICT_COMP[],L$1,0),"ERROR")</f>
        <v>23276</v>
      </c>
      <c r="M62" s="214">
        <f t="shared" si="2"/>
        <v>0.83654399079930997</v>
      </c>
      <c r="N62" s="212">
        <f>IFERROR(VLOOKUP($B62,MMWR_TRAD_AGG_DISTRICT_COMP[],N$1,0),"ERROR")</f>
        <v>25508</v>
      </c>
      <c r="O62" s="212">
        <f>IFERROR(VLOOKUP($B62,MMWR_TRAD_AGG_DISTRICT_COMP[],O$1,0),"ERROR")</f>
        <v>19063</v>
      </c>
      <c r="P62" s="214">
        <f t="shared" si="3"/>
        <v>0.74733416967225963</v>
      </c>
      <c r="Q62" s="212">
        <f>IFERROR(VLOOKUP($B62,MMWR_TRAD_AGG_DISTRICT_COMP[],Q$1,0),"ERROR")</f>
        <v>191</v>
      </c>
      <c r="R62" s="215">
        <f>IFERROR(VLOOKUP($B62,MMWR_TRAD_AGG_DISTRICT_COMP[],R$1,0),"ERROR")</f>
        <v>1395</v>
      </c>
      <c r="S62" s="215">
        <f>IFERROR(VLOOKUP($B62,MMWR_APP_RO[],S$1,0),"ERROR")</f>
        <v>84481</v>
      </c>
      <c r="T62" s="28"/>
    </row>
    <row r="63" spans="1:20" x14ac:dyDescent="0.2">
      <c r="A63" s="28"/>
      <c r="B63" s="108" t="s">
        <v>25</v>
      </c>
      <c r="C63" s="219">
        <f>IFERROR(VLOOKUP($B63,MMWR_TRAD_AGG_RO_COMP[],C$1,0),"ERROR")</f>
        <v>11617</v>
      </c>
      <c r="D63" s="220">
        <f>IFERROR(VLOOKUP($B63,MMWR_TRAD_AGG_RO_COMP[],D$1,0),"ERROR")</f>
        <v>346.99466299390002</v>
      </c>
      <c r="E63" s="221">
        <f>IFERROR(VLOOKUP($B63,MMWR_TRAD_AGG_RO_COMP[],E$1,0),"ERROR")</f>
        <v>17897</v>
      </c>
      <c r="F63" s="222">
        <f>IFERROR(VLOOKUP($B63,MMWR_TRAD_AGG_RO_COMP[],F$1,0),"ERROR")</f>
        <v>4857</v>
      </c>
      <c r="G63" s="223">
        <f t="shared" si="0"/>
        <v>0.27138626585461251</v>
      </c>
      <c r="H63" s="224">
        <f>IFERROR(VLOOKUP($B63,MMWR_TRAD_AGG_RO_COMP[],H$1,0),"ERROR")</f>
        <v>21166</v>
      </c>
      <c r="I63" s="222">
        <f>IFERROR(VLOOKUP($B63,MMWR_TRAD_AGG_RO_COMP[],I$1,0),"ERROR")</f>
        <v>11799</v>
      </c>
      <c r="J63" s="223">
        <f t="shared" si="1"/>
        <v>0.5574506283662477</v>
      </c>
      <c r="K63" s="225">
        <f>IFERROR(VLOOKUP($B63,MMWR_TRAD_AGG_RO_COMP[],K$1,0),"ERROR")</f>
        <v>8418</v>
      </c>
      <c r="L63" s="226">
        <f>IFERROR(VLOOKUP($B63,MMWR_TRAD_AGG_RO_COMP[],L$1,0),"ERROR")</f>
        <v>6811</v>
      </c>
      <c r="M63" s="223">
        <f t="shared" si="2"/>
        <v>0.80909954858636257</v>
      </c>
      <c r="N63" s="225">
        <f>IFERROR(VLOOKUP($B63,MMWR_TRAD_AGG_RO_COMP[],N$1,0),"ERROR")</f>
        <v>5431</v>
      </c>
      <c r="O63" s="226">
        <f>IFERROR(VLOOKUP($B63,MMWR_TRAD_AGG_RO_COMP[],O$1,0),"ERROR")</f>
        <v>4410</v>
      </c>
      <c r="P63" s="223">
        <f t="shared" si="3"/>
        <v>0.81200515558828945</v>
      </c>
      <c r="Q63" s="227">
        <f>IFERROR(VLOOKUP($B63,MMWR_TRAD_AGG_RO_COMP[],Q$1,0),"ERROR")</f>
        <v>78</v>
      </c>
      <c r="R63" s="227">
        <f>IFERROR(VLOOKUP($B63,MMWR_TRAD_AGG_RO_COMP[],R$1,0),"ERROR")</f>
        <v>28</v>
      </c>
      <c r="S63" s="201">
        <f>IFERROR(VLOOKUP($B63,MMWR_APP_RO[],S$1,0),"ERROR")</f>
        <v>17960</v>
      </c>
      <c r="T63" s="28"/>
    </row>
    <row r="64" spans="1:20" x14ac:dyDescent="0.2">
      <c r="A64" s="28"/>
      <c r="B64" s="108" t="s">
        <v>39</v>
      </c>
      <c r="C64" s="219">
        <f>IFERROR(VLOOKUP($B64,MMWR_TRAD_AGG_RO_COMP[],C$1,0),"ERROR")</f>
        <v>7054</v>
      </c>
      <c r="D64" s="220">
        <f>IFERROR(VLOOKUP($B64,MMWR_TRAD_AGG_RO_COMP[],D$1,0),"ERROR")</f>
        <v>324.7863623476</v>
      </c>
      <c r="E64" s="221">
        <f>IFERROR(VLOOKUP($B64,MMWR_TRAD_AGG_RO_COMP[],E$1,0),"ERROR")</f>
        <v>9537</v>
      </c>
      <c r="F64" s="222">
        <f>IFERROR(VLOOKUP($B64,MMWR_TRAD_AGG_RO_COMP[],F$1,0),"ERROR")</f>
        <v>2398</v>
      </c>
      <c r="G64" s="223">
        <f t="shared" si="0"/>
        <v>0.25144175317185696</v>
      </c>
      <c r="H64" s="224">
        <f>IFERROR(VLOOKUP($B64,MMWR_TRAD_AGG_RO_COMP[],H$1,0),"ERROR")</f>
        <v>13738</v>
      </c>
      <c r="I64" s="222">
        <f>IFERROR(VLOOKUP($B64,MMWR_TRAD_AGG_RO_COMP[],I$1,0),"ERROR")</f>
        <v>7966</v>
      </c>
      <c r="J64" s="223">
        <f t="shared" si="1"/>
        <v>0.57985150676954433</v>
      </c>
      <c r="K64" s="225">
        <f>IFERROR(VLOOKUP($B64,MMWR_TRAD_AGG_RO_COMP[],K$1,0),"ERROR")</f>
        <v>2891</v>
      </c>
      <c r="L64" s="226">
        <f>IFERROR(VLOOKUP($B64,MMWR_TRAD_AGG_RO_COMP[],L$1,0),"ERROR")</f>
        <v>2301</v>
      </c>
      <c r="M64" s="223">
        <f t="shared" si="2"/>
        <v>0.79591836734693877</v>
      </c>
      <c r="N64" s="225">
        <f>IFERROR(VLOOKUP($B64,MMWR_TRAD_AGG_RO_COMP[],N$1,0),"ERROR")</f>
        <v>1593</v>
      </c>
      <c r="O64" s="226">
        <f>IFERROR(VLOOKUP($B64,MMWR_TRAD_AGG_RO_COMP[],O$1,0),"ERROR")</f>
        <v>1075</v>
      </c>
      <c r="P64" s="223">
        <f t="shared" si="3"/>
        <v>0.67482736974262403</v>
      </c>
      <c r="Q64" s="227">
        <f>IFERROR(VLOOKUP($B64,MMWR_TRAD_AGG_RO_COMP[],Q$1,0),"ERROR")</f>
        <v>1</v>
      </c>
      <c r="R64" s="227">
        <f>IFERROR(VLOOKUP($B64,MMWR_TRAD_AGG_RO_COMP[],R$1,0),"ERROR")</f>
        <v>59</v>
      </c>
      <c r="S64" s="201">
        <f>IFERROR(VLOOKUP($B64,MMWR_APP_RO[],S$1,0),"ERROR")</f>
        <v>13011</v>
      </c>
      <c r="T64" s="28"/>
    </row>
    <row r="65" spans="1:20" x14ac:dyDescent="0.2">
      <c r="A65" s="28"/>
      <c r="B65" s="108" t="s">
        <v>53</v>
      </c>
      <c r="C65" s="219">
        <f>IFERROR(VLOOKUP($B65,MMWR_TRAD_AGG_RO_COMP[],C$1,0),"ERROR")</f>
        <v>6195</v>
      </c>
      <c r="D65" s="220">
        <f>IFERROR(VLOOKUP($B65,MMWR_TRAD_AGG_RO_COMP[],D$1,0),"ERROR")</f>
        <v>477.83761097659999</v>
      </c>
      <c r="E65" s="221">
        <f>IFERROR(VLOOKUP($B65,MMWR_TRAD_AGG_RO_COMP[],E$1,0),"ERROR")</f>
        <v>4188</v>
      </c>
      <c r="F65" s="222">
        <f>IFERROR(VLOOKUP($B65,MMWR_TRAD_AGG_RO_COMP[],F$1,0),"ERROR")</f>
        <v>956</v>
      </c>
      <c r="G65" s="223">
        <f t="shared" si="0"/>
        <v>0.2282712511938873</v>
      </c>
      <c r="H65" s="224">
        <f>IFERROR(VLOOKUP($B65,MMWR_TRAD_AGG_RO_COMP[],H$1,0),"ERROR")</f>
        <v>9830</v>
      </c>
      <c r="I65" s="222">
        <f>IFERROR(VLOOKUP($B65,MMWR_TRAD_AGG_RO_COMP[],I$1,0),"ERROR")</f>
        <v>6407</v>
      </c>
      <c r="J65" s="223">
        <f t="shared" si="1"/>
        <v>0.65178026449643944</v>
      </c>
      <c r="K65" s="225">
        <f>IFERROR(VLOOKUP($B65,MMWR_TRAD_AGG_RO_COMP[],K$1,0),"ERROR")</f>
        <v>3355</v>
      </c>
      <c r="L65" s="226">
        <f>IFERROR(VLOOKUP($B65,MMWR_TRAD_AGG_RO_COMP[],L$1,0),"ERROR")</f>
        <v>3166</v>
      </c>
      <c r="M65" s="223">
        <f t="shared" si="2"/>
        <v>0.94366616989567809</v>
      </c>
      <c r="N65" s="225">
        <f>IFERROR(VLOOKUP($B65,MMWR_TRAD_AGG_RO_COMP[],N$1,0),"ERROR")</f>
        <v>1665</v>
      </c>
      <c r="O65" s="226">
        <f>IFERROR(VLOOKUP($B65,MMWR_TRAD_AGG_RO_COMP[],O$1,0),"ERROR")</f>
        <v>1287</v>
      </c>
      <c r="P65" s="223">
        <f t="shared" si="3"/>
        <v>0.77297297297297296</v>
      </c>
      <c r="Q65" s="227">
        <f>IFERROR(VLOOKUP($B65,MMWR_TRAD_AGG_RO_COMP[],Q$1,0),"ERROR")</f>
        <v>102</v>
      </c>
      <c r="R65" s="227">
        <f>IFERROR(VLOOKUP($B65,MMWR_TRAD_AGG_RO_COMP[],R$1,0),"ERROR")</f>
        <v>316</v>
      </c>
      <c r="S65" s="201">
        <f>IFERROR(VLOOKUP($B65,MMWR_APP_RO[],S$1,0),"ERROR")</f>
        <v>2900</v>
      </c>
      <c r="T65" s="28"/>
    </row>
    <row r="66" spans="1:20" x14ac:dyDescent="0.2">
      <c r="A66" s="28"/>
      <c r="B66" s="108" t="s">
        <v>57</v>
      </c>
      <c r="C66" s="219">
        <f>IFERROR(VLOOKUP($B66,MMWR_TRAD_AGG_RO_COMP[],C$1,0),"ERROR")</f>
        <v>9829</v>
      </c>
      <c r="D66" s="220">
        <f>IFERROR(VLOOKUP($B66,MMWR_TRAD_AGG_RO_COMP[],D$1,0),"ERROR")</f>
        <v>348.51266659880002</v>
      </c>
      <c r="E66" s="221">
        <f>IFERROR(VLOOKUP($B66,MMWR_TRAD_AGG_RO_COMP[],E$1,0),"ERROR")</f>
        <v>7713</v>
      </c>
      <c r="F66" s="222">
        <f>IFERROR(VLOOKUP($B66,MMWR_TRAD_AGG_RO_COMP[],F$1,0),"ERROR")</f>
        <v>1877</v>
      </c>
      <c r="G66" s="223">
        <f t="shared" si="0"/>
        <v>0.24335537404382213</v>
      </c>
      <c r="H66" s="224">
        <f>IFERROR(VLOOKUP($B66,MMWR_TRAD_AGG_RO_COMP[],H$1,0),"ERROR")</f>
        <v>13765</v>
      </c>
      <c r="I66" s="222">
        <f>IFERROR(VLOOKUP($B66,MMWR_TRAD_AGG_RO_COMP[],I$1,0),"ERROR")</f>
        <v>7936</v>
      </c>
      <c r="J66" s="223">
        <f t="shared" si="1"/>
        <v>0.57653468942971309</v>
      </c>
      <c r="K66" s="225">
        <f>IFERROR(VLOOKUP($B66,MMWR_TRAD_AGG_RO_COMP[],K$1,0),"ERROR")</f>
        <v>4063</v>
      </c>
      <c r="L66" s="226">
        <f>IFERROR(VLOOKUP($B66,MMWR_TRAD_AGG_RO_COMP[],L$1,0),"ERROR")</f>
        <v>3720</v>
      </c>
      <c r="M66" s="223">
        <f t="shared" si="2"/>
        <v>0.91557962096972678</v>
      </c>
      <c r="N66" s="225">
        <f>IFERROR(VLOOKUP($B66,MMWR_TRAD_AGG_RO_COMP[],N$1,0),"ERROR")</f>
        <v>1672</v>
      </c>
      <c r="O66" s="226">
        <f>IFERROR(VLOOKUP($B66,MMWR_TRAD_AGG_RO_COMP[],O$1,0),"ERROR")</f>
        <v>698</v>
      </c>
      <c r="P66" s="223">
        <f t="shared" si="3"/>
        <v>0.41746411483253587</v>
      </c>
      <c r="Q66" s="227">
        <f>IFERROR(VLOOKUP($B66,MMWR_TRAD_AGG_RO_COMP[],Q$1,0),"ERROR")</f>
        <v>1</v>
      </c>
      <c r="R66" s="227">
        <f>IFERROR(VLOOKUP($B66,MMWR_TRAD_AGG_RO_COMP[],R$1,0),"ERROR")</f>
        <v>420</v>
      </c>
      <c r="S66" s="201">
        <f>IFERROR(VLOOKUP($B66,MMWR_APP_RO[],S$1,0),"ERROR")</f>
        <v>9222</v>
      </c>
      <c r="T66" s="28"/>
    </row>
    <row r="67" spans="1:20" x14ac:dyDescent="0.2">
      <c r="A67" s="28"/>
      <c r="B67" s="108" t="s">
        <v>58</v>
      </c>
      <c r="C67" s="219">
        <f>IFERROR(VLOOKUP($B67,MMWR_TRAD_AGG_RO_COMP[],C$1,0),"ERROR")</f>
        <v>3526</v>
      </c>
      <c r="D67" s="220">
        <f>IFERROR(VLOOKUP($B67,MMWR_TRAD_AGG_RO_COMP[],D$1,0),"ERROR")</f>
        <v>280.5709018718</v>
      </c>
      <c r="E67" s="221">
        <f>IFERROR(VLOOKUP($B67,MMWR_TRAD_AGG_RO_COMP[],E$1,0),"ERROR")</f>
        <v>9483</v>
      </c>
      <c r="F67" s="222">
        <f>IFERROR(VLOOKUP($B67,MMWR_TRAD_AGG_RO_COMP[],F$1,0),"ERROR")</f>
        <v>1535</v>
      </c>
      <c r="G67" s="223">
        <f t="shared" si="0"/>
        <v>0.16186860698091321</v>
      </c>
      <c r="H67" s="224">
        <f>IFERROR(VLOOKUP($B67,MMWR_TRAD_AGG_RO_COMP[],H$1,0),"ERROR")</f>
        <v>9103</v>
      </c>
      <c r="I67" s="222">
        <f>IFERROR(VLOOKUP($B67,MMWR_TRAD_AGG_RO_COMP[],I$1,0),"ERROR")</f>
        <v>3039</v>
      </c>
      <c r="J67" s="223">
        <f t="shared" si="1"/>
        <v>0.33384598484016259</v>
      </c>
      <c r="K67" s="225">
        <f>IFERROR(VLOOKUP($B67,MMWR_TRAD_AGG_RO_COMP[],K$1,0),"ERROR")</f>
        <v>3169</v>
      </c>
      <c r="L67" s="226">
        <f>IFERROR(VLOOKUP($B67,MMWR_TRAD_AGG_RO_COMP[],L$1,0),"ERROR")</f>
        <v>2504</v>
      </c>
      <c r="M67" s="223">
        <f t="shared" si="2"/>
        <v>0.79015462290943517</v>
      </c>
      <c r="N67" s="225">
        <f>IFERROR(VLOOKUP($B67,MMWR_TRAD_AGG_RO_COMP[],N$1,0),"ERROR")</f>
        <v>1440</v>
      </c>
      <c r="O67" s="226">
        <f>IFERROR(VLOOKUP($B67,MMWR_TRAD_AGG_RO_COMP[],O$1,0),"ERROR")</f>
        <v>1110</v>
      </c>
      <c r="P67" s="223">
        <f t="shared" si="3"/>
        <v>0.77083333333333337</v>
      </c>
      <c r="Q67" s="227">
        <f>IFERROR(VLOOKUP($B67,MMWR_TRAD_AGG_RO_COMP[],Q$1,0),"ERROR")</f>
        <v>1</v>
      </c>
      <c r="R67" s="227">
        <f>IFERROR(VLOOKUP($B67,MMWR_TRAD_AGG_RO_COMP[],R$1,0),"ERROR")</f>
        <v>285</v>
      </c>
      <c r="S67" s="201">
        <f>IFERROR(VLOOKUP($B67,MMWR_APP_RO[],S$1,0),"ERROR")</f>
        <v>6801</v>
      </c>
      <c r="T67" s="28"/>
    </row>
    <row r="68" spans="1:20" x14ac:dyDescent="0.2">
      <c r="A68" s="28"/>
      <c r="B68" s="108" t="s">
        <v>72</v>
      </c>
      <c r="C68" s="219">
        <f>IFERROR(VLOOKUP($B68,MMWR_TRAD_AGG_RO_COMP[],C$1,0),"ERROR")</f>
        <v>709</v>
      </c>
      <c r="D68" s="220">
        <f>IFERROR(VLOOKUP($B68,MMWR_TRAD_AGG_RO_COMP[],D$1,0),"ERROR")</f>
        <v>269.29901269390001</v>
      </c>
      <c r="E68" s="221">
        <f>IFERROR(VLOOKUP($B68,MMWR_TRAD_AGG_RO_COMP[],E$1,0),"ERROR")</f>
        <v>1851</v>
      </c>
      <c r="F68" s="222">
        <f>IFERROR(VLOOKUP($B68,MMWR_TRAD_AGG_RO_COMP[],F$1,0),"ERROR")</f>
        <v>620</v>
      </c>
      <c r="G68" s="223">
        <f t="shared" si="0"/>
        <v>0.33495407887628309</v>
      </c>
      <c r="H68" s="224">
        <f>IFERROR(VLOOKUP($B68,MMWR_TRAD_AGG_RO_COMP[],H$1,0),"ERROR")</f>
        <v>3469</v>
      </c>
      <c r="I68" s="222">
        <f>IFERROR(VLOOKUP($B68,MMWR_TRAD_AGG_RO_COMP[],I$1,0),"ERROR")</f>
        <v>959</v>
      </c>
      <c r="J68" s="223">
        <f t="shared" si="1"/>
        <v>0.27644854424906312</v>
      </c>
      <c r="K68" s="225">
        <f>IFERROR(VLOOKUP($B68,MMWR_TRAD_AGG_RO_COMP[],K$1,0),"ERROR")</f>
        <v>837</v>
      </c>
      <c r="L68" s="226">
        <f>IFERROR(VLOOKUP($B68,MMWR_TRAD_AGG_RO_COMP[],L$1,0),"ERROR")</f>
        <v>756</v>
      </c>
      <c r="M68" s="223">
        <f t="shared" si="2"/>
        <v>0.90322580645161288</v>
      </c>
      <c r="N68" s="225">
        <f>IFERROR(VLOOKUP($B68,MMWR_TRAD_AGG_RO_COMP[],N$1,0),"ERROR")</f>
        <v>794</v>
      </c>
      <c r="O68" s="226">
        <f>IFERROR(VLOOKUP($B68,MMWR_TRAD_AGG_RO_COMP[],O$1,0),"ERROR")</f>
        <v>667</v>
      </c>
      <c r="P68" s="223">
        <f t="shared" si="3"/>
        <v>0.84005037783375314</v>
      </c>
      <c r="Q68" s="227">
        <f>IFERROR(VLOOKUP($B68,MMWR_TRAD_AGG_RO_COMP[],Q$1,0),"ERROR")</f>
        <v>0</v>
      </c>
      <c r="R68" s="227">
        <f>IFERROR(VLOOKUP($B68,MMWR_TRAD_AGG_RO_COMP[],R$1,0),"ERROR")</f>
        <v>2</v>
      </c>
      <c r="S68" s="201">
        <f>IFERROR(VLOOKUP($B68,MMWR_APP_RO[],S$1,0),"ERROR")</f>
        <v>4984</v>
      </c>
      <c r="T68" s="28"/>
    </row>
    <row r="69" spans="1:20" x14ac:dyDescent="0.2">
      <c r="A69" s="28"/>
      <c r="B69" s="116" t="s">
        <v>77</v>
      </c>
      <c r="C69" s="228">
        <f>IFERROR(VLOOKUP($B69,MMWR_TRAD_AGG_RO_COMP[],C$1,0),"ERROR")</f>
        <v>15578</v>
      </c>
      <c r="D69" s="229">
        <f>IFERROR(VLOOKUP($B69,MMWR_TRAD_AGG_RO_COMP[],D$1,0),"ERROR")</f>
        <v>321.10020541789999</v>
      </c>
      <c r="E69" s="230">
        <f>IFERROR(VLOOKUP($B69,MMWR_TRAD_AGG_RO_COMP[],E$1,0),"ERROR")</f>
        <v>23805</v>
      </c>
      <c r="F69" s="231">
        <f>IFERROR(VLOOKUP($B69,MMWR_TRAD_AGG_RO_COMP[],F$1,0),"ERROR")</f>
        <v>5209</v>
      </c>
      <c r="G69" s="232">
        <f t="shared" si="0"/>
        <v>0.21881957571938668</v>
      </c>
      <c r="H69" s="233">
        <f>IFERROR(VLOOKUP($B69,MMWR_TRAD_AGG_RO_COMP[],H$1,0),"ERROR")</f>
        <v>24325</v>
      </c>
      <c r="I69" s="231">
        <f>IFERROR(VLOOKUP($B69,MMWR_TRAD_AGG_RO_COMP[],I$1,0),"ERROR")</f>
        <v>12847</v>
      </c>
      <c r="J69" s="232">
        <f t="shared" si="1"/>
        <v>0.52813977389516953</v>
      </c>
      <c r="K69" s="234">
        <f>IFERROR(VLOOKUP($B69,MMWR_TRAD_AGG_RO_COMP[],K$1,0),"ERROR")</f>
        <v>5091</v>
      </c>
      <c r="L69" s="235">
        <f>IFERROR(VLOOKUP($B69,MMWR_TRAD_AGG_RO_COMP[],L$1,0),"ERROR")</f>
        <v>4018</v>
      </c>
      <c r="M69" s="232">
        <f t="shared" si="2"/>
        <v>0.78923590650166964</v>
      </c>
      <c r="N69" s="234">
        <f>IFERROR(VLOOKUP($B69,MMWR_TRAD_AGG_RO_COMP[],N$1,0),"ERROR")</f>
        <v>12913</v>
      </c>
      <c r="O69" s="235">
        <f>IFERROR(VLOOKUP($B69,MMWR_TRAD_AGG_RO_COMP[],O$1,0),"ERROR")</f>
        <v>9816</v>
      </c>
      <c r="P69" s="232">
        <f t="shared" si="3"/>
        <v>0.76016417563695504</v>
      </c>
      <c r="Q69" s="236">
        <f>IFERROR(VLOOKUP($B69,MMWR_TRAD_AGG_RO_COMP[],Q$1,0),"ERROR")</f>
        <v>8</v>
      </c>
      <c r="R69" s="236">
        <f>IFERROR(VLOOKUP($B69,MMWR_TRAD_AGG_RO_COMP[],R$1,0),"ERROR")</f>
        <v>285</v>
      </c>
      <c r="S69" s="201">
        <f>IFERROR(VLOOKUP($B69,MMWR_APP_RO[],S$1,0),"ERROR")</f>
        <v>29603</v>
      </c>
      <c r="T69" s="28"/>
    </row>
    <row r="70" spans="1:20" x14ac:dyDescent="0.2">
      <c r="A70" s="28"/>
      <c r="B70" s="101" t="s">
        <v>8</v>
      </c>
      <c r="C70" s="212">
        <f>IFERROR(VLOOKUP($B70,MMWR_TRAD_AGG_RO_COMP[],C$1,0),"ERROR")</f>
        <v>78</v>
      </c>
      <c r="D70" s="197">
        <f>IFERROR(VLOOKUP($B70,MMWR_TRAD_AGG_RO_COMP[],D$1,0),"ERROR")</f>
        <v>373.51282051279998</v>
      </c>
      <c r="E70" s="213">
        <f>IFERROR(VLOOKUP($B70,MMWR_TRAD_AGG_RO_COMP[],E$1,0),"ERROR")</f>
        <v>63</v>
      </c>
      <c r="F70" s="218">
        <f>IFERROR(VLOOKUP($B70,MMWR_TRAD_AGG_RO_COMP[],F$1,0),"ERROR")</f>
        <v>53</v>
      </c>
      <c r="G70" s="214">
        <f>IFERROR(F70/E70,"0%")</f>
        <v>0.84126984126984128</v>
      </c>
      <c r="H70" s="218">
        <f>IFERROR(VLOOKUP($B70,MMWR_TRAD_AGG_RO_COMP[],H$1,0),"ERROR")</f>
        <v>261</v>
      </c>
      <c r="I70" s="218">
        <f>IFERROR(VLOOKUP($B70,MMWR_TRAD_AGG_RO_COMP[],I$1,0),"ERROR")</f>
        <v>93</v>
      </c>
      <c r="J70" s="214">
        <f>IFERROR(I70/H70,"0%")</f>
        <v>0.35632183908045978</v>
      </c>
      <c r="K70" s="212">
        <f>IFERROR(VLOOKUP($B70,MMWR_TRAD_AGG_RO_COMP[],K$1,0),"ERROR")</f>
        <v>111</v>
      </c>
      <c r="L70" s="212">
        <f>IFERROR(VLOOKUP($B70,MMWR_TRAD_AGG_RO_COMP[],L$1,0),"ERROR")</f>
        <v>59</v>
      </c>
      <c r="M70" s="214">
        <f>IFERROR(L70/K70,"0%")</f>
        <v>0.53153153153153154</v>
      </c>
      <c r="N70" s="212">
        <f>IFERROR(VLOOKUP($B70,MMWR_TRAD_AGG_RO_COMP[],N$1,0),"ERROR")</f>
        <v>65970</v>
      </c>
      <c r="O70" s="212">
        <f>IFERROR(VLOOKUP($B70,MMWR_TRAD_AGG_RO_COMP[],O$1,0),"ERROR")</f>
        <v>39941</v>
      </c>
      <c r="P70" s="214">
        <f>IFERROR(O70/N70,"0%")</f>
        <v>0.60544186751553741</v>
      </c>
      <c r="Q70" s="212">
        <f>IFERROR(VLOOKUP($B70,MMWR_TRAD_AGG_RO_COMP[],Q$1,0),"ERROR")</f>
        <v>0</v>
      </c>
      <c r="R70" s="215">
        <f>IFERROR(VLOOKUP($B70,MMWR_TRAD_AGG_RO_COMP[],R$1,0),"ERROR")</f>
        <v>0</v>
      </c>
      <c r="S70" s="215">
        <f>IFERROR(VLOOKUP($B70,MMWR_APP_RO[],S$1,0),"ERROR")</f>
        <v>11312</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21456</v>
      </c>
      <c r="D75" s="238">
        <f>IFERROR(VLOOKUP($B75,MMWR_TRAD_AGG_RO_PEN[],D$1,0),"ERROR")</f>
        <v>89.874161073799996</v>
      </c>
      <c r="E75" s="237">
        <f>IFERROR(VLOOKUP($B75,MMWR_TRAD_AGG_RO_PEN[],E$1,0),"ERROR")</f>
        <v>29274</v>
      </c>
      <c r="F75" s="237">
        <f>IFERROR(VLOOKUP($B75,MMWR_TRAD_AGG_RO_PEN[],F$1,0),"ERROR")</f>
        <v>3832</v>
      </c>
      <c r="G75" s="239">
        <f>IFERROR(F75/E75,"0%")</f>
        <v>0.13090114094418256</v>
      </c>
      <c r="H75" s="237">
        <f>IFERROR(VLOOKUP($B75,MMWR_TRAD_AGG_RO_PEN[],H$1,0),"ERROR")</f>
        <v>31696</v>
      </c>
      <c r="I75" s="237">
        <f>IFERROR(VLOOKUP($B75,MMWR_TRAD_AGG_RO_PEN[],I$1,0),"ERROR")</f>
        <v>7326</v>
      </c>
      <c r="J75" s="239">
        <f>IFERROR(I75/H75,"0%")</f>
        <v>0.23113326602725895</v>
      </c>
      <c r="K75" s="237">
        <f>IFERROR(VLOOKUP($B75,MMWR_TRAD_AGG_RO_PEN[],K$1,0),"ERROR")</f>
        <v>250</v>
      </c>
      <c r="L75" s="237">
        <f>IFERROR(VLOOKUP($B75,MMWR_TRAD_AGG_RO_PEN[],L$1,0),"ERROR")</f>
        <v>233</v>
      </c>
      <c r="M75" s="239">
        <f>IFERROR(L75/K75,"0%")</f>
        <v>0.93200000000000005</v>
      </c>
      <c r="N75" s="237">
        <f>IFERROR(VLOOKUP($B75,MMWR_TRAD_AGG_RO_PEN[],N$1,0),"ERROR")</f>
        <v>1755</v>
      </c>
      <c r="O75" s="237">
        <f>IFERROR(VLOOKUP($B75,MMWR_TRAD_AGG_RO_PEN[],O$1,0),"ERROR")</f>
        <v>570</v>
      </c>
      <c r="P75" s="239">
        <f>IFERROR(O75/N75,"0%")</f>
        <v>0.3247863247863248</v>
      </c>
      <c r="Q75" s="237">
        <f>IFERROR(VLOOKUP($B75,MMWR_TRAD_AGG_RO_PEN[],Q$1,0),"ERROR")</f>
        <v>11627</v>
      </c>
      <c r="R75" s="240">
        <f>IFERROR(VLOOKUP($B75,MMWR_TRAD_AGG_RO_PEN[],R$1,0),"ERROR")</f>
        <v>6025</v>
      </c>
      <c r="S75" s="240">
        <f>IFERROR(VLOOKUP($B75,MMWR_APP_RO[],S$1,0),"ERROR")</f>
        <v>4950</v>
      </c>
      <c r="T75" s="28"/>
    </row>
    <row r="76" spans="1:20" x14ac:dyDescent="0.2">
      <c r="A76" s="107"/>
      <c r="B76" s="122" t="s">
        <v>210</v>
      </c>
      <c r="C76" s="241">
        <f>IFERROR(VLOOKUP($B76,MMWR_TRAD_AGG_RO_PEN[],C$1,0),"ERROR")</f>
        <v>13360</v>
      </c>
      <c r="D76" s="242">
        <f>IFERROR(VLOOKUP($B76,MMWR_TRAD_AGG_RO_PEN[],D$1,0),"ERROR")</f>
        <v>106.54752994010001</v>
      </c>
      <c r="E76" s="241">
        <f>IFERROR(VLOOKUP($B76,MMWR_TRAD_AGG_RO_PEN[],E$1,0),"ERROR")</f>
        <v>15222</v>
      </c>
      <c r="F76" s="241">
        <f>IFERROR(VLOOKUP($B76,MMWR_TRAD_AGG_RO_PEN[],F$1,0),"ERROR")</f>
        <v>2466</v>
      </c>
      <c r="G76" s="223">
        <f>IFERROR(F76/E76,"0%")</f>
        <v>0.16200236499802917</v>
      </c>
      <c r="H76" s="241">
        <f>IFERROR(VLOOKUP($B76,MMWR_TRAD_AGG_RO_PEN[],H$1,0),"ERROR")</f>
        <v>16285</v>
      </c>
      <c r="I76" s="241">
        <f>IFERROR(VLOOKUP($B76,MMWR_TRAD_AGG_RO_PEN[],I$1,0),"ERROR")</f>
        <v>5313</v>
      </c>
      <c r="J76" s="223">
        <f>IFERROR(I76/H76,"0%")</f>
        <v>0.32625115136628802</v>
      </c>
      <c r="K76" s="241">
        <f>IFERROR(VLOOKUP($B76,MMWR_TRAD_AGG_RO_PEN[],K$1,0),"ERROR")</f>
        <v>16</v>
      </c>
      <c r="L76" s="241">
        <f>IFERROR(VLOOKUP($B76,MMWR_TRAD_AGG_RO_PEN[],L$1,0),"ERROR")</f>
        <v>15</v>
      </c>
      <c r="M76" s="223">
        <f>IFERROR(L76/K76,"0%")</f>
        <v>0.9375</v>
      </c>
      <c r="N76" s="241">
        <f>IFERROR(VLOOKUP($B76,MMWR_TRAD_AGG_RO_PEN[],N$1,0),"ERROR")</f>
        <v>654</v>
      </c>
      <c r="O76" s="241">
        <f>IFERROR(VLOOKUP($B76,MMWR_TRAD_AGG_RO_PEN[],O$1,0),"ERROR")</f>
        <v>209</v>
      </c>
      <c r="P76" s="223">
        <f>IFERROR(O76/N76,"0%")</f>
        <v>0.31957186544342508</v>
      </c>
      <c r="Q76" s="241">
        <f>IFERROR(VLOOKUP($B76,MMWR_TRAD_AGG_RO_PEN[],Q$1,0),"ERROR")</f>
        <v>1977</v>
      </c>
      <c r="R76" s="241">
        <f>IFERROR(VLOOKUP($B76,MMWR_TRAD_AGG_RO_PEN[],R$1,0),"ERROR")</f>
        <v>3021</v>
      </c>
      <c r="S76" s="243">
        <f>IFERROR(VLOOKUP($B76,MMWR_APP_RO[],S$1,0),"ERROR")</f>
        <v>1664</v>
      </c>
      <c r="T76" s="28"/>
    </row>
    <row r="77" spans="1:20" x14ac:dyDescent="0.2">
      <c r="A77" s="107"/>
      <c r="B77" s="122" t="s">
        <v>209</v>
      </c>
      <c r="C77" s="241">
        <f>IFERROR(VLOOKUP($B77,MMWR_TRAD_AGG_RO_PEN[],C$1,0),"ERROR")</f>
        <v>4167</v>
      </c>
      <c r="D77" s="242">
        <f>IFERROR(VLOOKUP($B77,MMWR_TRAD_AGG_RO_PEN[],D$1,0),"ERROR")</f>
        <v>58.425725941899998</v>
      </c>
      <c r="E77" s="241">
        <f>IFERROR(VLOOKUP($B77,MMWR_TRAD_AGG_RO_PEN[],E$1,0),"ERROR")</f>
        <v>7708</v>
      </c>
      <c r="F77" s="241">
        <f>IFERROR(VLOOKUP($B77,MMWR_TRAD_AGG_RO_PEN[],F$1,0),"ERROR")</f>
        <v>992</v>
      </c>
      <c r="G77" s="223">
        <f>IFERROR(F77/E77,"0%")</f>
        <v>0.12869745718733783</v>
      </c>
      <c r="H77" s="241">
        <f>IFERROR(VLOOKUP($B77,MMWR_TRAD_AGG_RO_PEN[],H$1,0),"ERROR")</f>
        <v>6338</v>
      </c>
      <c r="I77" s="241">
        <f>IFERROR(VLOOKUP($B77,MMWR_TRAD_AGG_RO_PEN[],I$1,0),"ERROR")</f>
        <v>467</v>
      </c>
      <c r="J77" s="223">
        <f>IFERROR(I77/H77,"0%")</f>
        <v>7.3682549700220895E-2</v>
      </c>
      <c r="K77" s="241">
        <f>IFERROR(VLOOKUP($B77,MMWR_TRAD_AGG_RO_PEN[],K$1,0),"ERROR")</f>
        <v>3</v>
      </c>
      <c r="L77" s="241">
        <f>IFERROR(VLOOKUP($B77,MMWR_TRAD_AGG_RO_PEN[],L$1,0),"ERROR")</f>
        <v>3</v>
      </c>
      <c r="M77" s="223">
        <f>IFERROR(L77/K77,"0%")</f>
        <v>1</v>
      </c>
      <c r="N77" s="241">
        <f>IFERROR(VLOOKUP($B77,MMWR_TRAD_AGG_RO_PEN[],N$1,0),"ERROR")</f>
        <v>591</v>
      </c>
      <c r="O77" s="241">
        <f>IFERROR(VLOOKUP($B77,MMWR_TRAD_AGG_RO_PEN[],O$1,0),"ERROR")</f>
        <v>130</v>
      </c>
      <c r="P77" s="223">
        <f>IFERROR(O77/N77,"0%")</f>
        <v>0.21996615905245348</v>
      </c>
      <c r="Q77" s="241">
        <f>IFERROR(VLOOKUP($B77,MMWR_TRAD_AGG_RO_PEN[],Q$1,0),"ERROR")</f>
        <v>1196</v>
      </c>
      <c r="R77" s="241">
        <f>IFERROR(VLOOKUP($B77,MMWR_TRAD_AGG_RO_PEN[],R$1,0),"ERROR")</f>
        <v>1027</v>
      </c>
      <c r="S77" s="243">
        <f>IFERROR(VLOOKUP($B77,MMWR_APP_RO[],S$1,0),"ERROR")</f>
        <v>2300</v>
      </c>
      <c r="T77" s="28"/>
    </row>
    <row r="78" spans="1:20" x14ac:dyDescent="0.2">
      <c r="A78" s="107"/>
      <c r="B78" s="122" t="s">
        <v>212</v>
      </c>
      <c r="C78" s="241">
        <f>IFERROR(VLOOKUP($B78,MMWR_TRAD_AGG_RO_PEN[],C$1,0),"ERROR")</f>
        <v>3929</v>
      </c>
      <c r="D78" s="242">
        <f>IFERROR(VLOOKUP($B78,MMWR_TRAD_AGG_RO_PEN[],D$1,0),"ERROR")</f>
        <v>66.532196487700006</v>
      </c>
      <c r="E78" s="241">
        <f>IFERROR(VLOOKUP($B78,MMWR_TRAD_AGG_RO_PEN[],E$1,0),"ERROR")</f>
        <v>6003</v>
      </c>
      <c r="F78" s="241">
        <f>IFERROR(VLOOKUP($B78,MMWR_TRAD_AGG_RO_PEN[],F$1,0),"ERROR")</f>
        <v>248</v>
      </c>
      <c r="G78" s="223">
        <f>IFERROR(F78/E78,"0%")</f>
        <v>4.1312676994835915E-2</v>
      </c>
      <c r="H78" s="241">
        <f>IFERROR(VLOOKUP($B78,MMWR_TRAD_AGG_RO_PEN[],H$1,0),"ERROR")</f>
        <v>5872</v>
      </c>
      <c r="I78" s="241">
        <f>IFERROR(VLOOKUP($B78,MMWR_TRAD_AGG_RO_PEN[],I$1,0),"ERROR")</f>
        <v>507</v>
      </c>
      <c r="J78" s="223">
        <f>IFERROR(I78/H78,"0%")</f>
        <v>8.6341961852861041E-2</v>
      </c>
      <c r="K78" s="241">
        <f>IFERROR(VLOOKUP($B78,MMWR_TRAD_AGG_RO_PEN[],K$1,0),"ERROR")</f>
        <v>30</v>
      </c>
      <c r="L78" s="241">
        <f>IFERROR(VLOOKUP($B78,MMWR_TRAD_AGG_RO_PEN[],L$1,0),"ERROR")</f>
        <v>17</v>
      </c>
      <c r="M78" s="223">
        <f>IFERROR(L78/K78,"0%")</f>
        <v>0.56666666666666665</v>
      </c>
      <c r="N78" s="241">
        <f>IFERROR(VLOOKUP($B78,MMWR_TRAD_AGG_RO_PEN[],N$1,0),"ERROR")</f>
        <v>328</v>
      </c>
      <c r="O78" s="241">
        <f>IFERROR(VLOOKUP($B78,MMWR_TRAD_AGG_RO_PEN[],O$1,0),"ERROR")</f>
        <v>120</v>
      </c>
      <c r="P78" s="223">
        <f>IFERROR(O78/N78,"0%")</f>
        <v>0.36585365853658536</v>
      </c>
      <c r="Q78" s="241">
        <f>IFERROR(VLOOKUP($B78,MMWR_TRAD_AGG_RO_PEN[],Q$1,0),"ERROR")</f>
        <v>8447</v>
      </c>
      <c r="R78" s="241">
        <f>IFERROR(VLOOKUP($B78,MMWR_TRAD_AGG_RO_PEN[],R$1,0),"ERROR")</f>
        <v>1977</v>
      </c>
      <c r="S78" s="243">
        <f>IFERROR(VLOOKUP($B78,MMWR_APP_RO[],S$1,0),"ERROR")</f>
        <v>986</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341</v>
      </c>
      <c r="F79" s="218">
        <f>IFERROR(VLOOKUP($B79,MMWR_TRAD_AGG_RO_PEN[],F$1,0),"ERROR")</f>
        <v>126</v>
      </c>
      <c r="G79" s="214">
        <f>IFERROR(F79/E79,"0%")</f>
        <v>0.36950146627565983</v>
      </c>
      <c r="H79" s="218">
        <f>IFERROR(VLOOKUP($B79,MMWR_TRAD_AGG_RO_PEN[],H$1,0),"ERROR")</f>
        <v>3201</v>
      </c>
      <c r="I79" s="218">
        <f>IFERROR(VLOOKUP($B79,MMWR_TRAD_AGG_RO_PEN[],I$1,0),"ERROR")</f>
        <v>1039</v>
      </c>
      <c r="J79" s="214">
        <f>IFERROR(I79/H79,"0%")</f>
        <v>0.32458606685410807</v>
      </c>
      <c r="K79" s="218">
        <f>IFERROR(VLOOKUP($B79,MMWR_TRAD_AGG_RO_PEN[],K$1,0),"ERROR")</f>
        <v>201</v>
      </c>
      <c r="L79" s="218">
        <f>IFERROR(VLOOKUP($B79,MMWR_TRAD_AGG_RO_PEN[],L$1,0),"ERROR")</f>
        <v>198</v>
      </c>
      <c r="M79" s="214">
        <f>IFERROR(L79/K79,"0%")</f>
        <v>0.9850746268656716</v>
      </c>
      <c r="N79" s="218">
        <f>IFERROR(VLOOKUP($B79,MMWR_TRAD_AGG_RO_PEN[],N$1,0),"ERROR")</f>
        <v>182</v>
      </c>
      <c r="O79" s="218">
        <f>IFERROR(VLOOKUP($B79,MMWR_TRAD_AGG_RO_PEN[],O$1,0),"ERROR")</f>
        <v>111</v>
      </c>
      <c r="P79" s="214">
        <f>IFERROR(O79/N79,"0%")</f>
        <v>0.60989010989010994</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AUGUST 13,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228892</v>
      </c>
      <c r="D6" s="95">
        <f>IFERROR(VLOOKUP($B6,MMWR_TRAD_AGG_ST_DISTRICT_COMP[],D$1,0),"ERROR")</f>
        <v>367.93050434269998</v>
      </c>
      <c r="E6" s="96">
        <f>IFERROR(VLOOKUP($B6,MMWR_TRAD_AGG_ST_DISTRICT_COMP[],E$1,0),"ERROR")</f>
        <v>345512</v>
      </c>
      <c r="F6" s="97">
        <f>IFERROR(VLOOKUP($B6,MMWR_TRAD_AGG_ST_DISTRICT_COMP[],F$1,0),"ERROR")</f>
        <v>73451</v>
      </c>
      <c r="G6" s="98">
        <f t="shared" ref="G6:G37" si="0">IFERROR(F6/E6,"0%")</f>
        <v>0.21258595938780708</v>
      </c>
      <c r="H6" s="96">
        <f>IFERROR(VLOOKUP($B6,MMWR_TRAD_AGG_ST_DISTRICT_COMP[],H$1,0),"ERROR")</f>
        <v>440872</v>
      </c>
      <c r="I6" s="97">
        <f>IFERROR(VLOOKUP($B6,MMWR_TRAD_AGG_ST_DISTRICT_COMP[],I$1,0),"ERROR")</f>
        <v>213147</v>
      </c>
      <c r="J6" s="99">
        <f t="shared" ref="J6:J37" si="1">IFERROR(I6/H6,"0%")</f>
        <v>0.48346685659329691</v>
      </c>
      <c r="K6" s="96">
        <f>IFERROR(VLOOKUP($B6,MMWR_TRAD_AGG_ST_DISTRICT_COMP[],K$1,0),"ERROR")</f>
        <v>130859</v>
      </c>
      <c r="L6" s="97">
        <f>IFERROR(VLOOKUP($B6,MMWR_TRAD_AGG_ST_DISTRICT_COMP[],L$1,0),"ERROR")</f>
        <v>101610</v>
      </c>
      <c r="M6" s="99">
        <f t="shared" ref="M6:M37" si="2">IFERROR(L6/K6,"0%")</f>
        <v>0.77648461320963791</v>
      </c>
      <c r="N6" s="96">
        <f>IFERROR(VLOOKUP($B6,MMWR_TRAD_AGG_ST_DISTRICT_COMP[],N$1,0),"ERROR")</f>
        <v>171560</v>
      </c>
      <c r="O6" s="97">
        <f>IFERROR(VLOOKUP($B6,MMWR_TRAD_AGG_ST_DISTRICT_COMP[],O$1,0),"ERROR")</f>
        <v>118364</v>
      </c>
      <c r="P6" s="99">
        <f t="shared" ref="P6:P37" si="3">IFERROR(O6/N6,"0%")</f>
        <v>0.68992772207973885</v>
      </c>
      <c r="Q6" s="100">
        <f>IFERROR(VLOOKUP($B6,MMWR_TRAD_AGG_ST_DISTRICT_COMP[],Q$1,0),"ERROR")</f>
        <v>23035</v>
      </c>
      <c r="R6" s="100">
        <f>IFERROR(VLOOKUP($B6,MMWR_TRAD_AGG_ST_DISTRICT_COMP[],R$1,0),"ERROR")</f>
        <v>4532</v>
      </c>
      <c r="S6" s="100">
        <f>S7+S23+S36+S46+S56+S64</f>
        <v>306808</v>
      </c>
      <c r="T6" s="28"/>
    </row>
    <row r="7" spans="1:20" s="123" customFormat="1" x14ac:dyDescent="0.2">
      <c r="A7" s="92"/>
      <c r="B7" s="126" t="s">
        <v>368</v>
      </c>
      <c r="C7" s="102">
        <f>IF(SUM(C8:C22)&lt;&gt;VLOOKUP($B7,MMWR_TRAD_AGG_ST_DISTRICT_COMP[],C$1,0),"ERROR",
VLOOKUP($B7,MMWR_TRAD_AGG_ST_DISTRICT_COMP[],C$1,0))</f>
        <v>55033</v>
      </c>
      <c r="D7" s="103">
        <f>IFERROR(VLOOKUP($B7,MMWR_TRAD_AGG_ST_DISTRICT_COMP[],D$1,0),"ERROR")</f>
        <v>397.22281176749999</v>
      </c>
      <c r="E7" s="102">
        <f>IF(SUM(E8:E22)&lt;&gt;VLOOKUP($B7,MMWR_TRAD_AGG_ST_DISTRICT_COMP[],E$1,0),"ERROR",
VLOOKUP($B7,MMWR_TRAD_AGG_ST_DISTRICT_COMP[],E$1,0))</f>
        <v>74940</v>
      </c>
      <c r="F7" s="102">
        <f>IFERROR(VLOOKUP($B7,MMWR_TRAD_AGG_ST_DISTRICT_COMP[],F$1,0),"ERROR")</f>
        <v>16738</v>
      </c>
      <c r="G7" s="104">
        <f t="shared" si="0"/>
        <v>0.22335201494528956</v>
      </c>
      <c r="H7" s="102">
        <f>IF(SUM(H8:H22)&lt;&gt;VLOOKUP($B7,MMWR_TRAD_AGG_ST_DISTRICT_COMP[],H$1,0),"ERROR",
VLOOKUP($B7,MMWR_TRAD_AGG_ST_DISTRICT_COMP[],H$1,0))</f>
        <v>101272</v>
      </c>
      <c r="I7" s="102">
        <f>IF(SUM(I8:I22)&lt;&gt;VLOOKUP($B7,MMWR_TRAD_AGG_ST_DISTRICT_COMP[],I$1,0),"ERROR",
VLOOKUP($B7,MMWR_TRAD_AGG_ST_DISTRICT_COMP[],I$1,0))</f>
        <v>49535</v>
      </c>
      <c r="J7" s="105">
        <f t="shared" si="1"/>
        <v>0.48912828817442133</v>
      </c>
      <c r="K7" s="102">
        <f>IF(SUM(K8:K22)&lt;&gt;VLOOKUP($B7,MMWR_TRAD_AGG_ST_DISTRICT_COMP[],K$1,0),"ERROR",
VLOOKUP($B7,MMWR_TRAD_AGG_ST_DISTRICT_COMP[],K$1,0))</f>
        <v>34373</v>
      </c>
      <c r="L7" s="102">
        <f>IF(SUM(L8:L22)&lt;&gt;VLOOKUP($B7,MMWR_TRAD_AGG_ST_DISTRICT_COMP[],L$1,0),"ERROR",
VLOOKUP($B7,MMWR_TRAD_AGG_ST_DISTRICT_COMP[],L$1,0))</f>
        <v>27536</v>
      </c>
      <c r="M7" s="105">
        <f t="shared" si="2"/>
        <v>0.80109388182585173</v>
      </c>
      <c r="N7" s="102">
        <f>IF(SUM(N8:N22)&lt;&gt;VLOOKUP($B7,MMWR_TRAD_AGG_ST_DISTRICT_COMP[],N$1,0),"ERROR",
VLOOKUP($B7,MMWR_TRAD_AGG_ST_DISTRICT_COMP[],N$1,0))</f>
        <v>39963</v>
      </c>
      <c r="O7" s="102">
        <f>IF(SUM(O8:O22)&lt;&gt;VLOOKUP($B7,MMWR_TRAD_AGG_ST_DISTRICT_COMP[],O$1,0),"ERROR",
VLOOKUP($B7,MMWR_TRAD_AGG_ST_DISTRICT_COMP[],O$1,0))</f>
        <v>29400</v>
      </c>
      <c r="P7" s="105">
        <f t="shared" si="3"/>
        <v>0.73568050446663158</v>
      </c>
      <c r="Q7" s="102">
        <f>IF(SUM(Q8:Q22)&lt;&gt;VLOOKUP($B7,MMWR_TRAD_AGG_ST_DISTRICT_COMP[],Q$1,0),"ERROR",
VLOOKUP($B7,MMWR_TRAD_AGG_ST_DISTRICT_COMP[],Q$1,0))</f>
        <v>9714</v>
      </c>
      <c r="R7" s="106">
        <f>IFERROR(VLOOKUP($B7,MMWR_TRAD_AGG_ST_DISTRICT_COMP[],R$1,0),"ERROR")</f>
        <v>140</v>
      </c>
      <c r="S7" s="106">
        <f>SUM(S8:S22)</f>
        <v>56668</v>
      </c>
      <c r="T7" s="28"/>
    </row>
    <row r="8" spans="1:20" s="123" customFormat="1" x14ac:dyDescent="0.2">
      <c r="A8" s="107"/>
      <c r="B8" s="127" t="s">
        <v>372</v>
      </c>
      <c r="C8" s="109">
        <f>IFERROR(VLOOKUP($B8,MMWR_TRAD_AGG_STATE_COMP[],C$1,0),"ERROR")</f>
        <v>680</v>
      </c>
      <c r="D8" s="110">
        <f>IFERROR(VLOOKUP($B8,MMWR_TRAD_AGG_STATE_COMP[],D$1,0),"ERROR")</f>
        <v>281.65735294119997</v>
      </c>
      <c r="E8" s="111">
        <f>IFERROR(VLOOKUP($B8,MMWR_TRAD_AGG_STATE_COMP[],E$1,0),"ERROR")</f>
        <v>1894</v>
      </c>
      <c r="F8" s="112">
        <f>IFERROR(VLOOKUP($B8,MMWR_TRAD_AGG_STATE_COMP[],F$1,0),"ERROR")</f>
        <v>326</v>
      </c>
      <c r="G8" s="113">
        <f t="shared" si="0"/>
        <v>0.17212249208025343</v>
      </c>
      <c r="H8" s="111">
        <f>IFERROR(VLOOKUP($B8,MMWR_TRAD_AGG_STATE_COMP[],H$1,0),"ERROR")</f>
        <v>2562</v>
      </c>
      <c r="I8" s="112">
        <f>IFERROR(VLOOKUP($B8,MMWR_TRAD_AGG_STATE_COMP[],I$1,0),"ERROR")</f>
        <v>752</v>
      </c>
      <c r="J8" s="114">
        <f t="shared" si="1"/>
        <v>0.29352068696330991</v>
      </c>
      <c r="K8" s="111">
        <f>IFERROR(VLOOKUP($B8,MMWR_TRAD_AGG_STATE_COMP[],K$1,0),"ERROR")</f>
        <v>583</v>
      </c>
      <c r="L8" s="112">
        <f>IFERROR(VLOOKUP($B8,MMWR_TRAD_AGG_STATE_COMP[],L$1,0),"ERROR")</f>
        <v>377</v>
      </c>
      <c r="M8" s="114">
        <f t="shared" si="2"/>
        <v>0.64665523156089189</v>
      </c>
      <c r="N8" s="111">
        <f>IFERROR(VLOOKUP($B8,MMWR_TRAD_AGG_STATE_COMP[],N$1,0),"ERROR")</f>
        <v>1101</v>
      </c>
      <c r="O8" s="112">
        <f>IFERROR(VLOOKUP($B8,MMWR_TRAD_AGG_STATE_COMP[],O$1,0),"ERROR")</f>
        <v>848</v>
      </c>
      <c r="P8" s="114">
        <f t="shared" si="3"/>
        <v>0.77020890099909178</v>
      </c>
      <c r="Q8" s="115">
        <f>IFERROR(VLOOKUP($B8,MMWR_TRAD_AGG_STATE_COMP[],Q$1,0),"ERROR")</f>
        <v>307</v>
      </c>
      <c r="R8" s="115">
        <f>IFERROR(VLOOKUP($B8,MMWR_TRAD_AGG_STATE_COMP[],R$1,0),"ERROR")</f>
        <v>6</v>
      </c>
      <c r="S8" s="115">
        <f>IFERROR(VLOOKUP($B8,MMWR_APP_STATE_COMP[],S$1,0),"ERROR")</f>
        <v>1367</v>
      </c>
      <c r="T8" s="28"/>
    </row>
    <row r="9" spans="1:20" s="123" customFormat="1" x14ac:dyDescent="0.2">
      <c r="A9" s="107"/>
      <c r="B9" s="127" t="s">
        <v>422</v>
      </c>
      <c r="C9" s="109">
        <f>IFERROR(VLOOKUP($B9,MMWR_TRAD_AGG_STATE_COMP[],C$1,0),"ERROR")</f>
        <v>641</v>
      </c>
      <c r="D9" s="110">
        <f>IFERROR(VLOOKUP($B9,MMWR_TRAD_AGG_STATE_COMP[],D$1,0),"ERROR")</f>
        <v>397.07800312009999</v>
      </c>
      <c r="E9" s="111">
        <f>IFERROR(VLOOKUP($B9,MMWR_TRAD_AGG_STATE_COMP[],E$1,0),"ERROR")</f>
        <v>1024</v>
      </c>
      <c r="F9" s="112">
        <f>IFERROR(VLOOKUP($B9,MMWR_TRAD_AGG_STATE_COMP[],F$1,0),"ERROR")</f>
        <v>230</v>
      </c>
      <c r="G9" s="113">
        <f t="shared" si="0"/>
        <v>0.224609375</v>
      </c>
      <c r="H9" s="111">
        <f>IFERROR(VLOOKUP($B9,MMWR_TRAD_AGG_STATE_COMP[],H$1,0),"ERROR")</f>
        <v>1266</v>
      </c>
      <c r="I9" s="112">
        <f>IFERROR(VLOOKUP($B9,MMWR_TRAD_AGG_STATE_COMP[],I$1,0),"ERROR")</f>
        <v>561</v>
      </c>
      <c r="J9" s="114">
        <f t="shared" si="1"/>
        <v>0.44312796208530808</v>
      </c>
      <c r="K9" s="111">
        <f>IFERROR(VLOOKUP($B9,MMWR_TRAD_AGG_STATE_COMP[],K$1,0),"ERROR")</f>
        <v>266</v>
      </c>
      <c r="L9" s="112">
        <f>IFERROR(VLOOKUP($B9,MMWR_TRAD_AGG_STATE_COMP[],L$1,0),"ERROR")</f>
        <v>189</v>
      </c>
      <c r="M9" s="114">
        <f t="shared" si="2"/>
        <v>0.71052631578947367</v>
      </c>
      <c r="N9" s="111">
        <f>IFERROR(VLOOKUP($B9,MMWR_TRAD_AGG_STATE_COMP[],N$1,0),"ERROR")</f>
        <v>400</v>
      </c>
      <c r="O9" s="112">
        <f>IFERROR(VLOOKUP($B9,MMWR_TRAD_AGG_STATE_COMP[],O$1,0),"ERROR")</f>
        <v>244</v>
      </c>
      <c r="P9" s="114">
        <f t="shared" si="3"/>
        <v>0.61</v>
      </c>
      <c r="Q9" s="115">
        <f>IFERROR(VLOOKUP($B9,MMWR_TRAD_AGG_STATE_COMP[],Q$1,0),"ERROR")</f>
        <v>84</v>
      </c>
      <c r="R9" s="115">
        <f>IFERROR(VLOOKUP($B9,MMWR_TRAD_AGG_STATE_COMP[],R$1,0),"ERROR")</f>
        <v>0</v>
      </c>
      <c r="S9" s="115">
        <f>IFERROR(VLOOKUP($B9,MMWR_APP_STATE_COMP[],S$1,0),"ERROR")</f>
        <v>636</v>
      </c>
      <c r="T9" s="28"/>
    </row>
    <row r="10" spans="1:20" s="123" customFormat="1" x14ac:dyDescent="0.2">
      <c r="A10" s="107"/>
      <c r="B10" s="127" t="s">
        <v>413</v>
      </c>
      <c r="C10" s="109">
        <f>IFERROR(VLOOKUP($B10,MMWR_TRAD_AGG_STATE_COMP[],C$1,0),"ERROR")</f>
        <v>394</v>
      </c>
      <c r="D10" s="110">
        <f>IFERROR(VLOOKUP($B10,MMWR_TRAD_AGG_STATE_COMP[],D$1,0),"ERROR")</f>
        <v>555.37309644669995</v>
      </c>
      <c r="E10" s="111">
        <f>IFERROR(VLOOKUP($B10,MMWR_TRAD_AGG_STATE_COMP[],E$1,0),"ERROR")</f>
        <v>454</v>
      </c>
      <c r="F10" s="112">
        <f>IFERROR(VLOOKUP($B10,MMWR_TRAD_AGG_STATE_COMP[],F$1,0),"ERROR")</f>
        <v>98</v>
      </c>
      <c r="G10" s="113">
        <f t="shared" si="0"/>
        <v>0.21585903083700442</v>
      </c>
      <c r="H10" s="111">
        <f>IFERROR(VLOOKUP($B10,MMWR_TRAD_AGG_STATE_COMP[],H$1,0),"ERROR")</f>
        <v>743</v>
      </c>
      <c r="I10" s="112">
        <f>IFERROR(VLOOKUP($B10,MMWR_TRAD_AGG_STATE_COMP[],I$1,0),"ERROR")</f>
        <v>371</v>
      </c>
      <c r="J10" s="114">
        <f t="shared" si="1"/>
        <v>0.49932705248990578</v>
      </c>
      <c r="K10" s="111">
        <f>IFERROR(VLOOKUP($B10,MMWR_TRAD_AGG_STATE_COMP[],K$1,0),"ERROR")</f>
        <v>202</v>
      </c>
      <c r="L10" s="112">
        <f>IFERROR(VLOOKUP($B10,MMWR_TRAD_AGG_STATE_COMP[],L$1,0),"ERROR")</f>
        <v>168</v>
      </c>
      <c r="M10" s="114">
        <f t="shared" si="2"/>
        <v>0.83168316831683164</v>
      </c>
      <c r="N10" s="111">
        <f>IFERROR(VLOOKUP($B10,MMWR_TRAD_AGG_STATE_COMP[],N$1,0),"ERROR")</f>
        <v>378</v>
      </c>
      <c r="O10" s="112">
        <f>IFERROR(VLOOKUP($B10,MMWR_TRAD_AGG_STATE_COMP[],O$1,0),"ERROR")</f>
        <v>292</v>
      </c>
      <c r="P10" s="114">
        <f t="shared" si="3"/>
        <v>0.77248677248677244</v>
      </c>
      <c r="Q10" s="115">
        <f>IFERROR(VLOOKUP($B10,MMWR_TRAD_AGG_STATE_COMP[],Q$1,0),"ERROR")</f>
        <v>25</v>
      </c>
      <c r="R10" s="115">
        <f>IFERROR(VLOOKUP($B10,MMWR_TRAD_AGG_STATE_COMP[],R$1,0),"ERROR")</f>
        <v>0</v>
      </c>
      <c r="S10" s="115">
        <f>IFERROR(VLOOKUP($B10,MMWR_APP_STATE_COMP[],S$1,0),"ERROR")</f>
        <v>602</v>
      </c>
      <c r="T10" s="28"/>
    </row>
    <row r="11" spans="1:20" s="123" customFormat="1" x14ac:dyDescent="0.2">
      <c r="A11" s="107"/>
      <c r="B11" s="127" t="s">
        <v>415</v>
      </c>
      <c r="C11" s="109">
        <f>IFERROR(VLOOKUP($B11,MMWR_TRAD_AGG_STATE_COMP[],C$1,0),"ERROR")</f>
        <v>1075</v>
      </c>
      <c r="D11" s="110">
        <f>IFERROR(VLOOKUP($B11,MMWR_TRAD_AGG_STATE_COMP[],D$1,0),"ERROR")</f>
        <v>300.65395348840002</v>
      </c>
      <c r="E11" s="111">
        <f>IFERROR(VLOOKUP($B11,MMWR_TRAD_AGG_STATE_COMP[],E$1,0),"ERROR")</f>
        <v>1311</v>
      </c>
      <c r="F11" s="112">
        <f>IFERROR(VLOOKUP($B11,MMWR_TRAD_AGG_STATE_COMP[],F$1,0),"ERROR")</f>
        <v>176</v>
      </c>
      <c r="G11" s="113">
        <f t="shared" si="0"/>
        <v>0.13424866514111367</v>
      </c>
      <c r="H11" s="111">
        <f>IFERROR(VLOOKUP($B11,MMWR_TRAD_AGG_STATE_COMP[],H$1,0),"ERROR")</f>
        <v>2049</v>
      </c>
      <c r="I11" s="112">
        <f>IFERROR(VLOOKUP($B11,MMWR_TRAD_AGG_STATE_COMP[],I$1,0),"ERROR")</f>
        <v>864</v>
      </c>
      <c r="J11" s="114">
        <f t="shared" si="1"/>
        <v>0.42166910688140558</v>
      </c>
      <c r="K11" s="111">
        <f>IFERROR(VLOOKUP($B11,MMWR_TRAD_AGG_STATE_COMP[],K$1,0),"ERROR")</f>
        <v>848</v>
      </c>
      <c r="L11" s="112">
        <f>IFERROR(VLOOKUP($B11,MMWR_TRAD_AGG_STATE_COMP[],L$1,0),"ERROR")</f>
        <v>661</v>
      </c>
      <c r="M11" s="114">
        <f t="shared" si="2"/>
        <v>0.77948113207547165</v>
      </c>
      <c r="N11" s="111">
        <f>IFERROR(VLOOKUP($B11,MMWR_TRAD_AGG_STATE_COMP[],N$1,0),"ERROR")</f>
        <v>469</v>
      </c>
      <c r="O11" s="112">
        <f>IFERROR(VLOOKUP($B11,MMWR_TRAD_AGG_STATE_COMP[],O$1,0),"ERROR")</f>
        <v>303</v>
      </c>
      <c r="P11" s="114">
        <f t="shared" si="3"/>
        <v>0.64605543710021318</v>
      </c>
      <c r="Q11" s="115">
        <f>IFERROR(VLOOKUP($B11,MMWR_TRAD_AGG_STATE_COMP[],Q$1,0),"ERROR")</f>
        <v>405</v>
      </c>
      <c r="R11" s="115">
        <f>IFERROR(VLOOKUP($B11,MMWR_TRAD_AGG_STATE_COMP[],R$1,0),"ERROR")</f>
        <v>2</v>
      </c>
      <c r="S11" s="115">
        <f>IFERROR(VLOOKUP($B11,MMWR_APP_STATE_COMP[],S$1,0),"ERROR")</f>
        <v>505</v>
      </c>
      <c r="T11" s="28"/>
    </row>
    <row r="12" spans="1:20" s="123" customFormat="1" x14ac:dyDescent="0.2">
      <c r="A12" s="107"/>
      <c r="B12" s="127" t="s">
        <v>375</v>
      </c>
      <c r="C12" s="109">
        <f>IFERROR(VLOOKUP($B12,MMWR_TRAD_AGG_STATE_COMP[],C$1,0),"ERROR")</f>
        <v>7802</v>
      </c>
      <c r="D12" s="110">
        <f>IFERROR(VLOOKUP($B12,MMWR_TRAD_AGG_STATE_COMP[],D$1,0),"ERROR")</f>
        <v>633.55588310689996</v>
      </c>
      <c r="E12" s="111">
        <f>IFERROR(VLOOKUP($B12,MMWR_TRAD_AGG_STATE_COMP[],E$1,0),"ERROR")</f>
        <v>6329</v>
      </c>
      <c r="F12" s="112">
        <f>IFERROR(VLOOKUP($B12,MMWR_TRAD_AGG_STATE_COMP[],F$1,0),"ERROR")</f>
        <v>1469</v>
      </c>
      <c r="G12" s="113">
        <f t="shared" si="0"/>
        <v>0.23210617791120239</v>
      </c>
      <c r="H12" s="111">
        <f>IFERROR(VLOOKUP($B12,MMWR_TRAD_AGG_STATE_COMP[],H$1,0),"ERROR")</f>
        <v>12135</v>
      </c>
      <c r="I12" s="112">
        <f>IFERROR(VLOOKUP($B12,MMWR_TRAD_AGG_STATE_COMP[],I$1,0),"ERROR")</f>
        <v>7435</v>
      </c>
      <c r="J12" s="114">
        <f t="shared" si="1"/>
        <v>0.61269056448290071</v>
      </c>
      <c r="K12" s="111">
        <f>IFERROR(VLOOKUP($B12,MMWR_TRAD_AGG_STATE_COMP[],K$1,0),"ERROR")</f>
        <v>4262</v>
      </c>
      <c r="L12" s="112">
        <f>IFERROR(VLOOKUP($B12,MMWR_TRAD_AGG_STATE_COMP[],L$1,0),"ERROR")</f>
        <v>3701</v>
      </c>
      <c r="M12" s="114">
        <f t="shared" si="2"/>
        <v>0.86837165649929615</v>
      </c>
      <c r="N12" s="111">
        <f>IFERROR(VLOOKUP($B12,MMWR_TRAD_AGG_STATE_COMP[],N$1,0),"ERROR")</f>
        <v>3308</v>
      </c>
      <c r="O12" s="112">
        <f>IFERROR(VLOOKUP($B12,MMWR_TRAD_AGG_STATE_COMP[],O$1,0),"ERROR")</f>
        <v>2328</v>
      </c>
      <c r="P12" s="114">
        <f t="shared" si="3"/>
        <v>0.70374848851269645</v>
      </c>
      <c r="Q12" s="115">
        <f>IFERROR(VLOOKUP($B12,MMWR_TRAD_AGG_STATE_COMP[],Q$1,0),"ERROR")</f>
        <v>524</v>
      </c>
      <c r="R12" s="115">
        <f>IFERROR(VLOOKUP($B12,MMWR_TRAD_AGG_STATE_COMP[],R$1,0),"ERROR")</f>
        <v>6</v>
      </c>
      <c r="S12" s="115">
        <f>IFERROR(VLOOKUP($B12,MMWR_APP_STATE_COMP[],S$1,0),"ERROR")</f>
        <v>5638</v>
      </c>
      <c r="T12" s="28"/>
    </row>
    <row r="13" spans="1:20" s="123" customFormat="1" x14ac:dyDescent="0.2">
      <c r="A13" s="107"/>
      <c r="B13" s="127" t="s">
        <v>370</v>
      </c>
      <c r="C13" s="109">
        <f>IFERROR(VLOOKUP($B13,MMWR_TRAD_AGG_STATE_COMP[],C$1,0),"ERROR")</f>
        <v>3322</v>
      </c>
      <c r="D13" s="110">
        <f>IFERROR(VLOOKUP($B13,MMWR_TRAD_AGG_STATE_COMP[],D$1,0),"ERROR")</f>
        <v>557.89494280550002</v>
      </c>
      <c r="E13" s="111">
        <f>IFERROR(VLOOKUP($B13,MMWR_TRAD_AGG_STATE_COMP[],E$1,0),"ERROR")</f>
        <v>4425</v>
      </c>
      <c r="F13" s="112">
        <f>IFERROR(VLOOKUP($B13,MMWR_TRAD_AGG_STATE_COMP[],F$1,0),"ERROR")</f>
        <v>922</v>
      </c>
      <c r="G13" s="113">
        <f t="shared" si="0"/>
        <v>0.20836158192090395</v>
      </c>
      <c r="H13" s="111">
        <f>IFERROR(VLOOKUP($B13,MMWR_TRAD_AGG_STATE_COMP[],H$1,0),"ERROR")</f>
        <v>7487</v>
      </c>
      <c r="I13" s="112">
        <f>IFERROR(VLOOKUP($B13,MMWR_TRAD_AGG_STATE_COMP[],I$1,0),"ERROR")</f>
        <v>3656</v>
      </c>
      <c r="J13" s="114">
        <f t="shared" si="1"/>
        <v>0.48831307599839724</v>
      </c>
      <c r="K13" s="111">
        <f>IFERROR(VLOOKUP($B13,MMWR_TRAD_AGG_STATE_COMP[],K$1,0),"ERROR")</f>
        <v>2583</v>
      </c>
      <c r="L13" s="112">
        <f>IFERROR(VLOOKUP($B13,MMWR_TRAD_AGG_STATE_COMP[],L$1,0),"ERROR")</f>
        <v>2141</v>
      </c>
      <c r="M13" s="114">
        <f t="shared" si="2"/>
        <v>0.82888114595431672</v>
      </c>
      <c r="N13" s="111">
        <f>IFERROR(VLOOKUP($B13,MMWR_TRAD_AGG_STATE_COMP[],N$1,0),"ERROR")</f>
        <v>1276</v>
      </c>
      <c r="O13" s="112">
        <f>IFERROR(VLOOKUP($B13,MMWR_TRAD_AGG_STATE_COMP[],O$1,0),"ERROR")</f>
        <v>932</v>
      </c>
      <c r="P13" s="114">
        <f t="shared" si="3"/>
        <v>0.73040752351097182</v>
      </c>
      <c r="Q13" s="115">
        <f>IFERROR(VLOOKUP($B13,MMWR_TRAD_AGG_STATE_COMP[],Q$1,0),"ERROR")</f>
        <v>832</v>
      </c>
      <c r="R13" s="115">
        <f>IFERROR(VLOOKUP($B13,MMWR_TRAD_AGG_STATE_COMP[],R$1,0),"ERROR")</f>
        <v>13</v>
      </c>
      <c r="S13" s="115">
        <f>IFERROR(VLOOKUP($B13,MMWR_APP_STATE_COMP[],S$1,0),"ERROR")</f>
        <v>3350</v>
      </c>
      <c r="T13" s="28"/>
    </row>
    <row r="14" spans="1:20" s="123" customFormat="1" x14ac:dyDescent="0.2">
      <c r="A14" s="107"/>
      <c r="B14" s="127" t="s">
        <v>414</v>
      </c>
      <c r="C14" s="109">
        <f>IFERROR(VLOOKUP($B14,MMWR_TRAD_AGG_STATE_COMP[],C$1,0),"ERROR")</f>
        <v>967</v>
      </c>
      <c r="D14" s="110">
        <f>IFERROR(VLOOKUP($B14,MMWR_TRAD_AGG_STATE_COMP[],D$1,0),"ERROR")</f>
        <v>253.50775594620001</v>
      </c>
      <c r="E14" s="111">
        <f>IFERROR(VLOOKUP($B14,MMWR_TRAD_AGG_STATE_COMP[],E$1,0),"ERROR")</f>
        <v>1337</v>
      </c>
      <c r="F14" s="112">
        <f>IFERROR(VLOOKUP($B14,MMWR_TRAD_AGG_STATE_COMP[],F$1,0),"ERROR")</f>
        <v>221</v>
      </c>
      <c r="G14" s="113">
        <f t="shared" si="0"/>
        <v>0.16529543754674644</v>
      </c>
      <c r="H14" s="111">
        <f>IFERROR(VLOOKUP($B14,MMWR_TRAD_AGG_STATE_COMP[],H$1,0),"ERROR")</f>
        <v>1982</v>
      </c>
      <c r="I14" s="112">
        <f>IFERROR(VLOOKUP($B14,MMWR_TRAD_AGG_STATE_COMP[],I$1,0),"ERROR")</f>
        <v>841</v>
      </c>
      <c r="J14" s="114">
        <f t="shared" si="1"/>
        <v>0.42431886982845612</v>
      </c>
      <c r="K14" s="111">
        <f>IFERROR(VLOOKUP($B14,MMWR_TRAD_AGG_STATE_COMP[],K$1,0),"ERROR")</f>
        <v>382</v>
      </c>
      <c r="L14" s="112">
        <f>IFERROR(VLOOKUP($B14,MMWR_TRAD_AGG_STATE_COMP[],L$1,0),"ERROR")</f>
        <v>267</v>
      </c>
      <c r="M14" s="114">
        <f t="shared" si="2"/>
        <v>0.69895287958115182</v>
      </c>
      <c r="N14" s="111">
        <f>IFERROR(VLOOKUP($B14,MMWR_TRAD_AGG_STATE_COMP[],N$1,0),"ERROR")</f>
        <v>345</v>
      </c>
      <c r="O14" s="112">
        <f>IFERROR(VLOOKUP($B14,MMWR_TRAD_AGG_STATE_COMP[],O$1,0),"ERROR")</f>
        <v>187</v>
      </c>
      <c r="P14" s="114">
        <f t="shared" si="3"/>
        <v>0.54202898550724643</v>
      </c>
      <c r="Q14" s="115">
        <f>IFERROR(VLOOKUP($B14,MMWR_TRAD_AGG_STATE_COMP[],Q$1,0),"ERROR")</f>
        <v>219</v>
      </c>
      <c r="R14" s="115">
        <f>IFERROR(VLOOKUP($B14,MMWR_TRAD_AGG_STATE_COMP[],R$1,0),"ERROR")</f>
        <v>4</v>
      </c>
      <c r="S14" s="115">
        <f>IFERROR(VLOOKUP($B14,MMWR_APP_STATE_COMP[],S$1,0),"ERROR")</f>
        <v>602</v>
      </c>
      <c r="T14" s="28"/>
    </row>
    <row r="15" spans="1:20" s="123" customFormat="1" x14ac:dyDescent="0.2">
      <c r="A15" s="107"/>
      <c r="B15" s="127" t="s">
        <v>373</v>
      </c>
      <c r="C15" s="109">
        <f>IFERROR(VLOOKUP($B15,MMWR_TRAD_AGG_STATE_COMP[],C$1,0),"ERROR")</f>
        <v>1525</v>
      </c>
      <c r="D15" s="110">
        <f>IFERROR(VLOOKUP($B15,MMWR_TRAD_AGG_STATE_COMP[],D$1,0),"ERROR")</f>
        <v>298.56131147539998</v>
      </c>
      <c r="E15" s="111">
        <f>IFERROR(VLOOKUP($B15,MMWR_TRAD_AGG_STATE_COMP[],E$1,0),"ERROR")</f>
        <v>4581</v>
      </c>
      <c r="F15" s="112">
        <f>IFERROR(VLOOKUP($B15,MMWR_TRAD_AGG_STATE_COMP[],F$1,0),"ERROR")</f>
        <v>1239</v>
      </c>
      <c r="G15" s="113">
        <f t="shared" si="0"/>
        <v>0.27046496398166342</v>
      </c>
      <c r="H15" s="111">
        <f>IFERROR(VLOOKUP($B15,MMWR_TRAD_AGG_STATE_COMP[],H$1,0),"ERROR")</f>
        <v>4227</v>
      </c>
      <c r="I15" s="112">
        <f>IFERROR(VLOOKUP($B15,MMWR_TRAD_AGG_STATE_COMP[],I$1,0),"ERROR")</f>
        <v>1585</v>
      </c>
      <c r="J15" s="114">
        <f t="shared" si="1"/>
        <v>0.3749704281996688</v>
      </c>
      <c r="K15" s="111">
        <f>IFERROR(VLOOKUP($B15,MMWR_TRAD_AGG_STATE_COMP[],K$1,0),"ERROR")</f>
        <v>1333</v>
      </c>
      <c r="L15" s="112">
        <f>IFERROR(VLOOKUP($B15,MMWR_TRAD_AGG_STATE_COMP[],L$1,0),"ERROR")</f>
        <v>1118</v>
      </c>
      <c r="M15" s="114">
        <f t="shared" si="2"/>
        <v>0.83870967741935487</v>
      </c>
      <c r="N15" s="111">
        <f>IFERROR(VLOOKUP($B15,MMWR_TRAD_AGG_STATE_COMP[],N$1,0),"ERROR")</f>
        <v>2462</v>
      </c>
      <c r="O15" s="112">
        <f>IFERROR(VLOOKUP($B15,MMWR_TRAD_AGG_STATE_COMP[],O$1,0),"ERROR")</f>
        <v>1835</v>
      </c>
      <c r="P15" s="114">
        <f t="shared" si="3"/>
        <v>0.74532900081234765</v>
      </c>
      <c r="Q15" s="115">
        <f>IFERROR(VLOOKUP($B15,MMWR_TRAD_AGG_STATE_COMP[],Q$1,0),"ERROR")</f>
        <v>842</v>
      </c>
      <c r="R15" s="115">
        <f>IFERROR(VLOOKUP($B15,MMWR_TRAD_AGG_STATE_COMP[],R$1,0),"ERROR")</f>
        <v>6</v>
      </c>
      <c r="S15" s="115">
        <f>IFERROR(VLOOKUP($B15,MMWR_APP_STATE_COMP[],S$1,0),"ERROR")</f>
        <v>3839</v>
      </c>
      <c r="T15" s="28"/>
    </row>
    <row r="16" spans="1:20" s="123" customFormat="1" x14ac:dyDescent="0.2">
      <c r="A16" s="107"/>
      <c r="B16" s="127" t="s">
        <v>60</v>
      </c>
      <c r="C16" s="109">
        <f>IFERROR(VLOOKUP($B16,MMWR_TRAD_AGG_STATE_COMP[],C$1,0),"ERROR")</f>
        <v>3359</v>
      </c>
      <c r="D16" s="110">
        <f>IFERROR(VLOOKUP($B16,MMWR_TRAD_AGG_STATE_COMP[],D$1,0),"ERROR")</f>
        <v>277.25513545699999</v>
      </c>
      <c r="E16" s="111">
        <f>IFERROR(VLOOKUP($B16,MMWR_TRAD_AGG_STATE_COMP[],E$1,0),"ERROR")</f>
        <v>9250</v>
      </c>
      <c r="F16" s="112">
        <f>IFERROR(VLOOKUP($B16,MMWR_TRAD_AGG_STATE_COMP[],F$1,0),"ERROR")</f>
        <v>2217</v>
      </c>
      <c r="G16" s="113">
        <f t="shared" si="0"/>
        <v>0.23967567567567569</v>
      </c>
      <c r="H16" s="111">
        <f>IFERROR(VLOOKUP($B16,MMWR_TRAD_AGG_STATE_COMP[],H$1,0),"ERROR")</f>
        <v>9164</v>
      </c>
      <c r="I16" s="112">
        <f>IFERROR(VLOOKUP($B16,MMWR_TRAD_AGG_STATE_COMP[],I$1,0),"ERROR")</f>
        <v>3472</v>
      </c>
      <c r="J16" s="114">
        <f t="shared" si="1"/>
        <v>0.37887385421213443</v>
      </c>
      <c r="K16" s="111">
        <f>IFERROR(VLOOKUP($B16,MMWR_TRAD_AGG_STATE_COMP[],K$1,0),"ERROR")</f>
        <v>3174</v>
      </c>
      <c r="L16" s="112">
        <f>IFERROR(VLOOKUP($B16,MMWR_TRAD_AGG_STATE_COMP[],L$1,0),"ERROR")</f>
        <v>2509</v>
      </c>
      <c r="M16" s="114">
        <f t="shared" si="2"/>
        <v>0.79048519218651547</v>
      </c>
      <c r="N16" s="111">
        <f>IFERROR(VLOOKUP($B16,MMWR_TRAD_AGG_STATE_COMP[],N$1,0),"ERROR")</f>
        <v>6161</v>
      </c>
      <c r="O16" s="112">
        <f>IFERROR(VLOOKUP($B16,MMWR_TRAD_AGG_STATE_COMP[],O$1,0),"ERROR")</f>
        <v>4485</v>
      </c>
      <c r="P16" s="114">
        <f t="shared" si="3"/>
        <v>0.72796623924687553</v>
      </c>
      <c r="Q16" s="115">
        <f>IFERROR(VLOOKUP($B16,MMWR_TRAD_AGG_STATE_COMP[],Q$1,0),"ERROR")</f>
        <v>1776</v>
      </c>
      <c r="R16" s="115">
        <f>IFERROR(VLOOKUP($B16,MMWR_TRAD_AGG_STATE_COMP[],R$1,0),"ERROR")</f>
        <v>10</v>
      </c>
      <c r="S16" s="115">
        <f>IFERROR(VLOOKUP($B16,MMWR_APP_STATE_COMP[],S$1,0),"ERROR")</f>
        <v>5473</v>
      </c>
      <c r="T16" s="28"/>
    </row>
    <row r="17" spans="1:20" s="123" customFormat="1" x14ac:dyDescent="0.2">
      <c r="A17" s="107"/>
      <c r="B17" s="127" t="s">
        <v>381</v>
      </c>
      <c r="C17" s="109">
        <f>IFERROR(VLOOKUP($B17,MMWR_TRAD_AGG_STATE_COMP[],C$1,0),"ERROR")</f>
        <v>12960</v>
      </c>
      <c r="D17" s="110">
        <f>IFERROR(VLOOKUP($B17,MMWR_TRAD_AGG_STATE_COMP[],D$1,0),"ERROR")</f>
        <v>347.8625771605</v>
      </c>
      <c r="E17" s="111">
        <f>IFERROR(VLOOKUP($B17,MMWR_TRAD_AGG_STATE_COMP[],E$1,0),"ERROR")</f>
        <v>17971</v>
      </c>
      <c r="F17" s="112">
        <f>IFERROR(VLOOKUP($B17,MMWR_TRAD_AGG_STATE_COMP[],F$1,0),"ERROR")</f>
        <v>4064</v>
      </c>
      <c r="G17" s="113">
        <f t="shared" si="0"/>
        <v>0.22614211785654667</v>
      </c>
      <c r="H17" s="111">
        <f>IFERROR(VLOOKUP($B17,MMWR_TRAD_AGG_STATE_COMP[],H$1,0),"ERROR")</f>
        <v>20416</v>
      </c>
      <c r="I17" s="112">
        <f>IFERROR(VLOOKUP($B17,MMWR_TRAD_AGG_STATE_COMP[],I$1,0),"ERROR")</f>
        <v>11343</v>
      </c>
      <c r="J17" s="114">
        <f t="shared" si="1"/>
        <v>0.55559365203761757</v>
      </c>
      <c r="K17" s="111">
        <f>IFERROR(VLOOKUP($B17,MMWR_TRAD_AGG_STATE_COMP[],K$1,0),"ERROR")</f>
        <v>8962</v>
      </c>
      <c r="L17" s="112">
        <f>IFERROR(VLOOKUP($B17,MMWR_TRAD_AGG_STATE_COMP[],L$1,0),"ERROR")</f>
        <v>7102</v>
      </c>
      <c r="M17" s="114">
        <f t="shared" si="2"/>
        <v>0.7924570408390984</v>
      </c>
      <c r="N17" s="111">
        <f>IFERROR(VLOOKUP($B17,MMWR_TRAD_AGG_STATE_COMP[],N$1,0),"ERROR")</f>
        <v>7607</v>
      </c>
      <c r="O17" s="112">
        <f>IFERROR(VLOOKUP($B17,MMWR_TRAD_AGG_STATE_COMP[],O$1,0),"ERROR")</f>
        <v>5230</v>
      </c>
      <c r="P17" s="114">
        <f t="shared" si="3"/>
        <v>0.68752464835020377</v>
      </c>
      <c r="Q17" s="115">
        <f>IFERROR(VLOOKUP($B17,MMWR_TRAD_AGG_STATE_COMP[],Q$1,0),"ERROR")</f>
        <v>1251</v>
      </c>
      <c r="R17" s="115">
        <f>IFERROR(VLOOKUP($B17,MMWR_TRAD_AGG_STATE_COMP[],R$1,0),"ERROR")</f>
        <v>43</v>
      </c>
      <c r="S17" s="115">
        <f>IFERROR(VLOOKUP($B17,MMWR_APP_STATE_COMP[],S$1,0),"ERROR")</f>
        <v>9331</v>
      </c>
      <c r="T17" s="28"/>
    </row>
    <row r="18" spans="1:20" s="123" customFormat="1" x14ac:dyDescent="0.2">
      <c r="A18" s="107"/>
      <c r="B18" s="127" t="s">
        <v>374</v>
      </c>
      <c r="C18" s="109">
        <f>IFERROR(VLOOKUP($B18,MMWR_TRAD_AGG_STATE_COMP[],C$1,0),"ERROR")</f>
        <v>4926</v>
      </c>
      <c r="D18" s="110">
        <f>IFERROR(VLOOKUP($B18,MMWR_TRAD_AGG_STATE_COMP[],D$1,0),"ERROR")</f>
        <v>505.05237515229999</v>
      </c>
      <c r="E18" s="111">
        <f>IFERROR(VLOOKUP($B18,MMWR_TRAD_AGG_STATE_COMP[],E$1,0),"ERROR")</f>
        <v>9639</v>
      </c>
      <c r="F18" s="112">
        <f>IFERROR(VLOOKUP($B18,MMWR_TRAD_AGG_STATE_COMP[],F$1,0),"ERROR")</f>
        <v>2813</v>
      </c>
      <c r="G18" s="113">
        <f t="shared" si="0"/>
        <v>0.29183525261956633</v>
      </c>
      <c r="H18" s="111">
        <f>IFERROR(VLOOKUP($B18,MMWR_TRAD_AGG_STATE_COMP[],H$1,0),"ERROR")</f>
        <v>11176</v>
      </c>
      <c r="I18" s="112">
        <f>IFERROR(VLOOKUP($B18,MMWR_TRAD_AGG_STATE_COMP[],I$1,0),"ERROR")</f>
        <v>5254</v>
      </c>
      <c r="J18" s="114">
        <f t="shared" si="1"/>
        <v>0.47011453113815316</v>
      </c>
      <c r="K18" s="111">
        <f>IFERROR(VLOOKUP($B18,MMWR_TRAD_AGG_STATE_COMP[],K$1,0),"ERROR")</f>
        <v>2367</v>
      </c>
      <c r="L18" s="112">
        <f>IFERROR(VLOOKUP($B18,MMWR_TRAD_AGG_STATE_COMP[],L$1,0),"ERROR")</f>
        <v>1961</v>
      </c>
      <c r="M18" s="114">
        <f t="shared" si="2"/>
        <v>0.82847486269539505</v>
      </c>
      <c r="N18" s="111">
        <f>IFERROR(VLOOKUP($B18,MMWR_TRAD_AGG_STATE_COMP[],N$1,0),"ERROR")</f>
        <v>6497</v>
      </c>
      <c r="O18" s="112">
        <f>IFERROR(VLOOKUP($B18,MMWR_TRAD_AGG_STATE_COMP[],O$1,0),"ERROR")</f>
        <v>5290</v>
      </c>
      <c r="P18" s="114">
        <f t="shared" si="3"/>
        <v>0.81422194859165764</v>
      </c>
      <c r="Q18" s="115">
        <f>IFERROR(VLOOKUP($B18,MMWR_TRAD_AGG_STATE_COMP[],Q$1,0),"ERROR")</f>
        <v>1667</v>
      </c>
      <c r="R18" s="115">
        <f>IFERROR(VLOOKUP($B18,MMWR_TRAD_AGG_STATE_COMP[],R$1,0),"ERROR")</f>
        <v>16</v>
      </c>
      <c r="S18" s="115">
        <f>IFERROR(VLOOKUP($B18,MMWR_APP_STATE_COMP[],S$1,0),"ERROR")</f>
        <v>7259</v>
      </c>
      <c r="T18" s="28"/>
    </row>
    <row r="19" spans="1:20" s="123" customFormat="1" x14ac:dyDescent="0.2">
      <c r="A19" s="107"/>
      <c r="B19" s="127" t="s">
        <v>371</v>
      </c>
      <c r="C19" s="109">
        <f>IFERROR(VLOOKUP($B19,MMWR_TRAD_AGG_STATE_COMP[],C$1,0),"ERROR")</f>
        <v>228</v>
      </c>
      <c r="D19" s="110">
        <f>IFERROR(VLOOKUP($B19,MMWR_TRAD_AGG_STATE_COMP[],D$1,0),"ERROR")</f>
        <v>249.2543859649</v>
      </c>
      <c r="E19" s="111">
        <f>IFERROR(VLOOKUP($B19,MMWR_TRAD_AGG_STATE_COMP[],E$1,0),"ERROR")</f>
        <v>920</v>
      </c>
      <c r="F19" s="112">
        <f>IFERROR(VLOOKUP($B19,MMWR_TRAD_AGG_STATE_COMP[],F$1,0),"ERROR")</f>
        <v>171</v>
      </c>
      <c r="G19" s="113">
        <f t="shared" si="0"/>
        <v>0.18586956521739131</v>
      </c>
      <c r="H19" s="111">
        <f>IFERROR(VLOOKUP($B19,MMWR_TRAD_AGG_STATE_COMP[],H$1,0),"ERROR")</f>
        <v>1001</v>
      </c>
      <c r="I19" s="112">
        <f>IFERROR(VLOOKUP($B19,MMWR_TRAD_AGG_STATE_COMP[],I$1,0),"ERROR")</f>
        <v>246</v>
      </c>
      <c r="J19" s="114">
        <f t="shared" si="1"/>
        <v>0.24575424575424576</v>
      </c>
      <c r="K19" s="111">
        <f>IFERROR(VLOOKUP($B19,MMWR_TRAD_AGG_STATE_COMP[],K$1,0),"ERROR")</f>
        <v>225</v>
      </c>
      <c r="L19" s="112">
        <f>IFERROR(VLOOKUP($B19,MMWR_TRAD_AGG_STATE_COMP[],L$1,0),"ERROR")</f>
        <v>162</v>
      </c>
      <c r="M19" s="114">
        <f t="shared" si="2"/>
        <v>0.72</v>
      </c>
      <c r="N19" s="111">
        <f>IFERROR(VLOOKUP($B19,MMWR_TRAD_AGG_STATE_COMP[],N$1,0),"ERROR")</f>
        <v>231</v>
      </c>
      <c r="O19" s="112">
        <f>IFERROR(VLOOKUP($B19,MMWR_TRAD_AGG_STATE_COMP[],O$1,0),"ERROR")</f>
        <v>130</v>
      </c>
      <c r="P19" s="114">
        <f t="shared" si="3"/>
        <v>0.56277056277056281</v>
      </c>
      <c r="Q19" s="115">
        <f>IFERROR(VLOOKUP($B19,MMWR_TRAD_AGG_STATE_COMP[],Q$1,0),"ERROR")</f>
        <v>194</v>
      </c>
      <c r="R19" s="115">
        <f>IFERROR(VLOOKUP($B19,MMWR_TRAD_AGG_STATE_COMP[],R$1,0),"ERROR")</f>
        <v>3</v>
      </c>
      <c r="S19" s="115">
        <f>IFERROR(VLOOKUP($B19,MMWR_APP_STATE_COMP[],S$1,0),"ERROR")</f>
        <v>306</v>
      </c>
      <c r="T19" s="28"/>
    </row>
    <row r="20" spans="1:20" s="123" customFormat="1" x14ac:dyDescent="0.2">
      <c r="A20" s="107"/>
      <c r="B20" s="127" t="s">
        <v>416</v>
      </c>
      <c r="C20" s="109">
        <f>IFERROR(VLOOKUP($B20,MMWR_TRAD_AGG_STATE_COMP[],C$1,0),"ERROR")</f>
        <v>409</v>
      </c>
      <c r="D20" s="110">
        <f>IFERROR(VLOOKUP($B20,MMWR_TRAD_AGG_STATE_COMP[],D$1,0),"ERROR")</f>
        <v>324.82885085570001</v>
      </c>
      <c r="E20" s="111">
        <f>IFERROR(VLOOKUP($B20,MMWR_TRAD_AGG_STATE_COMP[],E$1,0),"ERROR")</f>
        <v>541</v>
      </c>
      <c r="F20" s="112">
        <f>IFERROR(VLOOKUP($B20,MMWR_TRAD_AGG_STATE_COMP[],F$1,0),"ERROR")</f>
        <v>127</v>
      </c>
      <c r="G20" s="113">
        <f t="shared" si="0"/>
        <v>0.23475046210720887</v>
      </c>
      <c r="H20" s="111">
        <f>IFERROR(VLOOKUP($B20,MMWR_TRAD_AGG_STATE_COMP[],H$1,0),"ERROR")</f>
        <v>1045</v>
      </c>
      <c r="I20" s="112">
        <f>IFERROR(VLOOKUP($B20,MMWR_TRAD_AGG_STATE_COMP[],I$1,0),"ERROR")</f>
        <v>409</v>
      </c>
      <c r="J20" s="114">
        <f t="shared" si="1"/>
        <v>0.39138755980861245</v>
      </c>
      <c r="K20" s="111">
        <f>IFERROR(VLOOKUP($B20,MMWR_TRAD_AGG_STATE_COMP[],K$1,0),"ERROR")</f>
        <v>240</v>
      </c>
      <c r="L20" s="112">
        <f>IFERROR(VLOOKUP($B20,MMWR_TRAD_AGG_STATE_COMP[],L$1,0),"ERROR")</f>
        <v>185</v>
      </c>
      <c r="M20" s="114">
        <f t="shared" si="2"/>
        <v>0.77083333333333337</v>
      </c>
      <c r="N20" s="111">
        <f>IFERROR(VLOOKUP($B20,MMWR_TRAD_AGG_STATE_COMP[],N$1,0),"ERROR")</f>
        <v>197</v>
      </c>
      <c r="O20" s="112">
        <f>IFERROR(VLOOKUP($B20,MMWR_TRAD_AGG_STATE_COMP[],O$1,0),"ERROR")</f>
        <v>116</v>
      </c>
      <c r="P20" s="114">
        <f t="shared" si="3"/>
        <v>0.58883248730964466</v>
      </c>
      <c r="Q20" s="115">
        <f>IFERROR(VLOOKUP($B20,MMWR_TRAD_AGG_STATE_COMP[],Q$1,0),"ERROR")</f>
        <v>84</v>
      </c>
      <c r="R20" s="115">
        <f>IFERROR(VLOOKUP($B20,MMWR_TRAD_AGG_STATE_COMP[],R$1,0),"ERROR")</f>
        <v>3</v>
      </c>
      <c r="S20" s="115">
        <f>IFERROR(VLOOKUP($B20,MMWR_APP_STATE_COMP[],S$1,0),"ERROR")</f>
        <v>118</v>
      </c>
      <c r="T20" s="28"/>
    </row>
    <row r="21" spans="1:20" s="123" customFormat="1" x14ac:dyDescent="0.2">
      <c r="A21" s="107"/>
      <c r="B21" s="127" t="s">
        <v>377</v>
      </c>
      <c r="C21" s="109">
        <f>IFERROR(VLOOKUP($B21,MMWR_TRAD_AGG_STATE_COMP[],C$1,0),"ERROR")</f>
        <v>14865</v>
      </c>
      <c r="D21" s="110">
        <f>IFERROR(VLOOKUP($B21,MMWR_TRAD_AGG_STATE_COMP[],D$1,0),"ERROR")</f>
        <v>318.7355533132</v>
      </c>
      <c r="E21" s="111">
        <f>IFERROR(VLOOKUP($B21,MMWR_TRAD_AGG_STATE_COMP[],E$1,0),"ERROR")</f>
        <v>12720</v>
      </c>
      <c r="F21" s="112">
        <f>IFERROR(VLOOKUP($B21,MMWR_TRAD_AGG_STATE_COMP[],F$1,0),"ERROR")</f>
        <v>2225</v>
      </c>
      <c r="G21" s="113">
        <f t="shared" si="0"/>
        <v>0.17492138364779874</v>
      </c>
      <c r="H21" s="111">
        <f>IFERROR(VLOOKUP($B21,MMWR_TRAD_AGG_STATE_COMP[],H$1,0),"ERROR")</f>
        <v>22626</v>
      </c>
      <c r="I21" s="112">
        <f>IFERROR(VLOOKUP($B21,MMWR_TRAD_AGG_STATE_COMP[],I$1,0),"ERROR")</f>
        <v>10996</v>
      </c>
      <c r="J21" s="114">
        <f t="shared" si="1"/>
        <v>0.48598956952178907</v>
      </c>
      <c r="K21" s="111">
        <f>IFERROR(VLOOKUP($B21,MMWR_TRAD_AGG_STATE_COMP[],K$1,0),"ERROR")</f>
        <v>8465</v>
      </c>
      <c r="L21" s="112">
        <f>IFERROR(VLOOKUP($B21,MMWR_TRAD_AGG_STATE_COMP[],L$1,0),"ERROR")</f>
        <v>6632</v>
      </c>
      <c r="M21" s="114">
        <f t="shared" si="2"/>
        <v>0.78346131128174834</v>
      </c>
      <c r="N21" s="111">
        <f>IFERROR(VLOOKUP($B21,MMWR_TRAD_AGG_STATE_COMP[],N$1,0),"ERROR")</f>
        <v>7956</v>
      </c>
      <c r="O21" s="112">
        <f>IFERROR(VLOOKUP($B21,MMWR_TRAD_AGG_STATE_COMP[],O$1,0),"ERROR")</f>
        <v>6093</v>
      </c>
      <c r="P21" s="114">
        <f t="shared" si="3"/>
        <v>0.76583710407239824</v>
      </c>
      <c r="Q21" s="115">
        <f>IFERROR(VLOOKUP($B21,MMWR_TRAD_AGG_STATE_COMP[],Q$1,0),"ERROR")</f>
        <v>1106</v>
      </c>
      <c r="R21" s="115">
        <f>IFERROR(VLOOKUP($B21,MMWR_TRAD_AGG_STATE_COMP[],R$1,0),"ERROR")</f>
        <v>23</v>
      </c>
      <c r="S21" s="115">
        <f>IFERROR(VLOOKUP($B21,MMWR_APP_STATE_COMP[],S$1,0),"ERROR")</f>
        <v>15234</v>
      </c>
      <c r="T21" s="28"/>
    </row>
    <row r="22" spans="1:20" s="123" customFormat="1" x14ac:dyDescent="0.2">
      <c r="A22" s="107"/>
      <c r="B22" s="127" t="s">
        <v>378</v>
      </c>
      <c r="C22" s="109">
        <f>IFERROR(VLOOKUP($B22,MMWR_TRAD_AGG_STATE_COMP[],C$1,0),"ERROR")</f>
        <v>1880</v>
      </c>
      <c r="D22" s="110">
        <f>IFERROR(VLOOKUP($B22,MMWR_TRAD_AGG_STATE_COMP[],D$1,0),"ERROR")</f>
        <v>276.77393617019999</v>
      </c>
      <c r="E22" s="111">
        <f>IFERROR(VLOOKUP($B22,MMWR_TRAD_AGG_STATE_COMP[],E$1,0),"ERROR")</f>
        <v>2544</v>
      </c>
      <c r="F22" s="112">
        <f>IFERROR(VLOOKUP($B22,MMWR_TRAD_AGG_STATE_COMP[],F$1,0),"ERROR")</f>
        <v>440</v>
      </c>
      <c r="G22" s="113">
        <f t="shared" si="0"/>
        <v>0.17295597484276728</v>
      </c>
      <c r="H22" s="111">
        <f>IFERROR(VLOOKUP($B22,MMWR_TRAD_AGG_STATE_COMP[],H$1,0),"ERROR")</f>
        <v>3393</v>
      </c>
      <c r="I22" s="112">
        <f>IFERROR(VLOOKUP($B22,MMWR_TRAD_AGG_STATE_COMP[],I$1,0),"ERROR")</f>
        <v>1750</v>
      </c>
      <c r="J22" s="114">
        <f t="shared" si="1"/>
        <v>0.51576775714706746</v>
      </c>
      <c r="K22" s="111">
        <f>IFERROR(VLOOKUP($B22,MMWR_TRAD_AGG_STATE_COMP[],K$1,0),"ERROR")</f>
        <v>481</v>
      </c>
      <c r="L22" s="112">
        <f>IFERROR(VLOOKUP($B22,MMWR_TRAD_AGG_STATE_COMP[],L$1,0),"ERROR")</f>
        <v>363</v>
      </c>
      <c r="M22" s="114">
        <f t="shared" si="2"/>
        <v>0.75467775467775466</v>
      </c>
      <c r="N22" s="111">
        <f>IFERROR(VLOOKUP($B22,MMWR_TRAD_AGG_STATE_COMP[],N$1,0),"ERROR")</f>
        <v>1575</v>
      </c>
      <c r="O22" s="112">
        <f>IFERROR(VLOOKUP($B22,MMWR_TRAD_AGG_STATE_COMP[],O$1,0),"ERROR")</f>
        <v>1087</v>
      </c>
      <c r="P22" s="114">
        <f t="shared" si="3"/>
        <v>0.69015873015873019</v>
      </c>
      <c r="Q22" s="115">
        <f>IFERROR(VLOOKUP($B22,MMWR_TRAD_AGG_STATE_COMP[],Q$1,0),"ERROR")</f>
        <v>398</v>
      </c>
      <c r="R22" s="115">
        <f>IFERROR(VLOOKUP($B22,MMWR_TRAD_AGG_STATE_COMP[],R$1,0),"ERROR")</f>
        <v>5</v>
      </c>
      <c r="S22" s="115">
        <f>IFERROR(VLOOKUP($B22,MMWR_APP_STATE_COMP[],S$1,0),"ERROR")</f>
        <v>2408</v>
      </c>
      <c r="T22" s="28"/>
    </row>
    <row r="23" spans="1:20" s="123" customFormat="1" x14ac:dyDescent="0.2">
      <c r="A23" s="107"/>
      <c r="B23" s="126" t="s">
        <v>389</v>
      </c>
      <c r="C23" s="102">
        <f>IF(SUM(C24:C35)&lt;&gt;VLOOKUP($B23,MMWR_TRAD_AGG_ST_DISTRICT_COMP[],C$1,0),"ERROR",
VLOOKUP($B23,MMWR_TRAD_AGG_ST_DISTRICT_COMP[],C$1,0))</f>
        <v>29263</v>
      </c>
      <c r="D23" s="103">
        <f>IFERROR(VLOOKUP($B23,MMWR_TRAD_AGG_ST_DISTRICT_COMP[],D$1,0),"ERROR")</f>
        <v>374.9425212726</v>
      </c>
      <c r="E23" s="102">
        <f>IF(SUM(E24:E35)&lt;&gt;VLOOKUP($B23,MMWR_TRAD_AGG_ST_DISTRICT_COMP[],E$1,0),"ERROR",
VLOOKUP($B23,MMWR_TRAD_AGG_ST_DISTRICT_COMP[],E$1,0))</f>
        <v>53765</v>
      </c>
      <c r="F23" s="102">
        <f>IF(SUM(F24:F35)&lt;&gt;VLOOKUP($B23,MMWR_TRAD_AGG_ST_DISTRICT_COMP[],F$1,0),"ERROR",
VLOOKUP($B23,MMWR_TRAD_AGG_ST_DISTRICT_COMP[],F$1,0))</f>
        <v>10519</v>
      </c>
      <c r="G23" s="104">
        <f t="shared" si="0"/>
        <v>0.19564772621593973</v>
      </c>
      <c r="H23" s="102">
        <f>IF(SUM(H24:H35)&lt;&gt;VLOOKUP($B23,MMWR_TRAD_AGG_ST_DISTRICT_COMP[],H$1,0),"ERROR",
VLOOKUP($B23,MMWR_TRAD_AGG_ST_DISTRICT_COMP[],H$1,0))</f>
        <v>64848</v>
      </c>
      <c r="I23" s="102">
        <f>IF(SUM(I24:I35)&lt;&gt;VLOOKUP($B23,MMWR_TRAD_AGG_ST_DISTRICT_COMP[],I$1,0),"ERROR",
VLOOKUP($B23,MMWR_TRAD_AGG_ST_DISTRICT_COMP[],I$1,0))</f>
        <v>26712</v>
      </c>
      <c r="J23" s="105">
        <f t="shared" si="1"/>
        <v>0.41191709844559588</v>
      </c>
      <c r="K23" s="102">
        <f>IF(SUM(K24:K35)&lt;&gt;VLOOKUP($B23,MMWR_TRAD_AGG_ST_DISTRICT_COMP[],K$1,0),"ERROR",
VLOOKUP($B23,MMWR_TRAD_AGG_ST_DISTRICT_COMP[],K$1,0))</f>
        <v>17156</v>
      </c>
      <c r="L23" s="102">
        <f>IF(SUM(L24:L35)&lt;&gt;VLOOKUP($B23,MMWR_TRAD_AGG_ST_DISTRICT_COMP[],L$1,0),"ERROR",
VLOOKUP($B23,MMWR_TRAD_AGG_ST_DISTRICT_COMP[],L$1,0))</f>
        <v>13404</v>
      </c>
      <c r="M23" s="105">
        <f t="shared" si="2"/>
        <v>0.78130100256470036</v>
      </c>
      <c r="N23" s="102">
        <f>IF(SUM(N24:N35)&lt;&gt;VLOOKUP($B23,MMWR_TRAD_AGG_ST_DISTRICT_COMP[],N$1,0),"ERROR",
VLOOKUP($B23,MMWR_TRAD_AGG_ST_DISTRICT_COMP[],N$1,0))</f>
        <v>22781</v>
      </c>
      <c r="O23" s="102">
        <f>IF(SUM(O24:O35)&lt;&gt;VLOOKUP($B23,MMWR_TRAD_AGG_ST_DISTRICT_COMP[],O$1,0),"ERROR",
VLOOKUP($B23,MMWR_TRAD_AGG_ST_DISTRICT_COMP[],O$1,0))</f>
        <v>15326</v>
      </c>
      <c r="P23" s="105">
        <f t="shared" si="3"/>
        <v>0.67275361046486104</v>
      </c>
      <c r="Q23" s="102">
        <f>IF(SUM(Q24:Q35)&lt;&gt;VLOOKUP($B23,MMWR_TRAD_AGG_ST_DISTRICT_COMP[],Q$1,0),"ERROR",
VLOOKUP($B23,MMWR_TRAD_AGG_ST_DISTRICT_COMP[],Q$1,0))</f>
        <v>5109</v>
      </c>
      <c r="R23" s="102">
        <f>IF(SUM(R24:R35)&lt;&gt;VLOOKUP($B23,MMWR_TRAD_AGG_ST_DISTRICT_COMP[],R$1,0),"ERROR",
VLOOKUP($B23,MMWR_TRAD_AGG_ST_DISTRICT_COMP[],R$1,0))</f>
        <v>1147</v>
      </c>
      <c r="S23" s="106">
        <f>SUM(S24:S35)</f>
        <v>49668</v>
      </c>
      <c r="T23" s="28"/>
    </row>
    <row r="24" spans="1:20" s="123" customFormat="1" x14ac:dyDescent="0.2">
      <c r="A24" s="92"/>
      <c r="B24" s="127" t="s">
        <v>393</v>
      </c>
      <c r="C24" s="109">
        <f>IFERROR(VLOOKUP($B24,MMWR_TRAD_AGG_STATE_COMP[],C$1,0),"ERROR")</f>
        <v>5211</v>
      </c>
      <c r="D24" s="110">
        <f>IFERROR(VLOOKUP($B24,MMWR_TRAD_AGG_STATE_COMP[],D$1,0),"ERROR")</f>
        <v>447.29687200149999</v>
      </c>
      <c r="E24" s="111">
        <f>IFERROR(VLOOKUP($B24,MMWR_TRAD_AGG_STATE_COMP[],E$1,0),"ERROR")</f>
        <v>7732</v>
      </c>
      <c r="F24" s="112">
        <f>IFERROR(VLOOKUP($B24,MMWR_TRAD_AGG_STATE_COMP[],F$1,0),"ERROR")</f>
        <v>1868</v>
      </c>
      <c r="G24" s="113">
        <f t="shared" si="0"/>
        <v>0.24159337816864976</v>
      </c>
      <c r="H24" s="111">
        <f>IFERROR(VLOOKUP($B24,MMWR_TRAD_AGG_STATE_COMP[],H$1,0),"ERROR")</f>
        <v>9481</v>
      </c>
      <c r="I24" s="112">
        <f>IFERROR(VLOOKUP($B24,MMWR_TRAD_AGG_STATE_COMP[],I$1,0),"ERROR")</f>
        <v>5121</v>
      </c>
      <c r="J24" s="114">
        <f t="shared" si="1"/>
        <v>0.54013289737369474</v>
      </c>
      <c r="K24" s="111">
        <f>IFERROR(VLOOKUP($B24,MMWR_TRAD_AGG_STATE_COMP[],K$1,0),"ERROR")</f>
        <v>2263</v>
      </c>
      <c r="L24" s="112">
        <f>IFERROR(VLOOKUP($B24,MMWR_TRAD_AGG_STATE_COMP[],L$1,0),"ERROR")</f>
        <v>1990</v>
      </c>
      <c r="M24" s="114">
        <f t="shared" si="2"/>
        <v>0.87936367653557224</v>
      </c>
      <c r="N24" s="111">
        <f>IFERROR(VLOOKUP($B24,MMWR_TRAD_AGG_STATE_COMP[],N$1,0),"ERROR")</f>
        <v>3320</v>
      </c>
      <c r="O24" s="112">
        <f>IFERROR(VLOOKUP($B24,MMWR_TRAD_AGG_STATE_COMP[],O$1,0),"ERROR")</f>
        <v>2078</v>
      </c>
      <c r="P24" s="114">
        <f t="shared" si="3"/>
        <v>0.62590361445783127</v>
      </c>
      <c r="Q24" s="115">
        <f>IFERROR(VLOOKUP($B24,MMWR_TRAD_AGG_STATE_COMP[],Q$1,0),"ERROR")</f>
        <v>890</v>
      </c>
      <c r="R24" s="115">
        <f>IFERROR(VLOOKUP($B24,MMWR_TRAD_AGG_STATE_COMP[],R$1,0),"ERROR")</f>
        <v>220</v>
      </c>
      <c r="S24" s="115">
        <f>IFERROR(VLOOKUP($B24,MMWR_APP_STATE_COMP[],S$1,0),"ERROR")</f>
        <v>8335</v>
      </c>
      <c r="T24" s="28"/>
    </row>
    <row r="25" spans="1:20" s="123" customFormat="1" x14ac:dyDescent="0.2">
      <c r="A25" s="107"/>
      <c r="B25" s="127" t="s">
        <v>391</v>
      </c>
      <c r="C25" s="109">
        <f>IFERROR(VLOOKUP($B25,MMWR_TRAD_AGG_STATE_COMP[],C$1,0),"ERROR")</f>
        <v>4275</v>
      </c>
      <c r="D25" s="110">
        <f>IFERROR(VLOOKUP($B25,MMWR_TRAD_AGG_STATE_COMP[],D$1,0),"ERROR")</f>
        <v>614.61122807020001</v>
      </c>
      <c r="E25" s="111">
        <f>IFERROR(VLOOKUP($B25,MMWR_TRAD_AGG_STATE_COMP[],E$1,0),"ERROR")</f>
        <v>5243</v>
      </c>
      <c r="F25" s="112">
        <f>IFERROR(VLOOKUP($B25,MMWR_TRAD_AGG_STATE_COMP[],F$1,0),"ERROR")</f>
        <v>946</v>
      </c>
      <c r="G25" s="113">
        <f t="shared" si="0"/>
        <v>0.18043105092504291</v>
      </c>
      <c r="H25" s="111">
        <f>IFERROR(VLOOKUP($B25,MMWR_TRAD_AGG_STATE_COMP[],H$1,0),"ERROR")</f>
        <v>9028</v>
      </c>
      <c r="I25" s="112">
        <f>IFERROR(VLOOKUP($B25,MMWR_TRAD_AGG_STATE_COMP[],I$1,0),"ERROR")</f>
        <v>4990</v>
      </c>
      <c r="J25" s="114">
        <f t="shared" si="1"/>
        <v>0.55272485600354448</v>
      </c>
      <c r="K25" s="111">
        <f>IFERROR(VLOOKUP($B25,MMWR_TRAD_AGG_STATE_COMP[],K$1,0),"ERROR")</f>
        <v>2691</v>
      </c>
      <c r="L25" s="112">
        <f>IFERROR(VLOOKUP($B25,MMWR_TRAD_AGG_STATE_COMP[],L$1,0),"ERROR")</f>
        <v>2280</v>
      </c>
      <c r="M25" s="114">
        <f t="shared" si="2"/>
        <v>0.84726867335562983</v>
      </c>
      <c r="N25" s="111">
        <f>IFERROR(VLOOKUP($B25,MMWR_TRAD_AGG_STATE_COMP[],N$1,0),"ERROR")</f>
        <v>3027</v>
      </c>
      <c r="O25" s="112">
        <f>IFERROR(VLOOKUP($B25,MMWR_TRAD_AGG_STATE_COMP[],O$1,0),"ERROR")</f>
        <v>2277</v>
      </c>
      <c r="P25" s="114">
        <f t="shared" si="3"/>
        <v>0.75222993062438059</v>
      </c>
      <c r="Q25" s="115">
        <f>IFERROR(VLOOKUP($B25,MMWR_TRAD_AGG_STATE_COMP[],Q$1,0),"ERROR")</f>
        <v>660</v>
      </c>
      <c r="R25" s="115">
        <f>IFERROR(VLOOKUP($B25,MMWR_TRAD_AGG_STATE_COMP[],R$1,0),"ERROR")</f>
        <v>239</v>
      </c>
      <c r="S25" s="115">
        <f>IFERROR(VLOOKUP($B25,MMWR_APP_STATE_COMP[],S$1,0),"ERROR")</f>
        <v>8116</v>
      </c>
      <c r="T25" s="28"/>
    </row>
    <row r="26" spans="1:20" s="123" customFormat="1" x14ac:dyDescent="0.2">
      <c r="A26" s="107"/>
      <c r="B26" s="127" t="s">
        <v>398</v>
      </c>
      <c r="C26" s="109">
        <f>IFERROR(VLOOKUP($B26,MMWR_TRAD_AGG_STATE_COMP[],C$1,0),"ERROR")</f>
        <v>838</v>
      </c>
      <c r="D26" s="110">
        <f>IFERROR(VLOOKUP($B26,MMWR_TRAD_AGG_STATE_COMP[],D$1,0),"ERROR")</f>
        <v>179.84367541770001</v>
      </c>
      <c r="E26" s="111">
        <f>IFERROR(VLOOKUP($B26,MMWR_TRAD_AGG_STATE_COMP[],E$1,0),"ERROR")</f>
        <v>2872</v>
      </c>
      <c r="F26" s="112">
        <f>IFERROR(VLOOKUP($B26,MMWR_TRAD_AGG_STATE_COMP[],F$1,0),"ERROR")</f>
        <v>395</v>
      </c>
      <c r="G26" s="113">
        <f t="shared" si="0"/>
        <v>0.13753481894150418</v>
      </c>
      <c r="H26" s="111">
        <f>IFERROR(VLOOKUP($B26,MMWR_TRAD_AGG_STATE_COMP[],H$1,0),"ERROR")</f>
        <v>2451</v>
      </c>
      <c r="I26" s="112">
        <f>IFERROR(VLOOKUP($B26,MMWR_TRAD_AGG_STATE_COMP[],I$1,0),"ERROR")</f>
        <v>425</v>
      </c>
      <c r="J26" s="114">
        <f t="shared" si="1"/>
        <v>0.1733986128110975</v>
      </c>
      <c r="K26" s="111">
        <f>IFERROR(VLOOKUP($B26,MMWR_TRAD_AGG_STATE_COMP[],K$1,0),"ERROR")</f>
        <v>336</v>
      </c>
      <c r="L26" s="112">
        <f>IFERROR(VLOOKUP($B26,MMWR_TRAD_AGG_STATE_COMP[],L$1,0),"ERROR")</f>
        <v>215</v>
      </c>
      <c r="M26" s="114">
        <f t="shared" si="2"/>
        <v>0.63988095238095233</v>
      </c>
      <c r="N26" s="111">
        <f>IFERROR(VLOOKUP($B26,MMWR_TRAD_AGG_STATE_COMP[],N$1,0),"ERROR")</f>
        <v>591</v>
      </c>
      <c r="O26" s="112">
        <f>IFERROR(VLOOKUP($B26,MMWR_TRAD_AGG_STATE_COMP[],O$1,0),"ERROR")</f>
        <v>332</v>
      </c>
      <c r="P26" s="114">
        <f t="shared" si="3"/>
        <v>0.56175972927241957</v>
      </c>
      <c r="Q26" s="115">
        <f>IFERROR(VLOOKUP($B26,MMWR_TRAD_AGG_STATE_COMP[],Q$1,0),"ERROR")</f>
        <v>2</v>
      </c>
      <c r="R26" s="115">
        <f>IFERROR(VLOOKUP($B26,MMWR_TRAD_AGG_STATE_COMP[],R$1,0),"ERROR")</f>
        <v>10</v>
      </c>
      <c r="S26" s="115">
        <f>IFERROR(VLOOKUP($B26,MMWR_APP_STATE_COMP[],S$1,0),"ERROR")</f>
        <v>1538</v>
      </c>
      <c r="T26" s="28"/>
    </row>
    <row r="27" spans="1:20" s="123" customFormat="1" x14ac:dyDescent="0.2">
      <c r="A27" s="107"/>
      <c r="B27" s="127" t="s">
        <v>421</v>
      </c>
      <c r="C27" s="109">
        <f>IFERROR(VLOOKUP($B27,MMWR_TRAD_AGG_STATE_COMP[],C$1,0),"ERROR")</f>
        <v>1685</v>
      </c>
      <c r="D27" s="110">
        <f>IFERROR(VLOOKUP($B27,MMWR_TRAD_AGG_STATE_COMP[],D$1,0),"ERROR")</f>
        <v>221.19406528190001</v>
      </c>
      <c r="E27" s="111">
        <f>IFERROR(VLOOKUP($B27,MMWR_TRAD_AGG_STATE_COMP[],E$1,0),"ERROR")</f>
        <v>2404</v>
      </c>
      <c r="F27" s="112">
        <f>IFERROR(VLOOKUP($B27,MMWR_TRAD_AGG_STATE_COMP[],F$1,0),"ERROR")</f>
        <v>404</v>
      </c>
      <c r="G27" s="113">
        <f t="shared" si="0"/>
        <v>0.16805324459234608</v>
      </c>
      <c r="H27" s="111">
        <f>IFERROR(VLOOKUP($B27,MMWR_TRAD_AGG_STATE_COMP[],H$1,0),"ERROR")</f>
        <v>3401</v>
      </c>
      <c r="I27" s="112">
        <f>IFERROR(VLOOKUP($B27,MMWR_TRAD_AGG_STATE_COMP[],I$1,0),"ERROR")</f>
        <v>1274</v>
      </c>
      <c r="J27" s="114">
        <f t="shared" si="1"/>
        <v>0.37459570714495738</v>
      </c>
      <c r="K27" s="111">
        <f>IFERROR(VLOOKUP($B27,MMWR_TRAD_AGG_STATE_COMP[],K$1,0),"ERROR")</f>
        <v>1094</v>
      </c>
      <c r="L27" s="112">
        <f>IFERROR(VLOOKUP($B27,MMWR_TRAD_AGG_STATE_COMP[],L$1,0),"ERROR")</f>
        <v>564</v>
      </c>
      <c r="M27" s="114">
        <f t="shared" si="2"/>
        <v>0.51553930530164538</v>
      </c>
      <c r="N27" s="111">
        <f>IFERROR(VLOOKUP($B27,MMWR_TRAD_AGG_STATE_COMP[],N$1,0),"ERROR")</f>
        <v>861</v>
      </c>
      <c r="O27" s="112">
        <f>IFERROR(VLOOKUP($B27,MMWR_TRAD_AGG_STATE_COMP[],O$1,0),"ERROR")</f>
        <v>529</v>
      </c>
      <c r="P27" s="114">
        <f t="shared" si="3"/>
        <v>0.61440185830429728</v>
      </c>
      <c r="Q27" s="115">
        <f>IFERROR(VLOOKUP($B27,MMWR_TRAD_AGG_STATE_COMP[],Q$1,0),"ERROR")</f>
        <v>3</v>
      </c>
      <c r="R27" s="115">
        <f>IFERROR(VLOOKUP($B27,MMWR_TRAD_AGG_STATE_COMP[],R$1,0),"ERROR")</f>
        <v>16</v>
      </c>
      <c r="S27" s="115">
        <f>IFERROR(VLOOKUP($B27,MMWR_APP_STATE_COMP[],S$1,0),"ERROR")</f>
        <v>1362</v>
      </c>
      <c r="T27" s="28"/>
    </row>
    <row r="28" spans="1:20" s="123" customFormat="1" x14ac:dyDescent="0.2">
      <c r="A28" s="107"/>
      <c r="B28" s="127" t="s">
        <v>394</v>
      </c>
      <c r="C28" s="109">
        <f>IFERROR(VLOOKUP($B28,MMWR_TRAD_AGG_STATE_COMP[],C$1,0),"ERROR")</f>
        <v>2985</v>
      </c>
      <c r="D28" s="110">
        <f>IFERROR(VLOOKUP($B28,MMWR_TRAD_AGG_STATE_COMP[],D$1,0),"ERROR")</f>
        <v>365.39061976549999</v>
      </c>
      <c r="E28" s="111">
        <f>IFERROR(VLOOKUP($B28,MMWR_TRAD_AGG_STATE_COMP[],E$1,0),"ERROR")</f>
        <v>7726</v>
      </c>
      <c r="F28" s="112">
        <f>IFERROR(VLOOKUP($B28,MMWR_TRAD_AGG_STATE_COMP[],F$1,0),"ERROR")</f>
        <v>1810</v>
      </c>
      <c r="G28" s="113">
        <f t="shared" si="0"/>
        <v>0.23427388040383121</v>
      </c>
      <c r="H28" s="111">
        <f>IFERROR(VLOOKUP($B28,MMWR_TRAD_AGG_STATE_COMP[],H$1,0),"ERROR")</f>
        <v>7585</v>
      </c>
      <c r="I28" s="112">
        <f>IFERROR(VLOOKUP($B28,MMWR_TRAD_AGG_STATE_COMP[],I$1,0),"ERROR")</f>
        <v>3521</v>
      </c>
      <c r="J28" s="114">
        <f t="shared" si="1"/>
        <v>0.46420566908371785</v>
      </c>
      <c r="K28" s="111">
        <f>IFERROR(VLOOKUP($B28,MMWR_TRAD_AGG_STATE_COMP[],K$1,0),"ERROR")</f>
        <v>2107</v>
      </c>
      <c r="L28" s="112">
        <f>IFERROR(VLOOKUP($B28,MMWR_TRAD_AGG_STATE_COMP[],L$1,0),"ERROR")</f>
        <v>1811</v>
      </c>
      <c r="M28" s="114">
        <f t="shared" si="2"/>
        <v>0.85951589938300899</v>
      </c>
      <c r="N28" s="111">
        <f>IFERROR(VLOOKUP($B28,MMWR_TRAD_AGG_STATE_COMP[],N$1,0),"ERROR")</f>
        <v>2817</v>
      </c>
      <c r="O28" s="112">
        <f>IFERROR(VLOOKUP($B28,MMWR_TRAD_AGG_STATE_COMP[],O$1,0),"ERROR")</f>
        <v>1609</v>
      </c>
      <c r="P28" s="114">
        <f t="shared" si="3"/>
        <v>0.57117500887468942</v>
      </c>
      <c r="Q28" s="115">
        <f>IFERROR(VLOOKUP($B28,MMWR_TRAD_AGG_STATE_COMP[],Q$1,0),"ERROR")</f>
        <v>966</v>
      </c>
      <c r="R28" s="115">
        <f>IFERROR(VLOOKUP($B28,MMWR_TRAD_AGG_STATE_COMP[],R$1,0),"ERROR")</f>
        <v>225</v>
      </c>
      <c r="S28" s="115">
        <f>IFERROR(VLOOKUP($B28,MMWR_APP_STATE_COMP[],S$1,0),"ERROR")</f>
        <v>4937</v>
      </c>
      <c r="T28" s="28"/>
    </row>
    <row r="29" spans="1:20" s="123" customFormat="1" x14ac:dyDescent="0.2">
      <c r="A29" s="107"/>
      <c r="B29" s="127" t="s">
        <v>400</v>
      </c>
      <c r="C29" s="109">
        <f>IFERROR(VLOOKUP($B29,MMWR_TRAD_AGG_STATE_COMP[],C$1,0),"ERROR")</f>
        <v>1473</v>
      </c>
      <c r="D29" s="110">
        <f>IFERROR(VLOOKUP($B29,MMWR_TRAD_AGG_STATE_COMP[],D$1,0),"ERROR")</f>
        <v>174.91038696539999</v>
      </c>
      <c r="E29" s="111">
        <f>IFERROR(VLOOKUP($B29,MMWR_TRAD_AGG_STATE_COMP[],E$1,0),"ERROR")</f>
        <v>5236</v>
      </c>
      <c r="F29" s="112">
        <f>IFERROR(VLOOKUP($B29,MMWR_TRAD_AGG_STATE_COMP[],F$1,0),"ERROR")</f>
        <v>736</v>
      </c>
      <c r="G29" s="113">
        <f t="shared" si="0"/>
        <v>0.14056531703590527</v>
      </c>
      <c r="H29" s="111">
        <f>IFERROR(VLOOKUP($B29,MMWR_TRAD_AGG_STATE_COMP[],H$1,0),"ERROR")</f>
        <v>5350</v>
      </c>
      <c r="I29" s="112">
        <f>IFERROR(VLOOKUP($B29,MMWR_TRAD_AGG_STATE_COMP[],I$1,0),"ERROR")</f>
        <v>887</v>
      </c>
      <c r="J29" s="114">
        <f t="shared" si="1"/>
        <v>0.16579439252336448</v>
      </c>
      <c r="K29" s="111">
        <f>IFERROR(VLOOKUP($B29,MMWR_TRAD_AGG_STATE_COMP[],K$1,0),"ERROR")</f>
        <v>1157</v>
      </c>
      <c r="L29" s="112">
        <f>IFERROR(VLOOKUP($B29,MMWR_TRAD_AGG_STATE_COMP[],L$1,0),"ERROR")</f>
        <v>586</v>
      </c>
      <c r="M29" s="114">
        <f t="shared" si="2"/>
        <v>0.50648228176318066</v>
      </c>
      <c r="N29" s="111">
        <f>IFERROR(VLOOKUP($B29,MMWR_TRAD_AGG_STATE_COMP[],N$1,0),"ERROR")</f>
        <v>1168</v>
      </c>
      <c r="O29" s="112">
        <f>IFERROR(VLOOKUP($B29,MMWR_TRAD_AGG_STATE_COMP[],O$1,0),"ERROR")</f>
        <v>710</v>
      </c>
      <c r="P29" s="114">
        <f t="shared" si="3"/>
        <v>0.60787671232876717</v>
      </c>
      <c r="Q29" s="115">
        <f>IFERROR(VLOOKUP($B29,MMWR_TRAD_AGG_STATE_COMP[],Q$1,0),"ERROR")</f>
        <v>7</v>
      </c>
      <c r="R29" s="115">
        <f>IFERROR(VLOOKUP($B29,MMWR_TRAD_AGG_STATE_COMP[],R$1,0),"ERROR")</f>
        <v>5</v>
      </c>
      <c r="S29" s="115">
        <f>IFERROR(VLOOKUP($B29,MMWR_APP_STATE_COMP[],S$1,0),"ERROR")</f>
        <v>2036</v>
      </c>
      <c r="T29" s="28"/>
    </row>
    <row r="30" spans="1:20" s="123" customFormat="1" x14ac:dyDescent="0.2">
      <c r="A30" s="107"/>
      <c r="B30" s="127" t="s">
        <v>396</v>
      </c>
      <c r="C30" s="109">
        <f>IFERROR(VLOOKUP($B30,MMWR_TRAD_AGG_STATE_COMP[],C$1,0),"ERROR")</f>
        <v>3667</v>
      </c>
      <c r="D30" s="110">
        <f>IFERROR(VLOOKUP($B30,MMWR_TRAD_AGG_STATE_COMP[],D$1,0),"ERROR")</f>
        <v>238.65939460050001</v>
      </c>
      <c r="E30" s="111">
        <f>IFERROR(VLOOKUP($B30,MMWR_TRAD_AGG_STATE_COMP[],E$1,0),"ERROR")</f>
        <v>6396</v>
      </c>
      <c r="F30" s="112">
        <f>IFERROR(VLOOKUP($B30,MMWR_TRAD_AGG_STATE_COMP[],F$1,0),"ERROR")</f>
        <v>1358</v>
      </c>
      <c r="G30" s="113">
        <f t="shared" si="0"/>
        <v>0.21232020012507818</v>
      </c>
      <c r="H30" s="111">
        <f>IFERROR(VLOOKUP($B30,MMWR_TRAD_AGG_STATE_COMP[],H$1,0),"ERROR")</f>
        <v>7649</v>
      </c>
      <c r="I30" s="112">
        <f>IFERROR(VLOOKUP($B30,MMWR_TRAD_AGG_STATE_COMP[],I$1,0),"ERROR")</f>
        <v>3261</v>
      </c>
      <c r="J30" s="114">
        <f t="shared" si="1"/>
        <v>0.4263302392469604</v>
      </c>
      <c r="K30" s="111">
        <f>IFERROR(VLOOKUP($B30,MMWR_TRAD_AGG_STATE_COMP[],K$1,0),"ERROR")</f>
        <v>2483</v>
      </c>
      <c r="L30" s="112">
        <f>IFERROR(VLOOKUP($B30,MMWR_TRAD_AGG_STATE_COMP[],L$1,0),"ERROR")</f>
        <v>2075</v>
      </c>
      <c r="M30" s="114">
        <f t="shared" si="2"/>
        <v>0.83568264196536446</v>
      </c>
      <c r="N30" s="111">
        <f>IFERROR(VLOOKUP($B30,MMWR_TRAD_AGG_STATE_COMP[],N$1,0),"ERROR")</f>
        <v>4567</v>
      </c>
      <c r="O30" s="112">
        <f>IFERROR(VLOOKUP($B30,MMWR_TRAD_AGG_STATE_COMP[],O$1,0),"ERROR")</f>
        <v>3386</v>
      </c>
      <c r="P30" s="114">
        <f t="shared" si="3"/>
        <v>0.7414057368075323</v>
      </c>
      <c r="Q30" s="115">
        <f>IFERROR(VLOOKUP($B30,MMWR_TRAD_AGG_STATE_COMP[],Q$1,0),"ERROR")</f>
        <v>871</v>
      </c>
      <c r="R30" s="115">
        <f>IFERROR(VLOOKUP($B30,MMWR_TRAD_AGG_STATE_COMP[],R$1,0),"ERROR")</f>
        <v>65</v>
      </c>
      <c r="S30" s="115">
        <f>IFERROR(VLOOKUP($B30,MMWR_APP_STATE_COMP[],S$1,0),"ERROR")</f>
        <v>6065</v>
      </c>
      <c r="T30" s="28"/>
    </row>
    <row r="31" spans="1:20" s="123" customFormat="1" x14ac:dyDescent="0.2">
      <c r="A31" s="107"/>
      <c r="B31" s="127" t="s">
        <v>399</v>
      </c>
      <c r="C31" s="109">
        <f>IFERROR(VLOOKUP($B31,MMWR_TRAD_AGG_STATE_COMP[],C$1,0),"ERROR")</f>
        <v>778</v>
      </c>
      <c r="D31" s="110">
        <f>IFERROR(VLOOKUP($B31,MMWR_TRAD_AGG_STATE_COMP[],D$1,0),"ERROR")</f>
        <v>173.58868894599999</v>
      </c>
      <c r="E31" s="111">
        <f>IFERROR(VLOOKUP($B31,MMWR_TRAD_AGG_STATE_COMP[],E$1,0),"ERROR")</f>
        <v>1936</v>
      </c>
      <c r="F31" s="112">
        <f>IFERROR(VLOOKUP($B31,MMWR_TRAD_AGG_STATE_COMP[],F$1,0),"ERROR")</f>
        <v>231</v>
      </c>
      <c r="G31" s="113">
        <f t="shared" si="0"/>
        <v>0.11931818181818182</v>
      </c>
      <c r="H31" s="111">
        <f>IFERROR(VLOOKUP($B31,MMWR_TRAD_AGG_STATE_COMP[],H$1,0),"ERROR")</f>
        <v>2242</v>
      </c>
      <c r="I31" s="112">
        <f>IFERROR(VLOOKUP($B31,MMWR_TRAD_AGG_STATE_COMP[],I$1,0),"ERROR")</f>
        <v>447</v>
      </c>
      <c r="J31" s="114">
        <f t="shared" si="1"/>
        <v>0.19937555753791258</v>
      </c>
      <c r="K31" s="111">
        <f>IFERROR(VLOOKUP($B31,MMWR_TRAD_AGG_STATE_COMP[],K$1,0),"ERROR")</f>
        <v>718</v>
      </c>
      <c r="L31" s="112">
        <f>IFERROR(VLOOKUP($B31,MMWR_TRAD_AGG_STATE_COMP[],L$1,0),"ERROR")</f>
        <v>449</v>
      </c>
      <c r="M31" s="114">
        <f t="shared" si="2"/>
        <v>0.62534818941504178</v>
      </c>
      <c r="N31" s="111">
        <f>IFERROR(VLOOKUP($B31,MMWR_TRAD_AGG_STATE_COMP[],N$1,0),"ERROR")</f>
        <v>719</v>
      </c>
      <c r="O31" s="112">
        <f>IFERROR(VLOOKUP($B31,MMWR_TRAD_AGG_STATE_COMP[],O$1,0),"ERROR")</f>
        <v>365</v>
      </c>
      <c r="P31" s="114">
        <f t="shared" si="3"/>
        <v>0.5076495132127955</v>
      </c>
      <c r="Q31" s="115">
        <f>IFERROR(VLOOKUP($B31,MMWR_TRAD_AGG_STATE_COMP[],Q$1,0),"ERROR")</f>
        <v>4</v>
      </c>
      <c r="R31" s="115">
        <f>IFERROR(VLOOKUP($B31,MMWR_TRAD_AGG_STATE_COMP[],R$1,0),"ERROR")</f>
        <v>15</v>
      </c>
      <c r="S31" s="115">
        <f>IFERROR(VLOOKUP($B31,MMWR_APP_STATE_COMP[],S$1,0),"ERROR")</f>
        <v>1060</v>
      </c>
      <c r="T31" s="28"/>
    </row>
    <row r="32" spans="1:20" s="123" customFormat="1" x14ac:dyDescent="0.2">
      <c r="A32" s="107"/>
      <c r="B32" s="127" t="s">
        <v>418</v>
      </c>
      <c r="C32" s="109">
        <f>IFERROR(VLOOKUP($B32,MMWR_TRAD_AGG_STATE_COMP[],C$1,0),"ERROR")</f>
        <v>242</v>
      </c>
      <c r="D32" s="110">
        <f>IFERROR(VLOOKUP($B32,MMWR_TRAD_AGG_STATE_COMP[],D$1,0),"ERROR")</f>
        <v>146.50826446280001</v>
      </c>
      <c r="E32" s="111">
        <f>IFERROR(VLOOKUP($B32,MMWR_TRAD_AGG_STATE_COMP[],E$1,0),"ERROR")</f>
        <v>604</v>
      </c>
      <c r="F32" s="112">
        <f>IFERROR(VLOOKUP($B32,MMWR_TRAD_AGG_STATE_COMP[],F$1,0),"ERROR")</f>
        <v>89</v>
      </c>
      <c r="G32" s="113">
        <f t="shared" si="0"/>
        <v>0.14735099337748345</v>
      </c>
      <c r="H32" s="111">
        <f>IFERROR(VLOOKUP($B32,MMWR_TRAD_AGG_STATE_COMP[],H$1,0),"ERROR")</f>
        <v>885</v>
      </c>
      <c r="I32" s="112">
        <f>IFERROR(VLOOKUP($B32,MMWR_TRAD_AGG_STATE_COMP[],I$1,0),"ERROR")</f>
        <v>111</v>
      </c>
      <c r="J32" s="114">
        <f t="shared" si="1"/>
        <v>0.12542372881355932</v>
      </c>
      <c r="K32" s="111">
        <f>IFERROR(VLOOKUP($B32,MMWR_TRAD_AGG_STATE_COMP[],K$1,0),"ERROR")</f>
        <v>166</v>
      </c>
      <c r="L32" s="112">
        <f>IFERROR(VLOOKUP($B32,MMWR_TRAD_AGG_STATE_COMP[],L$1,0),"ERROR")</f>
        <v>76</v>
      </c>
      <c r="M32" s="114">
        <f t="shared" si="2"/>
        <v>0.45783132530120479</v>
      </c>
      <c r="N32" s="111">
        <f>IFERROR(VLOOKUP($B32,MMWR_TRAD_AGG_STATE_COMP[],N$1,0),"ERROR")</f>
        <v>151</v>
      </c>
      <c r="O32" s="112">
        <f>IFERROR(VLOOKUP($B32,MMWR_TRAD_AGG_STATE_COMP[],O$1,0),"ERROR")</f>
        <v>98</v>
      </c>
      <c r="P32" s="114">
        <f t="shared" si="3"/>
        <v>0.64900662251655628</v>
      </c>
      <c r="Q32" s="115">
        <f>IFERROR(VLOOKUP($B32,MMWR_TRAD_AGG_STATE_COMP[],Q$1,0),"ERROR")</f>
        <v>2</v>
      </c>
      <c r="R32" s="115">
        <f>IFERROR(VLOOKUP($B32,MMWR_TRAD_AGG_STATE_COMP[],R$1,0),"ERROR")</f>
        <v>2</v>
      </c>
      <c r="S32" s="115">
        <f>IFERROR(VLOOKUP($B32,MMWR_APP_STATE_COMP[],S$1,0),"ERROR")</f>
        <v>449</v>
      </c>
      <c r="T32" s="28"/>
    </row>
    <row r="33" spans="1:20" s="123" customFormat="1" x14ac:dyDescent="0.2">
      <c r="A33" s="107"/>
      <c r="B33" s="127" t="s">
        <v>390</v>
      </c>
      <c r="C33" s="109">
        <f>IFERROR(VLOOKUP($B33,MMWR_TRAD_AGG_STATE_COMP[],C$1,0),"ERROR")</f>
        <v>4757</v>
      </c>
      <c r="D33" s="110">
        <f>IFERROR(VLOOKUP($B33,MMWR_TRAD_AGG_STATE_COMP[],D$1,0),"ERROR")</f>
        <v>500.89888585239999</v>
      </c>
      <c r="E33" s="111">
        <f>IFERROR(VLOOKUP($B33,MMWR_TRAD_AGG_STATE_COMP[],E$1,0),"ERROR")</f>
        <v>8536</v>
      </c>
      <c r="F33" s="112">
        <f>IFERROR(VLOOKUP($B33,MMWR_TRAD_AGG_STATE_COMP[],F$1,0),"ERROR")</f>
        <v>1757</v>
      </c>
      <c r="G33" s="113">
        <f t="shared" si="0"/>
        <v>0.20583411433926899</v>
      </c>
      <c r="H33" s="111">
        <f>IFERROR(VLOOKUP($B33,MMWR_TRAD_AGG_STATE_COMP[],H$1,0),"ERROR")</f>
        <v>9721</v>
      </c>
      <c r="I33" s="112">
        <f>IFERROR(VLOOKUP($B33,MMWR_TRAD_AGG_STATE_COMP[],I$1,0),"ERROR")</f>
        <v>4519</v>
      </c>
      <c r="J33" s="114">
        <f t="shared" si="1"/>
        <v>0.46486986935500463</v>
      </c>
      <c r="K33" s="111">
        <f>IFERROR(VLOOKUP($B33,MMWR_TRAD_AGG_STATE_COMP[],K$1,0),"ERROR")</f>
        <v>2927</v>
      </c>
      <c r="L33" s="112">
        <f>IFERROR(VLOOKUP($B33,MMWR_TRAD_AGG_STATE_COMP[],L$1,0),"ERROR")</f>
        <v>2597</v>
      </c>
      <c r="M33" s="114">
        <f t="shared" si="2"/>
        <v>0.88725657669969249</v>
      </c>
      <c r="N33" s="111">
        <f>IFERROR(VLOOKUP($B33,MMWR_TRAD_AGG_STATE_COMP[],N$1,0),"ERROR")</f>
        <v>4333</v>
      </c>
      <c r="O33" s="112">
        <f>IFERROR(VLOOKUP($B33,MMWR_TRAD_AGG_STATE_COMP[],O$1,0),"ERROR")</f>
        <v>3183</v>
      </c>
      <c r="P33" s="114">
        <f t="shared" si="3"/>
        <v>0.73459496884375719</v>
      </c>
      <c r="Q33" s="115">
        <f>IFERROR(VLOOKUP($B33,MMWR_TRAD_AGG_STATE_COMP[],Q$1,0),"ERROR")</f>
        <v>1073</v>
      </c>
      <c r="R33" s="115">
        <f>IFERROR(VLOOKUP($B33,MMWR_TRAD_AGG_STATE_COMP[],R$1,0),"ERROR")</f>
        <v>342</v>
      </c>
      <c r="S33" s="115">
        <f>IFERROR(VLOOKUP($B33,MMWR_APP_STATE_COMP[],S$1,0),"ERROR")</f>
        <v>12446</v>
      </c>
      <c r="T33" s="28"/>
    </row>
    <row r="34" spans="1:20" s="123" customFormat="1" x14ac:dyDescent="0.2">
      <c r="A34" s="107"/>
      <c r="B34" s="127" t="s">
        <v>419</v>
      </c>
      <c r="C34" s="109">
        <f>IFERROR(VLOOKUP($B34,MMWR_TRAD_AGG_STATE_COMP[],C$1,0),"ERROR")</f>
        <v>338</v>
      </c>
      <c r="D34" s="110">
        <f>IFERROR(VLOOKUP($B34,MMWR_TRAD_AGG_STATE_COMP[],D$1,0),"ERROR")</f>
        <v>169.18639053250001</v>
      </c>
      <c r="E34" s="111">
        <f>IFERROR(VLOOKUP($B34,MMWR_TRAD_AGG_STATE_COMP[],E$1,0),"ERROR")</f>
        <v>1060</v>
      </c>
      <c r="F34" s="112">
        <f>IFERROR(VLOOKUP($B34,MMWR_TRAD_AGG_STATE_COMP[],F$1,0),"ERROR")</f>
        <v>261</v>
      </c>
      <c r="G34" s="113">
        <f t="shared" si="0"/>
        <v>0.24622641509433962</v>
      </c>
      <c r="H34" s="111">
        <f>IFERROR(VLOOKUP($B34,MMWR_TRAD_AGG_STATE_COMP[],H$1,0),"ERROR")</f>
        <v>1166</v>
      </c>
      <c r="I34" s="112">
        <f>IFERROR(VLOOKUP($B34,MMWR_TRAD_AGG_STATE_COMP[],I$1,0),"ERROR")</f>
        <v>159</v>
      </c>
      <c r="J34" s="114">
        <f t="shared" si="1"/>
        <v>0.13636363636363635</v>
      </c>
      <c r="K34" s="111">
        <f>IFERROR(VLOOKUP($B34,MMWR_TRAD_AGG_STATE_COMP[],K$1,0),"ERROR")</f>
        <v>319</v>
      </c>
      <c r="L34" s="112">
        <f>IFERROR(VLOOKUP($B34,MMWR_TRAD_AGG_STATE_COMP[],L$1,0),"ERROR")</f>
        <v>132</v>
      </c>
      <c r="M34" s="114">
        <f t="shared" si="2"/>
        <v>0.41379310344827586</v>
      </c>
      <c r="N34" s="111">
        <f>IFERROR(VLOOKUP($B34,MMWR_TRAD_AGG_STATE_COMP[],N$1,0),"ERROR")</f>
        <v>175</v>
      </c>
      <c r="O34" s="112">
        <f>IFERROR(VLOOKUP($B34,MMWR_TRAD_AGG_STATE_COMP[],O$1,0),"ERROR")</f>
        <v>96</v>
      </c>
      <c r="P34" s="114">
        <f t="shared" si="3"/>
        <v>0.5485714285714286</v>
      </c>
      <c r="Q34" s="115">
        <f>IFERROR(VLOOKUP($B34,MMWR_TRAD_AGG_STATE_COMP[],Q$1,0),"ERROR")</f>
        <v>3</v>
      </c>
      <c r="R34" s="115">
        <f>IFERROR(VLOOKUP($B34,MMWR_TRAD_AGG_STATE_COMP[],R$1,0),"ERROR")</f>
        <v>2</v>
      </c>
      <c r="S34" s="115">
        <f>IFERROR(VLOOKUP($B34,MMWR_APP_STATE_COMP[],S$1,0),"ERROR")</f>
        <v>192</v>
      </c>
      <c r="T34" s="28"/>
    </row>
    <row r="35" spans="1:20" s="123" customFormat="1" x14ac:dyDescent="0.2">
      <c r="A35" s="107"/>
      <c r="B35" s="127" t="s">
        <v>395</v>
      </c>
      <c r="C35" s="109">
        <f>IFERROR(VLOOKUP($B35,MMWR_TRAD_AGG_STATE_COMP[],C$1,0),"ERROR")</f>
        <v>3014</v>
      </c>
      <c r="D35" s="110">
        <f>IFERROR(VLOOKUP($B35,MMWR_TRAD_AGG_STATE_COMP[],D$1,0),"ERROR")</f>
        <v>217.72694094229999</v>
      </c>
      <c r="E35" s="111">
        <f>IFERROR(VLOOKUP($B35,MMWR_TRAD_AGG_STATE_COMP[],E$1,0),"ERROR")</f>
        <v>4020</v>
      </c>
      <c r="F35" s="112">
        <f>IFERROR(VLOOKUP($B35,MMWR_TRAD_AGG_STATE_COMP[],F$1,0),"ERROR")</f>
        <v>664</v>
      </c>
      <c r="G35" s="113">
        <f t="shared" si="0"/>
        <v>0.16517412935323383</v>
      </c>
      <c r="H35" s="111">
        <f>IFERROR(VLOOKUP($B35,MMWR_TRAD_AGG_STATE_COMP[],H$1,0),"ERROR")</f>
        <v>5889</v>
      </c>
      <c r="I35" s="112">
        <f>IFERROR(VLOOKUP($B35,MMWR_TRAD_AGG_STATE_COMP[],I$1,0),"ERROR")</f>
        <v>1997</v>
      </c>
      <c r="J35" s="114">
        <f t="shared" si="1"/>
        <v>0.33910680930548481</v>
      </c>
      <c r="K35" s="111">
        <f>IFERROR(VLOOKUP($B35,MMWR_TRAD_AGG_STATE_COMP[],K$1,0),"ERROR")</f>
        <v>895</v>
      </c>
      <c r="L35" s="112">
        <f>IFERROR(VLOOKUP($B35,MMWR_TRAD_AGG_STATE_COMP[],L$1,0),"ERROR")</f>
        <v>629</v>
      </c>
      <c r="M35" s="114">
        <f t="shared" si="2"/>
        <v>0.70279329608938546</v>
      </c>
      <c r="N35" s="111">
        <f>IFERROR(VLOOKUP($B35,MMWR_TRAD_AGG_STATE_COMP[],N$1,0),"ERROR")</f>
        <v>1052</v>
      </c>
      <c r="O35" s="112">
        <f>IFERROR(VLOOKUP($B35,MMWR_TRAD_AGG_STATE_COMP[],O$1,0),"ERROR")</f>
        <v>663</v>
      </c>
      <c r="P35" s="114">
        <f t="shared" si="3"/>
        <v>0.63022813688212931</v>
      </c>
      <c r="Q35" s="115">
        <f>IFERROR(VLOOKUP($B35,MMWR_TRAD_AGG_STATE_COMP[],Q$1,0),"ERROR")</f>
        <v>628</v>
      </c>
      <c r="R35" s="115">
        <f>IFERROR(VLOOKUP($B35,MMWR_TRAD_AGG_STATE_COMP[],R$1,0),"ERROR")</f>
        <v>6</v>
      </c>
      <c r="S35" s="115">
        <f>IFERROR(VLOOKUP($B35,MMWR_APP_STATE_COMP[],S$1,0),"ERROR")</f>
        <v>3132</v>
      </c>
      <c r="T35" s="28"/>
    </row>
    <row r="36" spans="1:20" s="123" customFormat="1" x14ac:dyDescent="0.2">
      <c r="A36" s="28"/>
      <c r="B36" s="126" t="s">
        <v>384</v>
      </c>
      <c r="C36" s="102">
        <f>IF(SUM(C37:C45)&lt;&gt;VLOOKUP($B36,MMWR_TRAD_AGG_ST_DISTRICT_COMP[],C$1,0),"ERROR",
VLOOKUP($B36,MMWR_TRAD_AGG_ST_DISTRICT_COMP[],C$1,0))</f>
        <v>40296</v>
      </c>
      <c r="D36" s="103">
        <f>IFERROR(VLOOKUP($B36,MMWR_TRAD_AGG_ST_DISTRICT_COMP[],D$1,0),"ERROR")</f>
        <v>328.2507444908</v>
      </c>
      <c r="E36" s="102">
        <f>IFERROR(VLOOKUP($B36,MMWR_TRAD_AGG_ST_DISTRICT_COMP[],E$1,0),"ERROR")</f>
        <v>67628</v>
      </c>
      <c r="F36" s="102">
        <f>IFERROR(VLOOKUP($B36,MMWR_TRAD_AGG_ST_DISTRICT_COMP[],F$1,0),"ERROR")</f>
        <v>13095</v>
      </c>
      <c r="G36" s="104">
        <f t="shared" si="0"/>
        <v>0.19363281481043354</v>
      </c>
      <c r="H36" s="102">
        <f>IFERROR(VLOOKUP($B36,MMWR_TRAD_AGG_ST_DISTRICT_COMP[],H$1,0),"ERROR")</f>
        <v>80239</v>
      </c>
      <c r="I36" s="102">
        <f>IFERROR(VLOOKUP($B36,MMWR_TRAD_AGG_ST_DISTRICT_COMP[],I$1,0),"ERROR")</f>
        <v>35661</v>
      </c>
      <c r="J36" s="105">
        <f t="shared" si="1"/>
        <v>0.44443475118084724</v>
      </c>
      <c r="K36" s="102">
        <f>IFERROR(VLOOKUP($B36,MMWR_TRAD_AGG_ST_DISTRICT_COMP[],K$1,0),"ERROR")</f>
        <v>21858</v>
      </c>
      <c r="L36" s="102">
        <f>IFERROR(VLOOKUP($B36,MMWR_TRAD_AGG_ST_DISTRICT_COMP[],L$1,0),"ERROR")</f>
        <v>15885</v>
      </c>
      <c r="M36" s="105">
        <f t="shared" si="2"/>
        <v>0.72673620642327752</v>
      </c>
      <c r="N36" s="102">
        <f>IFERROR(VLOOKUP($B36,MMWR_TRAD_AGG_ST_DISTRICT_COMP[],N$1,0),"ERROR")</f>
        <v>33512</v>
      </c>
      <c r="O36" s="102">
        <f>IFERROR(VLOOKUP($B36,MMWR_TRAD_AGG_ST_DISTRICT_COMP[],O$1,0),"ERROR")</f>
        <v>20514</v>
      </c>
      <c r="P36" s="105">
        <f t="shared" si="3"/>
        <v>0.61213893530675578</v>
      </c>
      <c r="Q36" s="102">
        <f>IFERROR(VLOOKUP($B36,MMWR_TRAD_AGG_ST_DISTRICT_COMP[],Q$1,0),"ERROR")</f>
        <v>1197</v>
      </c>
      <c r="R36" s="106">
        <f>IFERROR(VLOOKUP($B36,MMWR_TRAD_AGG_ST_DISTRICT_COMP[],R$1,0),"ERROR")</f>
        <v>1160</v>
      </c>
      <c r="S36" s="106">
        <f>SUM(S37:S45)</f>
        <v>70134</v>
      </c>
      <c r="T36" s="28"/>
    </row>
    <row r="37" spans="1:20" s="123" customFormat="1" x14ac:dyDescent="0.2">
      <c r="A37" s="28"/>
      <c r="B37" s="127" t="s">
        <v>410</v>
      </c>
      <c r="C37" s="109">
        <f>IFERROR(VLOOKUP($B37,MMWR_TRAD_AGG_STATE_COMP[],C$1,0),"ERROR")</f>
        <v>3196</v>
      </c>
      <c r="D37" s="110">
        <f>IFERROR(VLOOKUP($B37,MMWR_TRAD_AGG_STATE_COMP[],D$1,0),"ERROR")</f>
        <v>270.96526908639999</v>
      </c>
      <c r="E37" s="111">
        <f>IFERROR(VLOOKUP($B37,MMWR_TRAD_AGG_STATE_COMP[],E$1,0),"ERROR")</f>
        <v>3584</v>
      </c>
      <c r="F37" s="112">
        <f>IFERROR(VLOOKUP($B37,MMWR_TRAD_AGG_STATE_COMP[],F$1,0),"ERROR")</f>
        <v>550</v>
      </c>
      <c r="G37" s="113">
        <f t="shared" si="0"/>
        <v>0.15345982142857142</v>
      </c>
      <c r="H37" s="111">
        <f>IFERROR(VLOOKUP($B37,MMWR_TRAD_AGG_STATE_COMP[],H$1,0),"ERROR")</f>
        <v>6171</v>
      </c>
      <c r="I37" s="112">
        <f>IFERROR(VLOOKUP($B37,MMWR_TRAD_AGG_STATE_COMP[],I$1,0),"ERROR")</f>
        <v>2541</v>
      </c>
      <c r="J37" s="114">
        <f t="shared" si="1"/>
        <v>0.41176470588235292</v>
      </c>
      <c r="K37" s="111">
        <f>IFERROR(VLOOKUP($B37,MMWR_TRAD_AGG_STATE_COMP[],K$1,0),"ERROR")</f>
        <v>2275</v>
      </c>
      <c r="L37" s="112">
        <f>IFERROR(VLOOKUP($B37,MMWR_TRAD_AGG_STATE_COMP[],L$1,0),"ERROR")</f>
        <v>1627</v>
      </c>
      <c r="M37" s="114">
        <f t="shared" si="2"/>
        <v>0.7151648351648352</v>
      </c>
      <c r="N37" s="111">
        <f>IFERROR(VLOOKUP($B37,MMWR_TRAD_AGG_STATE_COMP[],N$1,0),"ERROR")</f>
        <v>2764</v>
      </c>
      <c r="O37" s="112">
        <f>IFERROR(VLOOKUP($B37,MMWR_TRAD_AGG_STATE_COMP[],O$1,0),"ERROR")</f>
        <v>1774</v>
      </c>
      <c r="P37" s="114">
        <f t="shared" si="3"/>
        <v>0.6418234442836469</v>
      </c>
      <c r="Q37" s="115">
        <f>IFERROR(VLOOKUP($B37,MMWR_TRAD_AGG_STATE_COMP[],Q$1,0),"ERROR")</f>
        <v>411</v>
      </c>
      <c r="R37" s="115">
        <f>IFERROR(VLOOKUP($B37,MMWR_TRAD_AGG_STATE_COMP[],R$1,0),"ERROR")</f>
        <v>101</v>
      </c>
      <c r="S37" s="115">
        <f>IFERROR(VLOOKUP($B37,MMWR_APP_STATE_COMP[],S$1,0),"ERROR")</f>
        <v>5337</v>
      </c>
      <c r="T37" s="28"/>
    </row>
    <row r="38" spans="1:20" s="123" customFormat="1" x14ac:dyDescent="0.2">
      <c r="A38" s="28"/>
      <c r="B38" s="127" t="s">
        <v>402</v>
      </c>
      <c r="C38" s="109">
        <f>IFERROR(VLOOKUP($B38,MMWR_TRAD_AGG_STATE_COMP[],C$1,0),"ERROR")</f>
        <v>5100</v>
      </c>
      <c r="D38" s="110">
        <f>IFERROR(VLOOKUP($B38,MMWR_TRAD_AGG_STATE_COMP[],D$1,0),"ERROR")</f>
        <v>370.15725490199998</v>
      </c>
      <c r="E38" s="111">
        <f>IFERROR(VLOOKUP($B38,MMWR_TRAD_AGG_STATE_COMP[],E$1,0),"ERROR")</f>
        <v>6266</v>
      </c>
      <c r="F38" s="112">
        <f>IFERROR(VLOOKUP($B38,MMWR_TRAD_AGG_STATE_COMP[],F$1,0),"ERROR")</f>
        <v>1297</v>
      </c>
      <c r="G38" s="113">
        <f t="shared" ref="G38:G64" si="4">IFERROR(F38/E38,"0%")</f>
        <v>0.20699010533035428</v>
      </c>
      <c r="H38" s="111">
        <f>IFERROR(VLOOKUP($B38,MMWR_TRAD_AGG_STATE_COMP[],H$1,0),"ERROR")</f>
        <v>10137</v>
      </c>
      <c r="I38" s="112">
        <f>IFERROR(VLOOKUP($B38,MMWR_TRAD_AGG_STATE_COMP[],I$1,0),"ERROR")</f>
        <v>4883</v>
      </c>
      <c r="J38" s="114">
        <f t="shared" ref="J38:J64" si="5">IFERROR(I38/H38,"0%")</f>
        <v>0.48170070040445889</v>
      </c>
      <c r="K38" s="111">
        <f>IFERROR(VLOOKUP($B38,MMWR_TRAD_AGG_STATE_COMP[],K$1,0),"ERROR")</f>
        <v>4036</v>
      </c>
      <c r="L38" s="112">
        <f>IFERROR(VLOOKUP($B38,MMWR_TRAD_AGG_STATE_COMP[],L$1,0),"ERROR")</f>
        <v>3296</v>
      </c>
      <c r="M38" s="114">
        <f t="shared" ref="M38:M64" si="6">IFERROR(L38/K38,"0%")</f>
        <v>0.81665014866204166</v>
      </c>
      <c r="N38" s="111">
        <f>IFERROR(VLOOKUP($B38,MMWR_TRAD_AGG_STATE_COMP[],N$1,0),"ERROR")</f>
        <v>1845</v>
      </c>
      <c r="O38" s="112">
        <f>IFERROR(VLOOKUP($B38,MMWR_TRAD_AGG_STATE_COMP[],O$1,0),"ERROR")</f>
        <v>1212</v>
      </c>
      <c r="P38" s="114">
        <f t="shared" ref="P38:P64" si="7">IFERROR(O38/N38,"0%")</f>
        <v>0.65691056910569101</v>
      </c>
      <c r="Q38" s="115">
        <f>IFERROR(VLOOKUP($B38,MMWR_TRAD_AGG_STATE_COMP[],Q$1,0),"ERROR")</f>
        <v>4</v>
      </c>
      <c r="R38" s="115">
        <f>IFERROR(VLOOKUP($B38,MMWR_TRAD_AGG_STATE_COMP[],R$1,0),"ERROR")</f>
        <v>60</v>
      </c>
      <c r="S38" s="115">
        <f>IFERROR(VLOOKUP($B38,MMWR_APP_STATE_COMP[],S$1,0),"ERROR")</f>
        <v>6677</v>
      </c>
      <c r="T38" s="28"/>
    </row>
    <row r="39" spans="1:20" s="123" customFormat="1" x14ac:dyDescent="0.2">
      <c r="A39" s="28"/>
      <c r="B39" s="127" t="s">
        <v>386</v>
      </c>
      <c r="C39" s="109">
        <f>IFERROR(VLOOKUP($B39,MMWR_TRAD_AGG_STATE_COMP[],C$1,0),"ERROR")</f>
        <v>3847</v>
      </c>
      <c r="D39" s="110">
        <f>IFERROR(VLOOKUP($B39,MMWR_TRAD_AGG_STATE_COMP[],D$1,0),"ERROR")</f>
        <v>403.2609825838</v>
      </c>
      <c r="E39" s="111">
        <f>IFERROR(VLOOKUP($B39,MMWR_TRAD_AGG_STATE_COMP[],E$1,0),"ERROR")</f>
        <v>5625</v>
      </c>
      <c r="F39" s="112">
        <f>IFERROR(VLOOKUP($B39,MMWR_TRAD_AGG_STATE_COMP[],F$1,0),"ERROR")</f>
        <v>1083</v>
      </c>
      <c r="G39" s="113">
        <f t="shared" si="4"/>
        <v>0.19253333333333333</v>
      </c>
      <c r="H39" s="111">
        <f>IFERROR(VLOOKUP($B39,MMWR_TRAD_AGG_STATE_COMP[],H$1,0),"ERROR")</f>
        <v>7457</v>
      </c>
      <c r="I39" s="112">
        <f>IFERROR(VLOOKUP($B39,MMWR_TRAD_AGG_STATE_COMP[],I$1,0),"ERROR")</f>
        <v>3524</v>
      </c>
      <c r="J39" s="114">
        <f t="shared" si="5"/>
        <v>0.47257610299047875</v>
      </c>
      <c r="K39" s="111">
        <f>IFERROR(VLOOKUP($B39,MMWR_TRAD_AGG_STATE_COMP[],K$1,0),"ERROR")</f>
        <v>1696</v>
      </c>
      <c r="L39" s="112">
        <f>IFERROR(VLOOKUP($B39,MMWR_TRAD_AGG_STATE_COMP[],L$1,0),"ERROR")</f>
        <v>1206</v>
      </c>
      <c r="M39" s="114">
        <f t="shared" si="6"/>
        <v>0.71108490566037741</v>
      </c>
      <c r="N39" s="111">
        <f>IFERROR(VLOOKUP($B39,MMWR_TRAD_AGG_STATE_COMP[],N$1,0),"ERROR")</f>
        <v>3099</v>
      </c>
      <c r="O39" s="112">
        <f>IFERROR(VLOOKUP($B39,MMWR_TRAD_AGG_STATE_COMP[],O$1,0),"ERROR")</f>
        <v>2055</v>
      </c>
      <c r="P39" s="114">
        <f t="shared" si="7"/>
        <v>0.66311713455953536</v>
      </c>
      <c r="Q39" s="115">
        <f>IFERROR(VLOOKUP($B39,MMWR_TRAD_AGG_STATE_COMP[],Q$1,0),"ERROR")</f>
        <v>324</v>
      </c>
      <c r="R39" s="115">
        <f>IFERROR(VLOOKUP($B39,MMWR_TRAD_AGG_STATE_COMP[],R$1,0),"ERROR")</f>
        <v>273</v>
      </c>
      <c r="S39" s="115">
        <f>IFERROR(VLOOKUP($B39,MMWR_APP_STATE_COMP[],S$1,0),"ERROR")</f>
        <v>6035</v>
      </c>
      <c r="T39" s="28"/>
    </row>
    <row r="40" spans="1:20" s="123" customFormat="1" x14ac:dyDescent="0.2">
      <c r="A40" s="28"/>
      <c r="B40" s="127" t="s">
        <v>388</v>
      </c>
      <c r="C40" s="109">
        <f>IFERROR(VLOOKUP($B40,MMWR_TRAD_AGG_STATE_COMP[],C$1,0),"ERROR")</f>
        <v>2967</v>
      </c>
      <c r="D40" s="110">
        <f>IFERROR(VLOOKUP($B40,MMWR_TRAD_AGG_STATE_COMP[],D$1,0),"ERROR")</f>
        <v>394.26053252439999</v>
      </c>
      <c r="E40" s="111">
        <f>IFERROR(VLOOKUP($B40,MMWR_TRAD_AGG_STATE_COMP[],E$1,0),"ERROR")</f>
        <v>4848</v>
      </c>
      <c r="F40" s="112">
        <f>IFERROR(VLOOKUP($B40,MMWR_TRAD_AGG_STATE_COMP[],F$1,0),"ERROR")</f>
        <v>1420</v>
      </c>
      <c r="G40" s="113">
        <f t="shared" si="4"/>
        <v>0.29290429042904292</v>
      </c>
      <c r="H40" s="111">
        <f>IFERROR(VLOOKUP($B40,MMWR_TRAD_AGG_STATE_COMP[],H$1,0),"ERROR")</f>
        <v>6680</v>
      </c>
      <c r="I40" s="112">
        <f>IFERROR(VLOOKUP($B40,MMWR_TRAD_AGG_STATE_COMP[],I$1,0),"ERROR")</f>
        <v>3610</v>
      </c>
      <c r="J40" s="114">
        <f t="shared" si="5"/>
        <v>0.54041916167664672</v>
      </c>
      <c r="K40" s="111">
        <f>IFERROR(VLOOKUP($B40,MMWR_TRAD_AGG_STATE_COMP[],K$1,0),"ERROR")</f>
        <v>1911</v>
      </c>
      <c r="L40" s="112">
        <f>IFERROR(VLOOKUP($B40,MMWR_TRAD_AGG_STATE_COMP[],L$1,0),"ERROR")</f>
        <v>1382</v>
      </c>
      <c r="M40" s="114">
        <f t="shared" si="6"/>
        <v>0.72318158032443747</v>
      </c>
      <c r="N40" s="111">
        <f>IFERROR(VLOOKUP($B40,MMWR_TRAD_AGG_STATE_COMP[],N$1,0),"ERROR")</f>
        <v>1831</v>
      </c>
      <c r="O40" s="112">
        <f>IFERROR(VLOOKUP($B40,MMWR_TRAD_AGG_STATE_COMP[],O$1,0),"ERROR")</f>
        <v>1227</v>
      </c>
      <c r="P40" s="114">
        <f t="shared" si="7"/>
        <v>0.67012561441835061</v>
      </c>
      <c r="Q40" s="115">
        <f>IFERROR(VLOOKUP($B40,MMWR_TRAD_AGG_STATE_COMP[],Q$1,0),"ERROR")</f>
        <v>425</v>
      </c>
      <c r="R40" s="115">
        <f>IFERROR(VLOOKUP($B40,MMWR_TRAD_AGG_STATE_COMP[],R$1,0),"ERROR")</f>
        <v>251</v>
      </c>
      <c r="S40" s="115">
        <f>IFERROR(VLOOKUP($B40,MMWR_APP_STATE_COMP[],S$1,0),"ERROR")</f>
        <v>4922</v>
      </c>
      <c r="T40" s="28"/>
    </row>
    <row r="41" spans="1:20" s="123" customFormat="1" x14ac:dyDescent="0.2">
      <c r="A41" s="28"/>
      <c r="B41" s="127" t="s">
        <v>417</v>
      </c>
      <c r="C41" s="109">
        <f>IFERROR(VLOOKUP($B41,MMWR_TRAD_AGG_STATE_COMP[],C$1,0),"ERROR")</f>
        <v>390</v>
      </c>
      <c r="D41" s="110">
        <f>IFERROR(VLOOKUP($B41,MMWR_TRAD_AGG_STATE_COMP[],D$1,0),"ERROR")</f>
        <v>245.3487179487</v>
      </c>
      <c r="E41" s="111">
        <f>IFERROR(VLOOKUP($B41,MMWR_TRAD_AGG_STATE_COMP[],E$1,0),"ERROR")</f>
        <v>729</v>
      </c>
      <c r="F41" s="112">
        <f>IFERROR(VLOOKUP($B41,MMWR_TRAD_AGG_STATE_COMP[],F$1,0),"ERROR")</f>
        <v>67</v>
      </c>
      <c r="G41" s="113">
        <f t="shared" si="4"/>
        <v>9.1906721536351169E-2</v>
      </c>
      <c r="H41" s="111">
        <f>IFERROR(VLOOKUP($B41,MMWR_TRAD_AGG_STATE_COMP[],H$1,0),"ERROR")</f>
        <v>1261</v>
      </c>
      <c r="I41" s="112">
        <f>IFERROR(VLOOKUP($B41,MMWR_TRAD_AGG_STATE_COMP[],I$1,0),"ERROR")</f>
        <v>279</v>
      </c>
      <c r="J41" s="114">
        <f t="shared" si="5"/>
        <v>0.22125297383029341</v>
      </c>
      <c r="K41" s="111">
        <f>IFERROR(VLOOKUP($B41,MMWR_TRAD_AGG_STATE_COMP[],K$1,0),"ERROR")</f>
        <v>353</v>
      </c>
      <c r="L41" s="112">
        <f>IFERROR(VLOOKUP($B41,MMWR_TRAD_AGG_STATE_COMP[],L$1,0),"ERROR")</f>
        <v>212</v>
      </c>
      <c r="M41" s="114">
        <f t="shared" si="6"/>
        <v>0.60056657223796039</v>
      </c>
      <c r="N41" s="111">
        <f>IFERROR(VLOOKUP($B41,MMWR_TRAD_AGG_STATE_COMP[],N$1,0),"ERROR")</f>
        <v>463</v>
      </c>
      <c r="O41" s="112">
        <f>IFERROR(VLOOKUP($B41,MMWR_TRAD_AGG_STATE_COMP[],O$1,0),"ERROR")</f>
        <v>263</v>
      </c>
      <c r="P41" s="114">
        <f t="shared" si="7"/>
        <v>0.56803455723542118</v>
      </c>
      <c r="Q41" s="115">
        <f>IFERROR(VLOOKUP($B41,MMWR_TRAD_AGG_STATE_COMP[],Q$1,0),"ERROR")</f>
        <v>1</v>
      </c>
      <c r="R41" s="115">
        <f>IFERROR(VLOOKUP($B41,MMWR_TRAD_AGG_STATE_COMP[],R$1,0),"ERROR")</f>
        <v>5</v>
      </c>
      <c r="S41" s="115">
        <f>IFERROR(VLOOKUP($B41,MMWR_APP_STATE_COMP[],S$1,0),"ERROR")</f>
        <v>323</v>
      </c>
      <c r="T41" s="28"/>
    </row>
    <row r="42" spans="1:20" s="123" customFormat="1" x14ac:dyDescent="0.2">
      <c r="A42" s="28"/>
      <c r="B42" s="127" t="s">
        <v>411</v>
      </c>
      <c r="C42" s="109">
        <f>IFERROR(VLOOKUP($B42,MMWR_TRAD_AGG_STATE_COMP[],C$1,0),"ERROR")</f>
        <v>1505</v>
      </c>
      <c r="D42" s="110">
        <f>IFERROR(VLOOKUP($B42,MMWR_TRAD_AGG_STATE_COMP[],D$1,0),"ERROR")</f>
        <v>161.7601328904</v>
      </c>
      <c r="E42" s="111">
        <f>IFERROR(VLOOKUP($B42,MMWR_TRAD_AGG_STATE_COMP[],E$1,0),"ERROR")</f>
        <v>6636</v>
      </c>
      <c r="F42" s="112">
        <f>IFERROR(VLOOKUP($B42,MMWR_TRAD_AGG_STATE_COMP[],F$1,0),"ERROR")</f>
        <v>636</v>
      </c>
      <c r="G42" s="113">
        <f t="shared" si="4"/>
        <v>9.5840867992766726E-2</v>
      </c>
      <c r="H42" s="111">
        <f>IFERROR(VLOOKUP($B42,MMWR_TRAD_AGG_STATE_COMP[],H$1,0),"ERROR")</f>
        <v>4732</v>
      </c>
      <c r="I42" s="112">
        <f>IFERROR(VLOOKUP($B42,MMWR_TRAD_AGG_STATE_COMP[],I$1,0),"ERROR")</f>
        <v>699</v>
      </c>
      <c r="J42" s="114">
        <f t="shared" si="5"/>
        <v>0.14771766694843619</v>
      </c>
      <c r="K42" s="111">
        <f>IFERROR(VLOOKUP($B42,MMWR_TRAD_AGG_STATE_COMP[],K$1,0),"ERROR")</f>
        <v>1107</v>
      </c>
      <c r="L42" s="112">
        <f>IFERROR(VLOOKUP($B42,MMWR_TRAD_AGG_STATE_COMP[],L$1,0),"ERROR")</f>
        <v>547</v>
      </c>
      <c r="M42" s="114">
        <f t="shared" si="6"/>
        <v>0.4941282746160795</v>
      </c>
      <c r="N42" s="111">
        <f>IFERROR(VLOOKUP($B42,MMWR_TRAD_AGG_STATE_COMP[],N$1,0),"ERROR")</f>
        <v>2962</v>
      </c>
      <c r="O42" s="112">
        <f>IFERROR(VLOOKUP($B42,MMWR_TRAD_AGG_STATE_COMP[],O$1,0),"ERROR")</f>
        <v>1837</v>
      </c>
      <c r="P42" s="114">
        <f t="shared" si="7"/>
        <v>0.62018906144496966</v>
      </c>
      <c r="Q42" s="115">
        <f>IFERROR(VLOOKUP($B42,MMWR_TRAD_AGG_STATE_COMP[],Q$1,0),"ERROR")</f>
        <v>7</v>
      </c>
      <c r="R42" s="115">
        <f>IFERROR(VLOOKUP($B42,MMWR_TRAD_AGG_STATE_COMP[],R$1,0),"ERROR")</f>
        <v>21</v>
      </c>
      <c r="S42" s="115">
        <f>IFERROR(VLOOKUP($B42,MMWR_APP_STATE_COMP[],S$1,0),"ERROR")</f>
        <v>4201</v>
      </c>
      <c r="T42" s="28"/>
    </row>
    <row r="43" spans="1:20" s="123" customFormat="1" x14ac:dyDescent="0.2">
      <c r="A43" s="28"/>
      <c r="B43" s="127" t="s">
        <v>409</v>
      </c>
      <c r="C43" s="109">
        <f>IFERROR(VLOOKUP($B43,MMWR_TRAD_AGG_STATE_COMP[],C$1,0),"ERROR")</f>
        <v>22309</v>
      </c>
      <c r="D43" s="110">
        <f>IFERROR(VLOOKUP($B43,MMWR_TRAD_AGG_STATE_COMP[],D$1,0),"ERROR")</f>
        <v>321.93451073559999</v>
      </c>
      <c r="E43" s="111">
        <f>IFERROR(VLOOKUP($B43,MMWR_TRAD_AGG_STATE_COMP[],E$1,0),"ERROR")</f>
        <v>37304</v>
      </c>
      <c r="F43" s="112">
        <f>IFERROR(VLOOKUP($B43,MMWR_TRAD_AGG_STATE_COMP[],F$1,0),"ERROR")</f>
        <v>7532</v>
      </c>
      <c r="G43" s="113">
        <f t="shared" si="4"/>
        <v>0.20190864250482521</v>
      </c>
      <c r="H43" s="111">
        <f>IFERROR(VLOOKUP($B43,MMWR_TRAD_AGG_STATE_COMP[],H$1,0),"ERROR")</f>
        <v>40939</v>
      </c>
      <c r="I43" s="112">
        <f>IFERROR(VLOOKUP($B43,MMWR_TRAD_AGG_STATE_COMP[],I$1,0),"ERROR")</f>
        <v>19370</v>
      </c>
      <c r="J43" s="114">
        <f t="shared" si="5"/>
        <v>0.47314296880724982</v>
      </c>
      <c r="K43" s="111">
        <f>IFERROR(VLOOKUP($B43,MMWR_TRAD_AGG_STATE_COMP[],K$1,0),"ERROR")</f>
        <v>9636</v>
      </c>
      <c r="L43" s="112">
        <f>IFERROR(VLOOKUP($B43,MMWR_TRAD_AGG_STATE_COMP[],L$1,0),"ERROR")</f>
        <v>7173</v>
      </c>
      <c r="M43" s="114">
        <f t="shared" si="6"/>
        <v>0.74439601494396013</v>
      </c>
      <c r="N43" s="111">
        <f>IFERROR(VLOOKUP($B43,MMWR_TRAD_AGG_STATE_COMP[],N$1,0),"ERROR")</f>
        <v>19751</v>
      </c>
      <c r="O43" s="112">
        <f>IFERROR(VLOOKUP($B43,MMWR_TRAD_AGG_STATE_COMP[],O$1,0),"ERROR")</f>
        <v>11716</v>
      </c>
      <c r="P43" s="114">
        <f t="shared" si="7"/>
        <v>0.59318515518201609</v>
      </c>
      <c r="Q43" s="115">
        <f>IFERROR(VLOOKUP($B43,MMWR_TRAD_AGG_STATE_COMP[],Q$1,0),"ERROR")</f>
        <v>23</v>
      </c>
      <c r="R43" s="115">
        <f>IFERROR(VLOOKUP($B43,MMWR_TRAD_AGG_STATE_COMP[],R$1,0),"ERROR")</f>
        <v>444</v>
      </c>
      <c r="S43" s="115">
        <f>IFERROR(VLOOKUP($B43,MMWR_APP_STATE_COMP[],S$1,0),"ERROR")</f>
        <v>41897</v>
      </c>
      <c r="T43" s="28"/>
    </row>
    <row r="44" spans="1:20" s="123" customFormat="1" x14ac:dyDescent="0.2">
      <c r="A44" s="28"/>
      <c r="B44" s="127" t="s">
        <v>405</v>
      </c>
      <c r="C44" s="109">
        <f>IFERROR(VLOOKUP($B44,MMWR_TRAD_AGG_STATE_COMP[],C$1,0),"ERROR")</f>
        <v>708</v>
      </c>
      <c r="D44" s="110">
        <f>IFERROR(VLOOKUP($B44,MMWR_TRAD_AGG_STATE_COMP[],D$1,0),"ERROR")</f>
        <v>205.98870056499999</v>
      </c>
      <c r="E44" s="111">
        <f>IFERROR(VLOOKUP($B44,MMWR_TRAD_AGG_STATE_COMP[],E$1,0),"ERROR")</f>
        <v>1876</v>
      </c>
      <c r="F44" s="112">
        <f>IFERROR(VLOOKUP($B44,MMWR_TRAD_AGG_STATE_COMP[],F$1,0),"ERROR")</f>
        <v>436</v>
      </c>
      <c r="G44" s="113">
        <f t="shared" si="4"/>
        <v>0.23240938166311301</v>
      </c>
      <c r="H44" s="111">
        <f>IFERROR(VLOOKUP($B44,MMWR_TRAD_AGG_STATE_COMP[],H$1,0),"ERROR")</f>
        <v>2079</v>
      </c>
      <c r="I44" s="112">
        <f>IFERROR(VLOOKUP($B44,MMWR_TRAD_AGG_STATE_COMP[],I$1,0),"ERROR")</f>
        <v>451</v>
      </c>
      <c r="J44" s="114">
        <f t="shared" si="5"/>
        <v>0.21693121693121692</v>
      </c>
      <c r="K44" s="111">
        <f>IFERROR(VLOOKUP($B44,MMWR_TRAD_AGG_STATE_COMP[],K$1,0),"ERROR")</f>
        <v>626</v>
      </c>
      <c r="L44" s="112">
        <f>IFERROR(VLOOKUP($B44,MMWR_TRAD_AGG_STATE_COMP[],L$1,0),"ERROR")</f>
        <v>304</v>
      </c>
      <c r="M44" s="114">
        <f t="shared" si="6"/>
        <v>0.48562300319488816</v>
      </c>
      <c r="N44" s="111">
        <f>IFERROR(VLOOKUP($B44,MMWR_TRAD_AGG_STATE_COMP[],N$1,0),"ERROR")</f>
        <v>600</v>
      </c>
      <c r="O44" s="112">
        <f>IFERROR(VLOOKUP($B44,MMWR_TRAD_AGG_STATE_COMP[],O$1,0),"ERROR")</f>
        <v>317</v>
      </c>
      <c r="P44" s="114">
        <f t="shared" si="7"/>
        <v>0.52833333333333332</v>
      </c>
      <c r="Q44" s="115">
        <f>IFERROR(VLOOKUP($B44,MMWR_TRAD_AGG_STATE_COMP[],Q$1,0),"ERROR")</f>
        <v>0</v>
      </c>
      <c r="R44" s="115">
        <f>IFERROR(VLOOKUP($B44,MMWR_TRAD_AGG_STATE_COMP[],R$1,0),"ERROR")</f>
        <v>4</v>
      </c>
      <c r="S44" s="115">
        <f>IFERROR(VLOOKUP($B44,MMWR_APP_STATE_COMP[],S$1,0),"ERROR")</f>
        <v>545</v>
      </c>
      <c r="T44" s="28"/>
    </row>
    <row r="45" spans="1:20" s="123" customFormat="1" x14ac:dyDescent="0.2">
      <c r="A45" s="28"/>
      <c r="B45" s="127" t="s">
        <v>420</v>
      </c>
      <c r="C45" s="109">
        <f>IFERROR(VLOOKUP($B45,MMWR_TRAD_AGG_STATE_COMP[],C$1,0),"ERROR")</f>
        <v>274</v>
      </c>
      <c r="D45" s="110">
        <f>IFERROR(VLOOKUP($B45,MMWR_TRAD_AGG_STATE_COMP[],D$1,0),"ERROR")</f>
        <v>311.15693430660002</v>
      </c>
      <c r="E45" s="111">
        <f>IFERROR(VLOOKUP($B45,MMWR_TRAD_AGG_STATE_COMP[],E$1,0),"ERROR")</f>
        <v>760</v>
      </c>
      <c r="F45" s="112">
        <f>IFERROR(VLOOKUP($B45,MMWR_TRAD_AGG_STATE_COMP[],F$1,0),"ERROR")</f>
        <v>74</v>
      </c>
      <c r="G45" s="113">
        <f t="shared" si="4"/>
        <v>9.7368421052631576E-2</v>
      </c>
      <c r="H45" s="111">
        <f>IFERROR(VLOOKUP($B45,MMWR_TRAD_AGG_STATE_COMP[],H$1,0),"ERROR")</f>
        <v>783</v>
      </c>
      <c r="I45" s="112">
        <f>IFERROR(VLOOKUP($B45,MMWR_TRAD_AGG_STATE_COMP[],I$1,0),"ERROR")</f>
        <v>304</v>
      </c>
      <c r="J45" s="114">
        <f t="shared" si="5"/>
        <v>0.38825031928480203</v>
      </c>
      <c r="K45" s="111">
        <f>IFERROR(VLOOKUP($B45,MMWR_TRAD_AGG_STATE_COMP[],K$1,0),"ERROR")</f>
        <v>218</v>
      </c>
      <c r="L45" s="112">
        <f>IFERROR(VLOOKUP($B45,MMWR_TRAD_AGG_STATE_COMP[],L$1,0),"ERROR")</f>
        <v>138</v>
      </c>
      <c r="M45" s="114">
        <f t="shared" si="6"/>
        <v>0.6330275229357798</v>
      </c>
      <c r="N45" s="111">
        <f>IFERROR(VLOOKUP($B45,MMWR_TRAD_AGG_STATE_COMP[],N$1,0),"ERROR")</f>
        <v>197</v>
      </c>
      <c r="O45" s="112">
        <f>IFERROR(VLOOKUP($B45,MMWR_TRAD_AGG_STATE_COMP[],O$1,0),"ERROR")</f>
        <v>113</v>
      </c>
      <c r="P45" s="114">
        <f t="shared" si="7"/>
        <v>0.57360406091370564</v>
      </c>
      <c r="Q45" s="115">
        <f>IFERROR(VLOOKUP($B45,MMWR_TRAD_AGG_STATE_COMP[],Q$1,0),"ERROR")</f>
        <v>2</v>
      </c>
      <c r="R45" s="115">
        <f>IFERROR(VLOOKUP($B45,MMWR_TRAD_AGG_STATE_COMP[],R$1,0),"ERROR")</f>
        <v>1</v>
      </c>
      <c r="S45" s="115">
        <f>IFERROR(VLOOKUP($B45,MMWR_APP_STATE_COMP[],S$1,0),"ERROR")</f>
        <v>197</v>
      </c>
      <c r="T45" s="28"/>
    </row>
    <row r="46" spans="1:20" s="123" customFormat="1" x14ac:dyDescent="0.2">
      <c r="A46" s="28"/>
      <c r="B46" s="126" t="s">
        <v>403</v>
      </c>
      <c r="C46" s="102">
        <f>IFERROR(VLOOKUP($B46,MMWR_TRAD_AGG_ST_DISTRICT_COMP[],C$1,0),"ERROR")</f>
        <v>42859</v>
      </c>
      <c r="D46" s="103">
        <f>IFERROR(VLOOKUP($B46,MMWR_TRAD_AGG_ST_DISTRICT_COMP[],D$1,0),"ERROR")</f>
        <v>392.231899951</v>
      </c>
      <c r="E46" s="102">
        <f>IFERROR(VLOOKUP($B46,MMWR_TRAD_AGG_ST_DISTRICT_COMP[],E$1,0),"ERROR")</f>
        <v>64367</v>
      </c>
      <c r="F46" s="102">
        <f>IFERROR(VLOOKUP($B46,MMWR_TRAD_AGG_ST_DISTRICT_COMP[],F$1,0),"ERROR")</f>
        <v>12945</v>
      </c>
      <c r="G46" s="104">
        <f t="shared" si="4"/>
        <v>0.20111237124613543</v>
      </c>
      <c r="H46" s="102">
        <f>IFERROR(VLOOKUP($B46,MMWR_TRAD_AGG_ST_DISTRICT_COMP[],H$1,0),"ERROR")</f>
        <v>83464</v>
      </c>
      <c r="I46" s="102">
        <f>IFERROR(VLOOKUP($B46,MMWR_TRAD_AGG_ST_DISTRICT_COMP[],I$1,0),"ERROR")</f>
        <v>41839</v>
      </c>
      <c r="J46" s="105">
        <f t="shared" si="5"/>
        <v>0.501281989839931</v>
      </c>
      <c r="K46" s="102">
        <f>IFERROR(VLOOKUP($B46,MMWR_TRAD_AGG_ST_DISTRICT_COMP[],K$1,0),"ERROR")</f>
        <v>25052</v>
      </c>
      <c r="L46" s="102">
        <f>IFERROR(VLOOKUP($B46,MMWR_TRAD_AGG_ST_DISTRICT_COMP[],L$1,0),"ERROR")</f>
        <v>18595</v>
      </c>
      <c r="M46" s="105">
        <f t="shared" si="6"/>
        <v>0.74225610729682256</v>
      </c>
      <c r="N46" s="102">
        <f>IFERROR(VLOOKUP($B46,MMWR_TRAD_AGG_ST_DISTRICT_COMP[],N$1,0),"ERROR")</f>
        <v>31697</v>
      </c>
      <c r="O46" s="102">
        <f>IFERROR(VLOOKUP($B46,MMWR_TRAD_AGG_ST_DISTRICT_COMP[],O$1,0),"ERROR")</f>
        <v>22566</v>
      </c>
      <c r="P46" s="105">
        <f t="shared" si="7"/>
        <v>0.71192857368205198</v>
      </c>
      <c r="Q46" s="102">
        <f>IFERROR(VLOOKUP($B46,MMWR_TRAD_AGG_ST_DISTRICT_COMP[],Q$1,0),"ERROR")</f>
        <v>101</v>
      </c>
      <c r="R46" s="106">
        <f>IFERROR(VLOOKUP($B46,MMWR_TRAD_AGG_ST_DISTRICT_COMP[],R$1,0),"ERROR")</f>
        <v>665</v>
      </c>
      <c r="S46" s="106">
        <f>SUM(S47:S55)</f>
        <v>41181</v>
      </c>
      <c r="T46" s="28"/>
    </row>
    <row r="47" spans="1:20" s="123" customFormat="1" x14ac:dyDescent="0.2">
      <c r="A47" s="28"/>
      <c r="B47" s="127" t="s">
        <v>423</v>
      </c>
      <c r="C47" s="109">
        <f>IFERROR(VLOOKUP($B47,MMWR_TRAD_AGG_STATE_COMP[],C$1,0),"ERROR")</f>
        <v>1830</v>
      </c>
      <c r="D47" s="110">
        <f>IFERROR(VLOOKUP($B47,MMWR_TRAD_AGG_STATE_COMP[],D$1,0),"ERROR")</f>
        <v>477.06338797810002</v>
      </c>
      <c r="E47" s="111">
        <f>IFERROR(VLOOKUP($B47,MMWR_TRAD_AGG_STATE_COMP[],E$1,0),"ERROR")</f>
        <v>1050</v>
      </c>
      <c r="F47" s="112">
        <f>IFERROR(VLOOKUP($B47,MMWR_TRAD_AGG_STATE_COMP[],F$1,0),"ERROR")</f>
        <v>272</v>
      </c>
      <c r="G47" s="113">
        <f t="shared" si="4"/>
        <v>0.25904761904761903</v>
      </c>
      <c r="H47" s="111">
        <f>IFERROR(VLOOKUP($B47,MMWR_TRAD_AGG_STATE_COMP[],H$1,0),"ERROR")</f>
        <v>3082</v>
      </c>
      <c r="I47" s="112">
        <f>IFERROR(VLOOKUP($B47,MMWR_TRAD_AGG_STATE_COMP[],I$1,0),"ERROR")</f>
        <v>1935</v>
      </c>
      <c r="J47" s="114">
        <f t="shared" si="5"/>
        <v>0.62783906554185598</v>
      </c>
      <c r="K47" s="111">
        <f>IFERROR(VLOOKUP($B47,MMWR_TRAD_AGG_STATE_COMP[],K$1,0),"ERROR")</f>
        <v>1494</v>
      </c>
      <c r="L47" s="112">
        <f>IFERROR(VLOOKUP($B47,MMWR_TRAD_AGG_STATE_COMP[],L$1,0),"ERROR")</f>
        <v>1146</v>
      </c>
      <c r="M47" s="114">
        <f t="shared" si="6"/>
        <v>0.76706827309236947</v>
      </c>
      <c r="N47" s="111">
        <f>IFERROR(VLOOKUP($B47,MMWR_TRAD_AGG_STATE_COMP[],N$1,0),"ERROR")</f>
        <v>435</v>
      </c>
      <c r="O47" s="112">
        <f>IFERROR(VLOOKUP($B47,MMWR_TRAD_AGG_STATE_COMP[],O$1,0),"ERROR")</f>
        <v>328</v>
      </c>
      <c r="P47" s="114">
        <f t="shared" si="7"/>
        <v>0.75402298850574712</v>
      </c>
      <c r="Q47" s="115">
        <f>IFERROR(VLOOKUP($B47,MMWR_TRAD_AGG_STATE_COMP[],Q$1,0),"ERROR")</f>
        <v>0</v>
      </c>
      <c r="R47" s="115">
        <f>IFERROR(VLOOKUP($B47,MMWR_TRAD_AGG_STATE_COMP[],R$1,0),"ERROR")</f>
        <v>3</v>
      </c>
      <c r="S47" s="115">
        <f>IFERROR(VLOOKUP($B47,MMWR_APP_STATE_COMP[],S$1,0),"ERROR")</f>
        <v>249</v>
      </c>
      <c r="T47" s="28"/>
    </row>
    <row r="48" spans="1:20" s="123" customFormat="1" x14ac:dyDescent="0.2">
      <c r="A48" s="28"/>
      <c r="B48" s="127" t="s">
        <v>425</v>
      </c>
      <c r="C48" s="109">
        <f>IFERROR(VLOOKUP($B48,MMWR_TRAD_AGG_STATE_COMP[],C$1,0),"ERROR")</f>
        <v>3977</v>
      </c>
      <c r="D48" s="110">
        <f>IFERROR(VLOOKUP($B48,MMWR_TRAD_AGG_STATE_COMP[],D$1,0),"ERROR")</f>
        <v>268.91375408599998</v>
      </c>
      <c r="E48" s="111">
        <f>IFERROR(VLOOKUP($B48,MMWR_TRAD_AGG_STATE_COMP[],E$1,0),"ERROR")</f>
        <v>5594</v>
      </c>
      <c r="F48" s="112">
        <f>IFERROR(VLOOKUP($B48,MMWR_TRAD_AGG_STATE_COMP[],F$1,0),"ERROR")</f>
        <v>950</v>
      </c>
      <c r="G48" s="113">
        <f t="shared" si="4"/>
        <v>0.16982481229889168</v>
      </c>
      <c r="H48" s="111">
        <f>IFERROR(VLOOKUP($B48,MMWR_TRAD_AGG_STATE_COMP[],H$1,0),"ERROR")</f>
        <v>7786</v>
      </c>
      <c r="I48" s="112">
        <f>IFERROR(VLOOKUP($B48,MMWR_TRAD_AGG_STATE_COMP[],I$1,0),"ERROR")</f>
        <v>3049</v>
      </c>
      <c r="J48" s="114">
        <f t="shared" si="5"/>
        <v>0.39160030824556896</v>
      </c>
      <c r="K48" s="111">
        <f>IFERROR(VLOOKUP($B48,MMWR_TRAD_AGG_STATE_COMP[],K$1,0),"ERROR")</f>
        <v>2371</v>
      </c>
      <c r="L48" s="112">
        <f>IFERROR(VLOOKUP($B48,MMWR_TRAD_AGG_STATE_COMP[],L$1,0),"ERROR")</f>
        <v>1516</v>
      </c>
      <c r="M48" s="114">
        <f t="shared" si="6"/>
        <v>0.6393926613243357</v>
      </c>
      <c r="N48" s="111">
        <f>IFERROR(VLOOKUP($B48,MMWR_TRAD_AGG_STATE_COMP[],N$1,0),"ERROR")</f>
        <v>2639</v>
      </c>
      <c r="O48" s="112">
        <f>IFERROR(VLOOKUP($B48,MMWR_TRAD_AGG_STATE_COMP[],O$1,0),"ERROR")</f>
        <v>1701</v>
      </c>
      <c r="P48" s="114">
        <f t="shared" si="7"/>
        <v>0.64456233421750664</v>
      </c>
      <c r="Q48" s="115">
        <f>IFERROR(VLOOKUP($B48,MMWR_TRAD_AGG_STATE_COMP[],Q$1,0),"ERROR")</f>
        <v>8</v>
      </c>
      <c r="R48" s="115">
        <f>IFERROR(VLOOKUP($B48,MMWR_TRAD_AGG_STATE_COMP[],R$1,0),"ERROR")</f>
        <v>89</v>
      </c>
      <c r="S48" s="115">
        <f>IFERROR(VLOOKUP($B48,MMWR_APP_STATE_COMP[],S$1,0),"ERROR")</f>
        <v>6903</v>
      </c>
      <c r="T48" s="28"/>
    </row>
    <row r="49" spans="1:20" s="123" customFormat="1" x14ac:dyDescent="0.2">
      <c r="A49" s="28"/>
      <c r="B49" s="127" t="s">
        <v>406</v>
      </c>
      <c r="C49" s="109">
        <f>IFERROR(VLOOKUP($B49,MMWR_TRAD_AGG_STATE_COMP[],C$1,0),"ERROR")</f>
        <v>18324</v>
      </c>
      <c r="D49" s="110">
        <f>IFERROR(VLOOKUP($B49,MMWR_TRAD_AGG_STATE_COMP[],D$1,0),"ERROR")</f>
        <v>437.0849159572</v>
      </c>
      <c r="E49" s="111">
        <f>IFERROR(VLOOKUP($B49,MMWR_TRAD_AGG_STATE_COMP[],E$1,0),"ERROR")</f>
        <v>34473</v>
      </c>
      <c r="F49" s="112">
        <f>IFERROR(VLOOKUP($B49,MMWR_TRAD_AGG_STATE_COMP[],F$1,0),"ERROR")</f>
        <v>6956</v>
      </c>
      <c r="G49" s="113">
        <f t="shared" si="4"/>
        <v>0.20178110405244684</v>
      </c>
      <c r="H49" s="111">
        <f>IFERROR(VLOOKUP($B49,MMWR_TRAD_AGG_STATE_COMP[],H$1,0),"ERROR")</f>
        <v>37833</v>
      </c>
      <c r="I49" s="112">
        <f>IFERROR(VLOOKUP($B49,MMWR_TRAD_AGG_STATE_COMP[],I$1,0),"ERROR")</f>
        <v>19451</v>
      </c>
      <c r="J49" s="114">
        <f t="shared" si="5"/>
        <v>0.51412787777865887</v>
      </c>
      <c r="K49" s="111">
        <f>IFERROR(VLOOKUP($B49,MMWR_TRAD_AGG_STATE_COMP[],K$1,0),"ERROR")</f>
        <v>10533</v>
      </c>
      <c r="L49" s="112">
        <f>IFERROR(VLOOKUP($B49,MMWR_TRAD_AGG_STATE_COMP[],L$1,0),"ERROR")</f>
        <v>8257</v>
      </c>
      <c r="M49" s="114">
        <f t="shared" si="6"/>
        <v>0.78391721257001801</v>
      </c>
      <c r="N49" s="111">
        <f>IFERROR(VLOOKUP($B49,MMWR_TRAD_AGG_STATE_COMP[],N$1,0),"ERROR")</f>
        <v>15461</v>
      </c>
      <c r="O49" s="112">
        <f>IFERROR(VLOOKUP($B49,MMWR_TRAD_AGG_STATE_COMP[],O$1,0),"ERROR")</f>
        <v>10939</v>
      </c>
      <c r="P49" s="114">
        <f t="shared" si="7"/>
        <v>0.70752215251277406</v>
      </c>
      <c r="Q49" s="115">
        <f>IFERROR(VLOOKUP($B49,MMWR_TRAD_AGG_STATE_COMP[],Q$1,0),"ERROR")</f>
        <v>57</v>
      </c>
      <c r="R49" s="115">
        <f>IFERROR(VLOOKUP($B49,MMWR_TRAD_AGG_STATE_COMP[],R$1,0),"ERROR")</f>
        <v>163</v>
      </c>
      <c r="S49" s="115">
        <f>IFERROR(VLOOKUP($B49,MMWR_APP_STATE_COMP[],S$1,0),"ERROR")</f>
        <v>17899</v>
      </c>
      <c r="T49" s="28"/>
    </row>
    <row r="50" spans="1:20" s="123" customFormat="1" x14ac:dyDescent="0.2">
      <c r="A50" s="28"/>
      <c r="B50" s="127" t="s">
        <v>427</v>
      </c>
      <c r="C50" s="109">
        <f>IFERROR(VLOOKUP($B50,MMWR_TRAD_AGG_STATE_COMP[],C$1,0),"ERROR")</f>
        <v>971</v>
      </c>
      <c r="D50" s="110">
        <f>IFERROR(VLOOKUP($B50,MMWR_TRAD_AGG_STATE_COMP[],D$1,0),"ERROR")</f>
        <v>248.6508753862</v>
      </c>
      <c r="E50" s="111">
        <f>IFERROR(VLOOKUP($B50,MMWR_TRAD_AGG_STATE_COMP[],E$1,0),"ERROR")</f>
        <v>2081</v>
      </c>
      <c r="F50" s="112">
        <f>IFERROR(VLOOKUP($B50,MMWR_TRAD_AGG_STATE_COMP[],F$1,0),"ERROR")</f>
        <v>320</v>
      </c>
      <c r="G50" s="113">
        <f t="shared" si="4"/>
        <v>0.15377222489187892</v>
      </c>
      <c r="H50" s="111">
        <f>IFERROR(VLOOKUP($B50,MMWR_TRAD_AGG_STATE_COMP[],H$1,0),"ERROR")</f>
        <v>2154</v>
      </c>
      <c r="I50" s="112">
        <f>IFERROR(VLOOKUP($B50,MMWR_TRAD_AGG_STATE_COMP[],I$1,0),"ERROR")</f>
        <v>715</v>
      </c>
      <c r="J50" s="114">
        <f t="shared" si="5"/>
        <v>0.3319405756731662</v>
      </c>
      <c r="K50" s="111">
        <f>IFERROR(VLOOKUP($B50,MMWR_TRAD_AGG_STATE_COMP[],K$1,0),"ERROR")</f>
        <v>1090</v>
      </c>
      <c r="L50" s="112">
        <f>IFERROR(VLOOKUP($B50,MMWR_TRAD_AGG_STATE_COMP[],L$1,0),"ERROR")</f>
        <v>621</v>
      </c>
      <c r="M50" s="114">
        <f t="shared" si="6"/>
        <v>0.56972477064220184</v>
      </c>
      <c r="N50" s="111">
        <f>IFERROR(VLOOKUP($B50,MMWR_TRAD_AGG_STATE_COMP[],N$1,0),"ERROR")</f>
        <v>649</v>
      </c>
      <c r="O50" s="112">
        <f>IFERROR(VLOOKUP($B50,MMWR_TRAD_AGG_STATE_COMP[],O$1,0),"ERROR")</f>
        <v>399</v>
      </c>
      <c r="P50" s="114">
        <f t="shared" si="7"/>
        <v>0.61479198767334364</v>
      </c>
      <c r="Q50" s="115">
        <f>IFERROR(VLOOKUP($B50,MMWR_TRAD_AGG_STATE_COMP[],Q$1,0),"ERROR")</f>
        <v>2</v>
      </c>
      <c r="R50" s="115">
        <f>IFERROR(VLOOKUP($B50,MMWR_TRAD_AGG_STATE_COMP[],R$1,0),"ERROR")</f>
        <v>4</v>
      </c>
      <c r="S50" s="115">
        <f>IFERROR(VLOOKUP($B50,MMWR_APP_STATE_COMP[],S$1,0),"ERROR")</f>
        <v>1119</v>
      </c>
      <c r="T50" s="28"/>
    </row>
    <row r="51" spans="1:20" s="123" customFormat="1" x14ac:dyDescent="0.2">
      <c r="A51" s="28"/>
      <c r="B51" s="127" t="s">
        <v>407</v>
      </c>
      <c r="C51" s="109">
        <f>IFERROR(VLOOKUP($B51,MMWR_TRAD_AGG_STATE_COMP[],C$1,0),"ERROR")</f>
        <v>664</v>
      </c>
      <c r="D51" s="110">
        <f>IFERROR(VLOOKUP($B51,MMWR_TRAD_AGG_STATE_COMP[],D$1,0),"ERROR")</f>
        <v>198.79819277109999</v>
      </c>
      <c r="E51" s="111">
        <f>IFERROR(VLOOKUP($B51,MMWR_TRAD_AGG_STATE_COMP[],E$1,0),"ERROR")</f>
        <v>1842</v>
      </c>
      <c r="F51" s="112">
        <f>IFERROR(VLOOKUP($B51,MMWR_TRAD_AGG_STATE_COMP[],F$1,0),"ERROR")</f>
        <v>482</v>
      </c>
      <c r="G51" s="113">
        <f t="shared" si="4"/>
        <v>0.26167209554831705</v>
      </c>
      <c r="H51" s="111">
        <f>IFERROR(VLOOKUP($B51,MMWR_TRAD_AGG_STATE_COMP[],H$1,0),"ERROR")</f>
        <v>1693</v>
      </c>
      <c r="I51" s="112">
        <f>IFERROR(VLOOKUP($B51,MMWR_TRAD_AGG_STATE_COMP[],I$1,0),"ERROR")</f>
        <v>418</v>
      </c>
      <c r="J51" s="114">
        <f t="shared" si="5"/>
        <v>0.24689899586532782</v>
      </c>
      <c r="K51" s="111">
        <f>IFERROR(VLOOKUP($B51,MMWR_TRAD_AGG_STATE_COMP[],K$1,0),"ERROR")</f>
        <v>411</v>
      </c>
      <c r="L51" s="112">
        <f>IFERROR(VLOOKUP($B51,MMWR_TRAD_AGG_STATE_COMP[],L$1,0),"ERROR")</f>
        <v>192</v>
      </c>
      <c r="M51" s="114">
        <f t="shared" si="6"/>
        <v>0.46715328467153283</v>
      </c>
      <c r="N51" s="111">
        <f>IFERROR(VLOOKUP($B51,MMWR_TRAD_AGG_STATE_COMP[],N$1,0),"ERROR")</f>
        <v>485</v>
      </c>
      <c r="O51" s="112">
        <f>IFERROR(VLOOKUP($B51,MMWR_TRAD_AGG_STATE_COMP[],O$1,0),"ERROR")</f>
        <v>299</v>
      </c>
      <c r="P51" s="114">
        <f t="shared" si="7"/>
        <v>0.61649484536082477</v>
      </c>
      <c r="Q51" s="115">
        <f>IFERROR(VLOOKUP($B51,MMWR_TRAD_AGG_STATE_COMP[],Q$1,0),"ERROR")</f>
        <v>1</v>
      </c>
      <c r="R51" s="115">
        <f>IFERROR(VLOOKUP($B51,MMWR_TRAD_AGG_STATE_COMP[],R$1,0),"ERROR")</f>
        <v>7</v>
      </c>
      <c r="S51" s="115">
        <f>IFERROR(VLOOKUP($B51,MMWR_APP_STATE_COMP[],S$1,0),"ERROR")</f>
        <v>855</v>
      </c>
      <c r="T51" s="28"/>
    </row>
    <row r="52" spans="1:20" s="123" customFormat="1" x14ac:dyDescent="0.2">
      <c r="A52" s="28"/>
      <c r="B52" s="127" t="s">
        <v>412</v>
      </c>
      <c r="C52" s="109">
        <f>IFERROR(VLOOKUP($B52,MMWR_TRAD_AGG_STATE_COMP[],C$1,0),"ERROR")</f>
        <v>2656</v>
      </c>
      <c r="D52" s="110">
        <f>IFERROR(VLOOKUP($B52,MMWR_TRAD_AGG_STATE_COMP[],D$1,0),"ERROR")</f>
        <v>435.54631024100001</v>
      </c>
      <c r="E52" s="111">
        <f>IFERROR(VLOOKUP($B52,MMWR_TRAD_AGG_STATE_COMP[],E$1,0),"ERROR")</f>
        <v>4043</v>
      </c>
      <c r="F52" s="112">
        <f>IFERROR(VLOOKUP($B52,MMWR_TRAD_AGG_STATE_COMP[],F$1,0),"ERROR")</f>
        <v>1005</v>
      </c>
      <c r="G52" s="113">
        <f t="shared" si="4"/>
        <v>0.24857778877071482</v>
      </c>
      <c r="H52" s="111">
        <f>IFERROR(VLOOKUP($B52,MMWR_TRAD_AGG_STATE_COMP[],H$1,0),"ERROR")</f>
        <v>4396</v>
      </c>
      <c r="I52" s="112">
        <f>IFERROR(VLOOKUP($B52,MMWR_TRAD_AGG_STATE_COMP[],I$1,0),"ERROR")</f>
        <v>2481</v>
      </c>
      <c r="J52" s="114">
        <f t="shared" si="5"/>
        <v>0.5643767060964513</v>
      </c>
      <c r="K52" s="111">
        <f>IFERROR(VLOOKUP($B52,MMWR_TRAD_AGG_STATE_COMP[],K$1,0),"ERROR")</f>
        <v>1037</v>
      </c>
      <c r="L52" s="112">
        <f>IFERROR(VLOOKUP($B52,MMWR_TRAD_AGG_STATE_COMP[],L$1,0),"ERROR")</f>
        <v>798</v>
      </c>
      <c r="M52" s="114">
        <f t="shared" si="6"/>
        <v>0.76952748312439734</v>
      </c>
      <c r="N52" s="111">
        <f>IFERROR(VLOOKUP($B52,MMWR_TRAD_AGG_STATE_COMP[],N$1,0),"ERROR")</f>
        <v>1956</v>
      </c>
      <c r="O52" s="112">
        <f>IFERROR(VLOOKUP($B52,MMWR_TRAD_AGG_STATE_COMP[],O$1,0),"ERROR")</f>
        <v>1486</v>
      </c>
      <c r="P52" s="114">
        <f t="shared" si="7"/>
        <v>0.75971370143149286</v>
      </c>
      <c r="Q52" s="115">
        <f>IFERROR(VLOOKUP($B52,MMWR_TRAD_AGG_STATE_COMP[],Q$1,0),"ERROR")</f>
        <v>3</v>
      </c>
      <c r="R52" s="115">
        <f>IFERROR(VLOOKUP($B52,MMWR_TRAD_AGG_STATE_COMP[],R$1,0),"ERROR")</f>
        <v>123</v>
      </c>
      <c r="S52" s="115">
        <f>IFERROR(VLOOKUP($B52,MMWR_APP_STATE_COMP[],S$1,0),"ERROR")</f>
        <v>2944</v>
      </c>
      <c r="T52" s="28"/>
    </row>
    <row r="53" spans="1:20" s="123" customFormat="1" x14ac:dyDescent="0.2">
      <c r="A53" s="28"/>
      <c r="B53" s="127" t="s">
        <v>404</v>
      </c>
      <c r="C53" s="109">
        <f>IFERROR(VLOOKUP($B53,MMWR_TRAD_AGG_STATE_COMP[],C$1,0),"ERROR")</f>
        <v>791</v>
      </c>
      <c r="D53" s="110">
        <f>IFERROR(VLOOKUP($B53,MMWR_TRAD_AGG_STATE_COMP[],D$1,0),"ERROR")</f>
        <v>239.75853350189999</v>
      </c>
      <c r="E53" s="111">
        <f>IFERROR(VLOOKUP($B53,MMWR_TRAD_AGG_STATE_COMP[],E$1,0),"ERROR")</f>
        <v>2853</v>
      </c>
      <c r="F53" s="112">
        <f>IFERROR(VLOOKUP($B53,MMWR_TRAD_AGG_STATE_COMP[],F$1,0),"ERROR")</f>
        <v>659</v>
      </c>
      <c r="G53" s="113">
        <f t="shared" si="4"/>
        <v>0.23098492814581142</v>
      </c>
      <c r="H53" s="111">
        <f>IFERROR(VLOOKUP($B53,MMWR_TRAD_AGG_STATE_COMP[],H$1,0),"ERROR")</f>
        <v>2039</v>
      </c>
      <c r="I53" s="112">
        <f>IFERROR(VLOOKUP($B53,MMWR_TRAD_AGG_STATE_COMP[],I$1,0),"ERROR")</f>
        <v>665</v>
      </c>
      <c r="J53" s="114">
        <f t="shared" si="5"/>
        <v>0.3261402648357038</v>
      </c>
      <c r="K53" s="111">
        <f>IFERROR(VLOOKUP($B53,MMWR_TRAD_AGG_STATE_COMP[],K$1,0),"ERROR")</f>
        <v>566</v>
      </c>
      <c r="L53" s="112">
        <f>IFERROR(VLOOKUP($B53,MMWR_TRAD_AGG_STATE_COMP[],L$1,0),"ERROR")</f>
        <v>331</v>
      </c>
      <c r="M53" s="114">
        <f t="shared" si="6"/>
        <v>0.5848056537102474</v>
      </c>
      <c r="N53" s="111">
        <f>IFERROR(VLOOKUP($B53,MMWR_TRAD_AGG_STATE_COMP[],N$1,0),"ERROR")</f>
        <v>987</v>
      </c>
      <c r="O53" s="112">
        <f>IFERROR(VLOOKUP($B53,MMWR_TRAD_AGG_STATE_COMP[],O$1,0),"ERROR")</f>
        <v>592</v>
      </c>
      <c r="P53" s="114">
        <f t="shared" si="7"/>
        <v>0.59979736575481257</v>
      </c>
      <c r="Q53" s="115">
        <f>IFERROR(VLOOKUP($B53,MMWR_TRAD_AGG_STATE_COMP[],Q$1,0),"ERROR")</f>
        <v>6</v>
      </c>
      <c r="R53" s="115">
        <f>IFERROR(VLOOKUP($B53,MMWR_TRAD_AGG_STATE_COMP[],R$1,0),"ERROR")</f>
        <v>12</v>
      </c>
      <c r="S53" s="115">
        <f>IFERROR(VLOOKUP($B53,MMWR_APP_STATE_COMP[],S$1,0),"ERROR")</f>
        <v>1638</v>
      </c>
      <c r="T53" s="28"/>
    </row>
    <row r="54" spans="1:20" s="123" customFormat="1" x14ac:dyDescent="0.2">
      <c r="A54" s="28"/>
      <c r="B54" s="127" t="s">
        <v>408</v>
      </c>
      <c r="C54" s="109">
        <f>IFERROR(VLOOKUP($B54,MMWR_TRAD_AGG_STATE_COMP[],C$1,0),"ERROR")</f>
        <v>5177</v>
      </c>
      <c r="D54" s="110">
        <f>IFERROR(VLOOKUP($B54,MMWR_TRAD_AGG_STATE_COMP[],D$1,0),"ERROR")</f>
        <v>383.81784817459999</v>
      </c>
      <c r="E54" s="111">
        <f>IFERROR(VLOOKUP($B54,MMWR_TRAD_AGG_STATE_COMP[],E$1,0),"ERROR")</f>
        <v>4761</v>
      </c>
      <c r="F54" s="112">
        <f>IFERROR(VLOOKUP($B54,MMWR_TRAD_AGG_STATE_COMP[],F$1,0),"ERROR")</f>
        <v>895</v>
      </c>
      <c r="G54" s="113">
        <f t="shared" si="4"/>
        <v>0.18798571728628438</v>
      </c>
      <c r="H54" s="111">
        <f>IFERROR(VLOOKUP($B54,MMWR_TRAD_AGG_STATE_COMP[],H$1,0),"ERROR")</f>
        <v>8844</v>
      </c>
      <c r="I54" s="112">
        <f>IFERROR(VLOOKUP($B54,MMWR_TRAD_AGG_STATE_COMP[],I$1,0),"ERROR")</f>
        <v>4668</v>
      </c>
      <c r="J54" s="114">
        <f t="shared" si="5"/>
        <v>0.52781546811397562</v>
      </c>
      <c r="K54" s="111">
        <f>IFERROR(VLOOKUP($B54,MMWR_TRAD_AGG_STATE_COMP[],K$1,0),"ERROR")</f>
        <v>3330</v>
      </c>
      <c r="L54" s="112">
        <f>IFERROR(VLOOKUP($B54,MMWR_TRAD_AGG_STATE_COMP[],L$1,0),"ERROR")</f>
        <v>2823</v>
      </c>
      <c r="M54" s="114">
        <f t="shared" si="6"/>
        <v>0.84774774774774775</v>
      </c>
      <c r="N54" s="111">
        <f>IFERROR(VLOOKUP($B54,MMWR_TRAD_AGG_STATE_COMP[],N$1,0),"ERROR")</f>
        <v>3223</v>
      </c>
      <c r="O54" s="112">
        <f>IFERROR(VLOOKUP($B54,MMWR_TRAD_AGG_STATE_COMP[],O$1,0),"ERROR")</f>
        <v>2337</v>
      </c>
      <c r="P54" s="114">
        <f t="shared" si="7"/>
        <v>0.72510083772882405</v>
      </c>
      <c r="Q54" s="115">
        <f>IFERROR(VLOOKUP($B54,MMWR_TRAD_AGG_STATE_COMP[],Q$1,0),"ERROR")</f>
        <v>7</v>
      </c>
      <c r="R54" s="115">
        <f>IFERROR(VLOOKUP($B54,MMWR_TRAD_AGG_STATE_COMP[],R$1,0),"ERROR")</f>
        <v>109</v>
      </c>
      <c r="S54" s="115">
        <f>IFERROR(VLOOKUP($B54,MMWR_APP_STATE_COMP[],S$1,0),"ERROR")</f>
        <v>4714</v>
      </c>
      <c r="T54" s="28"/>
    </row>
    <row r="55" spans="1:20" s="123" customFormat="1" x14ac:dyDescent="0.2">
      <c r="A55" s="28"/>
      <c r="B55" s="127" t="s">
        <v>80</v>
      </c>
      <c r="C55" s="109">
        <f>IFERROR(VLOOKUP($B55,MMWR_TRAD_AGG_STATE_COMP[],C$1,0),"ERROR")</f>
        <v>8469</v>
      </c>
      <c r="D55" s="110">
        <f>IFERROR(VLOOKUP($B55,MMWR_TRAD_AGG_STATE_COMP[],D$1,0),"ERROR")</f>
        <v>372.19270279839998</v>
      </c>
      <c r="E55" s="111">
        <f>IFERROR(VLOOKUP($B55,MMWR_TRAD_AGG_STATE_COMP[],E$1,0),"ERROR")</f>
        <v>7670</v>
      </c>
      <c r="F55" s="112">
        <f>IFERROR(VLOOKUP($B55,MMWR_TRAD_AGG_STATE_COMP[],F$1,0),"ERROR")</f>
        <v>1406</v>
      </c>
      <c r="G55" s="113">
        <f t="shared" si="4"/>
        <v>0.18331160365058671</v>
      </c>
      <c r="H55" s="111">
        <f>IFERROR(VLOOKUP($B55,MMWR_TRAD_AGG_STATE_COMP[],H$1,0),"ERROR")</f>
        <v>15637</v>
      </c>
      <c r="I55" s="112">
        <f>IFERROR(VLOOKUP($B55,MMWR_TRAD_AGG_STATE_COMP[],I$1,0),"ERROR")</f>
        <v>8457</v>
      </c>
      <c r="J55" s="114">
        <f t="shared" si="5"/>
        <v>0.54083264053207136</v>
      </c>
      <c r="K55" s="111">
        <f>IFERROR(VLOOKUP($B55,MMWR_TRAD_AGG_STATE_COMP[],K$1,0),"ERROR")</f>
        <v>4220</v>
      </c>
      <c r="L55" s="112">
        <f>IFERROR(VLOOKUP($B55,MMWR_TRAD_AGG_STATE_COMP[],L$1,0),"ERROR")</f>
        <v>2911</v>
      </c>
      <c r="M55" s="114">
        <f t="shared" si="6"/>
        <v>0.68981042654028435</v>
      </c>
      <c r="N55" s="111">
        <f>IFERROR(VLOOKUP($B55,MMWR_TRAD_AGG_STATE_COMP[],N$1,0),"ERROR")</f>
        <v>5862</v>
      </c>
      <c r="O55" s="112">
        <f>IFERROR(VLOOKUP($B55,MMWR_TRAD_AGG_STATE_COMP[],O$1,0),"ERROR")</f>
        <v>4485</v>
      </c>
      <c r="P55" s="114">
        <f t="shared" si="7"/>
        <v>0.7650972364380757</v>
      </c>
      <c r="Q55" s="115">
        <f>IFERROR(VLOOKUP($B55,MMWR_TRAD_AGG_STATE_COMP[],Q$1,0),"ERROR")</f>
        <v>17</v>
      </c>
      <c r="R55" s="115">
        <f>IFERROR(VLOOKUP($B55,MMWR_TRAD_AGG_STATE_COMP[],R$1,0),"ERROR")</f>
        <v>155</v>
      </c>
      <c r="S55" s="115">
        <f>IFERROR(VLOOKUP($B55,MMWR_APP_STATE_COMP[],S$1,0),"ERROR")</f>
        <v>4860</v>
      </c>
      <c r="T55" s="28"/>
    </row>
    <row r="56" spans="1:20" s="123" customFormat="1" x14ac:dyDescent="0.2">
      <c r="A56" s="28"/>
      <c r="B56" s="126" t="s">
        <v>379</v>
      </c>
      <c r="C56" s="102">
        <f>IFERROR(VLOOKUP($B56,MMWR_TRAD_AGG_ST_DISTRICT_COMP[],C$1,0),"ERROR")</f>
        <v>58518</v>
      </c>
      <c r="D56" s="103">
        <f>IFERROR(VLOOKUP($B56,MMWR_TRAD_AGG_ST_DISTRICT_COMP[],D$1,0),"ERROR")</f>
        <v>348.11466557300002</v>
      </c>
      <c r="E56" s="102">
        <f>IFERROR(VLOOKUP($B56,MMWR_TRAD_AGG_ST_DISTRICT_COMP[],E$1,0),"ERROR")</f>
        <v>80484</v>
      </c>
      <c r="F56" s="102">
        <f>IFERROR(VLOOKUP($B56,MMWR_TRAD_AGG_ST_DISTRICT_COMP[],F$1,0),"ERROR")</f>
        <v>18474</v>
      </c>
      <c r="G56" s="104">
        <f t="shared" si="4"/>
        <v>0.22953630535261668</v>
      </c>
      <c r="H56" s="102">
        <f>IFERROR(VLOOKUP($B56,MMWR_TRAD_AGG_ST_DISTRICT_COMP[],H$1,0),"ERROR")</f>
        <v>106134</v>
      </c>
      <c r="I56" s="102">
        <f>IFERROR(VLOOKUP($B56,MMWR_TRAD_AGG_ST_DISTRICT_COMP[],I$1,0),"ERROR")</f>
        <v>56617</v>
      </c>
      <c r="J56" s="105">
        <f t="shared" si="5"/>
        <v>0.53344828236003539</v>
      </c>
      <c r="K56" s="102">
        <f>IFERROR(VLOOKUP($B56,MMWR_TRAD_AGG_ST_DISTRICT_COMP[],K$1,0),"ERROR")</f>
        <v>30899</v>
      </c>
      <c r="L56" s="102">
        <f>IFERROR(VLOOKUP($B56,MMWR_TRAD_AGG_ST_DISTRICT_COMP[],L$1,0),"ERROR")</f>
        <v>25164</v>
      </c>
      <c r="M56" s="105">
        <f t="shared" si="6"/>
        <v>0.81439528787339399</v>
      </c>
      <c r="N56" s="102">
        <f>IFERROR(VLOOKUP($B56,MMWR_TRAD_AGG_ST_DISTRICT_COMP[],N$1,0),"ERROR")</f>
        <v>42296</v>
      </c>
      <c r="O56" s="102">
        <f>IFERROR(VLOOKUP($B56,MMWR_TRAD_AGG_ST_DISTRICT_COMP[],O$1,0),"ERROR")</f>
        <v>29726</v>
      </c>
      <c r="P56" s="105">
        <f t="shared" si="7"/>
        <v>0.70280877624361637</v>
      </c>
      <c r="Q56" s="102">
        <f>IFERROR(VLOOKUP($B56,MMWR_TRAD_AGG_ST_DISTRICT_COMP[],Q$1,0),"ERROR")</f>
        <v>6426</v>
      </c>
      <c r="R56" s="106">
        <f>IFERROR(VLOOKUP($B56,MMWR_TRAD_AGG_ST_DISTRICT_COMP[],R$1,0),"ERROR")</f>
        <v>1293</v>
      </c>
      <c r="S56" s="106">
        <f>SUM(S57:S63)</f>
        <v>88813</v>
      </c>
      <c r="T56" s="28"/>
    </row>
    <row r="57" spans="1:20" s="123" customFormat="1" x14ac:dyDescent="0.2">
      <c r="A57" s="28"/>
      <c r="B57" s="127" t="s">
        <v>387</v>
      </c>
      <c r="C57" s="109">
        <f>IFERROR(VLOOKUP($B57,MMWR_TRAD_AGG_STATE_COMP[],C$1,0),"ERROR")</f>
        <v>10151</v>
      </c>
      <c r="D57" s="110">
        <f>IFERROR(VLOOKUP($B57,MMWR_TRAD_AGG_STATE_COMP[],D$1,0),"ERROR")</f>
        <v>346.67441631370002</v>
      </c>
      <c r="E57" s="111">
        <f>IFERROR(VLOOKUP($B57,MMWR_TRAD_AGG_STATE_COMP[],E$1,0),"ERROR")</f>
        <v>8325</v>
      </c>
      <c r="F57" s="112">
        <f>IFERROR(VLOOKUP($B57,MMWR_TRAD_AGG_STATE_COMP[],F$1,0),"ERROR")</f>
        <v>1966</v>
      </c>
      <c r="G57" s="113">
        <f t="shared" si="4"/>
        <v>0.23615615615615615</v>
      </c>
      <c r="H57" s="111">
        <f>IFERROR(VLOOKUP($B57,MMWR_TRAD_AGG_STATE_COMP[],H$1,0),"ERROR")</f>
        <v>15870</v>
      </c>
      <c r="I57" s="112">
        <f>IFERROR(VLOOKUP($B57,MMWR_TRAD_AGG_STATE_COMP[],I$1,0),"ERROR")</f>
        <v>9022</v>
      </c>
      <c r="J57" s="114">
        <f t="shared" si="5"/>
        <v>0.56849401386263387</v>
      </c>
      <c r="K57" s="111">
        <f>IFERROR(VLOOKUP($B57,MMWR_TRAD_AGG_STATE_COMP[],K$1,0),"ERROR")</f>
        <v>4894</v>
      </c>
      <c r="L57" s="112">
        <f>IFERROR(VLOOKUP($B57,MMWR_TRAD_AGG_STATE_COMP[],L$1,0),"ERROR")</f>
        <v>4185</v>
      </c>
      <c r="M57" s="114">
        <f t="shared" si="6"/>
        <v>0.85512872905598691</v>
      </c>
      <c r="N57" s="111">
        <f>IFERROR(VLOOKUP($B57,MMWR_TRAD_AGG_STATE_COMP[],N$1,0),"ERROR")</f>
        <v>3267</v>
      </c>
      <c r="O57" s="112">
        <f>IFERROR(VLOOKUP($B57,MMWR_TRAD_AGG_STATE_COMP[],O$1,0),"ERROR")</f>
        <v>1975</v>
      </c>
      <c r="P57" s="114">
        <f t="shared" si="7"/>
        <v>0.60453014998469545</v>
      </c>
      <c r="Q57" s="115">
        <f>IFERROR(VLOOKUP($B57,MMWR_TRAD_AGG_STATE_COMP[],Q$1,0),"ERROR")</f>
        <v>476</v>
      </c>
      <c r="R57" s="115">
        <f>IFERROR(VLOOKUP($B57,MMWR_TRAD_AGG_STATE_COMP[],R$1,0),"ERROR")</f>
        <v>422</v>
      </c>
      <c r="S57" s="115">
        <f>IFERROR(VLOOKUP($B57,MMWR_APP_STATE_COMP[],S$1,0),"ERROR")</f>
        <v>9750</v>
      </c>
      <c r="T57" s="28"/>
    </row>
    <row r="58" spans="1:20" s="123" customFormat="1" x14ac:dyDescent="0.2">
      <c r="A58" s="28"/>
      <c r="B58" s="127" t="s">
        <v>424</v>
      </c>
      <c r="C58" s="109">
        <f>IFERROR(VLOOKUP($B58,MMWR_TRAD_AGG_STATE_COMP[],C$1,0),"ERROR")</f>
        <v>18260</v>
      </c>
      <c r="D58" s="110">
        <f>IFERROR(VLOOKUP($B58,MMWR_TRAD_AGG_STATE_COMP[],D$1,0),"ERROR")</f>
        <v>331.5795180723</v>
      </c>
      <c r="E58" s="111">
        <f>IFERROR(VLOOKUP($B58,MMWR_TRAD_AGG_STATE_COMP[],E$1,0),"ERROR")</f>
        <v>26114</v>
      </c>
      <c r="F58" s="112">
        <f>IFERROR(VLOOKUP($B58,MMWR_TRAD_AGG_STATE_COMP[],F$1,0),"ERROR")</f>
        <v>5938</v>
      </c>
      <c r="G58" s="113">
        <f t="shared" si="4"/>
        <v>0.22738760817952056</v>
      </c>
      <c r="H58" s="111">
        <f>IFERROR(VLOOKUP($B58,MMWR_TRAD_AGG_STATE_COMP[],H$1,0),"ERROR")</f>
        <v>31491</v>
      </c>
      <c r="I58" s="112">
        <f>IFERROR(VLOOKUP($B58,MMWR_TRAD_AGG_STATE_COMP[],I$1,0),"ERROR")</f>
        <v>16984</v>
      </c>
      <c r="J58" s="114">
        <f t="shared" si="5"/>
        <v>0.53932869708805686</v>
      </c>
      <c r="K58" s="111">
        <f>IFERROR(VLOOKUP($B58,MMWR_TRAD_AGG_STATE_COMP[],K$1,0),"ERROR")</f>
        <v>8029</v>
      </c>
      <c r="L58" s="112">
        <f>IFERROR(VLOOKUP($B58,MMWR_TRAD_AGG_STATE_COMP[],L$1,0),"ERROR")</f>
        <v>6275</v>
      </c>
      <c r="M58" s="114">
        <f t="shared" si="6"/>
        <v>0.78154191057416866</v>
      </c>
      <c r="N58" s="111">
        <f>IFERROR(VLOOKUP($B58,MMWR_TRAD_AGG_STATE_COMP[],N$1,0),"ERROR")</f>
        <v>18470</v>
      </c>
      <c r="O58" s="112">
        <f>IFERROR(VLOOKUP($B58,MMWR_TRAD_AGG_STATE_COMP[],O$1,0),"ERROR")</f>
        <v>13399</v>
      </c>
      <c r="P58" s="114">
        <f t="shared" si="7"/>
        <v>0.72544667027612342</v>
      </c>
      <c r="Q58" s="115">
        <f>IFERROR(VLOOKUP($B58,MMWR_TRAD_AGG_STATE_COMP[],Q$1,0),"ERROR")</f>
        <v>2300</v>
      </c>
      <c r="R58" s="115">
        <f>IFERROR(VLOOKUP($B58,MMWR_TRAD_AGG_STATE_COMP[],R$1,0),"ERROR")</f>
        <v>316</v>
      </c>
      <c r="S58" s="115">
        <f>IFERROR(VLOOKUP($B58,MMWR_APP_STATE_COMP[],S$1,0),"ERROR")</f>
        <v>31173</v>
      </c>
      <c r="T58" s="28"/>
    </row>
    <row r="59" spans="1:20" s="123" customFormat="1" x14ac:dyDescent="0.2">
      <c r="A59" s="28"/>
      <c r="B59" s="127" t="s">
        <v>380</v>
      </c>
      <c r="C59" s="109">
        <f>IFERROR(VLOOKUP($B59,MMWR_TRAD_AGG_STATE_COMP[],C$1,0),"ERROR")</f>
        <v>13255</v>
      </c>
      <c r="D59" s="110">
        <f>IFERROR(VLOOKUP($B59,MMWR_TRAD_AGG_STATE_COMP[],D$1,0),"ERROR")</f>
        <v>344.71429649189997</v>
      </c>
      <c r="E59" s="111">
        <f>IFERROR(VLOOKUP($B59,MMWR_TRAD_AGG_STATE_COMP[],E$1,0),"ERROR")</f>
        <v>19442</v>
      </c>
      <c r="F59" s="112">
        <f>IFERROR(VLOOKUP($B59,MMWR_TRAD_AGG_STATE_COMP[],F$1,0),"ERROR")</f>
        <v>5139</v>
      </c>
      <c r="G59" s="113">
        <f t="shared" si="4"/>
        <v>0.26432465795700033</v>
      </c>
      <c r="H59" s="111">
        <f>IFERROR(VLOOKUP($B59,MMWR_TRAD_AGG_STATE_COMP[],H$1,0),"ERROR")</f>
        <v>24010</v>
      </c>
      <c r="I59" s="112">
        <f>IFERROR(VLOOKUP($B59,MMWR_TRAD_AGG_STATE_COMP[],I$1,0),"ERROR")</f>
        <v>13289</v>
      </c>
      <c r="J59" s="114">
        <f t="shared" si="5"/>
        <v>0.55347771761765929</v>
      </c>
      <c r="K59" s="111">
        <f>IFERROR(VLOOKUP($B59,MMWR_TRAD_AGG_STATE_COMP[],K$1,0),"ERROR")</f>
        <v>8757</v>
      </c>
      <c r="L59" s="112">
        <f>IFERROR(VLOOKUP($B59,MMWR_TRAD_AGG_STATE_COMP[],L$1,0),"ERROR")</f>
        <v>7269</v>
      </c>
      <c r="M59" s="114">
        <f t="shared" si="6"/>
        <v>0.83007879410757113</v>
      </c>
      <c r="N59" s="111">
        <f>IFERROR(VLOOKUP($B59,MMWR_TRAD_AGG_STATE_COMP[],N$1,0),"ERROR")</f>
        <v>9629</v>
      </c>
      <c r="O59" s="112">
        <f>IFERROR(VLOOKUP($B59,MMWR_TRAD_AGG_STATE_COMP[],O$1,0),"ERROR")</f>
        <v>6838</v>
      </c>
      <c r="P59" s="114">
        <f t="shared" si="7"/>
        <v>0.71014643265136568</v>
      </c>
      <c r="Q59" s="115">
        <f>IFERROR(VLOOKUP($B59,MMWR_TRAD_AGG_STATE_COMP[],Q$1,0),"ERROR")</f>
        <v>1157</v>
      </c>
      <c r="R59" s="115">
        <f>IFERROR(VLOOKUP($B59,MMWR_TRAD_AGG_STATE_COMP[],R$1,0),"ERROR")</f>
        <v>44</v>
      </c>
      <c r="S59" s="115">
        <f>IFERROR(VLOOKUP($B59,MMWR_APP_STATE_COMP[],S$1,0),"ERROR")</f>
        <v>18866</v>
      </c>
      <c r="T59" s="28"/>
    </row>
    <row r="60" spans="1:20" s="123" customFormat="1" x14ac:dyDescent="0.2">
      <c r="A60" s="28"/>
      <c r="B60" s="127" t="s">
        <v>392</v>
      </c>
      <c r="C60" s="109">
        <f>IFERROR(VLOOKUP($B60,MMWR_TRAD_AGG_STATE_COMP[],C$1,0),"ERROR")</f>
        <v>4794</v>
      </c>
      <c r="D60" s="110">
        <f>IFERROR(VLOOKUP($B60,MMWR_TRAD_AGG_STATE_COMP[],D$1,0),"ERROR")</f>
        <v>527.87546933670001</v>
      </c>
      <c r="E60" s="111">
        <f>IFERROR(VLOOKUP($B60,MMWR_TRAD_AGG_STATE_COMP[],E$1,0),"ERROR")</f>
        <v>3847</v>
      </c>
      <c r="F60" s="112">
        <f>IFERROR(VLOOKUP($B60,MMWR_TRAD_AGG_STATE_COMP[],F$1,0),"ERROR")</f>
        <v>577</v>
      </c>
      <c r="G60" s="113">
        <f t="shared" si="4"/>
        <v>0.14998700285937094</v>
      </c>
      <c r="H60" s="111">
        <f>IFERROR(VLOOKUP($B60,MMWR_TRAD_AGG_STATE_COMP[],H$1,0),"ERROR")</f>
        <v>8165</v>
      </c>
      <c r="I60" s="112">
        <f>IFERROR(VLOOKUP($B60,MMWR_TRAD_AGG_STATE_COMP[],I$1,0),"ERROR")</f>
        <v>5193</v>
      </c>
      <c r="J60" s="114">
        <f t="shared" si="5"/>
        <v>0.63600734843845685</v>
      </c>
      <c r="K60" s="111">
        <f>IFERROR(VLOOKUP($B60,MMWR_TRAD_AGG_STATE_COMP[],K$1,0),"ERROR")</f>
        <v>2265</v>
      </c>
      <c r="L60" s="112">
        <f>IFERROR(VLOOKUP($B60,MMWR_TRAD_AGG_STATE_COMP[],L$1,0),"ERROR")</f>
        <v>1942</v>
      </c>
      <c r="M60" s="114">
        <f t="shared" si="6"/>
        <v>0.85739514348785872</v>
      </c>
      <c r="N60" s="111">
        <f>IFERROR(VLOOKUP($B60,MMWR_TRAD_AGG_STATE_COMP[],N$1,0),"ERROR")</f>
        <v>2168</v>
      </c>
      <c r="O60" s="112">
        <f>IFERROR(VLOOKUP($B60,MMWR_TRAD_AGG_STATE_COMP[],O$1,0),"ERROR")</f>
        <v>1560</v>
      </c>
      <c r="P60" s="114">
        <f t="shared" si="7"/>
        <v>0.71955719557195574</v>
      </c>
      <c r="Q60" s="115">
        <f>IFERROR(VLOOKUP($B60,MMWR_TRAD_AGG_STATE_COMP[],Q$1,0),"ERROR")</f>
        <v>600</v>
      </c>
      <c r="R60" s="115">
        <f>IFERROR(VLOOKUP($B60,MMWR_TRAD_AGG_STATE_COMP[],R$1,0),"ERROR")</f>
        <v>157</v>
      </c>
      <c r="S60" s="115">
        <f>IFERROR(VLOOKUP($B60,MMWR_APP_STATE_COMP[],S$1,0),"ERROR")</f>
        <v>3139</v>
      </c>
      <c r="T60" s="28"/>
    </row>
    <row r="61" spans="1:20" s="123" customFormat="1" x14ac:dyDescent="0.2">
      <c r="A61" s="28"/>
      <c r="B61" s="127" t="s">
        <v>426</v>
      </c>
      <c r="C61" s="109">
        <f>IFERROR(VLOOKUP($B61,MMWR_TRAD_AGG_STATE_COMP[],C$1,0),"ERROR")</f>
        <v>1191</v>
      </c>
      <c r="D61" s="110">
        <f>IFERROR(VLOOKUP($B61,MMWR_TRAD_AGG_STATE_COMP[],D$1,0),"ERROR")</f>
        <v>242.49958018469999</v>
      </c>
      <c r="E61" s="111">
        <f>IFERROR(VLOOKUP($B61,MMWR_TRAD_AGG_STATE_COMP[],E$1,0),"ERROR")</f>
        <v>3059</v>
      </c>
      <c r="F61" s="112">
        <f>IFERROR(VLOOKUP($B61,MMWR_TRAD_AGG_STATE_COMP[],F$1,0),"ERROR")</f>
        <v>678</v>
      </c>
      <c r="G61" s="113">
        <f t="shared" si="4"/>
        <v>0.22164105916966328</v>
      </c>
      <c r="H61" s="111">
        <f>IFERROR(VLOOKUP($B61,MMWR_TRAD_AGG_STATE_COMP[],H$1,0),"ERROR")</f>
        <v>4491</v>
      </c>
      <c r="I61" s="112">
        <f>IFERROR(VLOOKUP($B61,MMWR_TRAD_AGG_STATE_COMP[],I$1,0),"ERROR")</f>
        <v>1587</v>
      </c>
      <c r="J61" s="114">
        <f t="shared" si="5"/>
        <v>0.35337341349365398</v>
      </c>
      <c r="K61" s="111">
        <f>IFERROR(VLOOKUP($B61,MMWR_TRAD_AGG_STATE_COMP[],K$1,0),"ERROR")</f>
        <v>976</v>
      </c>
      <c r="L61" s="112">
        <f>IFERROR(VLOOKUP($B61,MMWR_TRAD_AGG_STATE_COMP[],L$1,0),"ERROR")</f>
        <v>790</v>
      </c>
      <c r="M61" s="114">
        <f t="shared" si="6"/>
        <v>0.80942622950819676</v>
      </c>
      <c r="N61" s="111">
        <f>IFERROR(VLOOKUP($B61,MMWR_TRAD_AGG_STATE_COMP[],N$1,0),"ERROR")</f>
        <v>1775</v>
      </c>
      <c r="O61" s="112">
        <f>IFERROR(VLOOKUP($B61,MMWR_TRAD_AGG_STATE_COMP[],O$1,0),"ERROR")</f>
        <v>1265</v>
      </c>
      <c r="P61" s="114">
        <f t="shared" si="7"/>
        <v>0.71267605633802822</v>
      </c>
      <c r="Q61" s="115">
        <f>IFERROR(VLOOKUP($B61,MMWR_TRAD_AGG_STATE_COMP[],Q$1,0),"ERROR")</f>
        <v>414</v>
      </c>
      <c r="R61" s="115">
        <f>IFERROR(VLOOKUP($B61,MMWR_TRAD_AGG_STATE_COMP[],R$1,0),"ERROR")</f>
        <v>2</v>
      </c>
      <c r="S61" s="115">
        <f>IFERROR(VLOOKUP($B61,MMWR_APP_STATE_COMP[],S$1,0),"ERROR")</f>
        <v>5236</v>
      </c>
      <c r="T61" s="28"/>
    </row>
    <row r="62" spans="1:20" s="123" customFormat="1" x14ac:dyDescent="0.2">
      <c r="A62" s="28"/>
      <c r="B62" s="127" t="s">
        <v>382</v>
      </c>
      <c r="C62" s="109">
        <f>IFERROR(VLOOKUP($B62,MMWR_TRAD_AGG_STATE_COMP[],C$1,0),"ERROR")</f>
        <v>6563</v>
      </c>
      <c r="D62" s="110">
        <f>IFERROR(VLOOKUP($B62,MMWR_TRAD_AGG_STATE_COMP[],D$1,0),"ERROR")</f>
        <v>338.56239524609998</v>
      </c>
      <c r="E62" s="111">
        <f>IFERROR(VLOOKUP($B62,MMWR_TRAD_AGG_STATE_COMP[],E$1,0),"ERROR")</f>
        <v>10009</v>
      </c>
      <c r="F62" s="112">
        <f>IFERROR(VLOOKUP($B62,MMWR_TRAD_AGG_STATE_COMP[],F$1,0),"ERROR")</f>
        <v>2544</v>
      </c>
      <c r="G62" s="113">
        <f t="shared" si="4"/>
        <v>0.25417124587870915</v>
      </c>
      <c r="H62" s="111">
        <f>IFERROR(VLOOKUP($B62,MMWR_TRAD_AGG_STATE_COMP[],H$1,0),"ERROR")</f>
        <v>12467</v>
      </c>
      <c r="I62" s="112">
        <f>IFERROR(VLOOKUP($B62,MMWR_TRAD_AGG_STATE_COMP[],I$1,0),"ERROR")</f>
        <v>6918</v>
      </c>
      <c r="J62" s="114">
        <f t="shared" si="5"/>
        <v>0.554904949065533</v>
      </c>
      <c r="K62" s="111">
        <f>IFERROR(VLOOKUP($B62,MMWR_TRAD_AGG_STATE_COMP[],K$1,0),"ERROR")</f>
        <v>3153</v>
      </c>
      <c r="L62" s="112">
        <f>IFERROR(VLOOKUP($B62,MMWR_TRAD_AGG_STATE_COMP[],L$1,0),"ERROR")</f>
        <v>2474</v>
      </c>
      <c r="M62" s="114">
        <f t="shared" si="6"/>
        <v>0.78464954012052013</v>
      </c>
      <c r="N62" s="111">
        <f>IFERROR(VLOOKUP($B62,MMWR_TRAD_AGG_STATE_COMP[],N$1,0),"ERROR")</f>
        <v>3813</v>
      </c>
      <c r="O62" s="112">
        <f>IFERROR(VLOOKUP($B62,MMWR_TRAD_AGG_STATE_COMP[],O$1,0),"ERROR")</f>
        <v>2531</v>
      </c>
      <c r="P62" s="114">
        <f t="shared" si="7"/>
        <v>0.6637817991083137</v>
      </c>
      <c r="Q62" s="115">
        <f>IFERROR(VLOOKUP($B62,MMWR_TRAD_AGG_STATE_COMP[],Q$1,0),"ERROR")</f>
        <v>759</v>
      </c>
      <c r="R62" s="115">
        <f>IFERROR(VLOOKUP($B62,MMWR_TRAD_AGG_STATE_COMP[],R$1,0),"ERROR")</f>
        <v>63</v>
      </c>
      <c r="S62" s="115">
        <f>IFERROR(VLOOKUP($B62,MMWR_APP_STATE_COMP[],S$1,0),"ERROR")</f>
        <v>13331</v>
      </c>
      <c r="T62" s="28"/>
    </row>
    <row r="63" spans="1:20" s="123" customFormat="1" x14ac:dyDescent="0.2">
      <c r="A63" s="28"/>
      <c r="B63" s="127" t="s">
        <v>383</v>
      </c>
      <c r="C63" s="109">
        <f>IFERROR(VLOOKUP($B63,MMWR_TRAD_AGG_STATE_COMP[],C$1,0),"ERROR")</f>
        <v>4304</v>
      </c>
      <c r="D63" s="110">
        <f>IFERROR(VLOOKUP($B63,MMWR_TRAD_AGG_STATE_COMP[],D$1,0),"ERROR")</f>
        <v>275.7005111524</v>
      </c>
      <c r="E63" s="111">
        <f>IFERROR(VLOOKUP($B63,MMWR_TRAD_AGG_STATE_COMP[],E$1,0),"ERROR")</f>
        <v>9688</v>
      </c>
      <c r="F63" s="112">
        <f>IFERROR(VLOOKUP($B63,MMWR_TRAD_AGG_STATE_COMP[],F$1,0),"ERROR")</f>
        <v>1632</v>
      </c>
      <c r="G63" s="113">
        <f t="shared" si="4"/>
        <v>0.16845582163501238</v>
      </c>
      <c r="H63" s="111">
        <f>IFERROR(VLOOKUP($B63,MMWR_TRAD_AGG_STATE_COMP[],H$1,0),"ERROR")</f>
        <v>9640</v>
      </c>
      <c r="I63" s="112">
        <f>IFERROR(VLOOKUP($B63,MMWR_TRAD_AGG_STATE_COMP[],I$1,0),"ERROR")</f>
        <v>3624</v>
      </c>
      <c r="J63" s="114">
        <f t="shared" si="5"/>
        <v>0.37593360995850622</v>
      </c>
      <c r="K63" s="111">
        <f>IFERROR(VLOOKUP($B63,MMWR_TRAD_AGG_STATE_COMP[],K$1,0),"ERROR")</f>
        <v>2825</v>
      </c>
      <c r="L63" s="112">
        <f>IFERROR(VLOOKUP($B63,MMWR_TRAD_AGG_STATE_COMP[],L$1,0),"ERROR")</f>
        <v>2229</v>
      </c>
      <c r="M63" s="114">
        <f t="shared" si="6"/>
        <v>0.78902654867256639</v>
      </c>
      <c r="N63" s="111">
        <f>IFERROR(VLOOKUP($B63,MMWR_TRAD_AGG_STATE_COMP[],N$1,0),"ERROR")</f>
        <v>3174</v>
      </c>
      <c r="O63" s="112">
        <f>IFERROR(VLOOKUP($B63,MMWR_TRAD_AGG_STATE_COMP[],O$1,0),"ERROR")</f>
        <v>2158</v>
      </c>
      <c r="P63" s="114">
        <f t="shared" si="7"/>
        <v>0.67989918084436041</v>
      </c>
      <c r="Q63" s="115">
        <f>IFERROR(VLOOKUP($B63,MMWR_TRAD_AGG_STATE_COMP[],Q$1,0),"ERROR")</f>
        <v>720</v>
      </c>
      <c r="R63" s="115">
        <f>IFERROR(VLOOKUP($B63,MMWR_TRAD_AGG_STATE_COMP[],R$1,0),"ERROR")</f>
        <v>289</v>
      </c>
      <c r="S63" s="115">
        <f>IFERROR(VLOOKUP($B63,MMWR_APP_STATE_COMP[],S$1,0),"ERROR")</f>
        <v>7318</v>
      </c>
      <c r="T63" s="28"/>
    </row>
    <row r="64" spans="1:20" s="123" customFormat="1" x14ac:dyDescent="0.2">
      <c r="A64" s="28"/>
      <c r="B64" s="128" t="s">
        <v>8</v>
      </c>
      <c r="C64" s="102">
        <f>IFERROR(VLOOKUP($B64,MMWR_TRAD_AGG_ST_DISTRICT_COMP[],C$1,0),"ERROR")</f>
        <v>2923</v>
      </c>
      <c r="D64" s="103">
        <f>IFERROR(VLOOKUP($B64,MMWR_TRAD_AGG_ST_DISTRICT_COMP[],D$1,0),"ERROR")</f>
        <v>333.63325350669999</v>
      </c>
      <c r="E64" s="102">
        <f>IFERROR(VLOOKUP($B64,MMWR_TRAD_AGG_ST_DISTRICT_COMP[],E$1,0),"ERROR")</f>
        <v>4328</v>
      </c>
      <c r="F64" s="102">
        <f>IFERROR(VLOOKUP($B64,MMWR_TRAD_AGG_ST_DISTRICT_COMP[],F$1,0),"ERROR")</f>
        <v>1680</v>
      </c>
      <c r="G64" s="104">
        <f t="shared" si="4"/>
        <v>0.38817005545286504</v>
      </c>
      <c r="H64" s="102">
        <f>IFERROR(VLOOKUP($B64,MMWR_TRAD_AGG_ST_DISTRICT_COMP[],H$1,0),"ERROR")</f>
        <v>4915</v>
      </c>
      <c r="I64" s="102">
        <f>IFERROR(VLOOKUP($B64,MMWR_TRAD_AGG_ST_DISTRICT_COMP[],I$1,0),"ERROR")</f>
        <v>2783</v>
      </c>
      <c r="J64" s="105">
        <f t="shared" si="5"/>
        <v>0.56622583926754833</v>
      </c>
      <c r="K64" s="102">
        <f>IFERROR(VLOOKUP($B64,MMWR_TRAD_AGG_ST_DISTRICT_COMP[],K$1,0),"ERROR")</f>
        <v>1521</v>
      </c>
      <c r="L64" s="102">
        <f>IFERROR(VLOOKUP($B64,MMWR_TRAD_AGG_ST_DISTRICT_COMP[],L$1,0),"ERROR")</f>
        <v>1026</v>
      </c>
      <c r="M64" s="105">
        <f t="shared" si="6"/>
        <v>0.67455621301775148</v>
      </c>
      <c r="N64" s="102">
        <f>IFERROR(VLOOKUP($B64,MMWR_TRAD_AGG_ST_DISTRICT_COMP[],N$1,0),"ERROR")</f>
        <v>1311</v>
      </c>
      <c r="O64" s="102">
        <f>IFERROR(VLOOKUP($B64,MMWR_TRAD_AGG_ST_DISTRICT_COMP[],O$1,0),"ERROR")</f>
        <v>832</v>
      </c>
      <c r="P64" s="105">
        <f t="shared" si="7"/>
        <v>0.63463005339435541</v>
      </c>
      <c r="Q64" s="102">
        <f>IFERROR(VLOOKUP($B64,MMWR_TRAD_AGG_ST_DISTRICT_COMP[],Q$1,0),"ERROR")</f>
        <v>488</v>
      </c>
      <c r="R64" s="106">
        <f>IFERROR(VLOOKUP($B64,MMWR_TRAD_AGG_ST_DISTRICT_COMP[],R$1,0),"ERROR")</f>
        <v>127</v>
      </c>
      <c r="S64" s="106">
        <f>IFERROR(VLOOKUP($B64,MMWR_APP_STATE_COMP[],S$1,0),"ERROR")</f>
        <v>344</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21456</v>
      </c>
      <c r="D69" s="120">
        <f>IFERROR(VLOOKUP($B69,MMWR_TRAD_AGG_RO_PEN[],D$1,0),"ERROR")</f>
        <v>89.874161073799996</v>
      </c>
      <c r="E69" s="119">
        <f>IFERROR(VLOOKUP($B69,MMWR_TRAD_AGG_RO_PEN[],E$1,0),"ERROR")</f>
        <v>29274</v>
      </c>
      <c r="F69" s="119">
        <f>IFERROR(VLOOKUP($B69,MMWR_TRAD_AGG_RO_PEN[],F$1,0),"ERROR")</f>
        <v>3832</v>
      </c>
      <c r="G69" s="98">
        <f t="shared" ref="G69:G100" si="8">IFERROR(F69/E69,"0%")</f>
        <v>0.13090114094418256</v>
      </c>
      <c r="H69" s="119">
        <f>IFERROR(VLOOKUP($B69,MMWR_TRAD_AGG_RO_PEN[],H$1,0),"ERROR")</f>
        <v>31696</v>
      </c>
      <c r="I69" s="119">
        <f>IFERROR(VLOOKUP($B69,MMWR_TRAD_AGG_RO_PEN[],I$1,0),"ERROR")</f>
        <v>7326</v>
      </c>
      <c r="J69" s="98">
        <f t="shared" ref="J69:J100" si="9">IFERROR(I69/H69,"0%")</f>
        <v>0.23113326602725895</v>
      </c>
      <c r="K69" s="119">
        <f>IFERROR(VLOOKUP($B69,MMWR_TRAD_AGG_RO_PEN[],K$1,0),"ERROR")</f>
        <v>250</v>
      </c>
      <c r="L69" s="119">
        <f>IFERROR(VLOOKUP($B69,MMWR_TRAD_AGG_RO_PEN[],L$1,0),"ERROR")</f>
        <v>233</v>
      </c>
      <c r="M69" s="98">
        <f t="shared" ref="M69:M100" si="10">IFERROR(L69/K69,"0%")</f>
        <v>0.93200000000000005</v>
      </c>
      <c r="N69" s="119">
        <f>IFERROR(VLOOKUP($B69,MMWR_TRAD_AGG_RO_PEN[],N$1,0),"ERROR")</f>
        <v>1755</v>
      </c>
      <c r="O69" s="119">
        <f>IFERROR(VLOOKUP($B69,MMWR_TRAD_AGG_RO_PEN[],O$1,0),"ERROR")</f>
        <v>570</v>
      </c>
      <c r="P69" s="98">
        <f t="shared" ref="P69:P100" si="11">IFERROR(O69/N69,"0%")</f>
        <v>0.3247863247863248</v>
      </c>
      <c r="Q69" s="119">
        <f>IFERROR(VLOOKUP($B69,MMWR_TRAD_AGG_RO_PEN[],Q$1,0),"ERROR")</f>
        <v>11627</v>
      </c>
      <c r="R69" s="121">
        <f>IFERROR(VLOOKUP($B69,MMWR_TRAD_AGG_RO_PEN[],R$1,0),"ERROR")</f>
        <v>6025</v>
      </c>
      <c r="S69" s="121">
        <f>S70+S86+S99+S109+S119+S127</f>
        <v>4923</v>
      </c>
      <c r="T69" s="28"/>
    </row>
    <row r="70" spans="1:20" s="123" customFormat="1" x14ac:dyDescent="0.2">
      <c r="A70" s="28"/>
      <c r="B70" s="126" t="s">
        <v>368</v>
      </c>
      <c r="C70" s="102">
        <f>IFERROR(VLOOKUP($B70,MMWR_TRAD_AGG_ST_DISTRICT_PEN[],C$1,0),"ERROR")</f>
        <v>6809</v>
      </c>
      <c r="D70" s="103">
        <f>IFERROR(VLOOKUP($B70,MMWR_TRAD_AGG_ST_DISTRICT_PEN[],D$1,0),"ERROR")</f>
        <v>104.4046115435</v>
      </c>
      <c r="E70" s="102">
        <f>IFERROR(VLOOKUP($B70,MMWR_TRAD_AGG_ST_DISTRICT_PEN[],E$1,0),"ERROR")</f>
        <v>9046</v>
      </c>
      <c r="F70" s="102">
        <f>IFERROR(VLOOKUP($B70,MMWR_TRAD_AGG_ST_DISTRICT_PEN[],F$1,0),"ERROR")</f>
        <v>1495</v>
      </c>
      <c r="G70" s="104">
        <f t="shared" si="8"/>
        <v>0.16526641609551182</v>
      </c>
      <c r="H70" s="102">
        <f>IFERROR(VLOOKUP($B70,MMWR_TRAD_AGG_ST_DISTRICT_PEN[],H$1,0),"ERROR")</f>
        <v>9404</v>
      </c>
      <c r="I70" s="102">
        <f>IFERROR(VLOOKUP($B70,MMWR_TRAD_AGG_ST_DISTRICT_PEN[],I$1,0),"ERROR")</f>
        <v>2860</v>
      </c>
      <c r="J70" s="104">
        <f t="shared" si="9"/>
        <v>0.30412590387069333</v>
      </c>
      <c r="K70" s="102">
        <f>IFERROR(VLOOKUP($B70,MMWR_TRAD_AGG_ST_DISTRICT_PEN[],K$1,0),"ERROR")</f>
        <v>171</v>
      </c>
      <c r="L70" s="102">
        <f>IFERROR(VLOOKUP($B70,MMWR_TRAD_AGG_ST_DISTRICT_PEN[],L$1,0),"ERROR")</f>
        <v>163</v>
      </c>
      <c r="M70" s="104">
        <f t="shared" si="10"/>
        <v>0.95321637426900585</v>
      </c>
      <c r="N70" s="102">
        <f>IFERROR(VLOOKUP($B70,MMWR_TRAD_AGG_ST_DISTRICT_PEN[],N$1,0),"ERROR")</f>
        <v>443</v>
      </c>
      <c r="O70" s="102">
        <f>IFERROR(VLOOKUP($B70,MMWR_TRAD_AGG_ST_DISTRICT_PEN[],O$1,0),"ERROR")</f>
        <v>148</v>
      </c>
      <c r="P70" s="104">
        <f t="shared" si="11"/>
        <v>0.3340857787810384</v>
      </c>
      <c r="Q70" s="102">
        <f>IFERROR(VLOOKUP($B70,MMWR_TRAD_AGG_ST_DISTRICT_PEN[],Q$1,0),"ERROR")</f>
        <v>1124</v>
      </c>
      <c r="R70" s="106">
        <f>IFERROR(VLOOKUP($B70,MMWR_TRAD_AGG_ST_DISTRICT_PEN[],R$1,0),"ERROR")</f>
        <v>1725</v>
      </c>
      <c r="S70" s="106">
        <f>IFERROR(VLOOKUP($B70,MMWR_APP_STATE_PEN[],S$1,0),"ERROR")</f>
        <v>901</v>
      </c>
      <c r="T70" s="28"/>
    </row>
    <row r="71" spans="1:20" s="123" customFormat="1" x14ac:dyDescent="0.2">
      <c r="A71" s="28"/>
      <c r="B71" s="127" t="s">
        <v>372</v>
      </c>
      <c r="C71" s="109">
        <f>IFERROR(VLOOKUP($B71,MMWR_TRAD_AGG_STATE_PEN[],C$1,0),"ERROR")</f>
        <v>208</v>
      </c>
      <c r="D71" s="110">
        <f>IFERROR(VLOOKUP($B71,MMWR_TRAD_AGG_STATE_PEN[],D$1,0),"ERROR")</f>
        <v>103.6490384615</v>
      </c>
      <c r="E71" s="111">
        <f>IFERROR(VLOOKUP($B71,MMWR_TRAD_AGG_STATE_PEN[],E$1,0),"ERROR")</f>
        <v>348</v>
      </c>
      <c r="F71" s="112">
        <f>IFERROR(VLOOKUP($B71,MMWR_TRAD_AGG_STATE_PEN[],F$1,0),"ERROR")</f>
        <v>55</v>
      </c>
      <c r="G71" s="113">
        <f t="shared" si="8"/>
        <v>0.15804597701149425</v>
      </c>
      <c r="H71" s="111">
        <f>IFERROR(VLOOKUP($B71,MMWR_TRAD_AGG_STATE_PEN[],H$1,0),"ERROR")</f>
        <v>274</v>
      </c>
      <c r="I71" s="112">
        <f>IFERROR(VLOOKUP($B71,MMWR_TRAD_AGG_STATE_PEN[],I$1,0),"ERROR")</f>
        <v>84</v>
      </c>
      <c r="J71" s="114">
        <f t="shared" si="9"/>
        <v>0.30656934306569344</v>
      </c>
      <c r="K71" s="111">
        <f>IFERROR(VLOOKUP($B71,MMWR_TRAD_AGG_STATE_PEN[],K$1,0),"ERROR")</f>
        <v>0</v>
      </c>
      <c r="L71" s="112">
        <f>IFERROR(VLOOKUP($B71,MMWR_TRAD_AGG_STATE_PEN[],L$1,0),"ERROR")</f>
        <v>0</v>
      </c>
      <c r="M71" s="114" t="str">
        <f t="shared" si="10"/>
        <v>0%</v>
      </c>
      <c r="N71" s="111">
        <f>IFERROR(VLOOKUP($B71,MMWR_TRAD_AGG_STATE_PEN[],N$1,0),"ERROR")</f>
        <v>15</v>
      </c>
      <c r="O71" s="112">
        <f>IFERROR(VLOOKUP($B71,MMWR_TRAD_AGG_STATE_PEN[],O$1,0),"ERROR")</f>
        <v>4</v>
      </c>
      <c r="P71" s="114">
        <f t="shared" si="11"/>
        <v>0.26666666666666666</v>
      </c>
      <c r="Q71" s="115">
        <f>IFERROR(VLOOKUP($B71,MMWR_TRAD_AGG_STATE_PEN[],Q$1,0),"ERROR")</f>
        <v>20</v>
      </c>
      <c r="R71" s="115">
        <f>IFERROR(VLOOKUP($B71,MMWR_TRAD_AGG_STATE_PEN[],R$1,0),"ERROR")</f>
        <v>50</v>
      </c>
      <c r="S71" s="115">
        <f>IFERROR(VLOOKUP($B71,MMWR_APP_STATE_PEN[],S$1,0),"ERROR")</f>
        <v>33</v>
      </c>
      <c r="T71" s="28"/>
    </row>
    <row r="72" spans="1:20" s="123" customFormat="1" x14ac:dyDescent="0.2">
      <c r="A72" s="28"/>
      <c r="B72" s="127" t="s">
        <v>422</v>
      </c>
      <c r="C72" s="109">
        <f>IFERROR(VLOOKUP($B72,MMWR_TRAD_AGG_STATE_PEN[],C$1,0),"ERROR")</f>
        <v>53</v>
      </c>
      <c r="D72" s="110">
        <f>IFERROR(VLOOKUP($B72,MMWR_TRAD_AGG_STATE_PEN[],D$1,0),"ERROR")</f>
        <v>111.3396226415</v>
      </c>
      <c r="E72" s="111">
        <f>IFERROR(VLOOKUP($B72,MMWR_TRAD_AGG_STATE_PEN[],E$1,0),"ERROR")</f>
        <v>78</v>
      </c>
      <c r="F72" s="112">
        <f>IFERROR(VLOOKUP($B72,MMWR_TRAD_AGG_STATE_PEN[],F$1,0),"ERROR")</f>
        <v>12</v>
      </c>
      <c r="G72" s="113">
        <f t="shared" si="8"/>
        <v>0.15384615384615385</v>
      </c>
      <c r="H72" s="111">
        <f>IFERROR(VLOOKUP($B72,MMWR_TRAD_AGG_STATE_PEN[],H$1,0),"ERROR")</f>
        <v>79</v>
      </c>
      <c r="I72" s="112">
        <f>IFERROR(VLOOKUP($B72,MMWR_TRAD_AGG_STATE_PEN[],I$1,0),"ERROR")</f>
        <v>22</v>
      </c>
      <c r="J72" s="114">
        <f t="shared" si="9"/>
        <v>0.27848101265822783</v>
      </c>
      <c r="K72" s="111">
        <f>IFERROR(VLOOKUP($B72,MMWR_TRAD_AGG_STATE_PEN[],K$1,0),"ERROR")</f>
        <v>2</v>
      </c>
      <c r="L72" s="112">
        <f>IFERROR(VLOOKUP($B72,MMWR_TRAD_AGG_STATE_PEN[],L$1,0),"ERROR")</f>
        <v>2</v>
      </c>
      <c r="M72" s="114">
        <f t="shared" si="10"/>
        <v>1</v>
      </c>
      <c r="N72" s="111">
        <f>IFERROR(VLOOKUP($B72,MMWR_TRAD_AGG_STATE_PEN[],N$1,0),"ERROR")</f>
        <v>6</v>
      </c>
      <c r="O72" s="112">
        <f>IFERROR(VLOOKUP($B72,MMWR_TRAD_AGG_STATE_PEN[],O$1,0),"ERROR")</f>
        <v>1</v>
      </c>
      <c r="P72" s="114">
        <f t="shared" si="11"/>
        <v>0.16666666666666666</v>
      </c>
      <c r="Q72" s="115">
        <f>IFERROR(VLOOKUP($B72,MMWR_TRAD_AGG_STATE_PEN[],Q$1,0),"ERROR")</f>
        <v>11</v>
      </c>
      <c r="R72" s="115">
        <f>IFERROR(VLOOKUP($B72,MMWR_TRAD_AGG_STATE_PEN[],R$1,0),"ERROR")</f>
        <v>10</v>
      </c>
      <c r="S72" s="115">
        <f>IFERROR(VLOOKUP($B72,MMWR_APP_STATE_PEN[],S$1,0),"ERROR")</f>
        <v>7</v>
      </c>
      <c r="T72" s="28"/>
    </row>
    <row r="73" spans="1:20" s="123" customFormat="1" x14ac:dyDescent="0.2">
      <c r="A73" s="28"/>
      <c r="B73" s="127" t="s">
        <v>413</v>
      </c>
      <c r="C73" s="109">
        <f>IFERROR(VLOOKUP($B73,MMWR_TRAD_AGG_STATE_PEN[],C$1,0),"ERROR")</f>
        <v>38</v>
      </c>
      <c r="D73" s="110">
        <f>IFERROR(VLOOKUP($B73,MMWR_TRAD_AGG_STATE_PEN[],D$1,0),"ERROR")</f>
        <v>94</v>
      </c>
      <c r="E73" s="111">
        <f>IFERROR(VLOOKUP($B73,MMWR_TRAD_AGG_STATE_PEN[],E$1,0),"ERROR")</f>
        <v>30</v>
      </c>
      <c r="F73" s="112">
        <f>IFERROR(VLOOKUP($B73,MMWR_TRAD_AGG_STATE_PEN[],F$1,0),"ERROR")</f>
        <v>7</v>
      </c>
      <c r="G73" s="113">
        <f t="shared" si="8"/>
        <v>0.23333333333333334</v>
      </c>
      <c r="H73" s="111">
        <f>IFERROR(VLOOKUP($B73,MMWR_TRAD_AGG_STATE_PEN[],H$1,0),"ERROR")</f>
        <v>56</v>
      </c>
      <c r="I73" s="112">
        <f>IFERROR(VLOOKUP($B73,MMWR_TRAD_AGG_STATE_PEN[],I$1,0),"ERROR")</f>
        <v>12</v>
      </c>
      <c r="J73" s="114">
        <f t="shared" si="9"/>
        <v>0.21428571428571427</v>
      </c>
      <c r="K73" s="111">
        <f>IFERROR(VLOOKUP($B73,MMWR_TRAD_AGG_STATE_PEN[],K$1,0),"ERROR")</f>
        <v>2</v>
      </c>
      <c r="L73" s="112">
        <f>IFERROR(VLOOKUP($B73,MMWR_TRAD_AGG_STATE_PEN[],L$1,0),"ERROR")</f>
        <v>2</v>
      </c>
      <c r="M73" s="114">
        <f t="shared" si="10"/>
        <v>1</v>
      </c>
      <c r="N73" s="111">
        <f>IFERROR(VLOOKUP($B73,MMWR_TRAD_AGG_STATE_PEN[],N$1,0),"ERROR")</f>
        <v>2</v>
      </c>
      <c r="O73" s="112">
        <f>IFERROR(VLOOKUP($B73,MMWR_TRAD_AGG_STATE_PEN[],O$1,0),"ERROR")</f>
        <v>1</v>
      </c>
      <c r="P73" s="114">
        <f t="shared" si="11"/>
        <v>0.5</v>
      </c>
      <c r="Q73" s="115">
        <f>IFERROR(VLOOKUP($B73,MMWR_TRAD_AGG_STATE_PEN[],Q$1,0),"ERROR")</f>
        <v>6</v>
      </c>
      <c r="R73" s="115">
        <f>IFERROR(VLOOKUP($B73,MMWR_TRAD_AGG_STATE_PEN[],R$1,0),"ERROR")</f>
        <v>12</v>
      </c>
      <c r="S73" s="115">
        <f>IFERROR(VLOOKUP($B73,MMWR_APP_STATE_PEN[],S$1,0),"ERROR")</f>
        <v>8</v>
      </c>
      <c r="T73" s="28"/>
    </row>
    <row r="74" spans="1:20" s="123" customFormat="1" x14ac:dyDescent="0.2">
      <c r="A74" s="28"/>
      <c r="B74" s="127" t="s">
        <v>415</v>
      </c>
      <c r="C74" s="109">
        <f>IFERROR(VLOOKUP($B74,MMWR_TRAD_AGG_STATE_PEN[],C$1,0),"ERROR")</f>
        <v>108</v>
      </c>
      <c r="D74" s="110">
        <f>IFERROR(VLOOKUP($B74,MMWR_TRAD_AGG_STATE_PEN[],D$1,0),"ERROR")</f>
        <v>99.740740740700005</v>
      </c>
      <c r="E74" s="111">
        <f>IFERROR(VLOOKUP($B74,MMWR_TRAD_AGG_STATE_PEN[],E$1,0),"ERROR")</f>
        <v>124</v>
      </c>
      <c r="F74" s="112">
        <f>IFERROR(VLOOKUP($B74,MMWR_TRAD_AGG_STATE_PEN[],F$1,0),"ERROR")</f>
        <v>22</v>
      </c>
      <c r="G74" s="113">
        <f t="shared" si="8"/>
        <v>0.17741935483870969</v>
      </c>
      <c r="H74" s="111">
        <f>IFERROR(VLOOKUP($B74,MMWR_TRAD_AGG_STATE_PEN[],H$1,0),"ERROR")</f>
        <v>153</v>
      </c>
      <c r="I74" s="112">
        <f>IFERROR(VLOOKUP($B74,MMWR_TRAD_AGG_STATE_PEN[],I$1,0),"ERROR")</f>
        <v>45</v>
      </c>
      <c r="J74" s="114">
        <f t="shared" si="9"/>
        <v>0.29411764705882354</v>
      </c>
      <c r="K74" s="111">
        <f>IFERROR(VLOOKUP($B74,MMWR_TRAD_AGG_STATE_PEN[],K$1,0),"ERROR")</f>
        <v>1</v>
      </c>
      <c r="L74" s="112">
        <f>IFERROR(VLOOKUP($B74,MMWR_TRAD_AGG_STATE_PEN[],L$1,0),"ERROR")</f>
        <v>1</v>
      </c>
      <c r="M74" s="114">
        <f t="shared" si="10"/>
        <v>1</v>
      </c>
      <c r="N74" s="111">
        <f>IFERROR(VLOOKUP($B74,MMWR_TRAD_AGG_STATE_PEN[],N$1,0),"ERROR")</f>
        <v>11</v>
      </c>
      <c r="O74" s="112">
        <f>IFERROR(VLOOKUP($B74,MMWR_TRAD_AGG_STATE_PEN[],O$1,0),"ERROR")</f>
        <v>5</v>
      </c>
      <c r="P74" s="114">
        <f t="shared" si="11"/>
        <v>0.45454545454545453</v>
      </c>
      <c r="Q74" s="115">
        <f>IFERROR(VLOOKUP($B74,MMWR_TRAD_AGG_STATE_PEN[],Q$1,0),"ERROR")</f>
        <v>23</v>
      </c>
      <c r="R74" s="115">
        <f>IFERROR(VLOOKUP($B74,MMWR_TRAD_AGG_STATE_PEN[],R$1,0),"ERROR")</f>
        <v>21</v>
      </c>
      <c r="S74" s="115">
        <f>IFERROR(VLOOKUP($B74,MMWR_APP_STATE_PEN[],S$1,0),"ERROR")</f>
        <v>24</v>
      </c>
      <c r="T74" s="28"/>
    </row>
    <row r="75" spans="1:20" s="123" customFormat="1" x14ac:dyDescent="0.2">
      <c r="A75" s="28"/>
      <c r="B75" s="127" t="s">
        <v>375</v>
      </c>
      <c r="C75" s="109">
        <f>IFERROR(VLOOKUP($B75,MMWR_TRAD_AGG_STATE_PEN[],C$1,0),"ERROR")</f>
        <v>305</v>
      </c>
      <c r="D75" s="110">
        <f>IFERROR(VLOOKUP($B75,MMWR_TRAD_AGG_STATE_PEN[],D$1,0),"ERROR")</f>
        <v>100.5344262295</v>
      </c>
      <c r="E75" s="111">
        <f>IFERROR(VLOOKUP($B75,MMWR_TRAD_AGG_STATE_PEN[],E$1,0),"ERROR")</f>
        <v>526</v>
      </c>
      <c r="F75" s="112">
        <f>IFERROR(VLOOKUP($B75,MMWR_TRAD_AGG_STATE_PEN[],F$1,0),"ERROR")</f>
        <v>85</v>
      </c>
      <c r="G75" s="113">
        <f t="shared" si="8"/>
        <v>0.16159695817490494</v>
      </c>
      <c r="H75" s="111">
        <f>IFERROR(VLOOKUP($B75,MMWR_TRAD_AGG_STATE_PEN[],H$1,0),"ERROR")</f>
        <v>493</v>
      </c>
      <c r="I75" s="112">
        <f>IFERROR(VLOOKUP($B75,MMWR_TRAD_AGG_STATE_PEN[],I$1,0),"ERROR")</f>
        <v>143</v>
      </c>
      <c r="J75" s="114">
        <f t="shared" si="9"/>
        <v>0.29006085192697767</v>
      </c>
      <c r="K75" s="111">
        <f>IFERROR(VLOOKUP($B75,MMWR_TRAD_AGG_STATE_PEN[],K$1,0),"ERROR")</f>
        <v>7</v>
      </c>
      <c r="L75" s="112">
        <f>IFERROR(VLOOKUP($B75,MMWR_TRAD_AGG_STATE_PEN[],L$1,0),"ERROR")</f>
        <v>5</v>
      </c>
      <c r="M75" s="114">
        <f t="shared" si="10"/>
        <v>0.7142857142857143</v>
      </c>
      <c r="N75" s="111">
        <f>IFERROR(VLOOKUP($B75,MMWR_TRAD_AGG_STATE_PEN[],N$1,0),"ERROR")</f>
        <v>25</v>
      </c>
      <c r="O75" s="112">
        <f>IFERROR(VLOOKUP($B75,MMWR_TRAD_AGG_STATE_PEN[],O$1,0),"ERROR")</f>
        <v>10</v>
      </c>
      <c r="P75" s="114">
        <f t="shared" si="11"/>
        <v>0.4</v>
      </c>
      <c r="Q75" s="115">
        <f>IFERROR(VLOOKUP($B75,MMWR_TRAD_AGG_STATE_PEN[],Q$1,0),"ERROR")</f>
        <v>83</v>
      </c>
      <c r="R75" s="115">
        <f>IFERROR(VLOOKUP($B75,MMWR_TRAD_AGG_STATE_PEN[],R$1,0),"ERROR")</f>
        <v>138</v>
      </c>
      <c r="S75" s="115">
        <f>IFERROR(VLOOKUP($B75,MMWR_APP_STATE_PEN[],S$1,0),"ERROR")</f>
        <v>51</v>
      </c>
      <c r="T75" s="28"/>
    </row>
    <row r="76" spans="1:20" s="123" customFormat="1" x14ac:dyDescent="0.2">
      <c r="A76" s="28"/>
      <c r="B76" s="127" t="s">
        <v>370</v>
      </c>
      <c r="C76" s="109">
        <f>IFERROR(VLOOKUP($B76,MMWR_TRAD_AGG_STATE_PEN[],C$1,0),"ERROR")</f>
        <v>379</v>
      </c>
      <c r="D76" s="110">
        <f>IFERROR(VLOOKUP($B76,MMWR_TRAD_AGG_STATE_PEN[],D$1,0),"ERROR")</f>
        <v>104.23482849600001</v>
      </c>
      <c r="E76" s="111">
        <f>IFERROR(VLOOKUP($B76,MMWR_TRAD_AGG_STATE_PEN[],E$1,0),"ERROR")</f>
        <v>524</v>
      </c>
      <c r="F76" s="112">
        <f>IFERROR(VLOOKUP($B76,MMWR_TRAD_AGG_STATE_PEN[],F$1,0),"ERROR")</f>
        <v>95</v>
      </c>
      <c r="G76" s="113">
        <f t="shared" si="8"/>
        <v>0.18129770992366412</v>
      </c>
      <c r="H76" s="111">
        <f>IFERROR(VLOOKUP($B76,MMWR_TRAD_AGG_STATE_PEN[],H$1,0),"ERROR")</f>
        <v>532</v>
      </c>
      <c r="I76" s="112">
        <f>IFERROR(VLOOKUP($B76,MMWR_TRAD_AGG_STATE_PEN[],I$1,0),"ERROR")</f>
        <v>153</v>
      </c>
      <c r="J76" s="114">
        <f t="shared" si="9"/>
        <v>0.28759398496240601</v>
      </c>
      <c r="K76" s="111">
        <f>IFERROR(VLOOKUP($B76,MMWR_TRAD_AGG_STATE_PEN[],K$1,0),"ERROR")</f>
        <v>4</v>
      </c>
      <c r="L76" s="112">
        <f>IFERROR(VLOOKUP($B76,MMWR_TRAD_AGG_STATE_PEN[],L$1,0),"ERROR")</f>
        <v>4</v>
      </c>
      <c r="M76" s="114">
        <f t="shared" si="10"/>
        <v>1</v>
      </c>
      <c r="N76" s="111">
        <f>IFERROR(VLOOKUP($B76,MMWR_TRAD_AGG_STATE_PEN[],N$1,0),"ERROR")</f>
        <v>33</v>
      </c>
      <c r="O76" s="112">
        <f>IFERROR(VLOOKUP($B76,MMWR_TRAD_AGG_STATE_PEN[],O$1,0),"ERROR")</f>
        <v>7</v>
      </c>
      <c r="P76" s="114">
        <f t="shared" si="11"/>
        <v>0.21212121212121213</v>
      </c>
      <c r="Q76" s="115">
        <f>IFERROR(VLOOKUP($B76,MMWR_TRAD_AGG_STATE_PEN[],Q$1,0),"ERROR")</f>
        <v>47</v>
      </c>
      <c r="R76" s="115">
        <f>IFERROR(VLOOKUP($B76,MMWR_TRAD_AGG_STATE_PEN[],R$1,0),"ERROR")</f>
        <v>117</v>
      </c>
      <c r="S76" s="115">
        <f>IFERROR(VLOOKUP($B76,MMWR_APP_STATE_PEN[],S$1,0),"ERROR")</f>
        <v>81</v>
      </c>
      <c r="T76" s="28"/>
    </row>
    <row r="77" spans="1:20" s="123" customFormat="1" x14ac:dyDescent="0.2">
      <c r="A77" s="28"/>
      <c r="B77" s="127" t="s">
        <v>414</v>
      </c>
      <c r="C77" s="109">
        <f>IFERROR(VLOOKUP($B77,MMWR_TRAD_AGG_STATE_PEN[],C$1,0),"ERROR")</f>
        <v>114</v>
      </c>
      <c r="D77" s="110">
        <f>IFERROR(VLOOKUP($B77,MMWR_TRAD_AGG_STATE_PEN[],D$1,0),"ERROR")</f>
        <v>97</v>
      </c>
      <c r="E77" s="111">
        <f>IFERROR(VLOOKUP($B77,MMWR_TRAD_AGG_STATE_PEN[],E$1,0),"ERROR")</f>
        <v>136</v>
      </c>
      <c r="F77" s="112">
        <f>IFERROR(VLOOKUP($B77,MMWR_TRAD_AGG_STATE_PEN[],F$1,0),"ERROR")</f>
        <v>31</v>
      </c>
      <c r="G77" s="113">
        <f t="shared" si="8"/>
        <v>0.22794117647058823</v>
      </c>
      <c r="H77" s="111">
        <f>IFERROR(VLOOKUP($B77,MMWR_TRAD_AGG_STATE_PEN[],H$1,0),"ERROR")</f>
        <v>140</v>
      </c>
      <c r="I77" s="112">
        <f>IFERROR(VLOOKUP($B77,MMWR_TRAD_AGG_STATE_PEN[],I$1,0),"ERROR")</f>
        <v>37</v>
      </c>
      <c r="J77" s="114">
        <f t="shared" si="9"/>
        <v>0.26428571428571429</v>
      </c>
      <c r="K77" s="111">
        <f>IFERROR(VLOOKUP($B77,MMWR_TRAD_AGG_STATE_PEN[],K$1,0),"ERROR")</f>
        <v>0</v>
      </c>
      <c r="L77" s="112">
        <f>IFERROR(VLOOKUP($B77,MMWR_TRAD_AGG_STATE_PEN[],L$1,0),"ERROR")</f>
        <v>0</v>
      </c>
      <c r="M77" s="114" t="str">
        <f t="shared" si="10"/>
        <v>0%</v>
      </c>
      <c r="N77" s="111">
        <f>IFERROR(VLOOKUP($B77,MMWR_TRAD_AGG_STATE_PEN[],N$1,0),"ERROR")</f>
        <v>5</v>
      </c>
      <c r="O77" s="112">
        <f>IFERROR(VLOOKUP($B77,MMWR_TRAD_AGG_STATE_PEN[],O$1,0),"ERROR")</f>
        <v>1</v>
      </c>
      <c r="P77" s="114">
        <f t="shared" si="11"/>
        <v>0.2</v>
      </c>
      <c r="Q77" s="115">
        <f>IFERROR(VLOOKUP($B77,MMWR_TRAD_AGG_STATE_PEN[],Q$1,0),"ERROR")</f>
        <v>15</v>
      </c>
      <c r="R77" s="115">
        <f>IFERROR(VLOOKUP($B77,MMWR_TRAD_AGG_STATE_PEN[],R$1,0),"ERROR")</f>
        <v>22</v>
      </c>
      <c r="S77" s="115">
        <f>IFERROR(VLOOKUP($B77,MMWR_APP_STATE_PEN[],S$1,0),"ERROR")</f>
        <v>5</v>
      </c>
      <c r="T77" s="28"/>
    </row>
    <row r="78" spans="1:20" s="123" customFormat="1" x14ac:dyDescent="0.2">
      <c r="A78" s="28"/>
      <c r="B78" s="127" t="s">
        <v>373</v>
      </c>
      <c r="C78" s="109">
        <f>IFERROR(VLOOKUP($B78,MMWR_TRAD_AGG_STATE_PEN[],C$1,0),"ERROR")</f>
        <v>455</v>
      </c>
      <c r="D78" s="110">
        <f>IFERROR(VLOOKUP($B78,MMWR_TRAD_AGG_STATE_PEN[],D$1,0),"ERROR")</f>
        <v>104.28351648349999</v>
      </c>
      <c r="E78" s="111">
        <f>IFERROR(VLOOKUP($B78,MMWR_TRAD_AGG_STATE_PEN[],E$1,0),"ERROR")</f>
        <v>659</v>
      </c>
      <c r="F78" s="112">
        <f>IFERROR(VLOOKUP($B78,MMWR_TRAD_AGG_STATE_PEN[],F$1,0),"ERROR")</f>
        <v>123</v>
      </c>
      <c r="G78" s="113">
        <f t="shared" si="8"/>
        <v>0.18664643399089528</v>
      </c>
      <c r="H78" s="111">
        <f>IFERROR(VLOOKUP($B78,MMWR_TRAD_AGG_STATE_PEN[],H$1,0),"ERROR")</f>
        <v>627</v>
      </c>
      <c r="I78" s="112">
        <f>IFERROR(VLOOKUP($B78,MMWR_TRAD_AGG_STATE_PEN[],I$1,0),"ERROR")</f>
        <v>182</v>
      </c>
      <c r="J78" s="114">
        <f t="shared" si="9"/>
        <v>0.29027113237639551</v>
      </c>
      <c r="K78" s="111">
        <f>IFERROR(VLOOKUP($B78,MMWR_TRAD_AGG_STATE_PEN[],K$1,0),"ERROR")</f>
        <v>1</v>
      </c>
      <c r="L78" s="112">
        <f>IFERROR(VLOOKUP($B78,MMWR_TRAD_AGG_STATE_PEN[],L$1,0),"ERROR")</f>
        <v>1</v>
      </c>
      <c r="M78" s="114">
        <f t="shared" si="10"/>
        <v>1</v>
      </c>
      <c r="N78" s="111">
        <f>IFERROR(VLOOKUP($B78,MMWR_TRAD_AGG_STATE_PEN[],N$1,0),"ERROR")</f>
        <v>25</v>
      </c>
      <c r="O78" s="112">
        <f>IFERROR(VLOOKUP($B78,MMWR_TRAD_AGG_STATE_PEN[],O$1,0),"ERROR")</f>
        <v>11</v>
      </c>
      <c r="P78" s="114">
        <f t="shared" si="11"/>
        <v>0.44</v>
      </c>
      <c r="Q78" s="115">
        <f>IFERROR(VLOOKUP($B78,MMWR_TRAD_AGG_STATE_PEN[],Q$1,0),"ERROR")</f>
        <v>59</v>
      </c>
      <c r="R78" s="115">
        <f>IFERROR(VLOOKUP($B78,MMWR_TRAD_AGG_STATE_PEN[],R$1,0),"ERROR")</f>
        <v>136</v>
      </c>
      <c r="S78" s="115">
        <f>IFERROR(VLOOKUP($B78,MMWR_APP_STATE_PEN[],S$1,0),"ERROR")</f>
        <v>117</v>
      </c>
      <c r="T78" s="28"/>
    </row>
    <row r="79" spans="1:20" s="123" customFormat="1" x14ac:dyDescent="0.2">
      <c r="A79" s="28"/>
      <c r="B79" s="127" t="s">
        <v>60</v>
      </c>
      <c r="C79" s="109">
        <f>IFERROR(VLOOKUP($B79,MMWR_TRAD_AGG_STATE_PEN[],C$1,0),"ERROR")</f>
        <v>1048</v>
      </c>
      <c r="D79" s="110">
        <f>IFERROR(VLOOKUP($B79,MMWR_TRAD_AGG_STATE_PEN[],D$1,0),"ERROR")</f>
        <v>100.49809160309999</v>
      </c>
      <c r="E79" s="111">
        <f>IFERROR(VLOOKUP($B79,MMWR_TRAD_AGG_STATE_PEN[],E$1,0),"ERROR")</f>
        <v>1808</v>
      </c>
      <c r="F79" s="112">
        <f>IFERROR(VLOOKUP($B79,MMWR_TRAD_AGG_STATE_PEN[],F$1,0),"ERROR")</f>
        <v>319</v>
      </c>
      <c r="G79" s="113">
        <f t="shared" si="8"/>
        <v>0.17643805309734514</v>
      </c>
      <c r="H79" s="111">
        <f>IFERROR(VLOOKUP($B79,MMWR_TRAD_AGG_STATE_PEN[],H$1,0),"ERROR")</f>
        <v>1527</v>
      </c>
      <c r="I79" s="112">
        <f>IFERROR(VLOOKUP($B79,MMWR_TRAD_AGG_STATE_PEN[],I$1,0),"ERROR")</f>
        <v>428</v>
      </c>
      <c r="J79" s="114">
        <f t="shared" si="9"/>
        <v>0.28028814669286184</v>
      </c>
      <c r="K79" s="111">
        <f>IFERROR(VLOOKUP($B79,MMWR_TRAD_AGG_STATE_PEN[],K$1,0),"ERROR")</f>
        <v>5</v>
      </c>
      <c r="L79" s="112">
        <f>IFERROR(VLOOKUP($B79,MMWR_TRAD_AGG_STATE_PEN[],L$1,0),"ERROR")</f>
        <v>5</v>
      </c>
      <c r="M79" s="114">
        <f t="shared" si="10"/>
        <v>1</v>
      </c>
      <c r="N79" s="111">
        <f>IFERROR(VLOOKUP($B79,MMWR_TRAD_AGG_STATE_PEN[],N$1,0),"ERROR")</f>
        <v>52</v>
      </c>
      <c r="O79" s="112">
        <f>IFERROR(VLOOKUP($B79,MMWR_TRAD_AGG_STATE_PEN[],O$1,0),"ERROR")</f>
        <v>21</v>
      </c>
      <c r="P79" s="114">
        <f t="shared" si="11"/>
        <v>0.40384615384615385</v>
      </c>
      <c r="Q79" s="115">
        <f>IFERROR(VLOOKUP($B79,MMWR_TRAD_AGG_STATE_PEN[],Q$1,0),"ERROR")</f>
        <v>181</v>
      </c>
      <c r="R79" s="115">
        <f>IFERROR(VLOOKUP($B79,MMWR_TRAD_AGG_STATE_PEN[],R$1,0),"ERROR")</f>
        <v>261</v>
      </c>
      <c r="S79" s="115">
        <f>IFERROR(VLOOKUP($B79,MMWR_APP_STATE_PEN[],S$1,0),"ERROR")</f>
        <v>134</v>
      </c>
      <c r="T79" s="28"/>
    </row>
    <row r="80" spans="1:20" s="123" customFormat="1" x14ac:dyDescent="0.2">
      <c r="A80" s="28"/>
      <c r="B80" s="127" t="s">
        <v>381</v>
      </c>
      <c r="C80" s="109">
        <f>IFERROR(VLOOKUP($B80,MMWR_TRAD_AGG_STATE_PEN[],C$1,0),"ERROR")</f>
        <v>1445</v>
      </c>
      <c r="D80" s="110">
        <f>IFERROR(VLOOKUP($B80,MMWR_TRAD_AGG_STATE_PEN[],D$1,0),"ERROR")</f>
        <v>111.1190311419</v>
      </c>
      <c r="E80" s="111">
        <f>IFERROR(VLOOKUP($B80,MMWR_TRAD_AGG_STATE_PEN[],E$1,0),"ERROR")</f>
        <v>1322</v>
      </c>
      <c r="F80" s="112">
        <f>IFERROR(VLOOKUP($B80,MMWR_TRAD_AGG_STATE_PEN[],F$1,0),"ERROR")</f>
        <v>208</v>
      </c>
      <c r="G80" s="113">
        <f t="shared" si="8"/>
        <v>0.1573373676248109</v>
      </c>
      <c r="H80" s="111">
        <f>IFERROR(VLOOKUP($B80,MMWR_TRAD_AGG_STATE_PEN[],H$1,0),"ERROR")</f>
        <v>1805</v>
      </c>
      <c r="I80" s="112">
        <f>IFERROR(VLOOKUP($B80,MMWR_TRAD_AGG_STATE_PEN[],I$1,0),"ERROR")</f>
        <v>648</v>
      </c>
      <c r="J80" s="114">
        <f t="shared" si="9"/>
        <v>0.3590027700831025</v>
      </c>
      <c r="K80" s="111">
        <f>IFERROR(VLOOKUP($B80,MMWR_TRAD_AGG_STATE_PEN[],K$1,0),"ERROR")</f>
        <v>12</v>
      </c>
      <c r="L80" s="112">
        <f>IFERROR(VLOOKUP($B80,MMWR_TRAD_AGG_STATE_PEN[],L$1,0),"ERROR")</f>
        <v>11</v>
      </c>
      <c r="M80" s="114">
        <f t="shared" si="10"/>
        <v>0.91666666666666663</v>
      </c>
      <c r="N80" s="111">
        <f>IFERROR(VLOOKUP($B80,MMWR_TRAD_AGG_STATE_PEN[],N$1,0),"ERROR")</f>
        <v>87</v>
      </c>
      <c r="O80" s="112">
        <f>IFERROR(VLOOKUP($B80,MMWR_TRAD_AGG_STATE_PEN[],O$1,0),"ERROR")</f>
        <v>29</v>
      </c>
      <c r="P80" s="114">
        <f t="shared" si="11"/>
        <v>0.33333333333333331</v>
      </c>
      <c r="Q80" s="115">
        <f>IFERROR(VLOOKUP($B80,MMWR_TRAD_AGG_STATE_PEN[],Q$1,0),"ERROR")</f>
        <v>242</v>
      </c>
      <c r="R80" s="115">
        <f>IFERROR(VLOOKUP($B80,MMWR_TRAD_AGG_STATE_PEN[],R$1,0),"ERROR")</f>
        <v>331</v>
      </c>
      <c r="S80" s="115">
        <f>IFERROR(VLOOKUP($B80,MMWR_APP_STATE_PEN[],S$1,0),"ERROR")</f>
        <v>140</v>
      </c>
      <c r="T80" s="28"/>
    </row>
    <row r="81" spans="1:20" s="123" customFormat="1" x14ac:dyDescent="0.2">
      <c r="A81" s="28"/>
      <c r="B81" s="127" t="s">
        <v>374</v>
      </c>
      <c r="C81" s="109">
        <f>IFERROR(VLOOKUP($B81,MMWR_TRAD_AGG_STATE_PEN[],C$1,0),"ERROR")</f>
        <v>1498</v>
      </c>
      <c r="D81" s="110">
        <f>IFERROR(VLOOKUP($B81,MMWR_TRAD_AGG_STATE_PEN[],D$1,0),"ERROR")</f>
        <v>102.1388518024</v>
      </c>
      <c r="E81" s="111">
        <f>IFERROR(VLOOKUP($B81,MMWR_TRAD_AGG_STATE_PEN[],E$1,0),"ERROR")</f>
        <v>2265</v>
      </c>
      <c r="F81" s="112">
        <f>IFERROR(VLOOKUP($B81,MMWR_TRAD_AGG_STATE_PEN[],F$1,0),"ERROR")</f>
        <v>352</v>
      </c>
      <c r="G81" s="113">
        <f t="shared" si="8"/>
        <v>0.1554083885209713</v>
      </c>
      <c r="H81" s="111">
        <f>IFERROR(VLOOKUP($B81,MMWR_TRAD_AGG_STATE_PEN[],H$1,0),"ERROR")</f>
        <v>2150</v>
      </c>
      <c r="I81" s="112">
        <f>IFERROR(VLOOKUP($B81,MMWR_TRAD_AGG_STATE_PEN[],I$1,0),"ERROR")</f>
        <v>628</v>
      </c>
      <c r="J81" s="114">
        <f t="shared" si="9"/>
        <v>0.29209302325581393</v>
      </c>
      <c r="K81" s="111">
        <f>IFERROR(VLOOKUP($B81,MMWR_TRAD_AGG_STATE_PEN[],K$1,0),"ERROR")</f>
        <v>3</v>
      </c>
      <c r="L81" s="112">
        <f>IFERROR(VLOOKUP($B81,MMWR_TRAD_AGG_STATE_PEN[],L$1,0),"ERROR")</f>
        <v>1</v>
      </c>
      <c r="M81" s="114">
        <f t="shared" si="10"/>
        <v>0.33333333333333331</v>
      </c>
      <c r="N81" s="111">
        <f>IFERROR(VLOOKUP($B81,MMWR_TRAD_AGG_STATE_PEN[],N$1,0),"ERROR")</f>
        <v>115</v>
      </c>
      <c r="O81" s="112">
        <f>IFERROR(VLOOKUP($B81,MMWR_TRAD_AGG_STATE_PEN[],O$1,0),"ERROR")</f>
        <v>26</v>
      </c>
      <c r="P81" s="114">
        <f t="shared" si="11"/>
        <v>0.22608695652173913</v>
      </c>
      <c r="Q81" s="115">
        <f>IFERROR(VLOOKUP($B81,MMWR_TRAD_AGG_STATE_PEN[],Q$1,0),"ERROR")</f>
        <v>176</v>
      </c>
      <c r="R81" s="115">
        <f>IFERROR(VLOOKUP($B81,MMWR_TRAD_AGG_STATE_PEN[],R$1,0),"ERROR")</f>
        <v>309</v>
      </c>
      <c r="S81" s="115">
        <f>IFERROR(VLOOKUP($B81,MMWR_APP_STATE_PEN[],S$1,0),"ERROR")</f>
        <v>150</v>
      </c>
      <c r="T81" s="28"/>
    </row>
    <row r="82" spans="1:20" s="123" customFormat="1" x14ac:dyDescent="0.2">
      <c r="A82" s="28"/>
      <c r="B82" s="127" t="s">
        <v>371</v>
      </c>
      <c r="C82" s="109">
        <f>IFERROR(VLOOKUP($B82,MMWR_TRAD_AGG_STATE_PEN[],C$1,0),"ERROR")</f>
        <v>93</v>
      </c>
      <c r="D82" s="110">
        <f>IFERROR(VLOOKUP($B82,MMWR_TRAD_AGG_STATE_PEN[],D$1,0),"ERROR")</f>
        <v>90.247311827999994</v>
      </c>
      <c r="E82" s="111">
        <f>IFERROR(VLOOKUP($B82,MMWR_TRAD_AGG_STATE_PEN[],E$1,0),"ERROR")</f>
        <v>128</v>
      </c>
      <c r="F82" s="112">
        <f>IFERROR(VLOOKUP($B82,MMWR_TRAD_AGG_STATE_PEN[],F$1,0),"ERROR")</f>
        <v>23</v>
      </c>
      <c r="G82" s="113">
        <f t="shared" si="8"/>
        <v>0.1796875</v>
      </c>
      <c r="H82" s="111">
        <f>IFERROR(VLOOKUP($B82,MMWR_TRAD_AGG_STATE_PEN[],H$1,0),"ERROR")</f>
        <v>128</v>
      </c>
      <c r="I82" s="112">
        <f>IFERROR(VLOOKUP($B82,MMWR_TRAD_AGG_STATE_PEN[],I$1,0),"ERROR")</f>
        <v>37</v>
      </c>
      <c r="J82" s="114">
        <f t="shared" si="9"/>
        <v>0.2890625</v>
      </c>
      <c r="K82" s="111">
        <f>IFERROR(VLOOKUP($B82,MMWR_TRAD_AGG_STATE_PEN[],K$1,0),"ERROR")</f>
        <v>0</v>
      </c>
      <c r="L82" s="112">
        <f>IFERROR(VLOOKUP($B82,MMWR_TRAD_AGG_STATE_PEN[],L$1,0),"ERROR")</f>
        <v>0</v>
      </c>
      <c r="M82" s="114" t="str">
        <f t="shared" si="10"/>
        <v>0%</v>
      </c>
      <c r="N82" s="111">
        <f>IFERROR(VLOOKUP($B82,MMWR_TRAD_AGG_STATE_PEN[],N$1,0),"ERROR")</f>
        <v>7</v>
      </c>
      <c r="O82" s="112">
        <f>IFERROR(VLOOKUP($B82,MMWR_TRAD_AGG_STATE_PEN[],O$1,0),"ERROR")</f>
        <v>3</v>
      </c>
      <c r="P82" s="114">
        <f t="shared" si="11"/>
        <v>0.42857142857142855</v>
      </c>
      <c r="Q82" s="115">
        <f>IFERROR(VLOOKUP($B82,MMWR_TRAD_AGG_STATE_PEN[],Q$1,0),"ERROR")</f>
        <v>15</v>
      </c>
      <c r="R82" s="115">
        <f>IFERROR(VLOOKUP($B82,MMWR_TRAD_AGG_STATE_PEN[],R$1,0),"ERROR")</f>
        <v>12</v>
      </c>
      <c r="S82" s="115">
        <f>IFERROR(VLOOKUP($B82,MMWR_APP_STATE_PEN[],S$1,0),"ERROR")</f>
        <v>18</v>
      </c>
      <c r="T82" s="28"/>
    </row>
    <row r="83" spans="1:20" s="123" customFormat="1" x14ac:dyDescent="0.2">
      <c r="A83" s="28"/>
      <c r="B83" s="127" t="s">
        <v>416</v>
      </c>
      <c r="C83" s="109">
        <f>IFERROR(VLOOKUP($B83,MMWR_TRAD_AGG_STATE_PEN[],C$1,0),"ERROR")</f>
        <v>44</v>
      </c>
      <c r="D83" s="110">
        <f>IFERROR(VLOOKUP($B83,MMWR_TRAD_AGG_STATE_PEN[],D$1,0),"ERROR")</f>
        <v>115</v>
      </c>
      <c r="E83" s="111">
        <f>IFERROR(VLOOKUP($B83,MMWR_TRAD_AGG_STATE_PEN[],E$1,0),"ERROR")</f>
        <v>44</v>
      </c>
      <c r="F83" s="112">
        <f>IFERROR(VLOOKUP($B83,MMWR_TRAD_AGG_STATE_PEN[],F$1,0),"ERROR")</f>
        <v>6</v>
      </c>
      <c r="G83" s="113">
        <f t="shared" si="8"/>
        <v>0.13636363636363635</v>
      </c>
      <c r="H83" s="111">
        <f>IFERROR(VLOOKUP($B83,MMWR_TRAD_AGG_STATE_PEN[],H$1,0),"ERROR")</f>
        <v>53</v>
      </c>
      <c r="I83" s="112">
        <f>IFERROR(VLOOKUP($B83,MMWR_TRAD_AGG_STATE_PEN[],I$1,0),"ERROR")</f>
        <v>19</v>
      </c>
      <c r="J83" s="114">
        <f t="shared" si="9"/>
        <v>0.35849056603773582</v>
      </c>
      <c r="K83" s="111">
        <f>IFERROR(VLOOKUP($B83,MMWR_TRAD_AGG_STATE_PEN[],K$1,0),"ERROR")</f>
        <v>0</v>
      </c>
      <c r="L83" s="112">
        <f>IFERROR(VLOOKUP($B83,MMWR_TRAD_AGG_STATE_PEN[],L$1,0),"ERROR")</f>
        <v>0</v>
      </c>
      <c r="M83" s="114" t="str">
        <f t="shared" si="10"/>
        <v>0%</v>
      </c>
      <c r="N83" s="111">
        <f>IFERROR(VLOOKUP($B83,MMWR_TRAD_AGG_STATE_PEN[],N$1,0),"ERROR")</f>
        <v>1</v>
      </c>
      <c r="O83" s="112">
        <f>IFERROR(VLOOKUP($B83,MMWR_TRAD_AGG_STATE_PEN[],O$1,0),"ERROR")</f>
        <v>1</v>
      </c>
      <c r="P83" s="114">
        <f t="shared" si="11"/>
        <v>1</v>
      </c>
      <c r="Q83" s="115">
        <f>IFERROR(VLOOKUP($B83,MMWR_TRAD_AGG_STATE_PEN[],Q$1,0),"ERROR")</f>
        <v>8</v>
      </c>
      <c r="R83" s="115">
        <f>IFERROR(VLOOKUP($B83,MMWR_TRAD_AGG_STATE_PEN[],R$1,0),"ERROR")</f>
        <v>8</v>
      </c>
      <c r="S83" s="115">
        <f>IFERROR(VLOOKUP($B83,MMWR_APP_STATE_PEN[],S$1,0),"ERROR")</f>
        <v>8</v>
      </c>
      <c r="T83" s="28"/>
    </row>
    <row r="84" spans="1:20" s="123" customFormat="1" x14ac:dyDescent="0.2">
      <c r="A84" s="28"/>
      <c r="B84" s="127" t="s">
        <v>377</v>
      </c>
      <c r="C84" s="109">
        <f>IFERROR(VLOOKUP($B84,MMWR_TRAD_AGG_STATE_PEN[],C$1,0),"ERROR")</f>
        <v>752</v>
      </c>
      <c r="D84" s="110">
        <f>IFERROR(VLOOKUP($B84,MMWR_TRAD_AGG_STATE_PEN[],D$1,0),"ERROR")</f>
        <v>104.57446808509999</v>
      </c>
      <c r="E84" s="111">
        <f>IFERROR(VLOOKUP($B84,MMWR_TRAD_AGG_STATE_PEN[],E$1,0),"ERROR")</f>
        <v>825</v>
      </c>
      <c r="F84" s="112">
        <f>IFERROR(VLOOKUP($B84,MMWR_TRAD_AGG_STATE_PEN[],F$1,0),"ERROR")</f>
        <v>126</v>
      </c>
      <c r="G84" s="113">
        <f t="shared" si="8"/>
        <v>0.15272727272727274</v>
      </c>
      <c r="H84" s="111">
        <f>IFERROR(VLOOKUP($B84,MMWR_TRAD_AGG_STATE_PEN[],H$1,0),"ERROR")</f>
        <v>1030</v>
      </c>
      <c r="I84" s="112">
        <f>IFERROR(VLOOKUP($B84,MMWR_TRAD_AGG_STATE_PEN[],I$1,0),"ERROR")</f>
        <v>300</v>
      </c>
      <c r="J84" s="114">
        <f t="shared" si="9"/>
        <v>0.29126213592233008</v>
      </c>
      <c r="K84" s="111">
        <f>IFERROR(VLOOKUP($B84,MMWR_TRAD_AGG_STATE_PEN[],K$1,0),"ERROR")</f>
        <v>134</v>
      </c>
      <c r="L84" s="112">
        <f>IFERROR(VLOOKUP($B84,MMWR_TRAD_AGG_STATE_PEN[],L$1,0),"ERROR")</f>
        <v>131</v>
      </c>
      <c r="M84" s="114">
        <f t="shared" si="10"/>
        <v>0.97761194029850751</v>
      </c>
      <c r="N84" s="111">
        <f>IFERROR(VLOOKUP($B84,MMWR_TRAD_AGG_STATE_PEN[],N$1,0),"ERROR")</f>
        <v>47</v>
      </c>
      <c r="O84" s="112">
        <f>IFERROR(VLOOKUP($B84,MMWR_TRAD_AGG_STATE_PEN[],O$1,0),"ERROR")</f>
        <v>23</v>
      </c>
      <c r="P84" s="114">
        <f t="shared" si="11"/>
        <v>0.48936170212765956</v>
      </c>
      <c r="Q84" s="115">
        <f>IFERROR(VLOOKUP($B84,MMWR_TRAD_AGG_STATE_PEN[],Q$1,0),"ERROR")</f>
        <v>183</v>
      </c>
      <c r="R84" s="115">
        <f>IFERROR(VLOOKUP($B84,MMWR_TRAD_AGG_STATE_PEN[],R$1,0),"ERROR")</f>
        <v>233</v>
      </c>
      <c r="S84" s="115">
        <f>IFERROR(VLOOKUP($B84,MMWR_APP_STATE_PEN[],S$1,0),"ERROR")</f>
        <v>91</v>
      </c>
      <c r="T84" s="28"/>
    </row>
    <row r="85" spans="1:20" s="123" customFormat="1" x14ac:dyDescent="0.2">
      <c r="A85" s="28"/>
      <c r="B85" s="127" t="s">
        <v>378</v>
      </c>
      <c r="C85" s="109">
        <f>IFERROR(VLOOKUP($B85,MMWR_TRAD_AGG_STATE_PEN[],C$1,0),"ERROR")</f>
        <v>269</v>
      </c>
      <c r="D85" s="110">
        <f>IFERROR(VLOOKUP($B85,MMWR_TRAD_AGG_STATE_PEN[],D$1,0),"ERROR")</f>
        <v>109.3903345725</v>
      </c>
      <c r="E85" s="111">
        <f>IFERROR(VLOOKUP($B85,MMWR_TRAD_AGG_STATE_PEN[],E$1,0),"ERROR")</f>
        <v>229</v>
      </c>
      <c r="F85" s="112">
        <f>IFERROR(VLOOKUP($B85,MMWR_TRAD_AGG_STATE_PEN[],F$1,0),"ERROR")</f>
        <v>31</v>
      </c>
      <c r="G85" s="113">
        <f t="shared" si="8"/>
        <v>0.13537117903930132</v>
      </c>
      <c r="H85" s="111">
        <f>IFERROR(VLOOKUP($B85,MMWR_TRAD_AGG_STATE_PEN[],H$1,0),"ERROR")</f>
        <v>357</v>
      </c>
      <c r="I85" s="112">
        <f>IFERROR(VLOOKUP($B85,MMWR_TRAD_AGG_STATE_PEN[],I$1,0),"ERROR")</f>
        <v>122</v>
      </c>
      <c r="J85" s="114">
        <f t="shared" si="9"/>
        <v>0.34173669467787116</v>
      </c>
      <c r="K85" s="111">
        <f>IFERROR(VLOOKUP($B85,MMWR_TRAD_AGG_STATE_PEN[],K$1,0),"ERROR")</f>
        <v>0</v>
      </c>
      <c r="L85" s="112">
        <f>IFERROR(VLOOKUP($B85,MMWR_TRAD_AGG_STATE_PEN[],L$1,0),"ERROR")</f>
        <v>0</v>
      </c>
      <c r="M85" s="114" t="str">
        <f t="shared" si="10"/>
        <v>0%</v>
      </c>
      <c r="N85" s="111">
        <f>IFERROR(VLOOKUP($B85,MMWR_TRAD_AGG_STATE_PEN[],N$1,0),"ERROR")</f>
        <v>12</v>
      </c>
      <c r="O85" s="112">
        <f>IFERROR(VLOOKUP($B85,MMWR_TRAD_AGG_STATE_PEN[],O$1,0),"ERROR")</f>
        <v>5</v>
      </c>
      <c r="P85" s="114">
        <f t="shared" si="11"/>
        <v>0.41666666666666669</v>
      </c>
      <c r="Q85" s="115">
        <f>IFERROR(VLOOKUP($B85,MMWR_TRAD_AGG_STATE_PEN[],Q$1,0),"ERROR")</f>
        <v>55</v>
      </c>
      <c r="R85" s="115">
        <f>IFERROR(VLOOKUP($B85,MMWR_TRAD_AGG_STATE_PEN[],R$1,0),"ERROR")</f>
        <v>65</v>
      </c>
      <c r="S85" s="115">
        <f>IFERROR(VLOOKUP($B85,MMWR_APP_STATE_PEN[],S$1,0),"ERROR")</f>
        <v>34</v>
      </c>
      <c r="T85" s="28"/>
    </row>
    <row r="86" spans="1:20" s="123" customFormat="1" x14ac:dyDescent="0.2">
      <c r="A86" s="28"/>
      <c r="B86" s="126" t="s">
        <v>389</v>
      </c>
      <c r="C86" s="102">
        <f>IFERROR(VLOOKUP($B86,MMWR_TRAD_AGG_ST_DISTRICT_PEN[],C$1,0),"ERROR")</f>
        <v>2967</v>
      </c>
      <c r="D86" s="103">
        <f>IFERROR(VLOOKUP($B86,MMWR_TRAD_AGG_ST_DISTRICT_PEN[],D$1,0),"ERROR")</f>
        <v>59.914054600599997</v>
      </c>
      <c r="E86" s="102">
        <f>IFERROR(VLOOKUP($B86,MMWR_TRAD_AGG_ST_DISTRICT_PEN[],E$1,0),"ERROR")</f>
        <v>5635</v>
      </c>
      <c r="F86" s="102">
        <f>IFERROR(VLOOKUP($B86,MMWR_TRAD_AGG_ST_DISTRICT_PEN[],F$1,0),"ERROR")</f>
        <v>695</v>
      </c>
      <c r="G86" s="104">
        <f t="shared" si="8"/>
        <v>0.1233362910381544</v>
      </c>
      <c r="H86" s="102">
        <f>IFERROR(VLOOKUP($B86,MMWR_TRAD_AGG_ST_DISTRICT_PEN[],H$1,0),"ERROR")</f>
        <v>4811</v>
      </c>
      <c r="I86" s="102">
        <f>IFERROR(VLOOKUP($B86,MMWR_TRAD_AGG_ST_DISTRICT_PEN[],I$1,0),"ERROR")</f>
        <v>398</v>
      </c>
      <c r="J86" s="104">
        <f t="shared" si="9"/>
        <v>8.2727083766368739E-2</v>
      </c>
      <c r="K86" s="102">
        <f>IFERROR(VLOOKUP($B86,MMWR_TRAD_AGG_ST_DISTRICT_PEN[],K$1,0),"ERROR")</f>
        <v>10</v>
      </c>
      <c r="L86" s="102">
        <f>IFERROR(VLOOKUP($B86,MMWR_TRAD_AGG_ST_DISTRICT_PEN[],L$1,0),"ERROR")</f>
        <v>9</v>
      </c>
      <c r="M86" s="104">
        <f t="shared" si="10"/>
        <v>0.9</v>
      </c>
      <c r="N86" s="102">
        <f>IFERROR(VLOOKUP($B86,MMWR_TRAD_AGG_ST_DISTRICT_PEN[],N$1,0),"ERROR")</f>
        <v>403</v>
      </c>
      <c r="O86" s="102">
        <f>IFERROR(VLOOKUP($B86,MMWR_TRAD_AGG_ST_DISTRICT_PEN[],O$1,0),"ERROR")</f>
        <v>103</v>
      </c>
      <c r="P86" s="104">
        <f t="shared" si="11"/>
        <v>0.25558312655086851</v>
      </c>
      <c r="Q86" s="102">
        <f>IFERROR(VLOOKUP($B86,MMWR_TRAD_AGG_ST_DISTRICT_PEN[],Q$1,0),"ERROR")</f>
        <v>2360</v>
      </c>
      <c r="R86" s="106">
        <f>IFERROR(VLOOKUP($B86,MMWR_TRAD_AGG_ST_DISTRICT_PEN[],R$1,0),"ERROR")</f>
        <v>826</v>
      </c>
      <c r="S86" s="106">
        <f>IFERROR(VLOOKUP($B86,MMWR_APP_STATE_PEN[],S$1,0),"ERROR")</f>
        <v>1365</v>
      </c>
      <c r="T86" s="28"/>
    </row>
    <row r="87" spans="1:20" s="123" customFormat="1" x14ac:dyDescent="0.2">
      <c r="A87" s="28"/>
      <c r="B87" s="127" t="s">
        <v>393</v>
      </c>
      <c r="C87" s="109">
        <f>IFERROR(VLOOKUP($B87,MMWR_TRAD_AGG_STATE_PEN[],C$1,0),"ERROR")</f>
        <v>430</v>
      </c>
      <c r="D87" s="110">
        <f>IFERROR(VLOOKUP($B87,MMWR_TRAD_AGG_STATE_PEN[],D$1,0),"ERROR")</f>
        <v>66.637209302299993</v>
      </c>
      <c r="E87" s="111">
        <f>IFERROR(VLOOKUP($B87,MMWR_TRAD_AGG_STATE_PEN[],E$1,0),"ERROR")</f>
        <v>767</v>
      </c>
      <c r="F87" s="112">
        <f>IFERROR(VLOOKUP($B87,MMWR_TRAD_AGG_STATE_PEN[],F$1,0),"ERROR")</f>
        <v>108</v>
      </c>
      <c r="G87" s="113">
        <f t="shared" si="8"/>
        <v>0.1408083441981747</v>
      </c>
      <c r="H87" s="111">
        <f>IFERROR(VLOOKUP($B87,MMWR_TRAD_AGG_STATE_PEN[],H$1,0),"ERROR")</f>
        <v>627</v>
      </c>
      <c r="I87" s="112">
        <f>IFERROR(VLOOKUP($B87,MMWR_TRAD_AGG_STATE_PEN[],I$1,0),"ERROR")</f>
        <v>44</v>
      </c>
      <c r="J87" s="114">
        <f t="shared" si="9"/>
        <v>7.0175438596491224E-2</v>
      </c>
      <c r="K87" s="111">
        <f>IFERROR(VLOOKUP($B87,MMWR_TRAD_AGG_STATE_PEN[],K$1,0),"ERROR")</f>
        <v>0</v>
      </c>
      <c r="L87" s="112">
        <f>IFERROR(VLOOKUP($B87,MMWR_TRAD_AGG_STATE_PEN[],L$1,0),"ERROR")</f>
        <v>0</v>
      </c>
      <c r="M87" s="114" t="str">
        <f t="shared" si="10"/>
        <v>0%</v>
      </c>
      <c r="N87" s="111">
        <f>IFERROR(VLOOKUP($B87,MMWR_TRAD_AGG_STATE_PEN[],N$1,0),"ERROR")</f>
        <v>60</v>
      </c>
      <c r="O87" s="112">
        <f>IFERROR(VLOOKUP($B87,MMWR_TRAD_AGG_STATE_PEN[],O$1,0),"ERROR")</f>
        <v>21</v>
      </c>
      <c r="P87" s="114">
        <f t="shared" si="11"/>
        <v>0.35</v>
      </c>
      <c r="Q87" s="115">
        <f>IFERROR(VLOOKUP($B87,MMWR_TRAD_AGG_STATE_PEN[],Q$1,0),"ERROR")</f>
        <v>92</v>
      </c>
      <c r="R87" s="115">
        <f>IFERROR(VLOOKUP($B87,MMWR_TRAD_AGG_STATE_PEN[],R$1,0),"ERROR")</f>
        <v>149</v>
      </c>
      <c r="S87" s="115">
        <f>IFERROR(VLOOKUP($B87,MMWR_APP_STATE_PEN[],S$1,0),"ERROR")</f>
        <v>303</v>
      </c>
      <c r="T87" s="28"/>
    </row>
    <row r="88" spans="1:20" s="123" customFormat="1" x14ac:dyDescent="0.2">
      <c r="A88" s="28"/>
      <c r="B88" s="127" t="s">
        <v>391</v>
      </c>
      <c r="C88" s="109">
        <f>IFERROR(VLOOKUP($B88,MMWR_TRAD_AGG_STATE_PEN[],C$1,0),"ERROR")</f>
        <v>235</v>
      </c>
      <c r="D88" s="110">
        <f>IFERROR(VLOOKUP($B88,MMWR_TRAD_AGG_STATE_PEN[],D$1,0),"ERROR")</f>
        <v>66.685106383000004</v>
      </c>
      <c r="E88" s="111">
        <f>IFERROR(VLOOKUP($B88,MMWR_TRAD_AGG_STATE_PEN[],E$1,0),"ERROR")</f>
        <v>604</v>
      </c>
      <c r="F88" s="112">
        <f>IFERROR(VLOOKUP($B88,MMWR_TRAD_AGG_STATE_PEN[],F$1,0),"ERROR")</f>
        <v>82</v>
      </c>
      <c r="G88" s="113">
        <f t="shared" si="8"/>
        <v>0.13576158940397351</v>
      </c>
      <c r="H88" s="111">
        <f>IFERROR(VLOOKUP($B88,MMWR_TRAD_AGG_STATE_PEN[],H$1,0),"ERROR")</f>
        <v>440</v>
      </c>
      <c r="I88" s="112">
        <f>IFERROR(VLOOKUP($B88,MMWR_TRAD_AGG_STATE_PEN[],I$1,0),"ERROR")</f>
        <v>38</v>
      </c>
      <c r="J88" s="114">
        <f t="shared" si="9"/>
        <v>8.6363636363636365E-2</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10</v>
      </c>
      <c r="P88" s="114">
        <f t="shared" si="11"/>
        <v>0.25641025641025639</v>
      </c>
      <c r="Q88" s="115">
        <f>IFERROR(VLOOKUP($B88,MMWR_TRAD_AGG_STATE_PEN[],Q$1,0),"ERROR")</f>
        <v>72</v>
      </c>
      <c r="R88" s="115">
        <f>IFERROR(VLOOKUP($B88,MMWR_TRAD_AGG_STATE_PEN[],R$1,0),"ERROR")</f>
        <v>88</v>
      </c>
      <c r="S88" s="115">
        <f>IFERROR(VLOOKUP($B88,MMWR_APP_STATE_PEN[],S$1,0),"ERROR")</f>
        <v>140</v>
      </c>
      <c r="T88" s="28"/>
    </row>
    <row r="89" spans="1:20" s="123" customFormat="1" x14ac:dyDescent="0.2">
      <c r="A89" s="28"/>
      <c r="B89" s="127" t="s">
        <v>398</v>
      </c>
      <c r="C89" s="109">
        <f>IFERROR(VLOOKUP($B89,MMWR_TRAD_AGG_STATE_PEN[],C$1,0),"ERROR")</f>
        <v>169</v>
      </c>
      <c r="D89" s="110">
        <f>IFERROR(VLOOKUP($B89,MMWR_TRAD_AGG_STATE_PEN[],D$1,0),"ERROR")</f>
        <v>61.662721893499999</v>
      </c>
      <c r="E89" s="111">
        <f>IFERROR(VLOOKUP($B89,MMWR_TRAD_AGG_STATE_PEN[],E$1,0),"ERROR")</f>
        <v>281</v>
      </c>
      <c r="F89" s="112">
        <f>IFERROR(VLOOKUP($B89,MMWR_TRAD_AGG_STATE_PEN[],F$1,0),"ERROR")</f>
        <v>12</v>
      </c>
      <c r="G89" s="113">
        <f t="shared" si="8"/>
        <v>4.2704626334519574E-2</v>
      </c>
      <c r="H89" s="111">
        <f>IFERROR(VLOOKUP($B89,MMWR_TRAD_AGG_STATE_PEN[],H$1,0),"ERROR")</f>
        <v>274</v>
      </c>
      <c r="I89" s="112">
        <f>IFERROR(VLOOKUP($B89,MMWR_TRAD_AGG_STATE_PEN[],I$1,0),"ERROR")</f>
        <v>20</v>
      </c>
      <c r="J89" s="114">
        <f t="shared" si="9"/>
        <v>7.2992700729927001E-2</v>
      </c>
      <c r="K89" s="111">
        <f>IFERROR(VLOOKUP($B89,MMWR_TRAD_AGG_STATE_PEN[],K$1,0),"ERROR")</f>
        <v>0</v>
      </c>
      <c r="L89" s="112">
        <f>IFERROR(VLOOKUP($B89,MMWR_TRAD_AGG_STATE_PEN[],L$1,0),"ERROR")</f>
        <v>0</v>
      </c>
      <c r="M89" s="114" t="str">
        <f t="shared" si="10"/>
        <v>0%</v>
      </c>
      <c r="N89" s="111">
        <f>IFERROR(VLOOKUP($B89,MMWR_TRAD_AGG_STATE_PEN[],N$1,0),"ERROR")</f>
        <v>16</v>
      </c>
      <c r="O89" s="112">
        <f>IFERROR(VLOOKUP($B89,MMWR_TRAD_AGG_STATE_PEN[],O$1,0),"ERROR")</f>
        <v>7</v>
      </c>
      <c r="P89" s="114">
        <f t="shared" si="11"/>
        <v>0.4375</v>
      </c>
      <c r="Q89" s="115">
        <f>IFERROR(VLOOKUP($B89,MMWR_TRAD_AGG_STATE_PEN[],Q$1,0),"ERROR")</f>
        <v>356</v>
      </c>
      <c r="R89" s="115">
        <f>IFERROR(VLOOKUP($B89,MMWR_TRAD_AGG_STATE_PEN[],R$1,0),"ERROR")</f>
        <v>52</v>
      </c>
      <c r="S89" s="115">
        <f>IFERROR(VLOOKUP($B89,MMWR_APP_STATE_PEN[],S$1,0),"ERROR")</f>
        <v>26</v>
      </c>
      <c r="T89" s="28"/>
    </row>
    <row r="90" spans="1:20" s="123" customFormat="1" x14ac:dyDescent="0.2">
      <c r="A90" s="28"/>
      <c r="B90" s="127" t="s">
        <v>421</v>
      </c>
      <c r="C90" s="109">
        <f>IFERROR(VLOOKUP($B90,MMWR_TRAD_AGG_STATE_PEN[],C$1,0),"ERROR")</f>
        <v>117</v>
      </c>
      <c r="D90" s="110">
        <f>IFERROR(VLOOKUP($B90,MMWR_TRAD_AGG_STATE_PEN[],D$1,0),"ERROR")</f>
        <v>74.692307692300005</v>
      </c>
      <c r="E90" s="111">
        <f>IFERROR(VLOOKUP($B90,MMWR_TRAD_AGG_STATE_PEN[],E$1,0),"ERROR")</f>
        <v>211</v>
      </c>
      <c r="F90" s="112">
        <f>IFERROR(VLOOKUP($B90,MMWR_TRAD_AGG_STATE_PEN[],F$1,0),"ERROR")</f>
        <v>7</v>
      </c>
      <c r="G90" s="113">
        <f t="shared" si="8"/>
        <v>3.3175355450236969E-2</v>
      </c>
      <c r="H90" s="111">
        <f>IFERROR(VLOOKUP($B90,MMWR_TRAD_AGG_STATE_PEN[],H$1,0),"ERROR")</f>
        <v>197</v>
      </c>
      <c r="I90" s="112">
        <f>IFERROR(VLOOKUP($B90,MMWR_TRAD_AGG_STATE_PEN[],I$1,0),"ERROR")</f>
        <v>25</v>
      </c>
      <c r="J90" s="114">
        <f t="shared" si="9"/>
        <v>0.12690355329949238</v>
      </c>
      <c r="K90" s="111">
        <f>IFERROR(VLOOKUP($B90,MMWR_TRAD_AGG_STATE_PEN[],K$1,0),"ERROR")</f>
        <v>1</v>
      </c>
      <c r="L90" s="112">
        <f>IFERROR(VLOOKUP($B90,MMWR_TRAD_AGG_STATE_PEN[],L$1,0),"ERROR")</f>
        <v>0</v>
      </c>
      <c r="M90" s="114">
        <f t="shared" si="10"/>
        <v>0</v>
      </c>
      <c r="N90" s="111">
        <f>IFERROR(VLOOKUP($B90,MMWR_TRAD_AGG_STATE_PEN[],N$1,0),"ERROR")</f>
        <v>18</v>
      </c>
      <c r="O90" s="112">
        <f>IFERROR(VLOOKUP($B90,MMWR_TRAD_AGG_STATE_PEN[],O$1,0),"ERROR")</f>
        <v>6</v>
      </c>
      <c r="P90" s="114">
        <f t="shared" si="11"/>
        <v>0.33333333333333331</v>
      </c>
      <c r="Q90" s="115">
        <f>IFERROR(VLOOKUP($B90,MMWR_TRAD_AGG_STATE_PEN[],Q$1,0),"ERROR")</f>
        <v>196</v>
      </c>
      <c r="R90" s="115">
        <f>IFERROR(VLOOKUP($B90,MMWR_TRAD_AGG_STATE_PEN[],R$1,0),"ERROR")</f>
        <v>39</v>
      </c>
      <c r="S90" s="115">
        <f>IFERROR(VLOOKUP($B90,MMWR_APP_STATE_PEN[],S$1,0),"ERROR")</f>
        <v>27</v>
      </c>
      <c r="T90" s="28"/>
    </row>
    <row r="91" spans="1:20" s="123" customFormat="1" x14ac:dyDescent="0.2">
      <c r="A91" s="28"/>
      <c r="B91" s="127" t="s">
        <v>394</v>
      </c>
      <c r="C91" s="109">
        <f>IFERROR(VLOOKUP($B91,MMWR_TRAD_AGG_STATE_PEN[],C$1,0),"ERROR")</f>
        <v>515</v>
      </c>
      <c r="D91" s="110">
        <f>IFERROR(VLOOKUP($B91,MMWR_TRAD_AGG_STATE_PEN[],D$1,0),"ERROR")</f>
        <v>55.722330097099999</v>
      </c>
      <c r="E91" s="111">
        <f>IFERROR(VLOOKUP($B91,MMWR_TRAD_AGG_STATE_PEN[],E$1,0),"ERROR")</f>
        <v>1070</v>
      </c>
      <c r="F91" s="112">
        <f>IFERROR(VLOOKUP($B91,MMWR_TRAD_AGG_STATE_PEN[],F$1,0),"ERROR")</f>
        <v>148</v>
      </c>
      <c r="G91" s="113">
        <f t="shared" si="8"/>
        <v>0.13831775700934579</v>
      </c>
      <c r="H91" s="111">
        <f>IFERROR(VLOOKUP($B91,MMWR_TRAD_AGG_STATE_PEN[],H$1,0),"ERROR")</f>
        <v>798</v>
      </c>
      <c r="I91" s="112">
        <f>IFERROR(VLOOKUP($B91,MMWR_TRAD_AGG_STATE_PEN[],I$1,0),"ERROR")</f>
        <v>76</v>
      </c>
      <c r="J91" s="114">
        <f t="shared" si="9"/>
        <v>9.5238095238095233E-2</v>
      </c>
      <c r="K91" s="111">
        <f>IFERROR(VLOOKUP($B91,MMWR_TRAD_AGG_STATE_PEN[],K$1,0),"ERROR")</f>
        <v>1</v>
      </c>
      <c r="L91" s="112">
        <f>IFERROR(VLOOKUP($B91,MMWR_TRAD_AGG_STATE_PEN[],L$1,0),"ERROR")</f>
        <v>1</v>
      </c>
      <c r="M91" s="114">
        <f t="shared" si="10"/>
        <v>1</v>
      </c>
      <c r="N91" s="111">
        <f>IFERROR(VLOOKUP($B91,MMWR_TRAD_AGG_STATE_PEN[],N$1,0),"ERROR")</f>
        <v>62</v>
      </c>
      <c r="O91" s="112">
        <f>IFERROR(VLOOKUP($B91,MMWR_TRAD_AGG_STATE_PEN[],O$1,0),"ERROR")</f>
        <v>15</v>
      </c>
      <c r="P91" s="114">
        <f t="shared" si="11"/>
        <v>0.24193548387096775</v>
      </c>
      <c r="Q91" s="115">
        <f>IFERROR(VLOOKUP($B91,MMWR_TRAD_AGG_STATE_PEN[],Q$1,0),"ERROR")</f>
        <v>122</v>
      </c>
      <c r="R91" s="115">
        <f>IFERROR(VLOOKUP($B91,MMWR_TRAD_AGG_STATE_PEN[],R$1,0),"ERROR")</f>
        <v>120</v>
      </c>
      <c r="S91" s="115">
        <f>IFERROR(VLOOKUP($B91,MMWR_APP_STATE_PEN[],S$1,0),"ERROR")</f>
        <v>228</v>
      </c>
      <c r="T91" s="28"/>
    </row>
    <row r="92" spans="1:20" s="123" customFormat="1" x14ac:dyDescent="0.2">
      <c r="A92" s="28"/>
      <c r="B92" s="127" t="s">
        <v>400</v>
      </c>
      <c r="C92" s="109">
        <f>IFERROR(VLOOKUP($B92,MMWR_TRAD_AGG_STATE_PEN[],C$1,0),"ERROR")</f>
        <v>209</v>
      </c>
      <c r="D92" s="110">
        <f>IFERROR(VLOOKUP($B92,MMWR_TRAD_AGG_STATE_PEN[],D$1,0),"ERROR")</f>
        <v>66.837320574200007</v>
      </c>
      <c r="E92" s="111">
        <f>IFERROR(VLOOKUP($B92,MMWR_TRAD_AGG_STATE_PEN[],E$1,0),"ERROR")</f>
        <v>265</v>
      </c>
      <c r="F92" s="112">
        <f>IFERROR(VLOOKUP($B92,MMWR_TRAD_AGG_STATE_PEN[],F$1,0),"ERROR")</f>
        <v>10</v>
      </c>
      <c r="G92" s="113">
        <f t="shared" si="8"/>
        <v>3.7735849056603772E-2</v>
      </c>
      <c r="H92" s="111">
        <f>IFERROR(VLOOKUP($B92,MMWR_TRAD_AGG_STATE_PEN[],H$1,0),"ERROR")</f>
        <v>319</v>
      </c>
      <c r="I92" s="112">
        <f>IFERROR(VLOOKUP($B92,MMWR_TRAD_AGG_STATE_PEN[],I$1,0),"ERROR")</f>
        <v>33</v>
      </c>
      <c r="J92" s="114">
        <f t="shared" si="9"/>
        <v>0.10344827586206896</v>
      </c>
      <c r="K92" s="111">
        <f>IFERROR(VLOOKUP($B92,MMWR_TRAD_AGG_STATE_PEN[],K$1,0),"ERROR")</f>
        <v>1</v>
      </c>
      <c r="L92" s="112">
        <f>IFERROR(VLOOKUP($B92,MMWR_TRAD_AGG_STATE_PEN[],L$1,0),"ERROR")</f>
        <v>1</v>
      </c>
      <c r="M92" s="114">
        <f t="shared" si="10"/>
        <v>1</v>
      </c>
      <c r="N92" s="111">
        <f>IFERROR(VLOOKUP($B92,MMWR_TRAD_AGG_STATE_PEN[],N$1,0),"ERROR")</f>
        <v>18</v>
      </c>
      <c r="O92" s="112">
        <f>IFERROR(VLOOKUP($B92,MMWR_TRAD_AGG_STATE_PEN[],O$1,0),"ERROR")</f>
        <v>5</v>
      </c>
      <c r="P92" s="114">
        <f t="shared" si="11"/>
        <v>0.27777777777777779</v>
      </c>
      <c r="Q92" s="115">
        <f>IFERROR(VLOOKUP($B92,MMWR_TRAD_AGG_STATE_PEN[],Q$1,0),"ERROR")</f>
        <v>787</v>
      </c>
      <c r="R92" s="115">
        <f>IFERROR(VLOOKUP($B92,MMWR_TRAD_AGG_STATE_PEN[],R$1,0),"ERROR")</f>
        <v>76</v>
      </c>
      <c r="S92" s="115">
        <f>IFERROR(VLOOKUP($B92,MMWR_APP_STATE_PEN[],S$1,0),"ERROR")</f>
        <v>32</v>
      </c>
      <c r="T92" s="28"/>
    </row>
    <row r="93" spans="1:20" s="123" customFormat="1" x14ac:dyDescent="0.2">
      <c r="A93" s="28"/>
      <c r="B93" s="127" t="s">
        <v>396</v>
      </c>
      <c r="C93" s="109">
        <f>IFERROR(VLOOKUP($B93,MMWR_TRAD_AGG_STATE_PEN[],C$1,0),"ERROR")</f>
        <v>403</v>
      </c>
      <c r="D93" s="110">
        <f>IFERROR(VLOOKUP($B93,MMWR_TRAD_AGG_STATE_PEN[],D$1,0),"ERROR")</f>
        <v>55.337468982600001</v>
      </c>
      <c r="E93" s="111">
        <f>IFERROR(VLOOKUP($B93,MMWR_TRAD_AGG_STATE_PEN[],E$1,0),"ERROR")</f>
        <v>716</v>
      </c>
      <c r="F93" s="112">
        <f>IFERROR(VLOOKUP($B93,MMWR_TRAD_AGG_STATE_PEN[],F$1,0),"ERROR")</f>
        <v>100</v>
      </c>
      <c r="G93" s="113">
        <f t="shared" si="8"/>
        <v>0.13966480446927373</v>
      </c>
      <c r="H93" s="111">
        <f>IFERROR(VLOOKUP($B93,MMWR_TRAD_AGG_STATE_PEN[],H$1,0),"ERROR")</f>
        <v>625</v>
      </c>
      <c r="I93" s="112">
        <f>IFERROR(VLOOKUP($B93,MMWR_TRAD_AGG_STATE_PEN[],I$1,0),"ERROR")</f>
        <v>48</v>
      </c>
      <c r="J93" s="114">
        <f t="shared" si="9"/>
        <v>7.6799999999999993E-2</v>
      </c>
      <c r="K93" s="111">
        <f>IFERROR(VLOOKUP($B93,MMWR_TRAD_AGG_STATE_PEN[],K$1,0),"ERROR")</f>
        <v>2</v>
      </c>
      <c r="L93" s="112">
        <f>IFERROR(VLOOKUP($B93,MMWR_TRAD_AGG_STATE_PEN[],L$1,0),"ERROR")</f>
        <v>2</v>
      </c>
      <c r="M93" s="114">
        <f t="shared" si="10"/>
        <v>1</v>
      </c>
      <c r="N93" s="111">
        <f>IFERROR(VLOOKUP($B93,MMWR_TRAD_AGG_STATE_PEN[],N$1,0),"ERROR")</f>
        <v>54</v>
      </c>
      <c r="O93" s="112">
        <f>IFERROR(VLOOKUP($B93,MMWR_TRAD_AGG_STATE_PEN[],O$1,0),"ERROR")</f>
        <v>15</v>
      </c>
      <c r="P93" s="114">
        <f t="shared" si="11"/>
        <v>0.27777777777777779</v>
      </c>
      <c r="Q93" s="115">
        <f>IFERROR(VLOOKUP($B93,MMWR_TRAD_AGG_STATE_PEN[],Q$1,0),"ERROR")</f>
        <v>131</v>
      </c>
      <c r="R93" s="115">
        <f>IFERROR(VLOOKUP($B93,MMWR_TRAD_AGG_STATE_PEN[],R$1,0),"ERROR")</f>
        <v>68</v>
      </c>
      <c r="S93" s="115">
        <f>IFERROR(VLOOKUP($B93,MMWR_APP_STATE_PEN[],S$1,0),"ERROR")</f>
        <v>206</v>
      </c>
      <c r="T93" s="28"/>
    </row>
    <row r="94" spans="1:20" s="123" customFormat="1" x14ac:dyDescent="0.2">
      <c r="A94" s="28"/>
      <c r="B94" s="127" t="s">
        <v>399</v>
      </c>
      <c r="C94" s="109">
        <f>IFERROR(VLOOKUP($B94,MMWR_TRAD_AGG_STATE_PEN[],C$1,0),"ERROR")</f>
        <v>67</v>
      </c>
      <c r="D94" s="110">
        <f>IFERROR(VLOOKUP($B94,MMWR_TRAD_AGG_STATE_PEN[],D$1,0),"ERROR")</f>
        <v>50.791044776100001</v>
      </c>
      <c r="E94" s="111">
        <f>IFERROR(VLOOKUP($B94,MMWR_TRAD_AGG_STATE_PEN[],E$1,0),"ERROR")</f>
        <v>85</v>
      </c>
      <c r="F94" s="112">
        <f>IFERROR(VLOOKUP($B94,MMWR_TRAD_AGG_STATE_PEN[],F$1,0),"ERROR")</f>
        <v>2</v>
      </c>
      <c r="G94" s="113">
        <f t="shared" si="8"/>
        <v>2.3529411764705882E-2</v>
      </c>
      <c r="H94" s="111">
        <f>IFERROR(VLOOKUP($B94,MMWR_TRAD_AGG_STATE_PEN[],H$1,0),"ERROR")</f>
        <v>109</v>
      </c>
      <c r="I94" s="112">
        <f>IFERROR(VLOOKUP($B94,MMWR_TRAD_AGG_STATE_PEN[],I$1,0),"ERROR")</f>
        <v>6</v>
      </c>
      <c r="J94" s="114">
        <f t="shared" si="9"/>
        <v>5.5045871559633031E-2</v>
      </c>
      <c r="K94" s="111">
        <f>IFERROR(VLOOKUP($B94,MMWR_TRAD_AGG_STATE_PEN[],K$1,0),"ERROR")</f>
        <v>0</v>
      </c>
      <c r="L94" s="112">
        <f>IFERROR(VLOOKUP($B94,MMWR_TRAD_AGG_STATE_PEN[],L$1,0),"ERROR")</f>
        <v>0</v>
      </c>
      <c r="M94" s="114" t="str">
        <f t="shared" si="10"/>
        <v>0%</v>
      </c>
      <c r="N94" s="111">
        <f>IFERROR(VLOOKUP($B94,MMWR_TRAD_AGG_STATE_PEN[],N$1,0),"ERROR")</f>
        <v>6</v>
      </c>
      <c r="O94" s="112">
        <f>IFERROR(VLOOKUP($B94,MMWR_TRAD_AGG_STATE_PEN[],O$1,0),"ERROR")</f>
        <v>1</v>
      </c>
      <c r="P94" s="114">
        <f t="shared" si="11"/>
        <v>0.16666666666666666</v>
      </c>
      <c r="Q94" s="115">
        <f>IFERROR(VLOOKUP($B94,MMWR_TRAD_AGG_STATE_PEN[],Q$1,0),"ERROR")</f>
        <v>238</v>
      </c>
      <c r="R94" s="115">
        <f>IFERROR(VLOOKUP($B94,MMWR_TRAD_AGG_STATE_PEN[],R$1,0),"ERROR")</f>
        <v>28</v>
      </c>
      <c r="S94" s="115">
        <f>IFERROR(VLOOKUP($B94,MMWR_APP_STATE_PEN[],S$1,0),"ERROR")</f>
        <v>15</v>
      </c>
      <c r="T94" s="28"/>
    </row>
    <row r="95" spans="1:20" s="123" customFormat="1" x14ac:dyDescent="0.2">
      <c r="A95" s="28"/>
      <c r="B95" s="127" t="s">
        <v>418</v>
      </c>
      <c r="C95" s="109">
        <f>IFERROR(VLOOKUP($B95,MMWR_TRAD_AGG_STATE_PEN[],C$1,0),"ERROR")</f>
        <v>22</v>
      </c>
      <c r="D95" s="110">
        <f>IFERROR(VLOOKUP($B95,MMWR_TRAD_AGG_STATE_PEN[],D$1,0),"ERROR")</f>
        <v>60</v>
      </c>
      <c r="E95" s="111">
        <f>IFERROR(VLOOKUP($B95,MMWR_TRAD_AGG_STATE_PEN[],E$1,0),"ERROR")</f>
        <v>27</v>
      </c>
      <c r="F95" s="112">
        <f>IFERROR(VLOOKUP($B95,MMWR_TRAD_AGG_STATE_PEN[],F$1,0),"ERROR")</f>
        <v>1</v>
      </c>
      <c r="G95" s="113">
        <f t="shared" si="8"/>
        <v>3.7037037037037035E-2</v>
      </c>
      <c r="H95" s="111">
        <f>IFERROR(VLOOKUP($B95,MMWR_TRAD_AGG_STATE_PEN[],H$1,0),"ERROR")</f>
        <v>44</v>
      </c>
      <c r="I95" s="112">
        <f>IFERROR(VLOOKUP($B95,MMWR_TRAD_AGG_STATE_PEN[],I$1,0),"ERROR")</f>
        <v>2</v>
      </c>
      <c r="J95" s="114">
        <f t="shared" si="9"/>
        <v>4.5454545454545456E-2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66</v>
      </c>
      <c r="R95" s="115">
        <f>IFERROR(VLOOKUP($B95,MMWR_TRAD_AGG_STATE_PEN[],R$1,0),"ERROR")</f>
        <v>15</v>
      </c>
      <c r="S95" s="115">
        <f>IFERROR(VLOOKUP($B95,MMWR_APP_STATE_PEN[],S$1,0),"ERROR")</f>
        <v>4</v>
      </c>
      <c r="T95" s="28"/>
    </row>
    <row r="96" spans="1:20" s="123" customFormat="1" x14ac:dyDescent="0.2">
      <c r="A96" s="28"/>
      <c r="B96" s="127" t="s">
        <v>390</v>
      </c>
      <c r="C96" s="109">
        <f>IFERROR(VLOOKUP($B96,MMWR_TRAD_AGG_STATE_PEN[],C$1,0),"ERROR")</f>
        <v>529</v>
      </c>
      <c r="D96" s="110">
        <f>IFERROR(VLOOKUP($B96,MMWR_TRAD_AGG_STATE_PEN[],D$1,0),"ERROR")</f>
        <v>55.236294895999997</v>
      </c>
      <c r="E96" s="111">
        <f>IFERROR(VLOOKUP($B96,MMWR_TRAD_AGG_STATE_PEN[],E$1,0),"ERROR")</f>
        <v>1150</v>
      </c>
      <c r="F96" s="112">
        <f>IFERROR(VLOOKUP($B96,MMWR_TRAD_AGG_STATE_PEN[],F$1,0),"ERROR")</f>
        <v>171</v>
      </c>
      <c r="G96" s="113">
        <f t="shared" si="8"/>
        <v>0.14869565217391303</v>
      </c>
      <c r="H96" s="111">
        <f>IFERROR(VLOOKUP($B96,MMWR_TRAD_AGG_STATE_PEN[],H$1,0),"ERROR")</f>
        <v>951</v>
      </c>
      <c r="I96" s="112">
        <f>IFERROR(VLOOKUP($B96,MMWR_TRAD_AGG_STATE_PEN[],I$1,0),"ERROR")</f>
        <v>78</v>
      </c>
      <c r="J96" s="114">
        <f t="shared" si="9"/>
        <v>8.2018927444794956E-2</v>
      </c>
      <c r="K96" s="111">
        <f>IFERROR(VLOOKUP($B96,MMWR_TRAD_AGG_STATE_PEN[],K$1,0),"ERROR")</f>
        <v>1</v>
      </c>
      <c r="L96" s="112">
        <f>IFERROR(VLOOKUP($B96,MMWR_TRAD_AGG_STATE_PEN[],L$1,0),"ERROR")</f>
        <v>1</v>
      </c>
      <c r="M96" s="114">
        <f t="shared" si="10"/>
        <v>1</v>
      </c>
      <c r="N96" s="111">
        <f>IFERROR(VLOOKUP($B96,MMWR_TRAD_AGG_STATE_PEN[],N$1,0),"ERROR")</f>
        <v>86</v>
      </c>
      <c r="O96" s="112">
        <f>IFERROR(VLOOKUP($B96,MMWR_TRAD_AGG_STATE_PEN[],O$1,0),"ERROR")</f>
        <v>15</v>
      </c>
      <c r="P96" s="114">
        <f t="shared" si="11"/>
        <v>0.1744186046511628</v>
      </c>
      <c r="Q96" s="115">
        <f>IFERROR(VLOOKUP($B96,MMWR_TRAD_AGG_STATE_PEN[],Q$1,0),"ERROR")</f>
        <v>130</v>
      </c>
      <c r="R96" s="115">
        <f>IFERROR(VLOOKUP($B96,MMWR_TRAD_AGG_STATE_PEN[],R$1,0),"ERROR")</f>
        <v>143</v>
      </c>
      <c r="S96" s="115">
        <f>IFERROR(VLOOKUP($B96,MMWR_APP_STATE_PEN[],S$1,0),"ERROR")</f>
        <v>287</v>
      </c>
      <c r="T96" s="28"/>
    </row>
    <row r="97" spans="1:20" s="123" customFormat="1" x14ac:dyDescent="0.2">
      <c r="A97" s="28"/>
      <c r="B97" s="127" t="s">
        <v>419</v>
      </c>
      <c r="C97" s="109">
        <f>IFERROR(VLOOKUP($B97,MMWR_TRAD_AGG_STATE_PEN[],C$1,0),"ERROR")</f>
        <v>44</v>
      </c>
      <c r="D97" s="110">
        <f>IFERROR(VLOOKUP($B97,MMWR_TRAD_AGG_STATE_PEN[],D$1,0),"ERROR")</f>
        <v>72.704545454500007</v>
      </c>
      <c r="E97" s="111">
        <f>IFERROR(VLOOKUP($B97,MMWR_TRAD_AGG_STATE_PEN[],E$1,0),"ERROR")</f>
        <v>46</v>
      </c>
      <c r="F97" s="112">
        <f>IFERROR(VLOOKUP($B97,MMWR_TRAD_AGG_STATE_PEN[],F$1,0),"ERROR")</f>
        <v>1</v>
      </c>
      <c r="G97" s="113">
        <f t="shared" si="8"/>
        <v>2.1739130434782608E-2</v>
      </c>
      <c r="H97" s="111">
        <f>IFERROR(VLOOKUP($B97,MMWR_TRAD_AGG_STATE_PEN[],H$1,0),"ERROR")</f>
        <v>70</v>
      </c>
      <c r="I97" s="112">
        <f>IFERROR(VLOOKUP($B97,MMWR_TRAD_AGG_STATE_PEN[],I$1,0),"ERROR")</f>
        <v>7</v>
      </c>
      <c r="J97" s="114">
        <f t="shared" si="9"/>
        <v>0.1</v>
      </c>
      <c r="K97" s="111">
        <f>IFERROR(VLOOKUP($B97,MMWR_TRAD_AGG_STATE_PEN[],K$1,0),"ERROR")</f>
        <v>1</v>
      </c>
      <c r="L97" s="112">
        <f>IFERROR(VLOOKUP($B97,MMWR_TRAD_AGG_STATE_PEN[],L$1,0),"ERROR")</f>
        <v>1</v>
      </c>
      <c r="M97" s="114">
        <f t="shared" si="10"/>
        <v>1</v>
      </c>
      <c r="N97" s="111">
        <f>IFERROR(VLOOKUP($B97,MMWR_TRAD_AGG_STATE_PEN[],N$1,0),"ERROR")</f>
        <v>4</v>
      </c>
      <c r="O97" s="112">
        <f>IFERROR(VLOOKUP($B97,MMWR_TRAD_AGG_STATE_PEN[],O$1,0),"ERROR")</f>
        <v>1</v>
      </c>
      <c r="P97" s="114">
        <f t="shared" si="11"/>
        <v>0.25</v>
      </c>
      <c r="Q97" s="115">
        <f>IFERROR(VLOOKUP($B97,MMWR_TRAD_AGG_STATE_PEN[],Q$1,0),"ERROR")</f>
        <v>107</v>
      </c>
      <c r="R97" s="115">
        <f>IFERROR(VLOOKUP($B97,MMWR_TRAD_AGG_STATE_PEN[],R$1,0),"ERROR")</f>
        <v>7</v>
      </c>
      <c r="S97" s="115">
        <f>IFERROR(VLOOKUP($B97,MMWR_APP_STATE_PEN[],S$1,0),"ERROR")</f>
        <v>7</v>
      </c>
      <c r="T97" s="28"/>
    </row>
    <row r="98" spans="1:20" s="123" customFormat="1" x14ac:dyDescent="0.2">
      <c r="A98" s="28"/>
      <c r="B98" s="127" t="s">
        <v>395</v>
      </c>
      <c r="C98" s="109">
        <f>IFERROR(VLOOKUP($B98,MMWR_TRAD_AGG_STATE_PEN[],C$1,0),"ERROR")</f>
        <v>227</v>
      </c>
      <c r="D98" s="110">
        <f>IFERROR(VLOOKUP($B98,MMWR_TRAD_AGG_STATE_PEN[],D$1,0),"ERROR")</f>
        <v>53.616740088100002</v>
      </c>
      <c r="E98" s="111">
        <f>IFERROR(VLOOKUP($B98,MMWR_TRAD_AGG_STATE_PEN[],E$1,0),"ERROR")</f>
        <v>413</v>
      </c>
      <c r="F98" s="112">
        <f>IFERROR(VLOOKUP($B98,MMWR_TRAD_AGG_STATE_PEN[],F$1,0),"ERROR")</f>
        <v>53</v>
      </c>
      <c r="G98" s="113">
        <f t="shared" si="8"/>
        <v>0.12832929782082325</v>
      </c>
      <c r="H98" s="111">
        <f>IFERROR(VLOOKUP($B98,MMWR_TRAD_AGG_STATE_PEN[],H$1,0),"ERROR")</f>
        <v>357</v>
      </c>
      <c r="I98" s="112">
        <f>IFERROR(VLOOKUP($B98,MMWR_TRAD_AGG_STATE_PEN[],I$1,0),"ERROR")</f>
        <v>21</v>
      </c>
      <c r="J98" s="114">
        <f t="shared" si="9"/>
        <v>5.8823529411764705E-2</v>
      </c>
      <c r="K98" s="111">
        <f>IFERROR(VLOOKUP($B98,MMWR_TRAD_AGG_STATE_PEN[],K$1,0),"ERROR")</f>
        <v>1</v>
      </c>
      <c r="L98" s="112">
        <f>IFERROR(VLOOKUP($B98,MMWR_TRAD_AGG_STATE_PEN[],L$1,0),"ERROR")</f>
        <v>1</v>
      </c>
      <c r="M98" s="114">
        <f t="shared" si="10"/>
        <v>1</v>
      </c>
      <c r="N98" s="111">
        <f>IFERROR(VLOOKUP($B98,MMWR_TRAD_AGG_STATE_PEN[],N$1,0),"ERROR")</f>
        <v>39</v>
      </c>
      <c r="O98" s="112">
        <f>IFERROR(VLOOKUP($B98,MMWR_TRAD_AGG_STATE_PEN[],O$1,0),"ERROR")</f>
        <v>7</v>
      </c>
      <c r="P98" s="114">
        <f t="shared" si="11"/>
        <v>0.17948717948717949</v>
      </c>
      <c r="Q98" s="115">
        <f>IFERROR(VLOOKUP($B98,MMWR_TRAD_AGG_STATE_PEN[],Q$1,0),"ERROR")</f>
        <v>63</v>
      </c>
      <c r="R98" s="115">
        <f>IFERROR(VLOOKUP($B98,MMWR_TRAD_AGG_STATE_PEN[],R$1,0),"ERROR")</f>
        <v>41</v>
      </c>
      <c r="S98" s="115">
        <f>IFERROR(VLOOKUP($B98,MMWR_APP_STATE_PEN[],S$1,0),"ERROR")</f>
        <v>90</v>
      </c>
      <c r="T98" s="28"/>
    </row>
    <row r="99" spans="1:20" s="123" customFormat="1" x14ac:dyDescent="0.2">
      <c r="A99" s="28"/>
      <c r="B99" s="126" t="s">
        <v>384</v>
      </c>
      <c r="C99" s="102">
        <f>IFERROR(VLOOKUP($B99,MMWR_TRAD_AGG_ST_DISTRICT_PEN[],C$1,0),"ERROR")</f>
        <v>2119</v>
      </c>
      <c r="D99" s="103">
        <f>IFERROR(VLOOKUP($B99,MMWR_TRAD_AGG_ST_DISTRICT_PEN[],D$1,0),"ERROR")</f>
        <v>66.642756016999996</v>
      </c>
      <c r="E99" s="102">
        <f>IFERROR(VLOOKUP($B99,MMWR_TRAD_AGG_ST_DISTRICT_PEN[],E$1,0),"ERROR")</f>
        <v>3102</v>
      </c>
      <c r="F99" s="102">
        <f>IFERROR(VLOOKUP($B99,MMWR_TRAD_AGG_ST_DISTRICT_PEN[],F$1,0),"ERROR")</f>
        <v>193</v>
      </c>
      <c r="G99" s="104">
        <f t="shared" si="8"/>
        <v>6.2217923920051578E-2</v>
      </c>
      <c r="H99" s="102">
        <f>IFERROR(VLOOKUP($B99,MMWR_TRAD_AGG_ST_DISTRICT_PEN[],H$1,0),"ERROR")</f>
        <v>3574</v>
      </c>
      <c r="I99" s="102">
        <f>IFERROR(VLOOKUP($B99,MMWR_TRAD_AGG_ST_DISTRICT_PEN[],I$1,0),"ERROR")</f>
        <v>348</v>
      </c>
      <c r="J99" s="104">
        <f t="shared" si="9"/>
        <v>9.7369893676552882E-2</v>
      </c>
      <c r="K99" s="102">
        <f>IFERROR(VLOOKUP($B99,MMWR_TRAD_AGG_ST_DISTRICT_PEN[],K$1,0),"ERROR")</f>
        <v>22</v>
      </c>
      <c r="L99" s="102">
        <f>IFERROR(VLOOKUP($B99,MMWR_TRAD_AGG_ST_DISTRICT_PEN[],L$1,0),"ERROR")</f>
        <v>20</v>
      </c>
      <c r="M99" s="104">
        <f t="shared" si="10"/>
        <v>0.90909090909090906</v>
      </c>
      <c r="N99" s="102">
        <f>IFERROR(VLOOKUP($B99,MMWR_TRAD_AGG_ST_DISTRICT_PEN[],N$1,0),"ERROR")</f>
        <v>229</v>
      </c>
      <c r="O99" s="102">
        <f>IFERROR(VLOOKUP($B99,MMWR_TRAD_AGG_ST_DISTRICT_PEN[],O$1,0),"ERROR")</f>
        <v>85</v>
      </c>
      <c r="P99" s="104">
        <f t="shared" si="11"/>
        <v>0.37117903930131002</v>
      </c>
      <c r="Q99" s="102">
        <f>IFERROR(VLOOKUP($B99,MMWR_TRAD_AGG_ST_DISTRICT_PEN[],Q$1,0),"ERROR")</f>
        <v>3213</v>
      </c>
      <c r="R99" s="106">
        <f>IFERROR(VLOOKUP($B99,MMWR_TRAD_AGG_ST_DISTRICT_PEN[],R$1,0),"ERROR")</f>
        <v>919</v>
      </c>
      <c r="S99" s="106">
        <f>IFERROR(VLOOKUP($B99,MMWR_APP_STATE_PEN[],S$1,0),"ERROR")</f>
        <v>862</v>
      </c>
      <c r="T99" s="28"/>
    </row>
    <row r="100" spans="1:20" s="123" customFormat="1" x14ac:dyDescent="0.2">
      <c r="A100" s="28"/>
      <c r="B100" s="127" t="s">
        <v>410</v>
      </c>
      <c r="C100" s="109">
        <f>IFERROR(VLOOKUP($B100,MMWR_TRAD_AGG_STATE_PEN[],C$1,0),"ERROR")</f>
        <v>200</v>
      </c>
      <c r="D100" s="110">
        <f>IFERROR(VLOOKUP($B100,MMWR_TRAD_AGG_STATE_PEN[],D$1,0),"ERROR")</f>
        <v>64.53</v>
      </c>
      <c r="E100" s="111">
        <f>IFERROR(VLOOKUP($B100,MMWR_TRAD_AGG_STATE_PEN[],E$1,0),"ERROR")</f>
        <v>252</v>
      </c>
      <c r="F100" s="112">
        <f>IFERROR(VLOOKUP($B100,MMWR_TRAD_AGG_STATE_PEN[],F$1,0),"ERROR")</f>
        <v>23</v>
      </c>
      <c r="G100" s="113">
        <f t="shared" si="8"/>
        <v>9.1269841269841265E-2</v>
      </c>
      <c r="H100" s="111">
        <f>IFERROR(VLOOKUP($B100,MMWR_TRAD_AGG_STATE_PEN[],H$1,0),"ERROR")</f>
        <v>286</v>
      </c>
      <c r="I100" s="112">
        <f>IFERROR(VLOOKUP($B100,MMWR_TRAD_AGG_STATE_PEN[],I$1,0),"ERROR")</f>
        <v>30</v>
      </c>
      <c r="J100" s="114">
        <f t="shared" si="9"/>
        <v>0.1048951048951049</v>
      </c>
      <c r="K100" s="111">
        <f>IFERROR(VLOOKUP($B100,MMWR_TRAD_AGG_STATE_PEN[],K$1,0),"ERROR")</f>
        <v>4</v>
      </c>
      <c r="L100" s="112">
        <f>IFERROR(VLOOKUP($B100,MMWR_TRAD_AGG_STATE_PEN[],L$1,0),"ERROR")</f>
        <v>4</v>
      </c>
      <c r="M100" s="114">
        <f t="shared" si="10"/>
        <v>1</v>
      </c>
      <c r="N100" s="111">
        <f>IFERROR(VLOOKUP($B100,MMWR_TRAD_AGG_STATE_PEN[],N$1,0),"ERROR")</f>
        <v>31</v>
      </c>
      <c r="O100" s="112">
        <f>IFERROR(VLOOKUP($B100,MMWR_TRAD_AGG_STATE_PEN[],O$1,0),"ERROR")</f>
        <v>10</v>
      </c>
      <c r="P100" s="114">
        <f t="shared" si="11"/>
        <v>0.32258064516129031</v>
      </c>
      <c r="Q100" s="115">
        <f>IFERROR(VLOOKUP($B100,MMWR_TRAD_AGG_STATE_PEN[],Q$1,0),"ERROR")</f>
        <v>81</v>
      </c>
      <c r="R100" s="115">
        <f>IFERROR(VLOOKUP($B100,MMWR_TRAD_AGG_STATE_PEN[],R$1,0),"ERROR")</f>
        <v>44</v>
      </c>
      <c r="S100" s="115">
        <f>IFERROR(VLOOKUP($B100,MMWR_APP_STATE_PEN[],S$1,0),"ERROR")</f>
        <v>145</v>
      </c>
      <c r="T100" s="28"/>
    </row>
    <row r="101" spans="1:20" s="123" customFormat="1" x14ac:dyDescent="0.2">
      <c r="A101" s="28"/>
      <c r="B101" s="127" t="s">
        <v>402</v>
      </c>
      <c r="C101" s="109">
        <f>IFERROR(VLOOKUP($B101,MMWR_TRAD_AGG_STATE_PEN[],C$1,0),"ERROR")</f>
        <v>142</v>
      </c>
      <c r="D101" s="110">
        <f>IFERROR(VLOOKUP($B101,MMWR_TRAD_AGG_STATE_PEN[],D$1,0),"ERROR")</f>
        <v>68.718309859200005</v>
      </c>
      <c r="E101" s="111">
        <f>IFERROR(VLOOKUP($B101,MMWR_TRAD_AGG_STATE_PEN[],E$1,0),"ERROR")</f>
        <v>240</v>
      </c>
      <c r="F101" s="112">
        <f>IFERROR(VLOOKUP($B101,MMWR_TRAD_AGG_STATE_PEN[],F$1,0),"ERROR")</f>
        <v>7</v>
      </c>
      <c r="G101" s="113">
        <f t="shared" ref="G101:G127" si="12">IFERROR(F101/E101,"0%")</f>
        <v>2.9166666666666667E-2</v>
      </c>
      <c r="H101" s="111">
        <f>IFERROR(VLOOKUP($B101,MMWR_TRAD_AGG_STATE_PEN[],H$1,0),"ERROR")</f>
        <v>323</v>
      </c>
      <c r="I101" s="112">
        <f>IFERROR(VLOOKUP($B101,MMWR_TRAD_AGG_STATE_PEN[],I$1,0),"ERROR")</f>
        <v>37</v>
      </c>
      <c r="J101" s="114">
        <f t="shared" ref="J101:J127" si="13">IFERROR(I101/H101,"0%")</f>
        <v>0.11455108359133127</v>
      </c>
      <c r="K101" s="111">
        <f>IFERROR(VLOOKUP($B101,MMWR_TRAD_AGG_STATE_PEN[],K$1,0),"ERROR")</f>
        <v>4</v>
      </c>
      <c r="L101" s="112">
        <f>IFERROR(VLOOKUP($B101,MMWR_TRAD_AGG_STATE_PEN[],L$1,0),"ERROR")</f>
        <v>3</v>
      </c>
      <c r="M101" s="114">
        <f t="shared" ref="M101:M127" si="14">IFERROR(L101/K101,"0%")</f>
        <v>0.75</v>
      </c>
      <c r="N101" s="111">
        <f>IFERROR(VLOOKUP($B101,MMWR_TRAD_AGG_STATE_PEN[],N$1,0),"ERROR")</f>
        <v>13</v>
      </c>
      <c r="O101" s="112">
        <f>IFERROR(VLOOKUP($B101,MMWR_TRAD_AGG_STATE_PEN[],O$1,0),"ERROR")</f>
        <v>9</v>
      </c>
      <c r="P101" s="114">
        <f t="shared" ref="P101:P127" si="15">IFERROR(O101/N101,"0%")</f>
        <v>0.69230769230769229</v>
      </c>
      <c r="Q101" s="115">
        <f>IFERROR(VLOOKUP($B101,MMWR_TRAD_AGG_STATE_PEN[],Q$1,0),"ERROR")</f>
        <v>410</v>
      </c>
      <c r="R101" s="115">
        <f>IFERROR(VLOOKUP($B101,MMWR_TRAD_AGG_STATE_PEN[],R$1,0),"ERROR")</f>
        <v>89</v>
      </c>
      <c r="S101" s="115">
        <f>IFERROR(VLOOKUP($B101,MMWR_APP_STATE_PEN[],S$1,0),"ERROR")</f>
        <v>58</v>
      </c>
      <c r="T101" s="28"/>
    </row>
    <row r="102" spans="1:20" s="123" customFormat="1" x14ac:dyDescent="0.2">
      <c r="A102" s="28"/>
      <c r="B102" s="127" t="s">
        <v>386</v>
      </c>
      <c r="C102" s="109">
        <f>IFERROR(VLOOKUP($B102,MMWR_TRAD_AGG_STATE_PEN[],C$1,0),"ERROR")</f>
        <v>321</v>
      </c>
      <c r="D102" s="110">
        <f>IFERROR(VLOOKUP($B102,MMWR_TRAD_AGG_STATE_PEN[],D$1,0),"ERROR")</f>
        <v>67.355140186900002</v>
      </c>
      <c r="E102" s="111">
        <f>IFERROR(VLOOKUP($B102,MMWR_TRAD_AGG_STATE_PEN[],E$1,0),"ERROR")</f>
        <v>481</v>
      </c>
      <c r="F102" s="112">
        <f>IFERROR(VLOOKUP($B102,MMWR_TRAD_AGG_STATE_PEN[],F$1,0),"ERROR")</f>
        <v>55</v>
      </c>
      <c r="G102" s="113">
        <f t="shared" si="12"/>
        <v>0.11434511434511435</v>
      </c>
      <c r="H102" s="111">
        <f>IFERROR(VLOOKUP($B102,MMWR_TRAD_AGG_STATE_PEN[],H$1,0),"ERROR")</f>
        <v>463</v>
      </c>
      <c r="I102" s="112">
        <f>IFERROR(VLOOKUP($B102,MMWR_TRAD_AGG_STATE_PEN[],I$1,0),"ERROR")</f>
        <v>42</v>
      </c>
      <c r="J102" s="114">
        <f t="shared" si="13"/>
        <v>9.0712742980561561E-2</v>
      </c>
      <c r="K102" s="111">
        <f>IFERROR(VLOOKUP($B102,MMWR_TRAD_AGG_STATE_PEN[],K$1,0),"ERROR")</f>
        <v>2</v>
      </c>
      <c r="L102" s="112">
        <f>IFERROR(VLOOKUP($B102,MMWR_TRAD_AGG_STATE_PEN[],L$1,0),"ERROR")</f>
        <v>2</v>
      </c>
      <c r="M102" s="114">
        <f t="shared" si="14"/>
        <v>1</v>
      </c>
      <c r="N102" s="111">
        <f>IFERROR(VLOOKUP($B102,MMWR_TRAD_AGG_STATE_PEN[],N$1,0),"ERROR")</f>
        <v>41</v>
      </c>
      <c r="O102" s="112">
        <f>IFERROR(VLOOKUP($B102,MMWR_TRAD_AGG_STATE_PEN[],O$1,0),"ERROR")</f>
        <v>12</v>
      </c>
      <c r="P102" s="114">
        <f t="shared" si="15"/>
        <v>0.29268292682926828</v>
      </c>
      <c r="Q102" s="115">
        <f>IFERROR(VLOOKUP($B102,MMWR_TRAD_AGG_STATE_PEN[],Q$1,0),"ERROR")</f>
        <v>99</v>
      </c>
      <c r="R102" s="115">
        <f>IFERROR(VLOOKUP($B102,MMWR_TRAD_AGG_STATE_PEN[],R$1,0),"ERROR")</f>
        <v>82</v>
      </c>
      <c r="S102" s="115">
        <f>IFERROR(VLOOKUP($B102,MMWR_APP_STATE_PEN[],S$1,0),"ERROR")</f>
        <v>156</v>
      </c>
      <c r="T102" s="28"/>
    </row>
    <row r="103" spans="1:20" s="123" customFormat="1" x14ac:dyDescent="0.2">
      <c r="A103" s="28"/>
      <c r="B103" s="127" t="s">
        <v>388</v>
      </c>
      <c r="C103" s="109">
        <f>IFERROR(VLOOKUP($B103,MMWR_TRAD_AGG_STATE_PEN[],C$1,0),"ERROR")</f>
        <v>186</v>
      </c>
      <c r="D103" s="110">
        <f>IFERROR(VLOOKUP($B103,MMWR_TRAD_AGG_STATE_PEN[],D$1,0),"ERROR")</f>
        <v>63.403225806499997</v>
      </c>
      <c r="E103" s="111">
        <f>IFERROR(VLOOKUP($B103,MMWR_TRAD_AGG_STATE_PEN[],E$1,0),"ERROR")</f>
        <v>301</v>
      </c>
      <c r="F103" s="112">
        <f>IFERROR(VLOOKUP($B103,MMWR_TRAD_AGG_STATE_PEN[],F$1,0),"ERROR")</f>
        <v>30</v>
      </c>
      <c r="G103" s="113">
        <f t="shared" si="12"/>
        <v>9.9667774086378738E-2</v>
      </c>
      <c r="H103" s="111">
        <f>IFERROR(VLOOKUP($B103,MMWR_TRAD_AGG_STATE_PEN[],H$1,0),"ERROR")</f>
        <v>313</v>
      </c>
      <c r="I103" s="112">
        <f>IFERROR(VLOOKUP($B103,MMWR_TRAD_AGG_STATE_PEN[],I$1,0),"ERROR")</f>
        <v>42</v>
      </c>
      <c r="J103" s="114">
        <f t="shared" si="13"/>
        <v>0.13418530351437699</v>
      </c>
      <c r="K103" s="111">
        <f>IFERROR(VLOOKUP($B103,MMWR_TRAD_AGG_STATE_PEN[],K$1,0),"ERROR")</f>
        <v>4</v>
      </c>
      <c r="L103" s="112">
        <f>IFERROR(VLOOKUP($B103,MMWR_TRAD_AGG_STATE_PEN[],L$1,0),"ERROR")</f>
        <v>4</v>
      </c>
      <c r="M103" s="114">
        <f t="shared" si="14"/>
        <v>1</v>
      </c>
      <c r="N103" s="111">
        <f>IFERROR(VLOOKUP($B103,MMWR_TRAD_AGG_STATE_PEN[],N$1,0),"ERROR")</f>
        <v>25</v>
      </c>
      <c r="O103" s="112">
        <f>IFERROR(VLOOKUP($B103,MMWR_TRAD_AGG_STATE_PEN[],O$1,0),"ERROR")</f>
        <v>3</v>
      </c>
      <c r="P103" s="114">
        <f t="shared" si="15"/>
        <v>0.12</v>
      </c>
      <c r="Q103" s="115">
        <f>IFERROR(VLOOKUP($B103,MMWR_TRAD_AGG_STATE_PEN[],Q$1,0),"ERROR")</f>
        <v>77</v>
      </c>
      <c r="R103" s="115">
        <f>IFERROR(VLOOKUP($B103,MMWR_TRAD_AGG_STATE_PEN[],R$1,0),"ERROR")</f>
        <v>29</v>
      </c>
      <c r="S103" s="115">
        <f>IFERROR(VLOOKUP($B103,MMWR_APP_STATE_PEN[],S$1,0),"ERROR")</f>
        <v>143</v>
      </c>
      <c r="T103" s="28"/>
    </row>
    <row r="104" spans="1:20" s="123" customFormat="1" x14ac:dyDescent="0.2">
      <c r="A104" s="28"/>
      <c r="B104" s="127" t="s">
        <v>417</v>
      </c>
      <c r="C104" s="109">
        <f>IFERROR(VLOOKUP($B104,MMWR_TRAD_AGG_STATE_PEN[],C$1,0),"ERROR")</f>
        <v>34</v>
      </c>
      <c r="D104" s="110">
        <f>IFERROR(VLOOKUP($B104,MMWR_TRAD_AGG_STATE_PEN[],D$1,0),"ERROR")</f>
        <v>79.294117647099995</v>
      </c>
      <c r="E104" s="111">
        <f>IFERROR(VLOOKUP($B104,MMWR_TRAD_AGG_STATE_PEN[],E$1,0),"ERROR")</f>
        <v>65</v>
      </c>
      <c r="F104" s="112">
        <f>IFERROR(VLOOKUP($B104,MMWR_TRAD_AGG_STATE_PEN[],F$1,0),"ERROR")</f>
        <v>5</v>
      </c>
      <c r="G104" s="113">
        <f t="shared" si="12"/>
        <v>7.6923076923076927E-2</v>
      </c>
      <c r="H104" s="111">
        <f>IFERROR(VLOOKUP($B104,MMWR_TRAD_AGG_STATE_PEN[],H$1,0),"ERROR")</f>
        <v>72</v>
      </c>
      <c r="I104" s="112">
        <f>IFERROR(VLOOKUP($B104,MMWR_TRAD_AGG_STATE_PEN[],I$1,0),"ERROR")</f>
        <v>9</v>
      </c>
      <c r="J104" s="114">
        <f t="shared" si="13"/>
        <v>0.125</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118</v>
      </c>
      <c r="R104" s="115">
        <f>IFERROR(VLOOKUP($B104,MMWR_TRAD_AGG_STATE_PEN[],R$1,0),"ERROR")</f>
        <v>23</v>
      </c>
      <c r="S104" s="115">
        <f>IFERROR(VLOOKUP($B104,MMWR_APP_STATE_PEN[],S$1,0),"ERROR")</f>
        <v>4</v>
      </c>
      <c r="T104" s="28"/>
    </row>
    <row r="105" spans="1:20" s="123" customFormat="1" x14ac:dyDescent="0.2">
      <c r="A105" s="28"/>
      <c r="B105" s="127" t="s">
        <v>411</v>
      </c>
      <c r="C105" s="109">
        <f>IFERROR(VLOOKUP($B105,MMWR_TRAD_AGG_STATE_PEN[],C$1,0),"ERROR")</f>
        <v>195</v>
      </c>
      <c r="D105" s="110">
        <f>IFERROR(VLOOKUP($B105,MMWR_TRAD_AGG_STATE_PEN[],D$1,0),"ERROR")</f>
        <v>60.507692307699998</v>
      </c>
      <c r="E105" s="111">
        <f>IFERROR(VLOOKUP($B105,MMWR_TRAD_AGG_STATE_PEN[],E$1,0),"ERROR")</f>
        <v>259</v>
      </c>
      <c r="F105" s="112">
        <f>IFERROR(VLOOKUP($B105,MMWR_TRAD_AGG_STATE_PEN[],F$1,0),"ERROR")</f>
        <v>12</v>
      </c>
      <c r="G105" s="113">
        <f t="shared" si="12"/>
        <v>4.633204633204633E-2</v>
      </c>
      <c r="H105" s="111">
        <f>IFERROR(VLOOKUP($B105,MMWR_TRAD_AGG_STATE_PEN[],H$1,0),"ERROR")</f>
        <v>309</v>
      </c>
      <c r="I105" s="112">
        <f>IFERROR(VLOOKUP($B105,MMWR_TRAD_AGG_STATE_PEN[],I$1,0),"ERROR")</f>
        <v>26</v>
      </c>
      <c r="J105" s="114">
        <f t="shared" si="13"/>
        <v>8.4142394822006472E-2</v>
      </c>
      <c r="K105" s="111">
        <f>IFERROR(VLOOKUP($B105,MMWR_TRAD_AGG_STATE_PEN[],K$1,0),"ERROR")</f>
        <v>1</v>
      </c>
      <c r="L105" s="112">
        <f>IFERROR(VLOOKUP($B105,MMWR_TRAD_AGG_STATE_PEN[],L$1,0),"ERROR")</f>
        <v>1</v>
      </c>
      <c r="M105" s="114">
        <f t="shared" si="14"/>
        <v>1</v>
      </c>
      <c r="N105" s="111">
        <f>IFERROR(VLOOKUP($B105,MMWR_TRAD_AGG_STATE_PEN[],N$1,0),"ERROR")</f>
        <v>27</v>
      </c>
      <c r="O105" s="112">
        <f>IFERROR(VLOOKUP($B105,MMWR_TRAD_AGG_STATE_PEN[],O$1,0),"ERROR")</f>
        <v>13</v>
      </c>
      <c r="P105" s="114">
        <f t="shared" si="15"/>
        <v>0.48148148148148145</v>
      </c>
      <c r="Q105" s="115">
        <f>IFERROR(VLOOKUP($B105,MMWR_TRAD_AGG_STATE_PEN[],Q$1,0),"ERROR")</f>
        <v>626</v>
      </c>
      <c r="R105" s="115">
        <f>IFERROR(VLOOKUP($B105,MMWR_TRAD_AGG_STATE_PEN[],R$1,0),"ERROR")</f>
        <v>75</v>
      </c>
      <c r="S105" s="115">
        <f>IFERROR(VLOOKUP($B105,MMWR_APP_STATE_PEN[],S$1,0),"ERROR")</f>
        <v>72</v>
      </c>
      <c r="T105" s="28"/>
    </row>
    <row r="106" spans="1:20" s="123" customFormat="1" x14ac:dyDescent="0.2">
      <c r="A106" s="28"/>
      <c r="B106" s="127" t="s">
        <v>409</v>
      </c>
      <c r="C106" s="109">
        <f>IFERROR(VLOOKUP($B106,MMWR_TRAD_AGG_STATE_PEN[],C$1,0),"ERROR")</f>
        <v>954</v>
      </c>
      <c r="D106" s="110">
        <f>IFERROR(VLOOKUP($B106,MMWR_TRAD_AGG_STATE_PEN[],D$1,0),"ERROR")</f>
        <v>68.480083857400004</v>
      </c>
      <c r="E106" s="111">
        <f>IFERROR(VLOOKUP($B106,MMWR_TRAD_AGG_STATE_PEN[],E$1,0),"ERROR")</f>
        <v>1330</v>
      </c>
      <c r="F106" s="112">
        <f>IFERROR(VLOOKUP($B106,MMWR_TRAD_AGG_STATE_PEN[],F$1,0),"ERROR")</f>
        <v>55</v>
      </c>
      <c r="G106" s="113">
        <f t="shared" si="12"/>
        <v>4.1353383458646614E-2</v>
      </c>
      <c r="H106" s="111">
        <f>IFERROR(VLOOKUP($B106,MMWR_TRAD_AGG_STATE_PEN[],H$1,0),"ERROR")</f>
        <v>1649</v>
      </c>
      <c r="I106" s="112">
        <f>IFERROR(VLOOKUP($B106,MMWR_TRAD_AGG_STATE_PEN[],I$1,0),"ERROR")</f>
        <v>146</v>
      </c>
      <c r="J106" s="114">
        <f t="shared" si="13"/>
        <v>8.8538508186779871E-2</v>
      </c>
      <c r="K106" s="111">
        <f>IFERROR(VLOOKUP($B106,MMWR_TRAD_AGG_STATE_PEN[],K$1,0),"ERROR")</f>
        <v>7</v>
      </c>
      <c r="L106" s="112">
        <f>IFERROR(VLOOKUP($B106,MMWR_TRAD_AGG_STATE_PEN[],L$1,0),"ERROR")</f>
        <v>6</v>
      </c>
      <c r="M106" s="114">
        <f t="shared" si="14"/>
        <v>0.8571428571428571</v>
      </c>
      <c r="N106" s="111">
        <f>IFERROR(VLOOKUP($B106,MMWR_TRAD_AGG_STATE_PEN[],N$1,0),"ERROR")</f>
        <v>85</v>
      </c>
      <c r="O106" s="112">
        <f>IFERROR(VLOOKUP($B106,MMWR_TRAD_AGG_STATE_PEN[],O$1,0),"ERROR")</f>
        <v>38</v>
      </c>
      <c r="P106" s="114">
        <f t="shared" si="15"/>
        <v>0.44705882352941179</v>
      </c>
      <c r="Q106" s="115">
        <f>IFERROR(VLOOKUP($B106,MMWR_TRAD_AGG_STATE_PEN[],Q$1,0),"ERROR")</f>
        <v>1567</v>
      </c>
      <c r="R106" s="115">
        <f>IFERROR(VLOOKUP($B106,MMWR_TRAD_AGG_STATE_PEN[],R$1,0),"ERROR")</f>
        <v>539</v>
      </c>
      <c r="S106" s="115">
        <f>IFERROR(VLOOKUP($B106,MMWR_APP_STATE_PEN[],S$1,0),"ERROR")</f>
        <v>265</v>
      </c>
      <c r="T106" s="28"/>
    </row>
    <row r="107" spans="1:20" s="123" customFormat="1" x14ac:dyDescent="0.2">
      <c r="A107" s="28"/>
      <c r="B107" s="127" t="s">
        <v>405</v>
      </c>
      <c r="C107" s="109">
        <f>IFERROR(VLOOKUP($B107,MMWR_TRAD_AGG_STATE_PEN[],C$1,0),"ERROR")</f>
        <v>74</v>
      </c>
      <c r="D107" s="110">
        <f>IFERROR(VLOOKUP($B107,MMWR_TRAD_AGG_STATE_PEN[],D$1,0),"ERROR")</f>
        <v>63.432432432399999</v>
      </c>
      <c r="E107" s="111">
        <f>IFERROR(VLOOKUP($B107,MMWR_TRAD_AGG_STATE_PEN[],E$1,0),"ERROR")</f>
        <v>149</v>
      </c>
      <c r="F107" s="112">
        <f>IFERROR(VLOOKUP($B107,MMWR_TRAD_AGG_STATE_PEN[],F$1,0),"ERROR")</f>
        <v>5</v>
      </c>
      <c r="G107" s="113">
        <f t="shared" si="12"/>
        <v>3.3557046979865772E-2</v>
      </c>
      <c r="H107" s="111">
        <f>IFERROR(VLOOKUP($B107,MMWR_TRAD_AGG_STATE_PEN[],H$1,0),"ERROR")</f>
        <v>132</v>
      </c>
      <c r="I107" s="112">
        <f>IFERROR(VLOOKUP($B107,MMWR_TRAD_AGG_STATE_PEN[],I$1,0),"ERROR")</f>
        <v>12</v>
      </c>
      <c r="J107" s="114">
        <f t="shared" si="13"/>
        <v>9.0909090909090912E-2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0</v>
      </c>
      <c r="P107" s="114">
        <f t="shared" si="15"/>
        <v>0</v>
      </c>
      <c r="Q107" s="115">
        <f>IFERROR(VLOOKUP($B107,MMWR_TRAD_AGG_STATE_PEN[],Q$1,0),"ERROR")</f>
        <v>171</v>
      </c>
      <c r="R107" s="115">
        <f>IFERROR(VLOOKUP($B107,MMWR_TRAD_AGG_STATE_PEN[],R$1,0),"ERROR")</f>
        <v>31</v>
      </c>
      <c r="S107" s="115">
        <f>IFERROR(VLOOKUP($B107,MMWR_APP_STATE_PEN[],S$1,0),"ERROR")</f>
        <v>16</v>
      </c>
      <c r="T107" s="28"/>
    </row>
    <row r="108" spans="1:20" s="123" customFormat="1" x14ac:dyDescent="0.2">
      <c r="A108" s="28"/>
      <c r="B108" s="127" t="s">
        <v>420</v>
      </c>
      <c r="C108" s="109">
        <f>IFERROR(VLOOKUP($B108,MMWR_TRAD_AGG_STATE_PEN[],C$1,0),"ERROR")</f>
        <v>13</v>
      </c>
      <c r="D108" s="110">
        <f>IFERROR(VLOOKUP($B108,MMWR_TRAD_AGG_STATE_PEN[],D$1,0),"ERROR")</f>
        <v>47.615384615399996</v>
      </c>
      <c r="E108" s="111">
        <f>IFERROR(VLOOKUP($B108,MMWR_TRAD_AGG_STATE_PEN[],E$1,0),"ERROR")</f>
        <v>25</v>
      </c>
      <c r="F108" s="112">
        <f>IFERROR(VLOOKUP($B108,MMWR_TRAD_AGG_STATE_PEN[],F$1,0),"ERROR")</f>
        <v>1</v>
      </c>
      <c r="G108" s="113">
        <f t="shared" si="12"/>
        <v>0.04</v>
      </c>
      <c r="H108" s="111">
        <f>IFERROR(VLOOKUP($B108,MMWR_TRAD_AGG_STATE_PEN[],H$1,0),"ERROR")</f>
        <v>27</v>
      </c>
      <c r="I108" s="112">
        <f>IFERROR(VLOOKUP($B108,MMWR_TRAD_AGG_STATE_PEN[],I$1,0),"ERROR")</f>
        <v>4</v>
      </c>
      <c r="J108" s="114">
        <f t="shared" si="13"/>
        <v>0.14814814814814814</v>
      </c>
      <c r="K108" s="111">
        <f>IFERROR(VLOOKUP($B108,MMWR_TRAD_AGG_STATE_PEN[],K$1,0),"ERROR")</f>
        <v>0</v>
      </c>
      <c r="L108" s="112">
        <f>IFERROR(VLOOKUP($B108,MMWR_TRAD_AGG_STATE_PEN[],L$1,0),"ERROR")</f>
        <v>0</v>
      </c>
      <c r="M108" s="114" t="str">
        <f t="shared" si="14"/>
        <v>0%</v>
      </c>
      <c r="N108" s="111">
        <f>IFERROR(VLOOKUP($B108,MMWR_TRAD_AGG_STATE_PEN[],N$1,0),"ERROR")</f>
        <v>3</v>
      </c>
      <c r="O108" s="112">
        <f>IFERROR(VLOOKUP($B108,MMWR_TRAD_AGG_STATE_PEN[],O$1,0),"ERROR")</f>
        <v>0</v>
      </c>
      <c r="P108" s="114">
        <f t="shared" si="15"/>
        <v>0</v>
      </c>
      <c r="Q108" s="115">
        <f>IFERROR(VLOOKUP($B108,MMWR_TRAD_AGG_STATE_PEN[],Q$1,0),"ERROR")</f>
        <v>64</v>
      </c>
      <c r="R108" s="115">
        <f>IFERROR(VLOOKUP($B108,MMWR_TRAD_AGG_STATE_PEN[],R$1,0),"ERROR")</f>
        <v>7</v>
      </c>
      <c r="S108" s="115">
        <f>IFERROR(VLOOKUP($B108,MMWR_APP_STATE_PEN[],S$1,0),"ERROR")</f>
        <v>3</v>
      </c>
      <c r="T108" s="28"/>
    </row>
    <row r="109" spans="1:20" s="123" customFormat="1" x14ac:dyDescent="0.2">
      <c r="A109" s="28"/>
      <c r="B109" s="126" t="s">
        <v>403</v>
      </c>
      <c r="C109" s="102">
        <f>IFERROR(VLOOKUP($B109,MMWR_TRAD_AGG_ST_DISTRICT_PEN[],C$1,0),"ERROR")</f>
        <v>1900</v>
      </c>
      <c r="D109" s="103">
        <f>IFERROR(VLOOKUP($B109,MMWR_TRAD_AGG_ST_DISTRICT_PEN[],D$1,0),"ERROR")</f>
        <v>66.751578947400006</v>
      </c>
      <c r="E109" s="102">
        <f>IFERROR(VLOOKUP($B109,MMWR_TRAD_AGG_ST_DISTRICT_PEN[],E$1,0),"ERROR")</f>
        <v>3041</v>
      </c>
      <c r="F109" s="102">
        <f>IFERROR(VLOOKUP($B109,MMWR_TRAD_AGG_ST_DISTRICT_PEN[],F$1,0),"ERROR")</f>
        <v>153</v>
      </c>
      <c r="G109" s="104">
        <f t="shared" si="12"/>
        <v>5.0312397237750738E-2</v>
      </c>
      <c r="H109" s="102">
        <f>IFERROR(VLOOKUP($B109,MMWR_TRAD_AGG_ST_DISTRICT_PEN[],H$1,0),"ERROR")</f>
        <v>3500</v>
      </c>
      <c r="I109" s="102">
        <f>IFERROR(VLOOKUP($B109,MMWR_TRAD_AGG_ST_DISTRICT_PEN[],I$1,0),"ERROR")</f>
        <v>448</v>
      </c>
      <c r="J109" s="104">
        <f t="shared" si="13"/>
        <v>0.128</v>
      </c>
      <c r="K109" s="102">
        <f>IFERROR(VLOOKUP($B109,MMWR_TRAD_AGG_ST_DISTRICT_PEN[],K$1,0),"ERROR")</f>
        <v>13</v>
      </c>
      <c r="L109" s="102">
        <f>IFERROR(VLOOKUP($B109,MMWR_TRAD_AGG_ST_DISTRICT_PEN[],L$1,0),"ERROR")</f>
        <v>11</v>
      </c>
      <c r="M109" s="104">
        <f t="shared" si="14"/>
        <v>0.84615384615384615</v>
      </c>
      <c r="N109" s="102">
        <f>IFERROR(VLOOKUP($B109,MMWR_TRAD_AGG_ST_DISTRICT_PEN[],N$1,0),"ERROR")</f>
        <v>202</v>
      </c>
      <c r="O109" s="102">
        <f>IFERROR(VLOOKUP($B109,MMWR_TRAD_AGG_ST_DISTRICT_PEN[],O$1,0),"ERROR")</f>
        <v>86</v>
      </c>
      <c r="P109" s="104">
        <f t="shared" si="15"/>
        <v>0.42574257425742573</v>
      </c>
      <c r="Q109" s="102">
        <f>IFERROR(VLOOKUP($B109,MMWR_TRAD_AGG_ST_DISTRICT_PEN[],Q$1,0),"ERROR")</f>
        <v>3636</v>
      </c>
      <c r="R109" s="106">
        <f>IFERROR(VLOOKUP($B109,MMWR_TRAD_AGG_ST_DISTRICT_PEN[],R$1,0),"ERROR")</f>
        <v>1008</v>
      </c>
      <c r="S109" s="106">
        <f>IFERROR(VLOOKUP($B109,MMWR_APP_STATE_PEN[],S$1,0),"ERROR")</f>
        <v>462</v>
      </c>
      <c r="T109" s="28"/>
    </row>
    <row r="110" spans="1:20" s="123" customFormat="1" x14ac:dyDescent="0.2">
      <c r="A110" s="28"/>
      <c r="B110" s="127" t="s">
        <v>423</v>
      </c>
      <c r="C110" s="109">
        <f>IFERROR(VLOOKUP($B110,MMWR_TRAD_AGG_STATE_PEN[],C$1,0),"ERROR")</f>
        <v>13</v>
      </c>
      <c r="D110" s="110">
        <f>IFERROR(VLOOKUP($B110,MMWR_TRAD_AGG_STATE_PEN[],D$1,0),"ERROR")</f>
        <v>62.461538461499998</v>
      </c>
      <c r="E110" s="111">
        <f>IFERROR(VLOOKUP($B110,MMWR_TRAD_AGG_STATE_PEN[],E$1,0),"ERROR")</f>
        <v>8</v>
      </c>
      <c r="F110" s="112">
        <f>IFERROR(VLOOKUP($B110,MMWR_TRAD_AGG_STATE_PEN[],F$1,0),"ERROR")</f>
        <v>0</v>
      </c>
      <c r="G110" s="113">
        <f t="shared" si="12"/>
        <v>0</v>
      </c>
      <c r="H110" s="111">
        <f>IFERROR(VLOOKUP($B110,MMWR_TRAD_AGG_STATE_PEN[],H$1,0),"ERROR")</f>
        <v>26</v>
      </c>
      <c r="I110" s="112">
        <f>IFERROR(VLOOKUP($B110,MMWR_TRAD_AGG_STATE_PEN[],I$1,0),"ERROR")</f>
        <v>2</v>
      </c>
      <c r="J110" s="114">
        <f t="shared" si="13"/>
        <v>7.6923076923076927E-2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35</v>
      </c>
      <c r="R110" s="115">
        <f>IFERROR(VLOOKUP($B110,MMWR_TRAD_AGG_STATE_PEN[],R$1,0),"ERROR")</f>
        <v>12</v>
      </c>
      <c r="S110" s="115">
        <f>IFERROR(VLOOKUP($B110,MMWR_APP_STATE_PEN[],S$1,0),"ERROR")</f>
        <v>2</v>
      </c>
      <c r="T110" s="28"/>
    </row>
    <row r="111" spans="1:20" s="123" customFormat="1" x14ac:dyDescent="0.2">
      <c r="A111" s="28"/>
      <c r="B111" s="127" t="s">
        <v>425</v>
      </c>
      <c r="C111" s="109">
        <f>IFERROR(VLOOKUP($B111,MMWR_TRAD_AGG_STATE_PEN[],C$1,0),"ERROR")</f>
        <v>228</v>
      </c>
      <c r="D111" s="110">
        <f>IFERROR(VLOOKUP($B111,MMWR_TRAD_AGG_STATE_PEN[],D$1,0),"ERROR")</f>
        <v>65.7938596491</v>
      </c>
      <c r="E111" s="111">
        <f>IFERROR(VLOOKUP($B111,MMWR_TRAD_AGG_STATE_PEN[],E$1,0),"ERROR")</f>
        <v>404</v>
      </c>
      <c r="F111" s="112">
        <f>IFERROR(VLOOKUP($B111,MMWR_TRAD_AGG_STATE_PEN[],F$1,0),"ERROR")</f>
        <v>27</v>
      </c>
      <c r="G111" s="113">
        <f t="shared" si="12"/>
        <v>6.6831683168316836E-2</v>
      </c>
      <c r="H111" s="111">
        <f>IFERROR(VLOOKUP($B111,MMWR_TRAD_AGG_STATE_PEN[],H$1,0),"ERROR")</f>
        <v>405</v>
      </c>
      <c r="I111" s="112">
        <f>IFERROR(VLOOKUP($B111,MMWR_TRAD_AGG_STATE_PEN[],I$1,0),"ERROR")</f>
        <v>42</v>
      </c>
      <c r="J111" s="114">
        <f t="shared" si="13"/>
        <v>0.1037037037037037</v>
      </c>
      <c r="K111" s="111">
        <f>IFERROR(VLOOKUP($B111,MMWR_TRAD_AGG_STATE_PEN[],K$1,0),"ERROR")</f>
        <v>0</v>
      </c>
      <c r="L111" s="112">
        <f>IFERROR(VLOOKUP($B111,MMWR_TRAD_AGG_STATE_PEN[],L$1,0),"ERROR")</f>
        <v>0</v>
      </c>
      <c r="M111" s="114" t="str">
        <f t="shared" si="14"/>
        <v>0%</v>
      </c>
      <c r="N111" s="111">
        <f>IFERROR(VLOOKUP($B111,MMWR_TRAD_AGG_STATE_PEN[],N$1,0),"ERROR")</f>
        <v>22</v>
      </c>
      <c r="O111" s="112">
        <f>IFERROR(VLOOKUP($B111,MMWR_TRAD_AGG_STATE_PEN[],O$1,0),"ERROR")</f>
        <v>10</v>
      </c>
      <c r="P111" s="114">
        <f t="shared" si="15"/>
        <v>0.45454545454545453</v>
      </c>
      <c r="Q111" s="115">
        <f>IFERROR(VLOOKUP($B111,MMWR_TRAD_AGG_STATE_PEN[],Q$1,0),"ERROR")</f>
        <v>430</v>
      </c>
      <c r="R111" s="115">
        <f>IFERROR(VLOOKUP($B111,MMWR_TRAD_AGG_STATE_PEN[],R$1,0),"ERROR")</f>
        <v>134</v>
      </c>
      <c r="S111" s="115">
        <f>IFERROR(VLOOKUP($B111,MMWR_APP_STATE_PEN[],S$1,0),"ERROR")</f>
        <v>56</v>
      </c>
      <c r="T111" s="28"/>
    </row>
    <row r="112" spans="1:20" s="123" customFormat="1" x14ac:dyDescent="0.2">
      <c r="A112" s="28"/>
      <c r="B112" s="127" t="s">
        <v>406</v>
      </c>
      <c r="C112" s="109">
        <f>IFERROR(VLOOKUP($B112,MMWR_TRAD_AGG_STATE_PEN[],C$1,0),"ERROR")</f>
        <v>1056</v>
      </c>
      <c r="D112" s="110">
        <f>IFERROR(VLOOKUP($B112,MMWR_TRAD_AGG_STATE_PEN[],D$1,0),"ERROR")</f>
        <v>67.934659090899999</v>
      </c>
      <c r="E112" s="111">
        <f>IFERROR(VLOOKUP($B112,MMWR_TRAD_AGG_STATE_PEN[],E$1,0),"ERROR")</f>
        <v>1677</v>
      </c>
      <c r="F112" s="112">
        <f>IFERROR(VLOOKUP($B112,MMWR_TRAD_AGG_STATE_PEN[],F$1,0),"ERROR")</f>
        <v>84</v>
      </c>
      <c r="G112" s="113">
        <f t="shared" si="12"/>
        <v>5.008944543828265E-2</v>
      </c>
      <c r="H112" s="111">
        <f>IFERROR(VLOOKUP($B112,MMWR_TRAD_AGG_STATE_PEN[],H$1,0),"ERROR")</f>
        <v>1874</v>
      </c>
      <c r="I112" s="112">
        <f>IFERROR(VLOOKUP($B112,MMWR_TRAD_AGG_STATE_PEN[],I$1,0),"ERROR")</f>
        <v>239</v>
      </c>
      <c r="J112" s="114">
        <f t="shared" si="13"/>
        <v>0.12753468516542155</v>
      </c>
      <c r="K112" s="111">
        <f>IFERROR(VLOOKUP($B112,MMWR_TRAD_AGG_STATE_PEN[],K$1,0),"ERROR")</f>
        <v>10</v>
      </c>
      <c r="L112" s="112">
        <f>IFERROR(VLOOKUP($B112,MMWR_TRAD_AGG_STATE_PEN[],L$1,0),"ERROR")</f>
        <v>8</v>
      </c>
      <c r="M112" s="114">
        <f t="shared" si="14"/>
        <v>0.8</v>
      </c>
      <c r="N112" s="111">
        <f>IFERROR(VLOOKUP($B112,MMWR_TRAD_AGG_STATE_PEN[],N$1,0),"ERROR")</f>
        <v>114</v>
      </c>
      <c r="O112" s="112">
        <f>IFERROR(VLOOKUP($B112,MMWR_TRAD_AGG_STATE_PEN[],O$1,0),"ERROR")</f>
        <v>50</v>
      </c>
      <c r="P112" s="114">
        <f t="shared" si="15"/>
        <v>0.43859649122807015</v>
      </c>
      <c r="Q112" s="115">
        <f>IFERROR(VLOOKUP($B112,MMWR_TRAD_AGG_STATE_PEN[],Q$1,0),"ERROR")</f>
        <v>1615</v>
      </c>
      <c r="R112" s="115">
        <f>IFERROR(VLOOKUP($B112,MMWR_TRAD_AGG_STATE_PEN[],R$1,0),"ERROR")</f>
        <v>522</v>
      </c>
      <c r="S112" s="115">
        <f>IFERROR(VLOOKUP($B112,MMWR_APP_STATE_PEN[],S$1,0),"ERROR")</f>
        <v>257</v>
      </c>
      <c r="T112" s="28"/>
    </row>
    <row r="113" spans="1:20" s="123" customFormat="1" x14ac:dyDescent="0.2">
      <c r="A113" s="28"/>
      <c r="B113" s="127" t="s">
        <v>427</v>
      </c>
      <c r="C113" s="109">
        <f>IFERROR(VLOOKUP($B113,MMWR_TRAD_AGG_STATE_PEN[],C$1,0),"ERROR")</f>
        <v>25</v>
      </c>
      <c r="D113" s="110">
        <f>IFERROR(VLOOKUP($B113,MMWR_TRAD_AGG_STATE_PEN[],D$1,0),"ERROR")</f>
        <v>58</v>
      </c>
      <c r="E113" s="111">
        <f>IFERROR(VLOOKUP($B113,MMWR_TRAD_AGG_STATE_PEN[],E$1,0),"ERROR")</f>
        <v>23</v>
      </c>
      <c r="F113" s="112">
        <f>IFERROR(VLOOKUP($B113,MMWR_TRAD_AGG_STATE_PEN[],F$1,0),"ERROR")</f>
        <v>1</v>
      </c>
      <c r="G113" s="113">
        <f t="shared" si="12"/>
        <v>4.3478260869565216E-2</v>
      </c>
      <c r="H113" s="111">
        <f>IFERROR(VLOOKUP($B113,MMWR_TRAD_AGG_STATE_PEN[],H$1,0),"ERROR")</f>
        <v>50</v>
      </c>
      <c r="I113" s="112">
        <f>IFERROR(VLOOKUP($B113,MMWR_TRAD_AGG_STATE_PEN[],I$1,0),"ERROR")</f>
        <v>5</v>
      </c>
      <c r="J113" s="114">
        <f t="shared" si="13"/>
        <v>0.1</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1</v>
      </c>
      <c r="P113" s="114">
        <f t="shared" si="15"/>
        <v>1</v>
      </c>
      <c r="Q113" s="115">
        <f>IFERROR(VLOOKUP($B113,MMWR_TRAD_AGG_STATE_PEN[],Q$1,0),"ERROR")</f>
        <v>93</v>
      </c>
      <c r="R113" s="115">
        <f>IFERROR(VLOOKUP($B113,MMWR_TRAD_AGG_STATE_PEN[],R$1,0),"ERROR")</f>
        <v>13</v>
      </c>
      <c r="S113" s="115">
        <f>IFERROR(VLOOKUP($B113,MMWR_APP_STATE_PEN[],S$1,0),"ERROR")</f>
        <v>8</v>
      </c>
      <c r="T113" s="28"/>
    </row>
    <row r="114" spans="1:20" s="123" customFormat="1" x14ac:dyDescent="0.2">
      <c r="A114" s="28"/>
      <c r="B114" s="127" t="s">
        <v>407</v>
      </c>
      <c r="C114" s="109">
        <f>IFERROR(VLOOKUP($B114,MMWR_TRAD_AGG_STATE_PEN[],C$1,0),"ERROR")</f>
        <v>66</v>
      </c>
      <c r="D114" s="110">
        <f>IFERROR(VLOOKUP($B114,MMWR_TRAD_AGG_STATE_PEN[],D$1,0),"ERROR")</f>
        <v>73.954545454500007</v>
      </c>
      <c r="E114" s="111">
        <f>IFERROR(VLOOKUP($B114,MMWR_TRAD_AGG_STATE_PEN[],E$1,0),"ERROR")</f>
        <v>94</v>
      </c>
      <c r="F114" s="112">
        <f>IFERROR(VLOOKUP($B114,MMWR_TRAD_AGG_STATE_PEN[],F$1,0),"ERROR")</f>
        <v>5</v>
      </c>
      <c r="G114" s="113">
        <f t="shared" si="12"/>
        <v>5.3191489361702128E-2</v>
      </c>
      <c r="H114" s="111">
        <f>IFERROR(VLOOKUP($B114,MMWR_TRAD_AGG_STATE_PEN[],H$1,0),"ERROR")</f>
        <v>114</v>
      </c>
      <c r="I114" s="112">
        <f>IFERROR(VLOOKUP($B114,MMWR_TRAD_AGG_STATE_PEN[],I$1,0),"ERROR")</f>
        <v>16</v>
      </c>
      <c r="J114" s="114">
        <f t="shared" si="13"/>
        <v>0.14035087719298245</v>
      </c>
      <c r="K114" s="111">
        <f>IFERROR(VLOOKUP($B114,MMWR_TRAD_AGG_STATE_PEN[],K$1,0),"ERROR")</f>
        <v>1</v>
      </c>
      <c r="L114" s="112">
        <f>IFERROR(VLOOKUP($B114,MMWR_TRAD_AGG_STATE_PEN[],L$1,0),"ERROR")</f>
        <v>1</v>
      </c>
      <c r="M114" s="114">
        <f t="shared" si="14"/>
        <v>1</v>
      </c>
      <c r="N114" s="111">
        <f>IFERROR(VLOOKUP($B114,MMWR_TRAD_AGG_STATE_PEN[],N$1,0),"ERROR")</f>
        <v>7</v>
      </c>
      <c r="O114" s="112">
        <f>IFERROR(VLOOKUP($B114,MMWR_TRAD_AGG_STATE_PEN[],O$1,0),"ERROR")</f>
        <v>0</v>
      </c>
      <c r="P114" s="114">
        <f t="shared" si="15"/>
        <v>0</v>
      </c>
      <c r="Q114" s="115">
        <f>IFERROR(VLOOKUP($B114,MMWR_TRAD_AGG_STATE_PEN[],Q$1,0),"ERROR")</f>
        <v>121</v>
      </c>
      <c r="R114" s="115">
        <f>IFERROR(VLOOKUP($B114,MMWR_TRAD_AGG_STATE_PEN[],R$1,0),"ERROR")</f>
        <v>25</v>
      </c>
      <c r="S114" s="115">
        <f>IFERROR(VLOOKUP($B114,MMWR_APP_STATE_PEN[],S$1,0),"ERROR")</f>
        <v>7</v>
      </c>
      <c r="T114" s="28"/>
    </row>
    <row r="115" spans="1:20" s="123" customFormat="1" x14ac:dyDescent="0.2">
      <c r="A115" s="28"/>
      <c r="B115" s="127" t="s">
        <v>412</v>
      </c>
      <c r="C115" s="109">
        <f>IFERROR(VLOOKUP($B115,MMWR_TRAD_AGG_STATE_PEN[],C$1,0),"ERROR")</f>
        <v>104</v>
      </c>
      <c r="D115" s="110">
        <f>IFERROR(VLOOKUP($B115,MMWR_TRAD_AGG_STATE_PEN[],D$1,0),"ERROR")</f>
        <v>65.153846153800004</v>
      </c>
      <c r="E115" s="111">
        <f>IFERROR(VLOOKUP($B115,MMWR_TRAD_AGG_STATE_PEN[],E$1,0),"ERROR")</f>
        <v>120</v>
      </c>
      <c r="F115" s="112">
        <f>IFERROR(VLOOKUP($B115,MMWR_TRAD_AGG_STATE_PEN[],F$1,0),"ERROR")</f>
        <v>4</v>
      </c>
      <c r="G115" s="113">
        <f t="shared" si="12"/>
        <v>3.3333333333333333E-2</v>
      </c>
      <c r="H115" s="111">
        <f>IFERROR(VLOOKUP($B115,MMWR_TRAD_AGG_STATE_PEN[],H$1,0),"ERROR")</f>
        <v>189</v>
      </c>
      <c r="I115" s="112">
        <f>IFERROR(VLOOKUP($B115,MMWR_TRAD_AGG_STATE_PEN[],I$1,0),"ERROR")</f>
        <v>26</v>
      </c>
      <c r="J115" s="114">
        <f t="shared" si="13"/>
        <v>0.13756613756613756</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4</v>
      </c>
      <c r="P115" s="114">
        <f t="shared" si="15"/>
        <v>0.5</v>
      </c>
      <c r="Q115" s="115">
        <f>IFERROR(VLOOKUP($B115,MMWR_TRAD_AGG_STATE_PEN[],Q$1,0),"ERROR")</f>
        <v>188</v>
      </c>
      <c r="R115" s="115">
        <f>IFERROR(VLOOKUP($B115,MMWR_TRAD_AGG_STATE_PEN[],R$1,0),"ERROR")</f>
        <v>44</v>
      </c>
      <c r="S115" s="115">
        <f>IFERROR(VLOOKUP($B115,MMWR_APP_STATE_PEN[],S$1,0),"ERROR")</f>
        <v>29</v>
      </c>
      <c r="T115" s="28"/>
    </row>
    <row r="116" spans="1:20" s="123" customFormat="1" x14ac:dyDescent="0.2">
      <c r="A116" s="28"/>
      <c r="B116" s="127" t="s">
        <v>404</v>
      </c>
      <c r="C116" s="109">
        <f>IFERROR(VLOOKUP($B116,MMWR_TRAD_AGG_STATE_PEN[],C$1,0),"ERROR")</f>
        <v>73</v>
      </c>
      <c r="D116" s="110">
        <f>IFERROR(VLOOKUP($B116,MMWR_TRAD_AGG_STATE_PEN[],D$1,0),"ERROR")</f>
        <v>52.0684931507</v>
      </c>
      <c r="E116" s="111">
        <f>IFERROR(VLOOKUP($B116,MMWR_TRAD_AGG_STATE_PEN[],E$1,0),"ERROR")</f>
        <v>124</v>
      </c>
      <c r="F116" s="112">
        <f>IFERROR(VLOOKUP($B116,MMWR_TRAD_AGG_STATE_PEN[],F$1,0),"ERROR")</f>
        <v>5</v>
      </c>
      <c r="G116" s="113">
        <f t="shared" si="12"/>
        <v>4.0322580645161289E-2</v>
      </c>
      <c r="H116" s="111">
        <f>IFERROR(VLOOKUP($B116,MMWR_TRAD_AGG_STATE_PEN[],H$1,0),"ERROR")</f>
        <v>159</v>
      </c>
      <c r="I116" s="112">
        <f>IFERROR(VLOOKUP($B116,MMWR_TRAD_AGG_STATE_PEN[],I$1,0),"ERROR")</f>
        <v>15</v>
      </c>
      <c r="J116" s="114">
        <f t="shared" si="13"/>
        <v>9.4339622641509441E-2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3</v>
      </c>
      <c r="P116" s="114">
        <f t="shared" si="15"/>
        <v>0.5</v>
      </c>
      <c r="Q116" s="115">
        <f>IFERROR(VLOOKUP($B116,MMWR_TRAD_AGG_STATE_PEN[],Q$1,0),"ERROR")</f>
        <v>283</v>
      </c>
      <c r="R116" s="115">
        <f>IFERROR(VLOOKUP($B116,MMWR_TRAD_AGG_STATE_PEN[],R$1,0),"ERROR")</f>
        <v>37</v>
      </c>
      <c r="S116" s="115">
        <f>IFERROR(VLOOKUP($B116,MMWR_APP_STATE_PEN[],S$1,0),"ERROR")</f>
        <v>16</v>
      </c>
      <c r="T116" s="28"/>
    </row>
    <row r="117" spans="1:20" s="123" customFormat="1" x14ac:dyDescent="0.2">
      <c r="A117" s="28"/>
      <c r="B117" s="127" t="s">
        <v>408</v>
      </c>
      <c r="C117" s="109">
        <f>IFERROR(VLOOKUP($B117,MMWR_TRAD_AGG_STATE_PEN[],C$1,0),"ERROR")</f>
        <v>159</v>
      </c>
      <c r="D117" s="110">
        <f>IFERROR(VLOOKUP($B117,MMWR_TRAD_AGG_STATE_PEN[],D$1,0),"ERROR")</f>
        <v>64.383647798699997</v>
      </c>
      <c r="E117" s="111">
        <f>IFERROR(VLOOKUP($B117,MMWR_TRAD_AGG_STATE_PEN[],E$1,0),"ERROR")</f>
        <v>238</v>
      </c>
      <c r="F117" s="112">
        <f>IFERROR(VLOOKUP($B117,MMWR_TRAD_AGG_STATE_PEN[],F$1,0),"ERROR")</f>
        <v>9</v>
      </c>
      <c r="G117" s="113">
        <f t="shared" si="12"/>
        <v>3.7815126050420166E-2</v>
      </c>
      <c r="H117" s="111">
        <f>IFERROR(VLOOKUP($B117,MMWR_TRAD_AGG_STATE_PEN[],H$1,0),"ERROR")</f>
        <v>282</v>
      </c>
      <c r="I117" s="112">
        <f>IFERROR(VLOOKUP($B117,MMWR_TRAD_AGG_STATE_PEN[],I$1,0),"ERROR")</f>
        <v>37</v>
      </c>
      <c r="J117" s="114">
        <f t="shared" si="13"/>
        <v>0.13120567375886524</v>
      </c>
      <c r="K117" s="111">
        <f>IFERROR(VLOOKUP($B117,MMWR_TRAD_AGG_STATE_PEN[],K$1,0),"ERROR")</f>
        <v>1</v>
      </c>
      <c r="L117" s="112">
        <f>IFERROR(VLOOKUP($B117,MMWR_TRAD_AGG_STATE_PEN[],L$1,0),"ERROR")</f>
        <v>1</v>
      </c>
      <c r="M117" s="114">
        <f t="shared" si="14"/>
        <v>1</v>
      </c>
      <c r="N117" s="111">
        <f>IFERROR(VLOOKUP($B117,MMWR_TRAD_AGG_STATE_PEN[],N$1,0),"ERROR")</f>
        <v>18</v>
      </c>
      <c r="O117" s="112">
        <f>IFERROR(VLOOKUP($B117,MMWR_TRAD_AGG_STATE_PEN[],O$1,0),"ERROR")</f>
        <v>8</v>
      </c>
      <c r="P117" s="114">
        <f t="shared" si="15"/>
        <v>0.44444444444444442</v>
      </c>
      <c r="Q117" s="115">
        <f>IFERROR(VLOOKUP($B117,MMWR_TRAD_AGG_STATE_PEN[],Q$1,0),"ERROR")</f>
        <v>358</v>
      </c>
      <c r="R117" s="115">
        <f>IFERROR(VLOOKUP($B117,MMWR_TRAD_AGG_STATE_PEN[],R$1,0),"ERROR")</f>
        <v>89</v>
      </c>
      <c r="S117" s="115">
        <f>IFERROR(VLOOKUP($B117,MMWR_APP_STATE_PEN[],S$1,0),"ERROR")</f>
        <v>36</v>
      </c>
      <c r="T117" s="28"/>
    </row>
    <row r="118" spans="1:20" s="123" customFormat="1" x14ac:dyDescent="0.2">
      <c r="A118" s="28"/>
      <c r="B118" s="127" t="s">
        <v>80</v>
      </c>
      <c r="C118" s="109">
        <f>IFERROR(VLOOKUP($B118,MMWR_TRAD_AGG_STATE_PEN[],C$1,0),"ERROR")</f>
        <v>176</v>
      </c>
      <c r="D118" s="110">
        <f>IFERROR(VLOOKUP($B118,MMWR_TRAD_AGG_STATE_PEN[],D$1,0),"ERROR")</f>
        <v>68.926136363599994</v>
      </c>
      <c r="E118" s="111">
        <f>IFERROR(VLOOKUP($B118,MMWR_TRAD_AGG_STATE_PEN[],E$1,0),"ERROR")</f>
        <v>353</v>
      </c>
      <c r="F118" s="112">
        <f>IFERROR(VLOOKUP($B118,MMWR_TRAD_AGG_STATE_PEN[],F$1,0),"ERROR")</f>
        <v>18</v>
      </c>
      <c r="G118" s="113">
        <f t="shared" si="12"/>
        <v>5.0991501416430593E-2</v>
      </c>
      <c r="H118" s="111">
        <f>IFERROR(VLOOKUP($B118,MMWR_TRAD_AGG_STATE_PEN[],H$1,0),"ERROR")</f>
        <v>401</v>
      </c>
      <c r="I118" s="112">
        <f>IFERROR(VLOOKUP($B118,MMWR_TRAD_AGG_STATE_PEN[],I$1,0),"ERROR")</f>
        <v>66</v>
      </c>
      <c r="J118" s="114">
        <f t="shared" si="13"/>
        <v>0.16458852867830423</v>
      </c>
      <c r="K118" s="111">
        <f>IFERROR(VLOOKUP($B118,MMWR_TRAD_AGG_STATE_PEN[],K$1,0),"ERROR")</f>
        <v>0</v>
      </c>
      <c r="L118" s="112">
        <f>IFERROR(VLOOKUP($B118,MMWR_TRAD_AGG_STATE_PEN[],L$1,0),"ERROR")</f>
        <v>0</v>
      </c>
      <c r="M118" s="114" t="str">
        <f t="shared" si="14"/>
        <v>0%</v>
      </c>
      <c r="N118" s="111">
        <f>IFERROR(VLOOKUP($B118,MMWR_TRAD_AGG_STATE_PEN[],N$1,0),"ERROR")</f>
        <v>24</v>
      </c>
      <c r="O118" s="112">
        <f>IFERROR(VLOOKUP($B118,MMWR_TRAD_AGG_STATE_PEN[],O$1,0),"ERROR")</f>
        <v>9</v>
      </c>
      <c r="P118" s="114">
        <f t="shared" si="15"/>
        <v>0.375</v>
      </c>
      <c r="Q118" s="115">
        <f>IFERROR(VLOOKUP($B118,MMWR_TRAD_AGG_STATE_PEN[],Q$1,0),"ERROR")</f>
        <v>513</v>
      </c>
      <c r="R118" s="115">
        <f>IFERROR(VLOOKUP($B118,MMWR_TRAD_AGG_STATE_PEN[],R$1,0),"ERROR")</f>
        <v>132</v>
      </c>
      <c r="S118" s="115">
        <f>IFERROR(VLOOKUP($B118,MMWR_APP_STATE_PEN[],S$1,0),"ERROR")</f>
        <v>51</v>
      </c>
      <c r="T118" s="28"/>
    </row>
    <row r="119" spans="1:20" s="123" customFormat="1" x14ac:dyDescent="0.2">
      <c r="A119" s="28"/>
      <c r="B119" s="126" t="s">
        <v>379</v>
      </c>
      <c r="C119" s="102">
        <f>IFERROR(VLOOKUP($B119,MMWR_TRAD_AGG_ST_DISTRICT_PEN[],C$1,0),"ERROR")</f>
        <v>7488</v>
      </c>
      <c r="D119" s="103">
        <f>IFERROR(VLOOKUP($B119,MMWR_TRAD_AGG_ST_DISTRICT_PEN[],D$1,0),"ERROR")</f>
        <v>100.7601495726</v>
      </c>
      <c r="E119" s="102">
        <f>IFERROR(VLOOKUP($B119,MMWR_TRAD_AGG_ST_DISTRICT_PEN[],E$1,0),"ERROR")</f>
        <v>8241</v>
      </c>
      <c r="F119" s="102">
        <f>IFERROR(VLOOKUP($B119,MMWR_TRAD_AGG_ST_DISTRICT_PEN[],F$1,0),"ERROR")</f>
        <v>1202</v>
      </c>
      <c r="G119" s="104">
        <f t="shared" si="12"/>
        <v>0.14585608542652589</v>
      </c>
      <c r="H119" s="102">
        <f>IFERROR(VLOOKUP($B119,MMWR_TRAD_AGG_ST_DISTRICT_PEN[],H$1,0),"ERROR")</f>
        <v>10043</v>
      </c>
      <c r="I119" s="102">
        <f>IFERROR(VLOOKUP($B119,MMWR_TRAD_AGG_ST_DISTRICT_PEN[],I$1,0),"ERROR")</f>
        <v>3064</v>
      </c>
      <c r="J119" s="104">
        <f t="shared" si="13"/>
        <v>0.30508812107935873</v>
      </c>
      <c r="K119" s="102">
        <f>IFERROR(VLOOKUP($B119,MMWR_TRAD_AGG_ST_DISTRICT_PEN[],K$1,0),"ERROR")</f>
        <v>27</v>
      </c>
      <c r="L119" s="102">
        <f>IFERROR(VLOOKUP($B119,MMWR_TRAD_AGG_ST_DISTRICT_PEN[],L$1,0),"ERROR")</f>
        <v>24</v>
      </c>
      <c r="M119" s="104">
        <f t="shared" si="14"/>
        <v>0.88888888888888884</v>
      </c>
      <c r="N119" s="102">
        <f>IFERROR(VLOOKUP($B119,MMWR_TRAD_AGG_ST_DISTRICT_PEN[],N$1,0),"ERROR")</f>
        <v>467</v>
      </c>
      <c r="O119" s="102">
        <f>IFERROR(VLOOKUP($B119,MMWR_TRAD_AGG_ST_DISTRICT_PEN[],O$1,0),"ERROR")</f>
        <v>143</v>
      </c>
      <c r="P119" s="104">
        <f t="shared" si="15"/>
        <v>0.30620985010706636</v>
      </c>
      <c r="Q119" s="102">
        <f>IFERROR(VLOOKUP($B119,MMWR_TRAD_AGG_ST_DISTRICT_PEN[],Q$1,0),"ERROR")</f>
        <v>1235</v>
      </c>
      <c r="R119" s="106">
        <f>IFERROR(VLOOKUP($B119,MMWR_TRAD_AGG_ST_DISTRICT_PEN[],R$1,0),"ERROR")</f>
        <v>1524</v>
      </c>
      <c r="S119" s="106">
        <f>IFERROR(VLOOKUP($B119,MMWR_APP_STATE_PEN[],S$1,0),"ERROR")</f>
        <v>1332</v>
      </c>
      <c r="T119" s="28"/>
    </row>
    <row r="120" spans="1:20" s="123" customFormat="1" x14ac:dyDescent="0.2">
      <c r="A120" s="28"/>
      <c r="B120" s="127" t="s">
        <v>387</v>
      </c>
      <c r="C120" s="109">
        <f>IFERROR(VLOOKUP($B120,MMWR_TRAD_AGG_STATE_PEN[],C$1,0),"ERROR")</f>
        <v>550</v>
      </c>
      <c r="D120" s="110">
        <f>IFERROR(VLOOKUP($B120,MMWR_TRAD_AGG_STATE_PEN[],D$1,0),"ERROR")</f>
        <v>58.921818181799999</v>
      </c>
      <c r="E120" s="111">
        <f>IFERROR(VLOOKUP($B120,MMWR_TRAD_AGG_STATE_PEN[],E$1,0),"ERROR")</f>
        <v>805</v>
      </c>
      <c r="F120" s="112">
        <f>IFERROR(VLOOKUP($B120,MMWR_TRAD_AGG_STATE_PEN[],F$1,0),"ERROR")</f>
        <v>81</v>
      </c>
      <c r="G120" s="113">
        <f t="shared" si="12"/>
        <v>0.10062111801242236</v>
      </c>
      <c r="H120" s="111">
        <f>IFERROR(VLOOKUP($B120,MMWR_TRAD_AGG_STATE_PEN[],H$1,0),"ERROR")</f>
        <v>821</v>
      </c>
      <c r="I120" s="112">
        <f>IFERROR(VLOOKUP($B120,MMWR_TRAD_AGG_STATE_PEN[],I$1,0),"ERROR")</f>
        <v>75</v>
      </c>
      <c r="J120" s="114">
        <f t="shared" si="13"/>
        <v>9.1352009744214369E-2</v>
      </c>
      <c r="K120" s="111">
        <f>IFERROR(VLOOKUP($B120,MMWR_TRAD_AGG_STATE_PEN[],K$1,0),"ERROR")</f>
        <v>3</v>
      </c>
      <c r="L120" s="112">
        <f>IFERROR(VLOOKUP($B120,MMWR_TRAD_AGG_STATE_PEN[],L$1,0),"ERROR")</f>
        <v>3</v>
      </c>
      <c r="M120" s="114">
        <f t="shared" si="14"/>
        <v>1</v>
      </c>
      <c r="N120" s="111">
        <f>IFERROR(VLOOKUP($B120,MMWR_TRAD_AGG_STATE_PEN[],N$1,0),"ERROR")</f>
        <v>42</v>
      </c>
      <c r="O120" s="112">
        <f>IFERROR(VLOOKUP($B120,MMWR_TRAD_AGG_STATE_PEN[],O$1,0),"ERROR")</f>
        <v>9</v>
      </c>
      <c r="P120" s="114">
        <f t="shared" si="15"/>
        <v>0.21428571428571427</v>
      </c>
      <c r="Q120" s="115">
        <f>IFERROR(VLOOKUP($B120,MMWR_TRAD_AGG_STATE_PEN[],Q$1,0),"ERROR")</f>
        <v>137</v>
      </c>
      <c r="R120" s="115">
        <f>IFERROR(VLOOKUP($B120,MMWR_TRAD_AGG_STATE_PEN[],R$1,0),"ERROR")</f>
        <v>115</v>
      </c>
      <c r="S120" s="115">
        <f>IFERROR(VLOOKUP($B120,MMWR_APP_STATE_PEN[],S$1,0),"ERROR")</f>
        <v>247</v>
      </c>
      <c r="T120" s="28"/>
    </row>
    <row r="121" spans="1:20" s="123" customFormat="1" x14ac:dyDescent="0.2">
      <c r="A121" s="28"/>
      <c r="B121" s="127" t="s">
        <v>424</v>
      </c>
      <c r="C121" s="109">
        <f>IFERROR(VLOOKUP($B121,MMWR_TRAD_AGG_STATE_PEN[],C$1,0),"ERROR")</f>
        <v>2620</v>
      </c>
      <c r="D121" s="110">
        <f>IFERROR(VLOOKUP($B121,MMWR_TRAD_AGG_STATE_PEN[],D$1,0),"ERROR")</f>
        <v>99.702290076300002</v>
      </c>
      <c r="E121" s="111">
        <f>IFERROR(VLOOKUP($B121,MMWR_TRAD_AGG_STATE_PEN[],E$1,0),"ERROR")</f>
        <v>3231</v>
      </c>
      <c r="F121" s="112">
        <f>IFERROR(VLOOKUP($B121,MMWR_TRAD_AGG_STATE_PEN[],F$1,0),"ERROR")</f>
        <v>488</v>
      </c>
      <c r="G121" s="113">
        <f t="shared" si="12"/>
        <v>0.15103683070256887</v>
      </c>
      <c r="H121" s="111">
        <f>IFERROR(VLOOKUP($B121,MMWR_TRAD_AGG_STATE_PEN[],H$1,0),"ERROR")</f>
        <v>3497</v>
      </c>
      <c r="I121" s="112">
        <f>IFERROR(VLOOKUP($B121,MMWR_TRAD_AGG_STATE_PEN[],I$1,0),"ERROR")</f>
        <v>1083</v>
      </c>
      <c r="J121" s="114">
        <f t="shared" si="13"/>
        <v>0.30969402344867031</v>
      </c>
      <c r="K121" s="111">
        <f>IFERROR(VLOOKUP($B121,MMWR_TRAD_AGG_STATE_PEN[],K$1,0),"ERROR")</f>
        <v>16</v>
      </c>
      <c r="L121" s="112">
        <f>IFERROR(VLOOKUP($B121,MMWR_TRAD_AGG_STATE_PEN[],L$1,0),"ERROR")</f>
        <v>15</v>
      </c>
      <c r="M121" s="114">
        <f t="shared" si="14"/>
        <v>0.9375</v>
      </c>
      <c r="N121" s="111">
        <f>IFERROR(VLOOKUP($B121,MMWR_TRAD_AGG_STATE_PEN[],N$1,0),"ERROR")</f>
        <v>140</v>
      </c>
      <c r="O121" s="112">
        <f>IFERROR(VLOOKUP($B121,MMWR_TRAD_AGG_STATE_PEN[],O$1,0),"ERROR")</f>
        <v>53</v>
      </c>
      <c r="P121" s="114">
        <f t="shared" si="15"/>
        <v>0.37857142857142856</v>
      </c>
      <c r="Q121" s="115">
        <f>IFERROR(VLOOKUP($B121,MMWR_TRAD_AGG_STATE_PEN[],Q$1,0),"ERROR")</f>
        <v>432</v>
      </c>
      <c r="R121" s="115">
        <f>IFERROR(VLOOKUP($B121,MMWR_TRAD_AGG_STATE_PEN[],R$1,0),"ERROR")</f>
        <v>550</v>
      </c>
      <c r="S121" s="115">
        <f>IFERROR(VLOOKUP($B121,MMWR_APP_STATE_PEN[],S$1,0),"ERROR")</f>
        <v>319</v>
      </c>
      <c r="T121" s="28"/>
    </row>
    <row r="122" spans="1:20" s="123" customFormat="1" x14ac:dyDescent="0.2">
      <c r="A122" s="28"/>
      <c r="B122" s="127" t="s">
        <v>380</v>
      </c>
      <c r="C122" s="109">
        <f>IFERROR(VLOOKUP($B122,MMWR_TRAD_AGG_STATE_PEN[],C$1,0),"ERROR")</f>
        <v>1221</v>
      </c>
      <c r="D122" s="110">
        <f>IFERROR(VLOOKUP($B122,MMWR_TRAD_AGG_STATE_PEN[],D$1,0),"ERROR")</f>
        <v>107.19410319409999</v>
      </c>
      <c r="E122" s="111">
        <f>IFERROR(VLOOKUP($B122,MMWR_TRAD_AGG_STATE_PEN[],E$1,0),"ERROR")</f>
        <v>1464</v>
      </c>
      <c r="F122" s="112">
        <f>IFERROR(VLOOKUP($B122,MMWR_TRAD_AGG_STATE_PEN[],F$1,0),"ERROR")</f>
        <v>236</v>
      </c>
      <c r="G122" s="113">
        <f t="shared" si="12"/>
        <v>0.16120218579234974</v>
      </c>
      <c r="H122" s="111">
        <f>IFERROR(VLOOKUP($B122,MMWR_TRAD_AGG_STATE_PEN[],H$1,0),"ERROR")</f>
        <v>1666</v>
      </c>
      <c r="I122" s="112">
        <f>IFERROR(VLOOKUP($B122,MMWR_TRAD_AGG_STATE_PEN[],I$1,0),"ERROR")</f>
        <v>592</v>
      </c>
      <c r="J122" s="114">
        <f t="shared" si="13"/>
        <v>0.35534213685474192</v>
      </c>
      <c r="K122" s="111">
        <f>IFERROR(VLOOKUP($B122,MMWR_TRAD_AGG_STATE_PEN[],K$1,0),"ERROR")</f>
        <v>2</v>
      </c>
      <c r="L122" s="112">
        <f>IFERROR(VLOOKUP($B122,MMWR_TRAD_AGG_STATE_PEN[],L$1,0),"ERROR")</f>
        <v>2</v>
      </c>
      <c r="M122" s="114">
        <f t="shared" si="14"/>
        <v>1</v>
      </c>
      <c r="N122" s="111">
        <f>IFERROR(VLOOKUP($B122,MMWR_TRAD_AGG_STATE_PEN[],N$1,0),"ERROR")</f>
        <v>93</v>
      </c>
      <c r="O122" s="112">
        <f>IFERROR(VLOOKUP($B122,MMWR_TRAD_AGG_STATE_PEN[],O$1,0),"ERROR")</f>
        <v>30</v>
      </c>
      <c r="P122" s="114">
        <f t="shared" si="15"/>
        <v>0.32258064516129031</v>
      </c>
      <c r="Q122" s="115">
        <f>IFERROR(VLOOKUP($B122,MMWR_TRAD_AGG_STATE_PEN[],Q$1,0),"ERROR")</f>
        <v>210</v>
      </c>
      <c r="R122" s="115">
        <f>IFERROR(VLOOKUP($B122,MMWR_TRAD_AGG_STATE_PEN[],R$1,0),"ERROR")</f>
        <v>380</v>
      </c>
      <c r="S122" s="115">
        <f>IFERROR(VLOOKUP($B122,MMWR_APP_STATE_PEN[],S$1,0),"ERROR")</f>
        <v>207</v>
      </c>
      <c r="T122" s="28"/>
    </row>
    <row r="123" spans="1:20" s="123" customFormat="1" x14ac:dyDescent="0.2">
      <c r="A123" s="28"/>
      <c r="B123" s="127" t="s">
        <v>392</v>
      </c>
      <c r="C123" s="109">
        <f>IFERROR(VLOOKUP($B123,MMWR_TRAD_AGG_STATE_PEN[],C$1,0),"ERROR")</f>
        <v>224</v>
      </c>
      <c r="D123" s="110">
        <f>IFERROR(VLOOKUP($B123,MMWR_TRAD_AGG_STATE_PEN[],D$1,0),"ERROR")</f>
        <v>65.540178571400006</v>
      </c>
      <c r="E123" s="111">
        <f>IFERROR(VLOOKUP($B123,MMWR_TRAD_AGG_STATE_PEN[],E$1,0),"ERROR")</f>
        <v>428</v>
      </c>
      <c r="F123" s="112">
        <f>IFERROR(VLOOKUP($B123,MMWR_TRAD_AGG_STATE_PEN[],F$1,0),"ERROR")</f>
        <v>55</v>
      </c>
      <c r="G123" s="113">
        <f t="shared" si="12"/>
        <v>0.12850467289719625</v>
      </c>
      <c r="H123" s="111">
        <f>IFERROR(VLOOKUP($B123,MMWR_TRAD_AGG_STATE_PEN[],H$1,0),"ERROR")</f>
        <v>406</v>
      </c>
      <c r="I123" s="112">
        <f>IFERROR(VLOOKUP($B123,MMWR_TRAD_AGG_STATE_PEN[],I$1,0),"ERROR")</f>
        <v>50</v>
      </c>
      <c r="J123" s="114">
        <f t="shared" si="13"/>
        <v>0.12315270935960591</v>
      </c>
      <c r="K123" s="111">
        <f>IFERROR(VLOOKUP($B123,MMWR_TRAD_AGG_STATE_PEN[],K$1,0),"ERROR")</f>
        <v>3</v>
      </c>
      <c r="L123" s="112">
        <f>IFERROR(VLOOKUP($B123,MMWR_TRAD_AGG_STATE_PEN[],L$1,0),"ERROR")</f>
        <v>1</v>
      </c>
      <c r="M123" s="114">
        <f t="shared" si="14"/>
        <v>0.33333333333333331</v>
      </c>
      <c r="N123" s="111">
        <f>IFERROR(VLOOKUP($B123,MMWR_TRAD_AGG_STATE_PEN[],N$1,0),"ERROR")</f>
        <v>51</v>
      </c>
      <c r="O123" s="112">
        <f>IFERROR(VLOOKUP($B123,MMWR_TRAD_AGG_STATE_PEN[],O$1,0),"ERROR")</f>
        <v>10</v>
      </c>
      <c r="P123" s="114">
        <f t="shared" si="15"/>
        <v>0.19607843137254902</v>
      </c>
      <c r="Q123" s="115">
        <f>IFERROR(VLOOKUP($B123,MMWR_TRAD_AGG_STATE_PEN[],Q$1,0),"ERROR")</f>
        <v>83</v>
      </c>
      <c r="R123" s="115">
        <f>IFERROR(VLOOKUP($B123,MMWR_TRAD_AGG_STATE_PEN[],R$1,0),"ERROR")</f>
        <v>71</v>
      </c>
      <c r="S123" s="115">
        <f>IFERROR(VLOOKUP($B123,MMWR_APP_STATE_PEN[],S$1,0),"ERROR")</f>
        <v>105</v>
      </c>
      <c r="T123" s="28"/>
    </row>
    <row r="124" spans="1:20" s="123" customFormat="1" x14ac:dyDescent="0.2">
      <c r="A124" s="28"/>
      <c r="B124" s="127" t="s">
        <v>426</v>
      </c>
      <c r="C124" s="109">
        <f>IFERROR(VLOOKUP($B124,MMWR_TRAD_AGG_STATE_PEN[],C$1,0),"ERROR")</f>
        <v>1558</v>
      </c>
      <c r="D124" s="110">
        <f>IFERROR(VLOOKUP($B124,MMWR_TRAD_AGG_STATE_PEN[],D$1,0),"ERROR")</f>
        <v>122.890885751</v>
      </c>
      <c r="E124" s="111">
        <f>IFERROR(VLOOKUP($B124,MMWR_TRAD_AGG_STATE_PEN[],E$1,0),"ERROR")</f>
        <v>648</v>
      </c>
      <c r="F124" s="112">
        <f>IFERROR(VLOOKUP($B124,MMWR_TRAD_AGG_STATE_PEN[],F$1,0),"ERROR")</f>
        <v>101</v>
      </c>
      <c r="G124" s="113">
        <f t="shared" si="12"/>
        <v>0.1558641975308642</v>
      </c>
      <c r="H124" s="111">
        <f>IFERROR(VLOOKUP($B124,MMWR_TRAD_AGG_STATE_PEN[],H$1,0),"ERROR")</f>
        <v>1835</v>
      </c>
      <c r="I124" s="112">
        <f>IFERROR(VLOOKUP($B124,MMWR_TRAD_AGG_STATE_PEN[],I$1,0),"ERROR")</f>
        <v>785</v>
      </c>
      <c r="J124" s="114">
        <f t="shared" si="13"/>
        <v>0.42779291553133514</v>
      </c>
      <c r="K124" s="111">
        <f>IFERROR(VLOOKUP($B124,MMWR_TRAD_AGG_STATE_PEN[],K$1,0),"ERROR")</f>
        <v>2</v>
      </c>
      <c r="L124" s="112">
        <f>IFERROR(VLOOKUP($B124,MMWR_TRAD_AGG_STATE_PEN[],L$1,0),"ERROR")</f>
        <v>2</v>
      </c>
      <c r="M124" s="114">
        <f t="shared" si="14"/>
        <v>1</v>
      </c>
      <c r="N124" s="111">
        <f>IFERROR(VLOOKUP($B124,MMWR_TRAD_AGG_STATE_PEN[],N$1,0),"ERROR")</f>
        <v>17</v>
      </c>
      <c r="O124" s="112">
        <f>IFERROR(VLOOKUP($B124,MMWR_TRAD_AGG_STATE_PEN[],O$1,0),"ERROR")</f>
        <v>9</v>
      </c>
      <c r="P124" s="114">
        <f t="shared" si="15"/>
        <v>0.52941176470588236</v>
      </c>
      <c r="Q124" s="115">
        <f>IFERROR(VLOOKUP($B124,MMWR_TRAD_AGG_STATE_PEN[],Q$1,0),"ERROR")</f>
        <v>76</v>
      </c>
      <c r="R124" s="115">
        <f>IFERROR(VLOOKUP($B124,MMWR_TRAD_AGG_STATE_PEN[],R$1,0),"ERROR")</f>
        <v>84</v>
      </c>
      <c r="S124" s="115">
        <f>IFERROR(VLOOKUP($B124,MMWR_APP_STATE_PEN[],S$1,0),"ERROR")</f>
        <v>81</v>
      </c>
      <c r="T124" s="28"/>
    </row>
    <row r="125" spans="1:20" s="123" customFormat="1" x14ac:dyDescent="0.2">
      <c r="A125" s="28"/>
      <c r="B125" s="127" t="s">
        <v>382</v>
      </c>
      <c r="C125" s="109">
        <f>IFERROR(VLOOKUP($B125,MMWR_TRAD_AGG_STATE_PEN[],C$1,0),"ERROR")</f>
        <v>913</v>
      </c>
      <c r="D125" s="110">
        <f>IFERROR(VLOOKUP($B125,MMWR_TRAD_AGG_STATE_PEN[],D$1,0),"ERROR")</f>
        <v>110.0536692223</v>
      </c>
      <c r="E125" s="111">
        <f>IFERROR(VLOOKUP($B125,MMWR_TRAD_AGG_STATE_PEN[],E$1,0),"ERROR")</f>
        <v>908</v>
      </c>
      <c r="F125" s="112">
        <f>IFERROR(VLOOKUP($B125,MMWR_TRAD_AGG_STATE_PEN[],F$1,0),"ERROR")</f>
        <v>150</v>
      </c>
      <c r="G125" s="113">
        <f t="shared" si="12"/>
        <v>0.16519823788546256</v>
      </c>
      <c r="H125" s="111">
        <f>IFERROR(VLOOKUP($B125,MMWR_TRAD_AGG_STATE_PEN[],H$1,0),"ERROR")</f>
        <v>1154</v>
      </c>
      <c r="I125" s="112">
        <f>IFERROR(VLOOKUP($B125,MMWR_TRAD_AGG_STATE_PEN[],I$1,0),"ERROR")</f>
        <v>409</v>
      </c>
      <c r="J125" s="114">
        <f t="shared" si="13"/>
        <v>0.35441941074523398</v>
      </c>
      <c r="K125" s="111">
        <f>IFERROR(VLOOKUP($B125,MMWR_TRAD_AGG_STATE_PEN[],K$1,0),"ERROR")</f>
        <v>0</v>
      </c>
      <c r="L125" s="112">
        <f>IFERROR(VLOOKUP($B125,MMWR_TRAD_AGG_STATE_PEN[],L$1,0),"ERROR")</f>
        <v>0</v>
      </c>
      <c r="M125" s="114" t="str">
        <f t="shared" si="14"/>
        <v>0%</v>
      </c>
      <c r="N125" s="111">
        <f>IFERROR(VLOOKUP($B125,MMWR_TRAD_AGG_STATE_PEN[],N$1,0),"ERROR")</f>
        <v>42</v>
      </c>
      <c r="O125" s="112">
        <f>IFERROR(VLOOKUP($B125,MMWR_TRAD_AGG_STATE_PEN[],O$1,0),"ERROR")</f>
        <v>9</v>
      </c>
      <c r="P125" s="114">
        <f t="shared" si="15"/>
        <v>0.21428571428571427</v>
      </c>
      <c r="Q125" s="115">
        <f>IFERROR(VLOOKUP($B125,MMWR_TRAD_AGG_STATE_PEN[],Q$1,0),"ERROR")</f>
        <v>146</v>
      </c>
      <c r="R125" s="115">
        <f>IFERROR(VLOOKUP($B125,MMWR_TRAD_AGG_STATE_PEN[],R$1,0),"ERROR")</f>
        <v>222</v>
      </c>
      <c r="S125" s="115">
        <f>IFERROR(VLOOKUP($B125,MMWR_APP_STATE_PEN[],S$1,0),"ERROR")</f>
        <v>132</v>
      </c>
      <c r="T125" s="28"/>
    </row>
    <row r="126" spans="1:20" s="123" customFormat="1" x14ac:dyDescent="0.2">
      <c r="A126" s="28"/>
      <c r="B126" s="127" t="s">
        <v>383</v>
      </c>
      <c r="C126" s="109">
        <f>IFERROR(VLOOKUP($B126,MMWR_TRAD_AGG_STATE_PEN[],C$1,0),"ERROR")</f>
        <v>402</v>
      </c>
      <c r="D126" s="110">
        <f>IFERROR(VLOOKUP($B126,MMWR_TRAD_AGG_STATE_PEN[],D$1,0),"ERROR")</f>
        <v>58.101990049800001</v>
      </c>
      <c r="E126" s="111">
        <f>IFERROR(VLOOKUP($B126,MMWR_TRAD_AGG_STATE_PEN[],E$1,0),"ERROR")</f>
        <v>757</v>
      </c>
      <c r="F126" s="112">
        <f>IFERROR(VLOOKUP($B126,MMWR_TRAD_AGG_STATE_PEN[],F$1,0),"ERROR")</f>
        <v>91</v>
      </c>
      <c r="G126" s="113">
        <f t="shared" si="12"/>
        <v>0.1202113606340819</v>
      </c>
      <c r="H126" s="111">
        <f>IFERROR(VLOOKUP($B126,MMWR_TRAD_AGG_STATE_PEN[],H$1,0),"ERROR")</f>
        <v>664</v>
      </c>
      <c r="I126" s="112">
        <f>IFERROR(VLOOKUP($B126,MMWR_TRAD_AGG_STATE_PEN[],I$1,0),"ERROR")</f>
        <v>70</v>
      </c>
      <c r="J126" s="114">
        <f t="shared" si="13"/>
        <v>0.10542168674698796</v>
      </c>
      <c r="K126" s="111">
        <f>IFERROR(VLOOKUP($B126,MMWR_TRAD_AGG_STATE_PEN[],K$1,0),"ERROR")</f>
        <v>1</v>
      </c>
      <c r="L126" s="112">
        <f>IFERROR(VLOOKUP($B126,MMWR_TRAD_AGG_STATE_PEN[],L$1,0),"ERROR")</f>
        <v>1</v>
      </c>
      <c r="M126" s="114">
        <f t="shared" si="14"/>
        <v>1</v>
      </c>
      <c r="N126" s="111">
        <f>IFERROR(VLOOKUP($B126,MMWR_TRAD_AGG_STATE_PEN[],N$1,0),"ERROR")</f>
        <v>82</v>
      </c>
      <c r="O126" s="112">
        <f>IFERROR(VLOOKUP($B126,MMWR_TRAD_AGG_STATE_PEN[],O$1,0),"ERROR")</f>
        <v>23</v>
      </c>
      <c r="P126" s="114">
        <f t="shared" si="15"/>
        <v>0.28048780487804881</v>
      </c>
      <c r="Q126" s="115">
        <f>IFERROR(VLOOKUP($B126,MMWR_TRAD_AGG_STATE_PEN[],Q$1,0),"ERROR")</f>
        <v>151</v>
      </c>
      <c r="R126" s="115">
        <f>IFERROR(VLOOKUP($B126,MMWR_TRAD_AGG_STATE_PEN[],R$1,0),"ERROR")</f>
        <v>102</v>
      </c>
      <c r="S126" s="115">
        <f>IFERROR(VLOOKUP($B126,MMWR_APP_STATE_PEN[],S$1,0),"ERROR")</f>
        <v>241</v>
      </c>
      <c r="T126" s="28"/>
    </row>
    <row r="127" spans="1:20" s="123" customFormat="1" x14ac:dyDescent="0.2">
      <c r="A127" s="28"/>
      <c r="B127" s="128" t="s">
        <v>8</v>
      </c>
      <c r="C127" s="102">
        <f>IFERROR(VLOOKUP($B127,MMWR_TRAD_AGG_ST_DISTRICT_PEN[],C$1,0),"ERROR")</f>
        <v>173</v>
      </c>
      <c r="D127" s="103">
        <f>IFERROR(VLOOKUP($B127,MMWR_TRAD_AGG_ST_DISTRICT_PEN[],D$1,0),"ERROR")</f>
        <v>99.121387283199994</v>
      </c>
      <c r="E127" s="102">
        <f>IFERROR(VLOOKUP($B127,MMWR_TRAD_AGG_ST_DISTRICT_PEN[],E$1,0),"ERROR")</f>
        <v>209</v>
      </c>
      <c r="F127" s="102">
        <f>IFERROR(VLOOKUP($B127,MMWR_TRAD_AGG_ST_DISTRICT_PEN[],F$1,0),"ERROR")</f>
        <v>94</v>
      </c>
      <c r="G127" s="104">
        <f t="shared" si="12"/>
        <v>0.44976076555023925</v>
      </c>
      <c r="H127" s="102">
        <f>IFERROR(VLOOKUP($B127,MMWR_TRAD_AGG_ST_DISTRICT_PEN[],H$1,0),"ERROR")</f>
        <v>364</v>
      </c>
      <c r="I127" s="102">
        <f>IFERROR(VLOOKUP($B127,MMWR_TRAD_AGG_ST_DISTRICT_PEN[],I$1,0),"ERROR")</f>
        <v>208</v>
      </c>
      <c r="J127" s="104">
        <f t="shared" si="13"/>
        <v>0.5714285714285714</v>
      </c>
      <c r="K127" s="102">
        <f>IFERROR(VLOOKUP($B127,MMWR_TRAD_AGG_ST_DISTRICT_PEN[],K$1,0),"ERROR")</f>
        <v>7</v>
      </c>
      <c r="L127" s="102">
        <f>IFERROR(VLOOKUP($B127,MMWR_TRAD_AGG_ST_DISTRICT_PEN[],L$1,0),"ERROR")</f>
        <v>6</v>
      </c>
      <c r="M127" s="104">
        <f t="shared" si="14"/>
        <v>0.8571428571428571</v>
      </c>
      <c r="N127" s="102">
        <f>IFERROR(VLOOKUP($B127,MMWR_TRAD_AGG_ST_DISTRICT_PEN[],N$1,0),"ERROR")</f>
        <v>11</v>
      </c>
      <c r="O127" s="102">
        <f>IFERROR(VLOOKUP($B127,MMWR_TRAD_AGG_ST_DISTRICT_PEN[],O$1,0),"ERROR")</f>
        <v>5</v>
      </c>
      <c r="P127" s="104">
        <f t="shared" si="15"/>
        <v>0.45454545454545453</v>
      </c>
      <c r="Q127" s="102">
        <f>IFERROR(VLOOKUP($B127,MMWR_TRAD_AGG_ST_DISTRICT_PEN[],Q$1,0),"ERROR")</f>
        <v>59</v>
      </c>
      <c r="R127" s="106">
        <f>IFERROR(VLOOKUP($B127,MMWR_TRAD_AGG_ST_DISTRICT_PEN[],R$1,0),"ERROR")</f>
        <v>23</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356755</v>
      </c>
      <c r="D3">
        <v>286822</v>
      </c>
      <c r="F3" t="s">
        <v>41</v>
      </c>
      <c r="G3">
        <v>582</v>
      </c>
      <c r="H3">
        <v>119.54295532650001</v>
      </c>
      <c r="I3">
        <v>2616</v>
      </c>
      <c r="J3">
        <v>358</v>
      </c>
      <c r="K3">
        <v>2056</v>
      </c>
      <c r="L3">
        <v>258</v>
      </c>
      <c r="M3">
        <v>154</v>
      </c>
      <c r="N3">
        <v>89</v>
      </c>
      <c r="O3">
        <v>224</v>
      </c>
      <c r="P3">
        <v>98</v>
      </c>
      <c r="Q3">
        <v>0</v>
      </c>
      <c r="R3">
        <v>9</v>
      </c>
      <c r="T3" t="s">
        <v>209</v>
      </c>
      <c r="U3">
        <v>4167</v>
      </c>
      <c r="V3">
        <v>58.425725941899998</v>
      </c>
      <c r="W3">
        <v>7708</v>
      </c>
      <c r="X3">
        <v>992</v>
      </c>
      <c r="Y3">
        <v>6338</v>
      </c>
      <c r="Z3">
        <v>467</v>
      </c>
      <c r="AA3">
        <v>3</v>
      </c>
      <c r="AB3">
        <v>3</v>
      </c>
      <c r="AC3">
        <v>591</v>
      </c>
      <c r="AD3">
        <v>130</v>
      </c>
      <c r="AE3">
        <v>1196</v>
      </c>
      <c r="AF3">
        <v>1027</v>
      </c>
      <c r="AH3" t="s">
        <v>387</v>
      </c>
      <c r="AI3">
        <v>10151</v>
      </c>
      <c r="AJ3">
        <v>346.67441631370002</v>
      </c>
      <c r="AK3">
        <v>8325</v>
      </c>
      <c r="AL3">
        <v>1966</v>
      </c>
      <c r="AM3">
        <v>15870</v>
      </c>
      <c r="AN3">
        <v>9022</v>
      </c>
      <c r="AO3">
        <v>4894</v>
      </c>
      <c r="AP3">
        <v>4185</v>
      </c>
      <c r="AQ3">
        <v>3267</v>
      </c>
      <c r="AR3">
        <v>1975</v>
      </c>
      <c r="AS3">
        <v>476</v>
      </c>
      <c r="AT3">
        <v>422</v>
      </c>
      <c r="AV3" t="s">
        <v>393</v>
      </c>
      <c r="AW3">
        <v>430</v>
      </c>
      <c r="AX3">
        <v>66.637209302299993</v>
      </c>
      <c r="AY3">
        <v>767</v>
      </c>
      <c r="AZ3">
        <v>108</v>
      </c>
      <c r="BA3">
        <v>627</v>
      </c>
      <c r="BB3">
        <v>44</v>
      </c>
      <c r="BC3">
        <v>0</v>
      </c>
      <c r="BE3">
        <v>60</v>
      </c>
      <c r="BF3">
        <v>21</v>
      </c>
      <c r="BG3">
        <v>92</v>
      </c>
      <c r="BH3">
        <v>149</v>
      </c>
      <c r="BJ3" t="s">
        <v>727</v>
      </c>
      <c r="BK3" t="s">
        <v>730</v>
      </c>
      <c r="BL3">
        <v>337441</v>
      </c>
      <c r="BM3">
        <v>72030</v>
      </c>
      <c r="BN3">
        <v>90.4552173565</v>
      </c>
      <c r="BO3">
        <v>919878</v>
      </c>
      <c r="BP3">
        <v>42176</v>
      </c>
      <c r="BQ3">
        <v>128.72076405780001</v>
      </c>
      <c r="BR3">
        <v>128.71780159330001</v>
      </c>
      <c r="BS3">
        <v>337442</v>
      </c>
      <c r="BT3">
        <v>72031</v>
      </c>
      <c r="BU3">
        <v>90.456558460400004</v>
      </c>
      <c r="BV3">
        <v>919878</v>
      </c>
      <c r="BW3">
        <v>42176</v>
      </c>
      <c r="BX3">
        <v>128.72076405780001</v>
      </c>
      <c r="BY3">
        <v>128.71780159330001</v>
      </c>
      <c r="CA3" t="s">
        <v>1035</v>
      </c>
      <c r="CB3" t="s">
        <v>730</v>
      </c>
      <c r="CC3" t="s">
        <v>916</v>
      </c>
      <c r="CD3">
        <v>8816</v>
      </c>
      <c r="CE3">
        <v>827</v>
      </c>
      <c r="CF3">
        <v>59.302745009100001</v>
      </c>
      <c r="CG3">
        <v>25172</v>
      </c>
      <c r="CH3">
        <v>896</v>
      </c>
      <c r="CI3">
        <v>130.45038137610001</v>
      </c>
      <c r="CJ3">
        <v>112.24888392859999</v>
      </c>
      <c r="CL3" t="s">
        <v>1035</v>
      </c>
      <c r="CM3" t="s">
        <v>730</v>
      </c>
      <c r="CN3" t="s">
        <v>916</v>
      </c>
      <c r="CO3">
        <v>8816</v>
      </c>
      <c r="CP3">
        <v>827</v>
      </c>
      <c r="CQ3">
        <v>59.302745009100001</v>
      </c>
      <c r="CR3">
        <v>25172</v>
      </c>
      <c r="CS3">
        <v>896</v>
      </c>
      <c r="CT3">
        <v>130.45038137610001</v>
      </c>
      <c r="CU3">
        <v>112.24888392859999</v>
      </c>
      <c r="CW3" t="s">
        <v>1035</v>
      </c>
      <c r="CX3" t="s">
        <v>730</v>
      </c>
      <c r="CY3" t="s">
        <v>916</v>
      </c>
      <c r="CZ3">
        <v>8816</v>
      </c>
      <c r="DA3">
        <v>827</v>
      </c>
      <c r="DB3">
        <v>59.302745009100001</v>
      </c>
      <c r="DC3">
        <v>25172</v>
      </c>
      <c r="DD3">
        <v>896</v>
      </c>
      <c r="DE3">
        <v>130.45038137610001</v>
      </c>
      <c r="DF3">
        <v>112.24888392859999</v>
      </c>
      <c r="DH3" t="s">
        <v>1035</v>
      </c>
      <c r="DI3" t="s">
        <v>730</v>
      </c>
      <c r="DJ3" t="s">
        <v>916</v>
      </c>
      <c r="DK3">
        <v>8816</v>
      </c>
      <c r="DL3">
        <v>827</v>
      </c>
      <c r="DM3">
        <v>59.302745009100001</v>
      </c>
      <c r="DN3">
        <v>25172</v>
      </c>
      <c r="DO3">
        <v>896</v>
      </c>
      <c r="DP3">
        <v>130.45038137610001</v>
      </c>
      <c r="DQ3">
        <v>112.24888392859999</v>
      </c>
    </row>
    <row r="4" spans="2:121" x14ac:dyDescent="0.2">
      <c r="B4" t="s">
        <v>106</v>
      </c>
      <c r="C4">
        <v>80029</v>
      </c>
      <c r="D4">
        <v>47722</v>
      </c>
      <c r="F4" t="s">
        <v>25</v>
      </c>
      <c r="G4">
        <v>11617</v>
      </c>
      <c r="H4">
        <v>346.99466299390002</v>
      </c>
      <c r="I4">
        <v>17897</v>
      </c>
      <c r="J4">
        <v>4857</v>
      </c>
      <c r="K4">
        <v>21166</v>
      </c>
      <c r="L4">
        <v>11799</v>
      </c>
      <c r="M4">
        <v>8418</v>
      </c>
      <c r="N4">
        <v>6811</v>
      </c>
      <c r="O4">
        <v>5431</v>
      </c>
      <c r="P4">
        <v>4410</v>
      </c>
      <c r="Q4">
        <v>78</v>
      </c>
      <c r="R4">
        <v>28</v>
      </c>
      <c r="T4" t="s">
        <v>224</v>
      </c>
      <c r="U4">
        <v>0</v>
      </c>
      <c r="W4">
        <v>341</v>
      </c>
      <c r="X4">
        <v>126</v>
      </c>
      <c r="Y4">
        <v>3201</v>
      </c>
      <c r="Z4">
        <v>1039</v>
      </c>
      <c r="AA4">
        <v>201</v>
      </c>
      <c r="AB4">
        <v>198</v>
      </c>
      <c r="AC4">
        <v>182</v>
      </c>
      <c r="AD4">
        <v>111</v>
      </c>
      <c r="AE4">
        <v>7</v>
      </c>
      <c r="AF4">
        <v>0</v>
      </c>
      <c r="AH4" t="s">
        <v>423</v>
      </c>
      <c r="AI4">
        <v>1830</v>
      </c>
      <c r="AJ4">
        <v>477.06338797810002</v>
      </c>
      <c r="AK4">
        <v>1050</v>
      </c>
      <c r="AL4">
        <v>272</v>
      </c>
      <c r="AM4">
        <v>3082</v>
      </c>
      <c r="AN4">
        <v>1935</v>
      </c>
      <c r="AO4">
        <v>1494</v>
      </c>
      <c r="AP4">
        <v>1146</v>
      </c>
      <c r="AQ4">
        <v>435</v>
      </c>
      <c r="AR4">
        <v>328</v>
      </c>
      <c r="AS4">
        <v>0</v>
      </c>
      <c r="AT4">
        <v>3</v>
      </c>
      <c r="AV4" t="s">
        <v>412</v>
      </c>
      <c r="AW4">
        <v>104</v>
      </c>
      <c r="AX4">
        <v>65.153846153800004</v>
      </c>
      <c r="AY4">
        <v>120</v>
      </c>
      <c r="AZ4">
        <v>4</v>
      </c>
      <c r="BA4">
        <v>189</v>
      </c>
      <c r="BB4">
        <v>26</v>
      </c>
      <c r="BC4">
        <v>0</v>
      </c>
      <c r="BE4">
        <v>8</v>
      </c>
      <c r="BF4">
        <v>4</v>
      </c>
      <c r="BG4">
        <v>188</v>
      </c>
      <c r="BH4">
        <v>44</v>
      </c>
      <c r="BJ4" t="s">
        <v>636</v>
      </c>
      <c r="BK4" t="s">
        <v>384</v>
      </c>
      <c r="BL4">
        <v>747</v>
      </c>
      <c r="BM4">
        <v>77</v>
      </c>
      <c r="BN4">
        <v>70.263721552899995</v>
      </c>
      <c r="BO4">
        <v>2427</v>
      </c>
      <c r="BP4">
        <v>82</v>
      </c>
      <c r="BQ4">
        <v>117.5422332097</v>
      </c>
      <c r="BR4">
        <v>102.7926829268</v>
      </c>
      <c r="BS4">
        <v>370</v>
      </c>
      <c r="BT4">
        <v>120</v>
      </c>
      <c r="BU4">
        <v>107.4054054054</v>
      </c>
      <c r="BV4">
        <v>3097</v>
      </c>
      <c r="BW4">
        <v>166</v>
      </c>
      <c r="BX4">
        <v>127.3613174039</v>
      </c>
      <c r="BY4">
        <v>158.83734939760001</v>
      </c>
      <c r="CA4" t="s">
        <v>1034</v>
      </c>
      <c r="CB4" t="s">
        <v>730</v>
      </c>
      <c r="CC4" t="s">
        <v>916</v>
      </c>
      <c r="CD4">
        <v>337442</v>
      </c>
      <c r="CE4">
        <v>72031</v>
      </c>
      <c r="CF4">
        <v>90.456558460400004</v>
      </c>
      <c r="CG4">
        <v>919878</v>
      </c>
      <c r="CH4">
        <v>42176</v>
      </c>
      <c r="CI4">
        <v>128.72076405780001</v>
      </c>
      <c r="CJ4">
        <v>128.71780159330001</v>
      </c>
      <c r="CL4" t="s">
        <v>1034</v>
      </c>
      <c r="CM4" t="s">
        <v>730</v>
      </c>
      <c r="CN4" t="s">
        <v>916</v>
      </c>
      <c r="CO4">
        <v>337442</v>
      </c>
      <c r="CP4">
        <v>72031</v>
      </c>
      <c r="CQ4">
        <v>90.456558460400004</v>
      </c>
      <c r="CR4">
        <v>919878</v>
      </c>
      <c r="CS4">
        <v>42176</v>
      </c>
      <c r="CT4">
        <v>128.72076405780001</v>
      </c>
      <c r="CU4">
        <v>128.71780159330001</v>
      </c>
      <c r="CW4" t="s">
        <v>1034</v>
      </c>
      <c r="CX4" t="s">
        <v>730</v>
      </c>
      <c r="CY4" t="s">
        <v>916</v>
      </c>
      <c r="CZ4">
        <v>337442</v>
      </c>
      <c r="DA4">
        <v>72031</v>
      </c>
      <c r="DB4">
        <v>90.456558460400004</v>
      </c>
      <c r="DC4">
        <v>919878</v>
      </c>
      <c r="DD4">
        <v>42176</v>
      </c>
      <c r="DE4">
        <v>128.72076405780001</v>
      </c>
      <c r="DF4">
        <v>128.71780159330001</v>
      </c>
      <c r="DH4" t="s">
        <v>1034</v>
      </c>
      <c r="DI4" t="s">
        <v>730</v>
      </c>
      <c r="DJ4" t="s">
        <v>916</v>
      </c>
      <c r="DK4">
        <v>337442</v>
      </c>
      <c r="DL4">
        <v>72031</v>
      </c>
      <c r="DM4">
        <v>90.456558460400004</v>
      </c>
      <c r="DN4">
        <v>919878</v>
      </c>
      <c r="DO4">
        <v>42176</v>
      </c>
      <c r="DP4">
        <v>128.72076405780001</v>
      </c>
      <c r="DQ4">
        <v>128.71780159330001</v>
      </c>
    </row>
    <row r="5" spans="2:121" x14ac:dyDescent="0.2">
      <c r="B5" t="s">
        <v>96</v>
      </c>
      <c r="C5">
        <v>191681</v>
      </c>
      <c r="D5">
        <v>57103</v>
      </c>
      <c r="F5" t="s">
        <v>69</v>
      </c>
      <c r="G5">
        <v>14031</v>
      </c>
      <c r="H5">
        <v>320.42826598250002</v>
      </c>
      <c r="I5">
        <v>11955</v>
      </c>
      <c r="J5">
        <v>2175</v>
      </c>
      <c r="K5">
        <v>19833</v>
      </c>
      <c r="L5">
        <v>9873</v>
      </c>
      <c r="M5">
        <v>7871</v>
      </c>
      <c r="N5">
        <v>6395</v>
      </c>
      <c r="O5">
        <v>4662</v>
      </c>
      <c r="P5">
        <v>4070</v>
      </c>
      <c r="Q5">
        <v>5</v>
      </c>
      <c r="R5">
        <v>7</v>
      </c>
      <c r="T5" t="s">
        <v>210</v>
      </c>
      <c r="U5">
        <v>13360</v>
      </c>
      <c r="V5">
        <v>106.54752994010001</v>
      </c>
      <c r="W5">
        <v>15222</v>
      </c>
      <c r="X5">
        <v>2466</v>
      </c>
      <c r="Y5">
        <v>16285</v>
      </c>
      <c r="Z5">
        <v>5313</v>
      </c>
      <c r="AA5">
        <v>16</v>
      </c>
      <c r="AB5">
        <v>15</v>
      </c>
      <c r="AC5">
        <v>654</v>
      </c>
      <c r="AD5">
        <v>209</v>
      </c>
      <c r="AE5">
        <v>1977</v>
      </c>
      <c r="AF5">
        <v>3021</v>
      </c>
      <c r="AH5" t="s">
        <v>425</v>
      </c>
      <c r="AI5">
        <v>3977</v>
      </c>
      <c r="AJ5">
        <v>268.91375408599998</v>
      </c>
      <c r="AK5">
        <v>5594</v>
      </c>
      <c r="AL5">
        <v>950</v>
      </c>
      <c r="AM5">
        <v>7786</v>
      </c>
      <c r="AN5">
        <v>3049</v>
      </c>
      <c r="AO5">
        <v>2371</v>
      </c>
      <c r="AP5">
        <v>1516</v>
      </c>
      <c r="AQ5">
        <v>2639</v>
      </c>
      <c r="AR5">
        <v>1701</v>
      </c>
      <c r="AS5">
        <v>8</v>
      </c>
      <c r="AT5">
        <v>89</v>
      </c>
      <c r="AV5" t="s">
        <v>383</v>
      </c>
      <c r="AW5">
        <v>402</v>
      </c>
      <c r="AX5">
        <v>58.101990049800001</v>
      </c>
      <c r="AY5">
        <v>757</v>
      </c>
      <c r="AZ5">
        <v>91</v>
      </c>
      <c r="BA5">
        <v>664</v>
      </c>
      <c r="BB5">
        <v>70</v>
      </c>
      <c r="BC5">
        <v>1</v>
      </c>
      <c r="BD5">
        <v>1</v>
      </c>
      <c r="BE5">
        <v>82</v>
      </c>
      <c r="BF5">
        <v>23</v>
      </c>
      <c r="BG5">
        <v>151</v>
      </c>
      <c r="BH5">
        <v>102</v>
      </c>
      <c r="BJ5" t="s">
        <v>384</v>
      </c>
      <c r="BK5" t="s">
        <v>384</v>
      </c>
      <c r="BL5">
        <v>64961</v>
      </c>
      <c r="BM5">
        <v>12681</v>
      </c>
      <c r="BN5">
        <v>87.106479272200005</v>
      </c>
      <c r="BO5">
        <v>178873</v>
      </c>
      <c r="BP5">
        <v>8036</v>
      </c>
      <c r="BQ5">
        <v>132.6198364203</v>
      </c>
      <c r="BR5">
        <v>130.18417122950001</v>
      </c>
      <c r="BS5">
        <v>25134</v>
      </c>
      <c r="BT5">
        <v>5293</v>
      </c>
      <c r="BU5">
        <v>91.1298241426</v>
      </c>
      <c r="BV5">
        <v>180952</v>
      </c>
      <c r="BW5">
        <v>9044</v>
      </c>
      <c r="BX5">
        <v>132.86089128610001</v>
      </c>
      <c r="BY5">
        <v>129.56556833260001</v>
      </c>
      <c r="CA5" t="s">
        <v>1036</v>
      </c>
      <c r="CB5" t="s">
        <v>730</v>
      </c>
      <c r="CC5" t="s">
        <v>916</v>
      </c>
      <c r="CD5">
        <v>25849</v>
      </c>
      <c r="CE5">
        <v>3129</v>
      </c>
      <c r="CF5">
        <v>67.757746914799995</v>
      </c>
      <c r="CG5">
        <v>129389</v>
      </c>
      <c r="CH5">
        <v>7106</v>
      </c>
      <c r="CI5">
        <v>79.296501248200002</v>
      </c>
      <c r="CJ5">
        <v>82.588376020300004</v>
      </c>
      <c r="CL5" t="s">
        <v>1036</v>
      </c>
      <c r="CM5" t="s">
        <v>730</v>
      </c>
      <c r="CN5" t="s">
        <v>916</v>
      </c>
      <c r="CO5">
        <v>25849</v>
      </c>
      <c r="CP5">
        <v>3129</v>
      </c>
      <c r="CQ5">
        <v>67.757746914799995</v>
      </c>
      <c r="CR5">
        <v>129389</v>
      </c>
      <c r="CS5">
        <v>7106</v>
      </c>
      <c r="CT5">
        <v>79.296501248200002</v>
      </c>
      <c r="CU5">
        <v>82.588376020300004</v>
      </c>
      <c r="CW5" t="s">
        <v>1036</v>
      </c>
      <c r="CX5" t="s">
        <v>730</v>
      </c>
      <c r="CY5" t="s">
        <v>916</v>
      </c>
      <c r="CZ5">
        <v>25849</v>
      </c>
      <c r="DA5">
        <v>3129</v>
      </c>
      <c r="DB5">
        <v>67.757746914799995</v>
      </c>
      <c r="DC5">
        <v>129389</v>
      </c>
      <c r="DD5">
        <v>7106</v>
      </c>
      <c r="DE5">
        <v>79.296501248200002</v>
      </c>
      <c r="DF5">
        <v>82.588376020300004</v>
      </c>
      <c r="DH5" t="s">
        <v>1036</v>
      </c>
      <c r="DI5" t="s">
        <v>730</v>
      </c>
      <c r="DJ5" t="s">
        <v>916</v>
      </c>
      <c r="DK5">
        <v>25849</v>
      </c>
      <c r="DL5">
        <v>3129</v>
      </c>
      <c r="DM5">
        <v>67.757746914799995</v>
      </c>
      <c r="DN5">
        <v>129389</v>
      </c>
      <c r="DO5">
        <v>7106</v>
      </c>
      <c r="DP5">
        <v>79.296501248200002</v>
      </c>
      <c r="DQ5">
        <v>82.588376020300004</v>
      </c>
    </row>
    <row r="6" spans="2:121" x14ac:dyDescent="0.2">
      <c r="B6" t="s">
        <v>88</v>
      </c>
      <c r="C6">
        <v>83809</v>
      </c>
      <c r="D6">
        <v>19886</v>
      </c>
      <c r="F6" t="s">
        <v>61</v>
      </c>
      <c r="G6">
        <v>434</v>
      </c>
      <c r="H6">
        <v>128.83179723500001</v>
      </c>
      <c r="I6">
        <v>2734</v>
      </c>
      <c r="J6">
        <v>710</v>
      </c>
      <c r="K6">
        <v>1722</v>
      </c>
      <c r="L6">
        <v>346</v>
      </c>
      <c r="M6">
        <v>523</v>
      </c>
      <c r="N6">
        <v>471</v>
      </c>
      <c r="O6">
        <v>1443</v>
      </c>
      <c r="P6">
        <v>1218</v>
      </c>
      <c r="Q6">
        <v>0</v>
      </c>
      <c r="R6">
        <v>1</v>
      </c>
      <c r="T6" t="s">
        <v>212</v>
      </c>
      <c r="U6">
        <v>3929</v>
      </c>
      <c r="V6">
        <v>66.532196487700006</v>
      </c>
      <c r="W6">
        <v>6003</v>
      </c>
      <c r="X6">
        <v>248</v>
      </c>
      <c r="Y6">
        <v>5872</v>
      </c>
      <c r="Z6">
        <v>507</v>
      </c>
      <c r="AA6">
        <v>30</v>
      </c>
      <c r="AB6">
        <v>17</v>
      </c>
      <c r="AC6">
        <v>328</v>
      </c>
      <c r="AD6">
        <v>120</v>
      </c>
      <c r="AE6">
        <v>8447</v>
      </c>
      <c r="AF6">
        <v>1977</v>
      </c>
      <c r="AH6" t="s">
        <v>410</v>
      </c>
      <c r="AI6">
        <v>3196</v>
      </c>
      <c r="AJ6">
        <v>270.96526908639999</v>
      </c>
      <c r="AK6">
        <v>3584</v>
      </c>
      <c r="AL6">
        <v>550</v>
      </c>
      <c r="AM6">
        <v>6171</v>
      </c>
      <c r="AN6">
        <v>2541</v>
      </c>
      <c r="AO6">
        <v>2275</v>
      </c>
      <c r="AP6">
        <v>1627</v>
      </c>
      <c r="AQ6">
        <v>2764</v>
      </c>
      <c r="AR6">
        <v>1774</v>
      </c>
      <c r="AS6">
        <v>411</v>
      </c>
      <c r="AT6">
        <v>101</v>
      </c>
      <c r="AV6" t="s">
        <v>411</v>
      </c>
      <c r="AW6">
        <v>195</v>
      </c>
      <c r="AX6">
        <v>60.507692307699998</v>
      </c>
      <c r="AY6">
        <v>259</v>
      </c>
      <c r="AZ6">
        <v>12</v>
      </c>
      <c r="BA6">
        <v>309</v>
      </c>
      <c r="BB6">
        <v>26</v>
      </c>
      <c r="BC6">
        <v>1</v>
      </c>
      <c r="BD6">
        <v>1</v>
      </c>
      <c r="BE6">
        <v>27</v>
      </c>
      <c r="BF6">
        <v>13</v>
      </c>
      <c r="BG6">
        <v>626</v>
      </c>
      <c r="BH6">
        <v>75</v>
      </c>
      <c r="BJ6" t="s">
        <v>583</v>
      </c>
      <c r="BK6" t="s">
        <v>384</v>
      </c>
      <c r="BL6">
        <v>5529</v>
      </c>
      <c r="BM6">
        <v>1200</v>
      </c>
      <c r="BN6">
        <v>96.185386145799995</v>
      </c>
      <c r="BO6">
        <v>16992</v>
      </c>
      <c r="BP6">
        <v>719</v>
      </c>
      <c r="BQ6">
        <v>144.80037664779999</v>
      </c>
      <c r="BR6">
        <v>133.00695410290001</v>
      </c>
      <c r="BS6">
        <v>2209</v>
      </c>
      <c r="BT6">
        <v>539</v>
      </c>
      <c r="BU6">
        <v>97.669081032099996</v>
      </c>
      <c r="BV6">
        <v>17048</v>
      </c>
      <c r="BW6">
        <v>819</v>
      </c>
      <c r="BX6">
        <v>142.60927968089999</v>
      </c>
      <c r="BY6">
        <v>132.35775335779999</v>
      </c>
      <c r="CA6" t="s">
        <v>1037</v>
      </c>
      <c r="CB6" t="s">
        <v>730</v>
      </c>
      <c r="CC6" t="s">
        <v>916</v>
      </c>
      <c r="CD6">
        <v>8007</v>
      </c>
      <c r="CE6">
        <v>928</v>
      </c>
      <c r="CF6">
        <v>65.718371425000001</v>
      </c>
      <c r="CG6">
        <v>22212</v>
      </c>
      <c r="CH6">
        <v>857</v>
      </c>
      <c r="CI6">
        <v>136.8616063389</v>
      </c>
      <c r="CJ6">
        <v>110.6709451575</v>
      </c>
      <c r="CL6" t="s">
        <v>1037</v>
      </c>
      <c r="CM6" t="s">
        <v>730</v>
      </c>
      <c r="CN6" t="s">
        <v>916</v>
      </c>
      <c r="CO6">
        <v>8007</v>
      </c>
      <c r="CP6">
        <v>928</v>
      </c>
      <c r="CQ6">
        <v>65.718371425000001</v>
      </c>
      <c r="CR6">
        <v>22212</v>
      </c>
      <c r="CS6">
        <v>857</v>
      </c>
      <c r="CT6">
        <v>136.8616063389</v>
      </c>
      <c r="CU6">
        <v>110.6709451575</v>
      </c>
      <c r="CW6" t="s">
        <v>1037</v>
      </c>
      <c r="CX6" t="s">
        <v>730</v>
      </c>
      <c r="CY6" t="s">
        <v>916</v>
      </c>
      <c r="CZ6">
        <v>8007</v>
      </c>
      <c r="DA6">
        <v>928</v>
      </c>
      <c r="DB6">
        <v>65.718371425000001</v>
      </c>
      <c r="DC6">
        <v>22212</v>
      </c>
      <c r="DD6">
        <v>857</v>
      </c>
      <c r="DE6">
        <v>136.8616063389</v>
      </c>
      <c r="DF6">
        <v>110.6709451575</v>
      </c>
      <c r="DH6" t="s">
        <v>1037</v>
      </c>
      <c r="DI6" t="s">
        <v>730</v>
      </c>
      <c r="DJ6" t="s">
        <v>916</v>
      </c>
      <c r="DK6">
        <v>8007</v>
      </c>
      <c r="DL6">
        <v>928</v>
      </c>
      <c r="DM6">
        <v>65.718371425000001</v>
      </c>
      <c r="DN6">
        <v>22212</v>
      </c>
      <c r="DO6">
        <v>857</v>
      </c>
      <c r="DP6">
        <v>136.8616063389</v>
      </c>
      <c r="DQ6">
        <v>110.6709451575</v>
      </c>
    </row>
    <row r="7" spans="2:121" x14ac:dyDescent="0.2">
      <c r="B7" t="s">
        <v>111</v>
      </c>
      <c r="C7">
        <v>7186</v>
      </c>
      <c r="D7">
        <v>437</v>
      </c>
      <c r="F7" t="s">
        <v>31</v>
      </c>
      <c r="G7">
        <v>587</v>
      </c>
      <c r="H7">
        <v>168.6405451448</v>
      </c>
      <c r="I7">
        <v>2921</v>
      </c>
      <c r="J7">
        <v>654</v>
      </c>
      <c r="K7">
        <v>1696</v>
      </c>
      <c r="L7">
        <v>372</v>
      </c>
      <c r="M7">
        <v>321</v>
      </c>
      <c r="N7">
        <v>137</v>
      </c>
      <c r="O7">
        <v>402</v>
      </c>
      <c r="P7">
        <v>264</v>
      </c>
      <c r="Q7">
        <v>0</v>
      </c>
      <c r="R7">
        <v>9</v>
      </c>
      <c r="T7" t="s">
        <v>461</v>
      </c>
      <c r="U7">
        <v>21456</v>
      </c>
      <c r="V7">
        <v>89.874161073799996</v>
      </c>
      <c r="W7">
        <v>29274</v>
      </c>
      <c r="X7">
        <v>3832</v>
      </c>
      <c r="Y7">
        <v>31696</v>
      </c>
      <c r="Z7">
        <v>7326</v>
      </c>
      <c r="AA7">
        <v>250</v>
      </c>
      <c r="AB7">
        <v>233</v>
      </c>
      <c r="AC7">
        <v>1755</v>
      </c>
      <c r="AD7">
        <v>570</v>
      </c>
      <c r="AE7">
        <v>11627</v>
      </c>
      <c r="AF7">
        <v>6025</v>
      </c>
      <c r="AH7" t="s">
        <v>406</v>
      </c>
      <c r="AI7">
        <v>18324</v>
      </c>
      <c r="AJ7">
        <v>437.0849159572</v>
      </c>
      <c r="AK7">
        <v>34473</v>
      </c>
      <c r="AL7">
        <v>6956</v>
      </c>
      <c r="AM7">
        <v>37833</v>
      </c>
      <c r="AN7">
        <v>19451</v>
      </c>
      <c r="AO7">
        <v>10533</v>
      </c>
      <c r="AP7">
        <v>8257</v>
      </c>
      <c r="AQ7">
        <v>15461</v>
      </c>
      <c r="AR7">
        <v>10939</v>
      </c>
      <c r="AS7">
        <v>57</v>
      </c>
      <c r="AT7">
        <v>163</v>
      </c>
      <c r="AV7" t="s">
        <v>404</v>
      </c>
      <c r="AW7">
        <v>73</v>
      </c>
      <c r="AX7">
        <v>52.0684931507</v>
      </c>
      <c r="AY7">
        <v>124</v>
      </c>
      <c r="AZ7">
        <v>5</v>
      </c>
      <c r="BA7">
        <v>159</v>
      </c>
      <c r="BB7">
        <v>15</v>
      </c>
      <c r="BC7">
        <v>0</v>
      </c>
      <c r="BE7">
        <v>6</v>
      </c>
      <c r="BF7">
        <v>3</v>
      </c>
      <c r="BG7">
        <v>283</v>
      </c>
      <c r="BH7">
        <v>37</v>
      </c>
      <c r="BJ7" t="s">
        <v>630</v>
      </c>
      <c r="BK7" t="s">
        <v>384</v>
      </c>
      <c r="BL7">
        <v>702</v>
      </c>
      <c r="BM7">
        <v>66</v>
      </c>
      <c r="BN7">
        <v>63.0341880342</v>
      </c>
      <c r="BO7">
        <v>3235</v>
      </c>
      <c r="BP7">
        <v>136</v>
      </c>
      <c r="BQ7">
        <v>83.165996908799997</v>
      </c>
      <c r="BR7">
        <v>84.279411764700001</v>
      </c>
      <c r="BS7">
        <v>517</v>
      </c>
      <c r="BT7">
        <v>80</v>
      </c>
      <c r="BU7">
        <v>80.460348162499997</v>
      </c>
      <c r="BV7">
        <v>6126</v>
      </c>
      <c r="BW7">
        <v>377</v>
      </c>
      <c r="BX7">
        <v>108.6645445642</v>
      </c>
      <c r="BY7">
        <v>114.8222811671</v>
      </c>
      <c r="CA7" t="s">
        <v>410</v>
      </c>
      <c r="CB7" t="s">
        <v>766</v>
      </c>
      <c r="CC7" t="s">
        <v>992</v>
      </c>
      <c r="CD7">
        <v>3668</v>
      </c>
      <c r="CE7">
        <v>499</v>
      </c>
      <c r="CF7">
        <v>77.726281352200004</v>
      </c>
      <c r="CG7">
        <v>11437</v>
      </c>
      <c r="CH7">
        <v>434</v>
      </c>
      <c r="CI7">
        <v>115.5715659701</v>
      </c>
      <c r="CJ7">
        <v>114.22350230409999</v>
      </c>
      <c r="CL7" t="s">
        <v>410</v>
      </c>
      <c r="CM7" t="s">
        <v>747</v>
      </c>
      <c r="CN7" t="s">
        <v>746</v>
      </c>
      <c r="CO7">
        <v>285</v>
      </c>
      <c r="CP7">
        <v>50</v>
      </c>
      <c r="CQ7">
        <v>71.147368421099998</v>
      </c>
      <c r="CR7">
        <v>1879</v>
      </c>
      <c r="CS7">
        <v>71</v>
      </c>
      <c r="CT7">
        <v>64.961149547600002</v>
      </c>
      <c r="CU7">
        <v>57.901408450700004</v>
      </c>
      <c r="CW7" t="s">
        <v>410</v>
      </c>
      <c r="CX7" t="s">
        <v>757</v>
      </c>
      <c r="CY7" t="s">
        <v>756</v>
      </c>
      <c r="CZ7">
        <v>42</v>
      </c>
      <c r="DA7">
        <v>9</v>
      </c>
      <c r="DB7">
        <v>87.547619047599994</v>
      </c>
      <c r="DC7">
        <v>133</v>
      </c>
      <c r="DD7">
        <v>7</v>
      </c>
      <c r="DE7">
        <v>129.69924812030001</v>
      </c>
      <c r="DF7">
        <v>111.2857142857</v>
      </c>
      <c r="DH7" t="s">
        <v>410</v>
      </c>
      <c r="DI7" t="s">
        <v>737</v>
      </c>
      <c r="DJ7" t="s">
        <v>736</v>
      </c>
      <c r="DK7">
        <v>43</v>
      </c>
      <c r="DL7">
        <v>8</v>
      </c>
      <c r="DM7">
        <v>65.023255813999995</v>
      </c>
      <c r="DN7">
        <v>110</v>
      </c>
      <c r="DO7">
        <v>5</v>
      </c>
      <c r="DP7">
        <v>135.7727272727</v>
      </c>
      <c r="DQ7">
        <v>145.4</v>
      </c>
    </row>
    <row r="8" spans="2:121" x14ac:dyDescent="0.2">
      <c r="B8" t="s">
        <v>105</v>
      </c>
      <c r="C8">
        <v>8498</v>
      </c>
      <c r="D8">
        <v>6517</v>
      </c>
      <c r="F8" t="s">
        <v>83</v>
      </c>
      <c r="G8">
        <v>15456</v>
      </c>
      <c r="H8">
        <v>306.23777173910003</v>
      </c>
      <c r="I8">
        <v>18559</v>
      </c>
      <c r="J8">
        <v>4059</v>
      </c>
      <c r="K8">
        <v>27846</v>
      </c>
      <c r="L8">
        <v>15972</v>
      </c>
      <c r="M8">
        <v>12677</v>
      </c>
      <c r="N8">
        <v>9267</v>
      </c>
      <c r="O8">
        <v>4331</v>
      </c>
      <c r="P8">
        <v>3213</v>
      </c>
      <c r="Q8">
        <v>1</v>
      </c>
      <c r="R8">
        <v>15</v>
      </c>
      <c r="AH8" t="s">
        <v>402</v>
      </c>
      <c r="AI8">
        <v>5100</v>
      </c>
      <c r="AJ8">
        <v>370.15725490199998</v>
      </c>
      <c r="AK8">
        <v>6266</v>
      </c>
      <c r="AL8">
        <v>1297</v>
      </c>
      <c r="AM8">
        <v>10137</v>
      </c>
      <c r="AN8">
        <v>4883</v>
      </c>
      <c r="AO8">
        <v>4036</v>
      </c>
      <c r="AP8">
        <v>3296</v>
      </c>
      <c r="AQ8">
        <v>1845</v>
      </c>
      <c r="AR8">
        <v>1212</v>
      </c>
      <c r="AS8">
        <v>4</v>
      </c>
      <c r="AT8">
        <v>60</v>
      </c>
      <c r="AV8" t="s">
        <v>414</v>
      </c>
      <c r="AW8">
        <v>114</v>
      </c>
      <c r="AX8">
        <v>97</v>
      </c>
      <c r="AY8">
        <v>136</v>
      </c>
      <c r="AZ8">
        <v>31</v>
      </c>
      <c r="BA8">
        <v>140</v>
      </c>
      <c r="BB8">
        <v>37</v>
      </c>
      <c r="BC8">
        <v>0</v>
      </c>
      <c r="BE8">
        <v>5</v>
      </c>
      <c r="BF8">
        <v>1</v>
      </c>
      <c r="BG8">
        <v>15</v>
      </c>
      <c r="BH8">
        <v>22</v>
      </c>
      <c r="BJ8" t="s">
        <v>618</v>
      </c>
      <c r="BK8" t="s">
        <v>384</v>
      </c>
      <c r="BL8">
        <v>18235</v>
      </c>
      <c r="BM8">
        <v>4352</v>
      </c>
      <c r="BN8">
        <v>94.337098985500006</v>
      </c>
      <c r="BO8">
        <v>43218</v>
      </c>
      <c r="BP8">
        <v>2151</v>
      </c>
      <c r="BQ8">
        <v>143.2592206951</v>
      </c>
      <c r="BR8">
        <v>137.47791724780001</v>
      </c>
      <c r="BS8">
        <v>4837</v>
      </c>
      <c r="BT8">
        <v>1640</v>
      </c>
      <c r="BU8">
        <v>113.307215216</v>
      </c>
      <c r="BV8">
        <v>31215</v>
      </c>
      <c r="BW8">
        <v>1480</v>
      </c>
      <c r="BX8">
        <v>140.4240269101</v>
      </c>
      <c r="BY8">
        <v>152.0344594595</v>
      </c>
      <c r="CA8" t="s">
        <v>402</v>
      </c>
      <c r="CB8" t="s">
        <v>766</v>
      </c>
      <c r="CC8" t="s">
        <v>993</v>
      </c>
      <c r="CD8">
        <v>5972</v>
      </c>
      <c r="CE8">
        <v>1274</v>
      </c>
      <c r="CF8">
        <v>94.048057602100002</v>
      </c>
      <c r="CG8">
        <v>19109</v>
      </c>
      <c r="CH8">
        <v>844</v>
      </c>
      <c r="CI8">
        <v>132.6057878487</v>
      </c>
      <c r="CJ8">
        <v>120.22274881520001</v>
      </c>
      <c r="CL8" t="s">
        <v>402</v>
      </c>
      <c r="CM8" t="s">
        <v>747</v>
      </c>
      <c r="CN8" t="s">
        <v>748</v>
      </c>
      <c r="CO8">
        <v>357</v>
      </c>
      <c r="CP8">
        <v>38</v>
      </c>
      <c r="CQ8">
        <v>69.084033613399995</v>
      </c>
      <c r="CR8">
        <v>1868</v>
      </c>
      <c r="CS8">
        <v>98</v>
      </c>
      <c r="CT8">
        <v>70.832976445400007</v>
      </c>
      <c r="CU8">
        <v>96.744897959200003</v>
      </c>
      <c r="CW8" t="s">
        <v>402</v>
      </c>
      <c r="CX8" t="s">
        <v>757</v>
      </c>
      <c r="CY8" t="s">
        <v>758</v>
      </c>
      <c r="CZ8">
        <v>183</v>
      </c>
      <c r="DA8">
        <v>21</v>
      </c>
      <c r="DB8">
        <v>60.737704917999999</v>
      </c>
      <c r="DC8">
        <v>711</v>
      </c>
      <c r="DD8">
        <v>32</v>
      </c>
      <c r="DE8">
        <v>126.2194092827</v>
      </c>
      <c r="DF8">
        <v>102.59375</v>
      </c>
      <c r="DH8" t="s">
        <v>402</v>
      </c>
      <c r="DI8" t="s">
        <v>737</v>
      </c>
      <c r="DJ8" t="s">
        <v>738</v>
      </c>
      <c r="DK8">
        <v>354</v>
      </c>
      <c r="DL8">
        <v>9</v>
      </c>
      <c r="DM8">
        <v>45.112994350299999</v>
      </c>
      <c r="DN8">
        <v>1013</v>
      </c>
      <c r="DO8">
        <v>23</v>
      </c>
      <c r="DP8">
        <v>113.11154985189999</v>
      </c>
      <c r="DQ8">
        <v>89.608695652199998</v>
      </c>
    </row>
    <row r="9" spans="2:121" x14ac:dyDescent="0.2">
      <c r="B9" t="s">
        <v>121</v>
      </c>
      <c r="C9">
        <v>946</v>
      </c>
      <c r="D9">
        <v>426</v>
      </c>
      <c r="F9" t="s">
        <v>70</v>
      </c>
      <c r="G9">
        <v>3016</v>
      </c>
      <c r="H9">
        <v>225.1538461538</v>
      </c>
      <c r="I9">
        <v>3305</v>
      </c>
      <c r="J9">
        <v>462</v>
      </c>
      <c r="K9">
        <v>6579</v>
      </c>
      <c r="L9">
        <v>2254</v>
      </c>
      <c r="M9">
        <v>1501</v>
      </c>
      <c r="N9">
        <v>711</v>
      </c>
      <c r="O9">
        <v>498</v>
      </c>
      <c r="P9">
        <v>251</v>
      </c>
      <c r="Q9">
        <v>0</v>
      </c>
      <c r="R9">
        <v>2</v>
      </c>
      <c r="AH9" t="s">
        <v>372</v>
      </c>
      <c r="AI9">
        <v>680</v>
      </c>
      <c r="AJ9">
        <v>281.65735294119997</v>
      </c>
      <c r="AK9">
        <v>1894</v>
      </c>
      <c r="AL9">
        <v>326</v>
      </c>
      <c r="AM9">
        <v>2562</v>
      </c>
      <c r="AN9">
        <v>752</v>
      </c>
      <c r="AO9">
        <v>583</v>
      </c>
      <c r="AP9">
        <v>377</v>
      </c>
      <c r="AQ9">
        <v>1101</v>
      </c>
      <c r="AR9">
        <v>848</v>
      </c>
      <c r="AS9">
        <v>307</v>
      </c>
      <c r="AT9">
        <v>6</v>
      </c>
      <c r="AV9" t="s">
        <v>420</v>
      </c>
      <c r="AW9">
        <v>13</v>
      </c>
      <c r="AX9">
        <v>47.615384615399996</v>
      </c>
      <c r="AY9">
        <v>25</v>
      </c>
      <c r="AZ9">
        <v>1</v>
      </c>
      <c r="BA9">
        <v>27</v>
      </c>
      <c r="BB9">
        <v>4</v>
      </c>
      <c r="BC9">
        <v>0</v>
      </c>
      <c r="BE9">
        <v>3</v>
      </c>
      <c r="BG9">
        <v>64</v>
      </c>
      <c r="BH9">
        <v>7</v>
      </c>
      <c r="BJ9" t="s">
        <v>554</v>
      </c>
      <c r="BK9" t="s">
        <v>384</v>
      </c>
      <c r="BL9">
        <v>4681</v>
      </c>
      <c r="BM9">
        <v>1442</v>
      </c>
      <c r="BN9">
        <v>117.90792565690001</v>
      </c>
      <c r="BO9">
        <v>9508</v>
      </c>
      <c r="BP9">
        <v>517</v>
      </c>
      <c r="BQ9">
        <v>164.89966344129999</v>
      </c>
      <c r="BR9">
        <v>168.67698259190001</v>
      </c>
      <c r="BS9">
        <v>1742</v>
      </c>
      <c r="BT9">
        <v>594</v>
      </c>
      <c r="BU9">
        <v>119.6262916188</v>
      </c>
      <c r="BV9">
        <v>13191</v>
      </c>
      <c r="BW9">
        <v>779</v>
      </c>
      <c r="BX9">
        <v>157.0712607081</v>
      </c>
      <c r="BY9">
        <v>150.05776636709999</v>
      </c>
      <c r="CA9" t="s">
        <v>386</v>
      </c>
      <c r="CB9" t="s">
        <v>766</v>
      </c>
      <c r="CC9" t="s">
        <v>994</v>
      </c>
      <c r="CD9">
        <v>5653</v>
      </c>
      <c r="CE9">
        <v>1040</v>
      </c>
      <c r="CF9">
        <v>84.287457986899994</v>
      </c>
      <c r="CG9">
        <v>16666</v>
      </c>
      <c r="CH9">
        <v>750</v>
      </c>
      <c r="CI9">
        <v>132.28099123960001</v>
      </c>
      <c r="CJ9">
        <v>122.432</v>
      </c>
      <c r="CL9" t="s">
        <v>386</v>
      </c>
      <c r="CM9" t="s">
        <v>747</v>
      </c>
      <c r="CN9" t="s">
        <v>749</v>
      </c>
      <c r="CO9">
        <v>407</v>
      </c>
      <c r="CP9">
        <v>63</v>
      </c>
      <c r="CQ9">
        <v>75.459459459499996</v>
      </c>
      <c r="CR9">
        <v>2480</v>
      </c>
      <c r="CS9">
        <v>137</v>
      </c>
      <c r="CT9">
        <v>66.763709677400001</v>
      </c>
      <c r="CU9">
        <v>62.729927007299999</v>
      </c>
      <c r="CW9" t="s">
        <v>386</v>
      </c>
      <c r="CX9" t="s">
        <v>757</v>
      </c>
      <c r="CY9" t="s">
        <v>759</v>
      </c>
      <c r="CZ9">
        <v>76</v>
      </c>
      <c r="DA9">
        <v>8</v>
      </c>
      <c r="DB9">
        <v>62.144736842100002</v>
      </c>
      <c r="DC9">
        <v>198</v>
      </c>
      <c r="DD9">
        <v>8</v>
      </c>
      <c r="DE9">
        <v>132.28282828280001</v>
      </c>
      <c r="DF9">
        <v>98.5</v>
      </c>
      <c r="DH9" t="s">
        <v>386</v>
      </c>
      <c r="DI9" t="s">
        <v>737</v>
      </c>
      <c r="DJ9" t="s">
        <v>739</v>
      </c>
      <c r="DK9">
        <v>114</v>
      </c>
      <c r="DL9">
        <v>8</v>
      </c>
      <c r="DM9">
        <v>59.850877193000002</v>
      </c>
      <c r="DN9">
        <v>363</v>
      </c>
      <c r="DO9">
        <v>14</v>
      </c>
      <c r="DP9">
        <v>118.1570247934</v>
      </c>
      <c r="DQ9">
        <v>109.8571428571</v>
      </c>
    </row>
    <row r="10" spans="2:121" x14ac:dyDescent="0.2">
      <c r="B10" t="s">
        <v>97</v>
      </c>
      <c r="C10">
        <v>124</v>
      </c>
      <c r="D10">
        <v>73</v>
      </c>
      <c r="F10" t="s">
        <v>77</v>
      </c>
      <c r="G10">
        <v>15578</v>
      </c>
      <c r="H10">
        <v>321.10020541789999</v>
      </c>
      <c r="I10">
        <v>23805</v>
      </c>
      <c r="J10">
        <v>5209</v>
      </c>
      <c r="K10">
        <v>24325</v>
      </c>
      <c r="L10">
        <v>12847</v>
      </c>
      <c r="M10">
        <v>5091</v>
      </c>
      <c r="N10">
        <v>4018</v>
      </c>
      <c r="O10">
        <v>12913</v>
      </c>
      <c r="P10">
        <v>9816</v>
      </c>
      <c r="Q10">
        <v>8</v>
      </c>
      <c r="R10">
        <v>285</v>
      </c>
      <c r="AH10" t="s">
        <v>422</v>
      </c>
      <c r="AI10">
        <v>641</v>
      </c>
      <c r="AJ10">
        <v>397.07800312009999</v>
      </c>
      <c r="AK10">
        <v>1024</v>
      </c>
      <c r="AL10">
        <v>230</v>
      </c>
      <c r="AM10">
        <v>1266</v>
      </c>
      <c r="AN10">
        <v>561</v>
      </c>
      <c r="AO10">
        <v>266</v>
      </c>
      <c r="AP10">
        <v>189</v>
      </c>
      <c r="AQ10">
        <v>400</v>
      </c>
      <c r="AR10">
        <v>244</v>
      </c>
      <c r="AS10">
        <v>84</v>
      </c>
      <c r="AT10">
        <v>0</v>
      </c>
      <c r="AV10" t="s">
        <v>374</v>
      </c>
      <c r="AW10">
        <v>1498</v>
      </c>
      <c r="AX10">
        <v>102.1388518024</v>
      </c>
      <c r="AY10">
        <v>2265</v>
      </c>
      <c r="AZ10">
        <v>352</v>
      </c>
      <c r="BA10">
        <v>2150</v>
      </c>
      <c r="BB10">
        <v>628</v>
      </c>
      <c r="BC10">
        <v>3</v>
      </c>
      <c r="BD10">
        <v>1</v>
      </c>
      <c r="BE10">
        <v>115</v>
      </c>
      <c r="BF10">
        <v>26</v>
      </c>
      <c r="BG10">
        <v>176</v>
      </c>
      <c r="BH10">
        <v>309</v>
      </c>
      <c r="BJ10" t="s">
        <v>606</v>
      </c>
      <c r="BK10" t="s">
        <v>384</v>
      </c>
      <c r="BL10">
        <v>3717</v>
      </c>
      <c r="BM10">
        <v>497</v>
      </c>
      <c r="BN10">
        <v>76.527037933800003</v>
      </c>
      <c r="BO10">
        <v>11064</v>
      </c>
      <c r="BP10">
        <v>454</v>
      </c>
      <c r="BQ10">
        <v>116.2281272596</v>
      </c>
      <c r="BR10">
        <v>116.49339207049999</v>
      </c>
      <c r="BS10">
        <v>1552</v>
      </c>
      <c r="BT10">
        <v>200</v>
      </c>
      <c r="BU10">
        <v>79.568943298999997</v>
      </c>
      <c r="BV10">
        <v>13133</v>
      </c>
      <c r="BW10">
        <v>653</v>
      </c>
      <c r="BX10">
        <v>122.3261250286</v>
      </c>
      <c r="BY10">
        <v>115.9632465544</v>
      </c>
      <c r="CA10" t="s">
        <v>388</v>
      </c>
      <c r="CB10" t="s">
        <v>766</v>
      </c>
      <c r="CC10" t="s">
        <v>995</v>
      </c>
      <c r="CD10">
        <v>4816</v>
      </c>
      <c r="CE10">
        <v>1458</v>
      </c>
      <c r="CF10">
        <v>115.91154485049999</v>
      </c>
      <c r="CG10">
        <v>10603</v>
      </c>
      <c r="CH10">
        <v>539</v>
      </c>
      <c r="CI10">
        <v>159.4243138734</v>
      </c>
      <c r="CJ10">
        <v>165.52319109460001</v>
      </c>
      <c r="CL10" t="s">
        <v>388</v>
      </c>
      <c r="CM10" t="s">
        <v>747</v>
      </c>
      <c r="CN10" t="s">
        <v>750</v>
      </c>
      <c r="CO10">
        <v>313</v>
      </c>
      <c r="CP10">
        <v>53</v>
      </c>
      <c r="CQ10">
        <v>76.722044728399993</v>
      </c>
      <c r="CR10">
        <v>1782</v>
      </c>
      <c r="CS10">
        <v>97</v>
      </c>
      <c r="CT10">
        <v>76.037037037000005</v>
      </c>
      <c r="CU10">
        <v>71.989690721599999</v>
      </c>
      <c r="CW10" t="s">
        <v>388</v>
      </c>
      <c r="CX10" t="s">
        <v>757</v>
      </c>
      <c r="CY10" t="s">
        <v>760</v>
      </c>
      <c r="CZ10">
        <v>59</v>
      </c>
      <c r="DA10">
        <v>15</v>
      </c>
      <c r="DB10">
        <v>100.4406779661</v>
      </c>
      <c r="DC10">
        <v>169</v>
      </c>
      <c r="DD10">
        <v>3</v>
      </c>
      <c r="DE10">
        <v>141.1360946746</v>
      </c>
      <c r="DF10">
        <v>86.333333333300004</v>
      </c>
      <c r="DH10" t="s">
        <v>388</v>
      </c>
      <c r="DI10" t="s">
        <v>737</v>
      </c>
      <c r="DJ10" t="s">
        <v>740</v>
      </c>
      <c r="DK10">
        <v>57</v>
      </c>
      <c r="DL10">
        <v>8</v>
      </c>
      <c r="DM10">
        <v>79.228070175400006</v>
      </c>
      <c r="DN10">
        <v>195</v>
      </c>
      <c r="DO10">
        <v>2</v>
      </c>
      <c r="DP10">
        <v>126.8974358974</v>
      </c>
      <c r="DQ10">
        <v>82</v>
      </c>
    </row>
    <row r="11" spans="2:121" x14ac:dyDescent="0.2">
      <c r="B11" t="s">
        <v>20</v>
      </c>
      <c r="C11">
        <v>291</v>
      </c>
      <c r="D11">
        <v>161</v>
      </c>
      <c r="F11" t="s">
        <v>32</v>
      </c>
      <c r="G11">
        <v>2050</v>
      </c>
      <c r="H11">
        <v>488.26146341459997</v>
      </c>
      <c r="I11">
        <v>1004</v>
      </c>
      <c r="J11">
        <v>276</v>
      </c>
      <c r="K11">
        <v>3200</v>
      </c>
      <c r="L11">
        <v>2143</v>
      </c>
      <c r="M11">
        <v>1654</v>
      </c>
      <c r="N11">
        <v>1303</v>
      </c>
      <c r="O11">
        <v>253</v>
      </c>
      <c r="P11">
        <v>219</v>
      </c>
      <c r="Q11">
        <v>0</v>
      </c>
      <c r="R11">
        <v>3</v>
      </c>
      <c r="AH11" t="s">
        <v>413</v>
      </c>
      <c r="AI11">
        <v>394</v>
      </c>
      <c r="AJ11">
        <v>555.37309644669995</v>
      </c>
      <c r="AK11">
        <v>454</v>
      </c>
      <c r="AL11">
        <v>98</v>
      </c>
      <c r="AM11">
        <v>743</v>
      </c>
      <c r="AN11">
        <v>371</v>
      </c>
      <c r="AO11">
        <v>202</v>
      </c>
      <c r="AP11">
        <v>168</v>
      </c>
      <c r="AQ11">
        <v>378</v>
      </c>
      <c r="AR11">
        <v>292</v>
      </c>
      <c r="AS11">
        <v>25</v>
      </c>
      <c r="AT11">
        <v>0</v>
      </c>
      <c r="AV11" t="s">
        <v>425</v>
      </c>
      <c r="AW11">
        <v>228</v>
      </c>
      <c r="AX11">
        <v>65.7938596491</v>
      </c>
      <c r="AY11">
        <v>404</v>
      </c>
      <c r="AZ11">
        <v>27</v>
      </c>
      <c r="BA11">
        <v>405</v>
      </c>
      <c r="BB11">
        <v>42</v>
      </c>
      <c r="BC11">
        <v>0</v>
      </c>
      <c r="BE11">
        <v>22</v>
      </c>
      <c r="BF11">
        <v>10</v>
      </c>
      <c r="BG11">
        <v>430</v>
      </c>
      <c r="BH11">
        <v>134</v>
      </c>
      <c r="BJ11" t="s">
        <v>608</v>
      </c>
      <c r="BK11" t="s">
        <v>384</v>
      </c>
      <c r="BL11">
        <v>6359</v>
      </c>
      <c r="BM11">
        <v>563</v>
      </c>
      <c r="BN11">
        <v>65.261833621600005</v>
      </c>
      <c r="BO11">
        <v>22383</v>
      </c>
      <c r="BP11">
        <v>491</v>
      </c>
      <c r="BQ11">
        <v>108.780011616</v>
      </c>
      <c r="BR11">
        <v>113.9266802444</v>
      </c>
      <c r="BS11">
        <v>2433</v>
      </c>
      <c r="BT11">
        <v>355</v>
      </c>
      <c r="BU11">
        <v>77.862720920699999</v>
      </c>
      <c r="BV11">
        <v>30315</v>
      </c>
      <c r="BW11">
        <v>1484</v>
      </c>
      <c r="BX11">
        <v>114.25657265380001</v>
      </c>
      <c r="BY11">
        <v>95.417789757400001</v>
      </c>
      <c r="CA11" t="s">
        <v>417</v>
      </c>
      <c r="CB11" t="s">
        <v>766</v>
      </c>
      <c r="CC11" t="s">
        <v>996</v>
      </c>
      <c r="CD11">
        <v>727</v>
      </c>
      <c r="CE11">
        <v>63</v>
      </c>
      <c r="CF11">
        <v>62.551581843199997</v>
      </c>
      <c r="CG11">
        <v>3529</v>
      </c>
      <c r="CH11">
        <v>135</v>
      </c>
      <c r="CI11">
        <v>83.588268631299997</v>
      </c>
      <c r="CJ11">
        <v>82.222222222200003</v>
      </c>
      <c r="CL11" t="s">
        <v>417</v>
      </c>
      <c r="CM11" t="s">
        <v>747</v>
      </c>
      <c r="CN11" t="s">
        <v>751</v>
      </c>
      <c r="CO11">
        <v>81</v>
      </c>
      <c r="CP11">
        <v>5</v>
      </c>
      <c r="CQ11">
        <v>60.234567901200002</v>
      </c>
      <c r="CR11">
        <v>539</v>
      </c>
      <c r="CS11">
        <v>24</v>
      </c>
      <c r="CT11">
        <v>60.155844155799997</v>
      </c>
      <c r="CU11">
        <v>40.5</v>
      </c>
      <c r="CW11" t="s">
        <v>417</v>
      </c>
      <c r="CX11" t="s">
        <v>757</v>
      </c>
      <c r="CY11" t="s">
        <v>761</v>
      </c>
      <c r="CZ11">
        <v>12</v>
      </c>
      <c r="DA11">
        <v>0</v>
      </c>
      <c r="DB11">
        <v>34.25</v>
      </c>
      <c r="DC11">
        <v>63</v>
      </c>
      <c r="DD11">
        <v>1</v>
      </c>
      <c r="DE11">
        <v>132.93650793649999</v>
      </c>
      <c r="DF11">
        <v>150</v>
      </c>
      <c r="DH11" t="s">
        <v>417</v>
      </c>
      <c r="DI11" t="s">
        <v>737</v>
      </c>
      <c r="DJ11" t="s">
        <v>741</v>
      </c>
      <c r="DK11">
        <v>17</v>
      </c>
      <c r="DL11">
        <v>1</v>
      </c>
      <c r="DM11">
        <v>55.823529411800003</v>
      </c>
      <c r="DN11">
        <v>47</v>
      </c>
      <c r="DO11">
        <v>3</v>
      </c>
      <c r="DP11">
        <v>110.9787234043</v>
      </c>
      <c r="DQ11">
        <v>63.666666666700003</v>
      </c>
    </row>
    <row r="12" spans="2:121" x14ac:dyDescent="0.2">
      <c r="B12" t="s">
        <v>22</v>
      </c>
      <c r="C12">
        <v>212939</v>
      </c>
      <c r="D12">
        <v>40771</v>
      </c>
      <c r="F12" t="s">
        <v>45</v>
      </c>
      <c r="G12">
        <v>1021</v>
      </c>
      <c r="H12">
        <v>203.2585700294</v>
      </c>
      <c r="I12">
        <v>2498</v>
      </c>
      <c r="J12">
        <v>416</v>
      </c>
      <c r="K12">
        <v>2182</v>
      </c>
      <c r="L12">
        <v>587</v>
      </c>
      <c r="M12">
        <v>956</v>
      </c>
      <c r="N12">
        <v>514</v>
      </c>
      <c r="O12">
        <v>197</v>
      </c>
      <c r="P12">
        <v>103</v>
      </c>
      <c r="Q12">
        <v>0</v>
      </c>
      <c r="R12">
        <v>0</v>
      </c>
      <c r="T12" t="s">
        <v>647</v>
      </c>
      <c r="U12" t="s">
        <v>306</v>
      </c>
      <c r="V12" t="s">
        <v>133</v>
      </c>
      <c r="W12" t="s">
        <v>214</v>
      </c>
      <c r="X12" t="s">
        <v>215</v>
      </c>
      <c r="Y12" t="s">
        <v>216</v>
      </c>
      <c r="Z12" t="s">
        <v>217</v>
      </c>
      <c r="AA12" t="s">
        <v>218</v>
      </c>
      <c r="AB12" t="s">
        <v>219</v>
      </c>
      <c r="AC12" t="s">
        <v>220</v>
      </c>
      <c r="AD12" t="s">
        <v>221</v>
      </c>
      <c r="AE12" t="s">
        <v>222</v>
      </c>
      <c r="AF12" t="s">
        <v>223</v>
      </c>
      <c r="AH12" t="s">
        <v>424</v>
      </c>
      <c r="AI12">
        <v>18260</v>
      </c>
      <c r="AJ12">
        <v>331.5795180723</v>
      </c>
      <c r="AK12">
        <v>26114</v>
      </c>
      <c r="AL12">
        <v>5938</v>
      </c>
      <c r="AM12">
        <v>31491</v>
      </c>
      <c r="AN12">
        <v>16984</v>
      </c>
      <c r="AO12">
        <v>8029</v>
      </c>
      <c r="AP12">
        <v>6275</v>
      </c>
      <c r="AQ12">
        <v>18470</v>
      </c>
      <c r="AR12">
        <v>13399</v>
      </c>
      <c r="AS12">
        <v>2300</v>
      </c>
      <c r="AT12">
        <v>316</v>
      </c>
      <c r="AV12" t="s">
        <v>388</v>
      </c>
      <c r="AW12">
        <v>186</v>
      </c>
      <c r="AX12">
        <v>63.403225806499997</v>
      </c>
      <c r="AY12">
        <v>301</v>
      </c>
      <c r="AZ12">
        <v>30</v>
      </c>
      <c r="BA12">
        <v>313</v>
      </c>
      <c r="BB12">
        <v>42</v>
      </c>
      <c r="BC12">
        <v>4</v>
      </c>
      <c r="BD12">
        <v>4</v>
      </c>
      <c r="BE12">
        <v>25</v>
      </c>
      <c r="BF12">
        <v>3</v>
      </c>
      <c r="BG12">
        <v>77</v>
      </c>
      <c r="BH12">
        <v>29</v>
      </c>
      <c r="BJ12" t="s">
        <v>550</v>
      </c>
      <c r="BK12" t="s">
        <v>384</v>
      </c>
      <c r="BL12">
        <v>5110</v>
      </c>
      <c r="BM12">
        <v>1009</v>
      </c>
      <c r="BN12">
        <v>87.855577299399997</v>
      </c>
      <c r="BO12">
        <v>15618</v>
      </c>
      <c r="BP12">
        <v>715</v>
      </c>
      <c r="BQ12">
        <v>136.9720194647</v>
      </c>
      <c r="BR12">
        <v>126.9006993007</v>
      </c>
      <c r="BS12">
        <v>896</v>
      </c>
      <c r="BT12">
        <v>249</v>
      </c>
      <c r="BU12">
        <v>100.8671875</v>
      </c>
      <c r="BV12">
        <v>12537</v>
      </c>
      <c r="BW12">
        <v>752</v>
      </c>
      <c r="BX12">
        <v>139.3112387333</v>
      </c>
      <c r="BY12">
        <v>130.24202127660001</v>
      </c>
      <c r="CA12" t="s">
        <v>411</v>
      </c>
      <c r="CB12" t="s">
        <v>766</v>
      </c>
      <c r="CC12" t="s">
        <v>997</v>
      </c>
      <c r="CD12">
        <v>6364</v>
      </c>
      <c r="CE12">
        <v>590</v>
      </c>
      <c r="CF12">
        <v>65.410276555600007</v>
      </c>
      <c r="CG12">
        <v>22636</v>
      </c>
      <c r="CH12">
        <v>513</v>
      </c>
      <c r="CI12">
        <v>96.372989927500001</v>
      </c>
      <c r="CJ12">
        <v>103.5068226121</v>
      </c>
      <c r="CL12" t="s">
        <v>411</v>
      </c>
      <c r="CM12" t="s">
        <v>747</v>
      </c>
      <c r="CN12" t="s">
        <v>752</v>
      </c>
      <c r="CO12">
        <v>469</v>
      </c>
      <c r="CP12">
        <v>35</v>
      </c>
      <c r="CQ12">
        <v>60.733475479699997</v>
      </c>
      <c r="CR12">
        <v>2639</v>
      </c>
      <c r="CS12">
        <v>124</v>
      </c>
      <c r="CT12">
        <v>66.887836301600004</v>
      </c>
      <c r="CU12">
        <v>70.161290322599996</v>
      </c>
      <c r="CW12" t="s">
        <v>411</v>
      </c>
      <c r="CX12" t="s">
        <v>757</v>
      </c>
      <c r="CY12" t="s">
        <v>762</v>
      </c>
      <c r="CZ12">
        <v>79</v>
      </c>
      <c r="DA12">
        <v>6</v>
      </c>
      <c r="DB12">
        <v>55.6708860759</v>
      </c>
      <c r="DC12">
        <v>310</v>
      </c>
      <c r="DD12">
        <v>14</v>
      </c>
      <c r="DE12">
        <v>122.94516129030001</v>
      </c>
      <c r="DF12">
        <v>89.571428571400006</v>
      </c>
      <c r="DH12" t="s">
        <v>411</v>
      </c>
      <c r="DI12" t="s">
        <v>737</v>
      </c>
      <c r="DJ12" t="s">
        <v>742</v>
      </c>
      <c r="DK12">
        <v>174</v>
      </c>
      <c r="DL12">
        <v>8</v>
      </c>
      <c r="DM12">
        <v>51.287356321799997</v>
      </c>
      <c r="DN12">
        <v>495</v>
      </c>
      <c r="DO12">
        <v>20</v>
      </c>
      <c r="DP12">
        <v>114.7858585859</v>
      </c>
      <c r="DQ12">
        <v>114.2</v>
      </c>
    </row>
    <row r="13" spans="2:121" x14ac:dyDescent="0.2">
      <c r="B13" t="s">
        <v>113</v>
      </c>
      <c r="C13">
        <v>15376</v>
      </c>
      <c r="D13">
        <v>2901</v>
      </c>
      <c r="F13" t="s">
        <v>66</v>
      </c>
      <c r="G13">
        <v>5254</v>
      </c>
      <c r="H13">
        <v>376.50323563000001</v>
      </c>
      <c r="I13">
        <v>4663</v>
      </c>
      <c r="J13">
        <v>913</v>
      </c>
      <c r="K13">
        <v>8143</v>
      </c>
      <c r="L13">
        <v>4490</v>
      </c>
      <c r="M13">
        <v>3240</v>
      </c>
      <c r="N13">
        <v>2814</v>
      </c>
      <c r="O13">
        <v>2229</v>
      </c>
      <c r="P13">
        <v>1720</v>
      </c>
      <c r="Q13">
        <v>0</v>
      </c>
      <c r="R13">
        <v>107</v>
      </c>
      <c r="T13" t="s">
        <v>384</v>
      </c>
      <c r="U13">
        <v>38138</v>
      </c>
      <c r="V13">
        <v>329.04790497670001</v>
      </c>
      <c r="W13">
        <v>65809</v>
      </c>
      <c r="X13">
        <v>13293</v>
      </c>
      <c r="Y13">
        <v>77982</v>
      </c>
      <c r="Z13">
        <v>34586</v>
      </c>
      <c r="AA13">
        <v>21628</v>
      </c>
      <c r="AB13">
        <v>15720</v>
      </c>
      <c r="AC13">
        <v>19763</v>
      </c>
      <c r="AD13">
        <v>12162</v>
      </c>
      <c r="AE13">
        <v>55</v>
      </c>
      <c r="AF13">
        <v>1215</v>
      </c>
      <c r="AH13" t="s">
        <v>380</v>
      </c>
      <c r="AI13">
        <v>13255</v>
      </c>
      <c r="AJ13">
        <v>344.71429649189997</v>
      </c>
      <c r="AK13">
        <v>19442</v>
      </c>
      <c r="AL13">
        <v>5139</v>
      </c>
      <c r="AM13">
        <v>24010</v>
      </c>
      <c r="AN13">
        <v>13289</v>
      </c>
      <c r="AO13">
        <v>8757</v>
      </c>
      <c r="AP13">
        <v>7269</v>
      </c>
      <c r="AQ13">
        <v>9629</v>
      </c>
      <c r="AR13">
        <v>6838</v>
      </c>
      <c r="AS13">
        <v>1157</v>
      </c>
      <c r="AT13">
        <v>44</v>
      </c>
      <c r="AV13" t="s">
        <v>426</v>
      </c>
      <c r="AW13">
        <v>1558</v>
      </c>
      <c r="AX13">
        <v>122.890885751</v>
      </c>
      <c r="AY13">
        <v>648</v>
      </c>
      <c r="AZ13">
        <v>101</v>
      </c>
      <c r="BA13">
        <v>1835</v>
      </c>
      <c r="BB13">
        <v>785</v>
      </c>
      <c r="BC13">
        <v>2</v>
      </c>
      <c r="BD13">
        <v>2</v>
      </c>
      <c r="BE13">
        <v>17</v>
      </c>
      <c r="BF13">
        <v>9</v>
      </c>
      <c r="BG13">
        <v>76</v>
      </c>
      <c r="BH13">
        <v>84</v>
      </c>
      <c r="BJ13" t="s">
        <v>587</v>
      </c>
      <c r="BK13" t="s">
        <v>384</v>
      </c>
      <c r="BL13">
        <v>3346</v>
      </c>
      <c r="BM13">
        <v>462</v>
      </c>
      <c r="BN13">
        <v>76.860430364600006</v>
      </c>
      <c r="BO13">
        <v>6179</v>
      </c>
      <c r="BP13">
        <v>391</v>
      </c>
      <c r="BQ13">
        <v>130.82715649779999</v>
      </c>
      <c r="BR13">
        <v>120.7289002558</v>
      </c>
      <c r="BS13">
        <v>1792</v>
      </c>
      <c r="BT13">
        <v>210</v>
      </c>
      <c r="BU13">
        <v>73.5390625</v>
      </c>
      <c r="BV13">
        <v>10630</v>
      </c>
      <c r="BW13">
        <v>513</v>
      </c>
      <c r="BX13">
        <v>140.1086547507</v>
      </c>
      <c r="BY13">
        <v>117.6647173489</v>
      </c>
      <c r="CA13" t="s">
        <v>409</v>
      </c>
      <c r="CB13" t="s">
        <v>766</v>
      </c>
      <c r="CC13" t="s">
        <v>998</v>
      </c>
      <c r="CD13">
        <v>36477</v>
      </c>
      <c r="CE13">
        <v>7563</v>
      </c>
      <c r="CF13">
        <v>87.617238259700002</v>
      </c>
      <c r="CG13">
        <v>99861</v>
      </c>
      <c r="CH13">
        <v>4990</v>
      </c>
      <c r="CI13">
        <v>129.40384133949999</v>
      </c>
      <c r="CJ13">
        <v>126.6056112224</v>
      </c>
      <c r="CL13" t="s">
        <v>409</v>
      </c>
      <c r="CM13" t="s">
        <v>747</v>
      </c>
      <c r="CN13" t="s">
        <v>753</v>
      </c>
      <c r="CO13">
        <v>1821</v>
      </c>
      <c r="CP13">
        <v>158</v>
      </c>
      <c r="CQ13">
        <v>60.913783635400002</v>
      </c>
      <c r="CR13">
        <v>10679</v>
      </c>
      <c r="CS13">
        <v>570</v>
      </c>
      <c r="CT13">
        <v>68.157505384399997</v>
      </c>
      <c r="CU13">
        <v>67.049122807000003</v>
      </c>
      <c r="CW13" t="s">
        <v>409</v>
      </c>
      <c r="CX13" t="s">
        <v>757</v>
      </c>
      <c r="CY13" t="s">
        <v>763</v>
      </c>
      <c r="CZ13">
        <v>882</v>
      </c>
      <c r="DA13">
        <v>109</v>
      </c>
      <c r="DB13">
        <v>64.281179138300004</v>
      </c>
      <c r="DC13">
        <v>2758</v>
      </c>
      <c r="DD13">
        <v>108</v>
      </c>
      <c r="DE13">
        <v>130.15518491660001</v>
      </c>
      <c r="DF13">
        <v>108.3425925926</v>
      </c>
      <c r="DH13" t="s">
        <v>409</v>
      </c>
      <c r="DI13" t="s">
        <v>737</v>
      </c>
      <c r="DJ13" t="s">
        <v>743</v>
      </c>
      <c r="DK13">
        <v>946</v>
      </c>
      <c r="DL13">
        <v>93</v>
      </c>
      <c r="DM13">
        <v>61.5475687104</v>
      </c>
      <c r="DN13">
        <v>2832</v>
      </c>
      <c r="DO13">
        <v>113</v>
      </c>
      <c r="DP13">
        <v>124.8675847458</v>
      </c>
      <c r="DQ13">
        <v>119.3185840708</v>
      </c>
    </row>
    <row r="14" spans="2:121" x14ac:dyDescent="0.2">
      <c r="B14" t="s">
        <v>112</v>
      </c>
      <c r="C14">
        <v>6712</v>
      </c>
      <c r="D14">
        <v>494</v>
      </c>
      <c r="F14" t="s">
        <v>75</v>
      </c>
      <c r="G14">
        <v>3293</v>
      </c>
      <c r="H14">
        <v>228.13574248410001</v>
      </c>
      <c r="I14">
        <v>6294</v>
      </c>
      <c r="J14">
        <v>1297</v>
      </c>
      <c r="K14">
        <v>6811</v>
      </c>
      <c r="L14">
        <v>2938</v>
      </c>
      <c r="M14">
        <v>2133</v>
      </c>
      <c r="N14">
        <v>1807</v>
      </c>
      <c r="O14">
        <v>1245</v>
      </c>
      <c r="P14">
        <v>1018</v>
      </c>
      <c r="Q14">
        <v>0</v>
      </c>
      <c r="R14">
        <v>55</v>
      </c>
      <c r="T14" t="s">
        <v>389</v>
      </c>
      <c r="U14">
        <v>32139</v>
      </c>
      <c r="V14">
        <v>318.36569277199999</v>
      </c>
      <c r="W14">
        <v>59930</v>
      </c>
      <c r="X14">
        <v>11634</v>
      </c>
      <c r="Y14">
        <v>73050</v>
      </c>
      <c r="Z14">
        <v>28140</v>
      </c>
      <c r="AA14">
        <v>19086</v>
      </c>
      <c r="AB14">
        <v>14739</v>
      </c>
      <c r="AC14">
        <v>12166</v>
      </c>
      <c r="AD14">
        <v>8483</v>
      </c>
      <c r="AE14">
        <v>7987</v>
      </c>
      <c r="AF14">
        <v>1106</v>
      </c>
      <c r="AH14" t="s">
        <v>427</v>
      </c>
      <c r="AI14">
        <v>971</v>
      </c>
      <c r="AJ14">
        <v>248.6508753862</v>
      </c>
      <c r="AK14">
        <v>2081</v>
      </c>
      <c r="AL14">
        <v>320</v>
      </c>
      <c r="AM14">
        <v>2154</v>
      </c>
      <c r="AN14">
        <v>715</v>
      </c>
      <c r="AO14">
        <v>1090</v>
      </c>
      <c r="AP14">
        <v>621</v>
      </c>
      <c r="AQ14">
        <v>649</v>
      </c>
      <c r="AR14">
        <v>399</v>
      </c>
      <c r="AS14">
        <v>2</v>
      </c>
      <c r="AT14">
        <v>4</v>
      </c>
      <c r="AV14" t="s">
        <v>394</v>
      </c>
      <c r="AW14">
        <v>515</v>
      </c>
      <c r="AX14">
        <v>55.722330097099999</v>
      </c>
      <c r="AY14">
        <v>1070</v>
      </c>
      <c r="AZ14">
        <v>148</v>
      </c>
      <c r="BA14">
        <v>798</v>
      </c>
      <c r="BB14">
        <v>76</v>
      </c>
      <c r="BC14">
        <v>1</v>
      </c>
      <c r="BD14">
        <v>1</v>
      </c>
      <c r="BE14">
        <v>62</v>
      </c>
      <c r="BF14">
        <v>15</v>
      </c>
      <c r="BG14">
        <v>122</v>
      </c>
      <c r="BH14">
        <v>120</v>
      </c>
      <c r="BJ14" t="s">
        <v>604</v>
      </c>
      <c r="BK14" t="s">
        <v>384</v>
      </c>
      <c r="BL14">
        <v>16535</v>
      </c>
      <c r="BM14">
        <v>3013</v>
      </c>
      <c r="BN14">
        <v>81.7808285455</v>
      </c>
      <c r="BO14">
        <v>48249</v>
      </c>
      <c r="BP14">
        <v>2380</v>
      </c>
      <c r="BQ14">
        <v>130.15231403760001</v>
      </c>
      <c r="BR14">
        <v>126.45</v>
      </c>
      <c r="BS14">
        <v>8786</v>
      </c>
      <c r="BT14">
        <v>1306</v>
      </c>
      <c r="BU14">
        <v>79.879581151799997</v>
      </c>
      <c r="BV14">
        <v>43660</v>
      </c>
      <c r="BW14">
        <v>2021</v>
      </c>
      <c r="BX14">
        <v>132.58735684839999</v>
      </c>
      <c r="BY14">
        <v>136.66551212269999</v>
      </c>
      <c r="CA14" t="s">
        <v>405</v>
      </c>
      <c r="CB14" t="s">
        <v>766</v>
      </c>
      <c r="CC14" t="s">
        <v>999</v>
      </c>
      <c r="CD14">
        <v>1769</v>
      </c>
      <c r="CE14">
        <v>407</v>
      </c>
      <c r="CF14">
        <v>91.816845675500005</v>
      </c>
      <c r="CG14">
        <v>5093</v>
      </c>
      <c r="CH14">
        <v>235</v>
      </c>
      <c r="CI14">
        <v>134.37247202040001</v>
      </c>
      <c r="CJ14">
        <v>140.1574468085</v>
      </c>
      <c r="CL14" t="s">
        <v>405</v>
      </c>
      <c r="CM14" t="s">
        <v>747</v>
      </c>
      <c r="CN14" t="s">
        <v>754</v>
      </c>
      <c r="CO14">
        <v>149</v>
      </c>
      <c r="CP14">
        <v>20</v>
      </c>
      <c r="CQ14">
        <v>66.651006711400001</v>
      </c>
      <c r="CR14">
        <v>917</v>
      </c>
      <c r="CS14">
        <v>43</v>
      </c>
      <c r="CT14">
        <v>68.702290076300002</v>
      </c>
      <c r="CU14">
        <v>70.976744186000005</v>
      </c>
      <c r="CW14" t="s">
        <v>405</v>
      </c>
      <c r="CX14" t="s">
        <v>757</v>
      </c>
      <c r="CY14" t="s">
        <v>764</v>
      </c>
      <c r="CZ14">
        <v>69</v>
      </c>
      <c r="DA14">
        <v>14</v>
      </c>
      <c r="DB14">
        <v>98.391304347800002</v>
      </c>
      <c r="DC14">
        <v>143</v>
      </c>
      <c r="DD14">
        <v>5</v>
      </c>
      <c r="DE14">
        <v>135.8461538462</v>
      </c>
      <c r="DF14">
        <v>91.4</v>
      </c>
      <c r="DH14" t="s">
        <v>405</v>
      </c>
      <c r="DI14" t="s">
        <v>737</v>
      </c>
      <c r="DJ14" t="s">
        <v>744</v>
      </c>
      <c r="DK14">
        <v>46</v>
      </c>
      <c r="DL14">
        <v>8</v>
      </c>
      <c r="DM14">
        <v>70.804347826099999</v>
      </c>
      <c r="DN14">
        <v>171</v>
      </c>
      <c r="DO14">
        <v>9</v>
      </c>
      <c r="DP14">
        <v>130.49122807020001</v>
      </c>
      <c r="DQ14">
        <v>142.8888888889</v>
      </c>
    </row>
    <row r="15" spans="2:121" x14ac:dyDescent="0.2">
      <c r="B15" t="s">
        <v>114</v>
      </c>
      <c r="C15">
        <v>6282</v>
      </c>
      <c r="D15">
        <v>349</v>
      </c>
      <c r="F15" t="s">
        <v>65</v>
      </c>
      <c r="G15">
        <v>2875</v>
      </c>
      <c r="H15">
        <v>368.25182608699998</v>
      </c>
      <c r="I15">
        <v>4671</v>
      </c>
      <c r="J15">
        <v>1424</v>
      </c>
      <c r="K15">
        <v>5490</v>
      </c>
      <c r="L15">
        <v>2892</v>
      </c>
      <c r="M15">
        <v>578</v>
      </c>
      <c r="N15">
        <v>466</v>
      </c>
      <c r="O15">
        <v>802</v>
      </c>
      <c r="P15">
        <v>588</v>
      </c>
      <c r="Q15">
        <v>0</v>
      </c>
      <c r="R15">
        <v>1</v>
      </c>
      <c r="T15" t="s">
        <v>368</v>
      </c>
      <c r="U15">
        <v>61989</v>
      </c>
      <c r="V15">
        <v>426.55275936049998</v>
      </c>
      <c r="W15">
        <v>80383</v>
      </c>
      <c r="X15">
        <v>18005</v>
      </c>
      <c r="Y15">
        <v>108563</v>
      </c>
      <c r="Z15">
        <v>57090</v>
      </c>
      <c r="AA15">
        <v>36883</v>
      </c>
      <c r="AB15">
        <v>29172</v>
      </c>
      <c r="AC15">
        <v>28987</v>
      </c>
      <c r="AD15">
        <v>23916</v>
      </c>
      <c r="AE15">
        <v>14337</v>
      </c>
      <c r="AF15">
        <v>48</v>
      </c>
      <c r="AH15" t="s">
        <v>407</v>
      </c>
      <c r="AI15">
        <v>664</v>
      </c>
      <c r="AJ15">
        <v>198.79819277109999</v>
      </c>
      <c r="AK15">
        <v>1842</v>
      </c>
      <c r="AL15">
        <v>482</v>
      </c>
      <c r="AM15">
        <v>1693</v>
      </c>
      <c r="AN15">
        <v>418</v>
      </c>
      <c r="AO15">
        <v>411</v>
      </c>
      <c r="AP15">
        <v>192</v>
      </c>
      <c r="AQ15">
        <v>485</v>
      </c>
      <c r="AR15">
        <v>299</v>
      </c>
      <c r="AS15">
        <v>1</v>
      </c>
      <c r="AT15">
        <v>7</v>
      </c>
      <c r="AV15" t="s">
        <v>399</v>
      </c>
      <c r="AW15">
        <v>67</v>
      </c>
      <c r="AX15">
        <v>50.791044776100001</v>
      </c>
      <c r="AY15">
        <v>85</v>
      </c>
      <c r="AZ15">
        <v>2</v>
      </c>
      <c r="BA15">
        <v>109</v>
      </c>
      <c r="BB15">
        <v>6</v>
      </c>
      <c r="BC15">
        <v>0</v>
      </c>
      <c r="BE15">
        <v>6</v>
      </c>
      <c r="BF15">
        <v>1</v>
      </c>
      <c r="BG15">
        <v>238</v>
      </c>
      <c r="BH15">
        <v>28</v>
      </c>
      <c r="BJ15" t="s">
        <v>566</v>
      </c>
      <c r="BK15" t="s">
        <v>389</v>
      </c>
      <c r="BL15">
        <v>6474</v>
      </c>
      <c r="BM15">
        <v>1691</v>
      </c>
      <c r="BN15">
        <v>102.0531356194</v>
      </c>
      <c r="BO15">
        <v>18073</v>
      </c>
      <c r="BP15">
        <v>830</v>
      </c>
      <c r="BQ15">
        <v>141.60045371550001</v>
      </c>
      <c r="BR15">
        <v>134.36867469879999</v>
      </c>
      <c r="BS15">
        <v>1744</v>
      </c>
      <c r="BT15">
        <v>687</v>
      </c>
      <c r="BU15">
        <v>123.09288990829999</v>
      </c>
      <c r="BV15">
        <v>12344</v>
      </c>
      <c r="BW15">
        <v>594</v>
      </c>
      <c r="BX15">
        <v>130.33676279970001</v>
      </c>
      <c r="BY15">
        <v>151.25757575759999</v>
      </c>
      <c r="CA15" t="s">
        <v>420</v>
      </c>
      <c r="CB15" t="s">
        <v>766</v>
      </c>
      <c r="CC15" t="s">
        <v>1000</v>
      </c>
      <c r="CD15">
        <v>761</v>
      </c>
      <c r="CE15">
        <v>74</v>
      </c>
      <c r="CF15">
        <v>67.729303548000004</v>
      </c>
      <c r="CG15">
        <v>2608</v>
      </c>
      <c r="CH15">
        <v>90</v>
      </c>
      <c r="CI15">
        <v>117.3009969325</v>
      </c>
      <c r="CJ15">
        <v>101.0888888889</v>
      </c>
      <c r="CL15" t="s">
        <v>420</v>
      </c>
      <c r="CM15" t="s">
        <v>747</v>
      </c>
      <c r="CN15" t="s">
        <v>755</v>
      </c>
      <c r="CO15">
        <v>22</v>
      </c>
      <c r="CP15">
        <v>2</v>
      </c>
      <c r="CQ15">
        <v>61.863636363600001</v>
      </c>
      <c r="CR15">
        <v>172</v>
      </c>
      <c r="CS15">
        <v>9</v>
      </c>
      <c r="CT15">
        <v>60.9593023256</v>
      </c>
      <c r="CU15">
        <v>77</v>
      </c>
      <c r="CW15" t="s">
        <v>420</v>
      </c>
      <c r="CX15" t="s">
        <v>757</v>
      </c>
      <c r="CY15" t="s">
        <v>765</v>
      </c>
      <c r="CZ15">
        <v>15</v>
      </c>
      <c r="DA15">
        <v>1</v>
      </c>
      <c r="DB15">
        <v>41.866666666699999</v>
      </c>
      <c r="DC15">
        <v>44</v>
      </c>
      <c r="DD15">
        <v>2</v>
      </c>
      <c r="DE15">
        <v>138.4318181818</v>
      </c>
      <c r="DF15">
        <v>79</v>
      </c>
      <c r="DH15" t="s">
        <v>420</v>
      </c>
      <c r="DI15" t="s">
        <v>737</v>
      </c>
      <c r="DJ15" t="s">
        <v>745</v>
      </c>
      <c r="DK15">
        <v>6</v>
      </c>
      <c r="DL15">
        <v>0</v>
      </c>
      <c r="DM15">
        <v>45.333333333299997</v>
      </c>
      <c r="DN15">
        <v>42</v>
      </c>
      <c r="DO15">
        <v>0</v>
      </c>
      <c r="DP15">
        <v>120.7857142857</v>
      </c>
      <c r="DQ15">
        <v>0</v>
      </c>
    </row>
    <row r="16" spans="2:121" x14ac:dyDescent="0.2">
      <c r="B16" t="s">
        <v>122</v>
      </c>
      <c r="C16">
        <v>505</v>
      </c>
      <c r="D16">
        <v>21</v>
      </c>
      <c r="F16" t="s">
        <v>63</v>
      </c>
      <c r="G16">
        <v>4083</v>
      </c>
      <c r="H16">
        <v>403.48787656140001</v>
      </c>
      <c r="I16">
        <v>13655</v>
      </c>
      <c r="J16">
        <v>3646</v>
      </c>
      <c r="K16">
        <v>8156</v>
      </c>
      <c r="L16">
        <v>4221</v>
      </c>
      <c r="M16">
        <v>1660</v>
      </c>
      <c r="N16">
        <v>1397</v>
      </c>
      <c r="O16">
        <v>6960</v>
      </c>
      <c r="P16">
        <v>6358</v>
      </c>
      <c r="Q16">
        <v>14328</v>
      </c>
      <c r="R16">
        <v>0</v>
      </c>
      <c r="T16" t="s">
        <v>8</v>
      </c>
      <c r="U16">
        <v>78</v>
      </c>
      <c r="V16">
        <v>373.51282051279998</v>
      </c>
      <c r="W16">
        <v>63</v>
      </c>
      <c r="X16">
        <v>53</v>
      </c>
      <c r="Y16">
        <v>261</v>
      </c>
      <c r="Z16">
        <v>93</v>
      </c>
      <c r="AA16">
        <v>111</v>
      </c>
      <c r="AB16">
        <v>59</v>
      </c>
      <c r="AC16">
        <v>65970</v>
      </c>
      <c r="AD16">
        <v>39941</v>
      </c>
      <c r="AE16">
        <v>0</v>
      </c>
      <c r="AF16">
        <v>0</v>
      </c>
      <c r="AH16" t="s">
        <v>393</v>
      </c>
      <c r="AI16">
        <v>5211</v>
      </c>
      <c r="AJ16">
        <v>447.29687200149999</v>
      </c>
      <c r="AK16">
        <v>7732</v>
      </c>
      <c r="AL16">
        <v>1868</v>
      </c>
      <c r="AM16">
        <v>9481</v>
      </c>
      <c r="AN16">
        <v>5121</v>
      </c>
      <c r="AO16">
        <v>2263</v>
      </c>
      <c r="AP16">
        <v>1990</v>
      </c>
      <c r="AQ16">
        <v>3320</v>
      </c>
      <c r="AR16">
        <v>2078</v>
      </c>
      <c r="AS16">
        <v>890</v>
      </c>
      <c r="AT16">
        <v>220</v>
      </c>
      <c r="AV16" t="s">
        <v>371</v>
      </c>
      <c r="AW16">
        <v>93</v>
      </c>
      <c r="AX16">
        <v>90.247311827999994</v>
      </c>
      <c r="AY16">
        <v>128</v>
      </c>
      <c r="AZ16">
        <v>23</v>
      </c>
      <c r="BA16">
        <v>128</v>
      </c>
      <c r="BB16">
        <v>37</v>
      </c>
      <c r="BC16">
        <v>0</v>
      </c>
      <c r="BE16">
        <v>7</v>
      </c>
      <c r="BF16">
        <v>3</v>
      </c>
      <c r="BG16">
        <v>15</v>
      </c>
      <c r="BH16">
        <v>12</v>
      </c>
      <c r="BJ16" t="s">
        <v>558</v>
      </c>
      <c r="BK16" t="s">
        <v>389</v>
      </c>
      <c r="BL16">
        <v>7695</v>
      </c>
      <c r="BM16">
        <v>1571</v>
      </c>
      <c r="BN16">
        <v>95.831189083799998</v>
      </c>
      <c r="BO16">
        <v>24531</v>
      </c>
      <c r="BP16">
        <v>1054</v>
      </c>
      <c r="BQ16">
        <v>130.62981533569999</v>
      </c>
      <c r="BR16">
        <v>128.6992409867</v>
      </c>
      <c r="BS16">
        <v>3454</v>
      </c>
      <c r="BT16">
        <v>901</v>
      </c>
      <c r="BU16">
        <v>101.7808338159</v>
      </c>
      <c r="BV16">
        <v>27748</v>
      </c>
      <c r="BW16">
        <v>1279</v>
      </c>
      <c r="BX16">
        <v>135.23432319450001</v>
      </c>
      <c r="BY16">
        <v>120.2298670837</v>
      </c>
      <c r="CA16" t="s">
        <v>384</v>
      </c>
      <c r="CB16" t="s">
        <v>766</v>
      </c>
      <c r="CD16">
        <v>66207</v>
      </c>
      <c r="CE16">
        <v>12968</v>
      </c>
      <c r="CF16">
        <v>86.896974640099998</v>
      </c>
      <c r="CG16">
        <v>191542</v>
      </c>
      <c r="CH16">
        <v>8530</v>
      </c>
      <c r="CI16">
        <v>126.02920508299999</v>
      </c>
      <c r="CJ16">
        <v>125.4487690504</v>
      </c>
      <c r="CL16" t="s">
        <v>384</v>
      </c>
      <c r="CM16" t="s">
        <v>747</v>
      </c>
      <c r="CO16">
        <v>3904</v>
      </c>
      <c r="CP16">
        <v>424</v>
      </c>
      <c r="CQ16">
        <v>65.380379098399999</v>
      </c>
      <c r="CR16">
        <v>22955</v>
      </c>
      <c r="CS16">
        <v>1173</v>
      </c>
      <c r="CT16">
        <v>68.208669135299999</v>
      </c>
      <c r="CU16">
        <v>68.886615515800003</v>
      </c>
      <c r="CW16" t="s">
        <v>384</v>
      </c>
      <c r="CX16" t="s">
        <v>757</v>
      </c>
      <c r="CZ16">
        <v>1417</v>
      </c>
      <c r="DA16">
        <v>183</v>
      </c>
      <c r="DB16">
        <v>66.593507410000001</v>
      </c>
      <c r="DC16">
        <v>4529</v>
      </c>
      <c r="DD16">
        <v>180</v>
      </c>
      <c r="DE16">
        <v>129.8319717377</v>
      </c>
      <c r="DF16">
        <v>104.60555555560001</v>
      </c>
      <c r="DH16" t="s">
        <v>384</v>
      </c>
      <c r="DI16" t="s">
        <v>737</v>
      </c>
      <c r="DK16">
        <v>1757</v>
      </c>
      <c r="DL16">
        <v>143</v>
      </c>
      <c r="DM16">
        <v>57.900398406400001</v>
      </c>
      <c r="DN16">
        <v>5268</v>
      </c>
      <c r="DO16">
        <v>189</v>
      </c>
      <c r="DP16">
        <v>121.5261958998</v>
      </c>
      <c r="DQ16">
        <v>114.99470899470001</v>
      </c>
    </row>
    <row r="17" spans="2:121" x14ac:dyDescent="0.2">
      <c r="B17" t="s">
        <v>157</v>
      </c>
      <c r="C17">
        <v>3920</v>
      </c>
      <c r="D17">
        <v>3664</v>
      </c>
      <c r="F17" t="s">
        <v>73</v>
      </c>
      <c r="G17">
        <v>9148</v>
      </c>
      <c r="H17">
        <v>386.49376912989999</v>
      </c>
      <c r="I17">
        <v>7889</v>
      </c>
      <c r="J17">
        <v>1437</v>
      </c>
      <c r="K17">
        <v>18136</v>
      </c>
      <c r="L17">
        <v>9352</v>
      </c>
      <c r="M17">
        <v>4726</v>
      </c>
      <c r="N17">
        <v>3197</v>
      </c>
      <c r="O17">
        <v>4219</v>
      </c>
      <c r="P17">
        <v>3512</v>
      </c>
      <c r="Q17">
        <v>5</v>
      </c>
      <c r="R17">
        <v>160</v>
      </c>
      <c r="T17" t="s">
        <v>403</v>
      </c>
      <c r="U17">
        <v>42040</v>
      </c>
      <c r="V17">
        <v>382.35756422449998</v>
      </c>
      <c r="W17">
        <v>64853</v>
      </c>
      <c r="X17">
        <v>13014</v>
      </c>
      <c r="Y17">
        <v>85620</v>
      </c>
      <c r="Z17">
        <v>42285</v>
      </c>
      <c r="AA17">
        <v>25327</v>
      </c>
      <c r="AB17">
        <v>18644</v>
      </c>
      <c r="AC17">
        <v>19166</v>
      </c>
      <c r="AD17">
        <v>14799</v>
      </c>
      <c r="AE17">
        <v>465</v>
      </c>
      <c r="AF17">
        <v>768</v>
      </c>
      <c r="AH17" t="s">
        <v>391</v>
      </c>
      <c r="AI17">
        <v>4275</v>
      </c>
      <c r="AJ17">
        <v>614.61122807020001</v>
      </c>
      <c r="AK17">
        <v>5243</v>
      </c>
      <c r="AL17">
        <v>946</v>
      </c>
      <c r="AM17">
        <v>9028</v>
      </c>
      <c r="AN17">
        <v>4990</v>
      </c>
      <c r="AO17">
        <v>2691</v>
      </c>
      <c r="AP17">
        <v>2280</v>
      </c>
      <c r="AQ17">
        <v>3027</v>
      </c>
      <c r="AR17">
        <v>2277</v>
      </c>
      <c r="AS17">
        <v>660</v>
      </c>
      <c r="AT17">
        <v>239</v>
      </c>
      <c r="AV17" t="s">
        <v>419</v>
      </c>
      <c r="AW17">
        <v>44</v>
      </c>
      <c r="AX17">
        <v>72.704545454500007</v>
      </c>
      <c r="AY17">
        <v>46</v>
      </c>
      <c r="AZ17">
        <v>1</v>
      </c>
      <c r="BA17">
        <v>70</v>
      </c>
      <c r="BB17">
        <v>7</v>
      </c>
      <c r="BC17">
        <v>1</v>
      </c>
      <c r="BD17">
        <v>1</v>
      </c>
      <c r="BE17">
        <v>4</v>
      </c>
      <c r="BF17">
        <v>1</v>
      </c>
      <c r="BG17">
        <v>107</v>
      </c>
      <c r="BH17">
        <v>7</v>
      </c>
      <c r="BJ17" t="s">
        <v>575</v>
      </c>
      <c r="BK17" t="s">
        <v>389</v>
      </c>
      <c r="BL17">
        <v>2712</v>
      </c>
      <c r="BM17">
        <v>368</v>
      </c>
      <c r="BN17">
        <v>74.778761061899999</v>
      </c>
      <c r="BO17">
        <v>7532</v>
      </c>
      <c r="BP17">
        <v>276</v>
      </c>
      <c r="BQ17">
        <v>111.7991237387</v>
      </c>
      <c r="BR17">
        <v>111.7355072464</v>
      </c>
      <c r="BS17">
        <v>1212</v>
      </c>
      <c r="BT17">
        <v>346</v>
      </c>
      <c r="BU17">
        <v>99.358910891099995</v>
      </c>
      <c r="BV17">
        <v>9687</v>
      </c>
      <c r="BW17">
        <v>347</v>
      </c>
      <c r="BX17">
        <v>125.7996283679</v>
      </c>
      <c r="BY17">
        <v>133.33141210369999</v>
      </c>
      <c r="CA17" t="s">
        <v>393</v>
      </c>
      <c r="CB17" t="s">
        <v>806</v>
      </c>
      <c r="CC17" t="s">
        <v>1001</v>
      </c>
      <c r="CD17">
        <v>7447</v>
      </c>
      <c r="CE17">
        <v>1784</v>
      </c>
      <c r="CF17">
        <v>97.344971129300006</v>
      </c>
      <c r="CG17">
        <v>19258</v>
      </c>
      <c r="CH17">
        <v>899</v>
      </c>
      <c r="CI17">
        <v>137.55981929590001</v>
      </c>
      <c r="CJ17">
        <v>129.62847608449999</v>
      </c>
      <c r="CL17" t="s">
        <v>393</v>
      </c>
      <c r="CM17" t="s">
        <v>781</v>
      </c>
      <c r="CN17" t="s">
        <v>780</v>
      </c>
      <c r="CO17">
        <v>581</v>
      </c>
      <c r="CP17">
        <v>82</v>
      </c>
      <c r="CQ17">
        <v>73.645438898500004</v>
      </c>
      <c r="CR17">
        <v>3941</v>
      </c>
      <c r="CS17">
        <v>168</v>
      </c>
      <c r="CT17">
        <v>72.7916772393</v>
      </c>
      <c r="CU17">
        <v>68.505952381</v>
      </c>
      <c r="CW17" t="s">
        <v>393</v>
      </c>
      <c r="CX17" t="s">
        <v>794</v>
      </c>
      <c r="CY17" t="s">
        <v>793</v>
      </c>
      <c r="CZ17">
        <v>173</v>
      </c>
      <c r="DA17">
        <v>26</v>
      </c>
      <c r="DB17">
        <v>72.757225433499997</v>
      </c>
      <c r="DC17">
        <v>516</v>
      </c>
      <c r="DD17">
        <v>19</v>
      </c>
      <c r="DE17">
        <v>135.81395348839999</v>
      </c>
      <c r="DF17">
        <v>104.1052631579</v>
      </c>
      <c r="DH17" t="s">
        <v>393</v>
      </c>
      <c r="DI17" t="s">
        <v>768</v>
      </c>
      <c r="DJ17" t="s">
        <v>767</v>
      </c>
      <c r="DK17">
        <v>179</v>
      </c>
      <c r="DL17">
        <v>20</v>
      </c>
      <c r="DM17">
        <v>62.815642458100001</v>
      </c>
      <c r="DN17">
        <v>468</v>
      </c>
      <c r="DO17">
        <v>21</v>
      </c>
      <c r="DP17">
        <v>124.2435897436</v>
      </c>
      <c r="DQ17">
        <v>119.2380952381</v>
      </c>
    </row>
    <row r="18" spans="2:121" x14ac:dyDescent="0.2">
      <c r="B18" t="s">
        <v>93</v>
      </c>
      <c r="C18">
        <v>216</v>
      </c>
      <c r="D18">
        <v>141</v>
      </c>
      <c r="F18" t="s">
        <v>51</v>
      </c>
      <c r="G18">
        <v>3120</v>
      </c>
      <c r="H18">
        <v>261.95608974359999</v>
      </c>
      <c r="I18">
        <v>3364</v>
      </c>
      <c r="J18">
        <v>466</v>
      </c>
      <c r="K18">
        <v>7443</v>
      </c>
      <c r="L18">
        <v>3178</v>
      </c>
      <c r="M18">
        <v>3573</v>
      </c>
      <c r="N18">
        <v>2684</v>
      </c>
      <c r="O18">
        <v>1703</v>
      </c>
      <c r="P18">
        <v>1133</v>
      </c>
      <c r="Q18">
        <v>0</v>
      </c>
      <c r="R18">
        <v>96</v>
      </c>
      <c r="T18" t="s">
        <v>379</v>
      </c>
      <c r="U18">
        <v>54508</v>
      </c>
      <c r="V18">
        <v>346.55720261250002</v>
      </c>
      <c r="W18">
        <v>74474</v>
      </c>
      <c r="X18">
        <v>17452</v>
      </c>
      <c r="Y18">
        <v>95396</v>
      </c>
      <c r="Z18">
        <v>50953</v>
      </c>
      <c r="AA18">
        <v>27824</v>
      </c>
      <c r="AB18">
        <v>23276</v>
      </c>
      <c r="AC18">
        <v>25508</v>
      </c>
      <c r="AD18">
        <v>19063</v>
      </c>
      <c r="AE18">
        <v>191</v>
      </c>
      <c r="AF18">
        <v>1395</v>
      </c>
      <c r="AH18" t="s">
        <v>398</v>
      </c>
      <c r="AI18">
        <v>838</v>
      </c>
      <c r="AJ18">
        <v>179.84367541770001</v>
      </c>
      <c r="AK18">
        <v>2872</v>
      </c>
      <c r="AL18">
        <v>395</v>
      </c>
      <c r="AM18">
        <v>2451</v>
      </c>
      <c r="AN18">
        <v>425</v>
      </c>
      <c r="AO18">
        <v>336</v>
      </c>
      <c r="AP18">
        <v>215</v>
      </c>
      <c r="AQ18">
        <v>591</v>
      </c>
      <c r="AR18">
        <v>332</v>
      </c>
      <c r="AS18">
        <v>2</v>
      </c>
      <c r="AT18">
        <v>10</v>
      </c>
      <c r="AV18" t="s">
        <v>387</v>
      </c>
      <c r="AW18">
        <v>550</v>
      </c>
      <c r="AX18">
        <v>58.921818181799999</v>
      </c>
      <c r="AY18">
        <v>805</v>
      </c>
      <c r="AZ18">
        <v>81</v>
      </c>
      <c r="BA18">
        <v>821</v>
      </c>
      <c r="BB18">
        <v>75</v>
      </c>
      <c r="BC18">
        <v>3</v>
      </c>
      <c r="BD18">
        <v>3</v>
      </c>
      <c r="BE18">
        <v>42</v>
      </c>
      <c r="BF18">
        <v>9</v>
      </c>
      <c r="BG18">
        <v>137</v>
      </c>
      <c r="BH18">
        <v>115</v>
      </c>
      <c r="BJ18" t="s">
        <v>568</v>
      </c>
      <c r="BK18" t="s">
        <v>389</v>
      </c>
      <c r="BL18">
        <v>7777</v>
      </c>
      <c r="BM18">
        <v>1707</v>
      </c>
      <c r="BN18">
        <v>95.879259354499993</v>
      </c>
      <c r="BO18">
        <v>19898</v>
      </c>
      <c r="BP18">
        <v>1016</v>
      </c>
      <c r="BQ18">
        <v>136.82410292489999</v>
      </c>
      <c r="BR18">
        <v>139.13385826769999</v>
      </c>
      <c r="BS18">
        <v>2406</v>
      </c>
      <c r="BT18">
        <v>607</v>
      </c>
      <c r="BU18">
        <v>97.203657522900002</v>
      </c>
      <c r="BV18">
        <v>20434</v>
      </c>
      <c r="BW18">
        <v>1019</v>
      </c>
      <c r="BX18">
        <v>135.22550650880001</v>
      </c>
      <c r="BY18">
        <v>139.83022571149999</v>
      </c>
      <c r="CA18" t="s">
        <v>391</v>
      </c>
      <c r="CB18" t="s">
        <v>806</v>
      </c>
      <c r="CC18" t="s">
        <v>1002</v>
      </c>
      <c r="CD18">
        <v>5330</v>
      </c>
      <c r="CE18">
        <v>971</v>
      </c>
      <c r="CF18">
        <v>86.430018761699998</v>
      </c>
      <c r="CG18">
        <v>15588</v>
      </c>
      <c r="CH18">
        <v>724</v>
      </c>
      <c r="CI18">
        <v>123.91839876829999</v>
      </c>
      <c r="CJ18">
        <v>122.58977900550001</v>
      </c>
      <c r="CL18" t="s">
        <v>391</v>
      </c>
      <c r="CM18" t="s">
        <v>781</v>
      </c>
      <c r="CN18" t="s">
        <v>782</v>
      </c>
      <c r="CO18">
        <v>388</v>
      </c>
      <c r="CP18">
        <v>56</v>
      </c>
      <c r="CQ18">
        <v>71.278350515499994</v>
      </c>
      <c r="CR18">
        <v>2346</v>
      </c>
      <c r="CS18">
        <v>121</v>
      </c>
      <c r="CT18">
        <v>72.297101449300001</v>
      </c>
      <c r="CU18">
        <v>55.9917355372</v>
      </c>
      <c r="CW18" t="s">
        <v>391</v>
      </c>
      <c r="CX18" t="s">
        <v>794</v>
      </c>
      <c r="CY18" t="s">
        <v>795</v>
      </c>
      <c r="CZ18">
        <v>85</v>
      </c>
      <c r="DA18">
        <v>6</v>
      </c>
      <c r="DB18">
        <v>52.023529411799998</v>
      </c>
      <c r="DC18">
        <v>258</v>
      </c>
      <c r="DD18">
        <v>10</v>
      </c>
      <c r="DE18">
        <v>134.73643410849999</v>
      </c>
      <c r="DF18">
        <v>129.1</v>
      </c>
      <c r="DH18" t="s">
        <v>391</v>
      </c>
      <c r="DI18" t="s">
        <v>768</v>
      </c>
      <c r="DJ18" t="s">
        <v>769</v>
      </c>
      <c r="DK18">
        <v>51</v>
      </c>
      <c r="DL18">
        <v>7</v>
      </c>
      <c r="DM18">
        <v>68.411764705899998</v>
      </c>
      <c r="DN18">
        <v>222</v>
      </c>
      <c r="DO18">
        <v>9</v>
      </c>
      <c r="DP18">
        <v>133.72522522520001</v>
      </c>
      <c r="DQ18">
        <v>93</v>
      </c>
    </row>
    <row r="19" spans="2:121" x14ac:dyDescent="0.2">
      <c r="B19" t="s">
        <v>89</v>
      </c>
      <c r="C19">
        <v>9</v>
      </c>
      <c r="D19">
        <v>5</v>
      </c>
      <c r="F19" t="s">
        <v>81</v>
      </c>
      <c r="G19">
        <v>1635</v>
      </c>
      <c r="H19">
        <v>203.44587155959999</v>
      </c>
      <c r="I19">
        <v>2604</v>
      </c>
      <c r="J19">
        <v>409</v>
      </c>
      <c r="K19">
        <v>3220</v>
      </c>
      <c r="L19">
        <v>1154</v>
      </c>
      <c r="M19">
        <v>1037</v>
      </c>
      <c r="N19">
        <v>498</v>
      </c>
      <c r="O19">
        <v>233</v>
      </c>
      <c r="P19">
        <v>132</v>
      </c>
      <c r="Q19">
        <v>0</v>
      </c>
      <c r="R19">
        <v>9</v>
      </c>
      <c r="T19" t="s">
        <v>460</v>
      </c>
      <c r="U19">
        <v>228892</v>
      </c>
      <c r="V19">
        <v>367.93050434269998</v>
      </c>
      <c r="W19">
        <v>345512</v>
      </c>
      <c r="X19">
        <v>73451</v>
      </c>
      <c r="Y19">
        <v>440872</v>
      </c>
      <c r="Z19">
        <v>213147</v>
      </c>
      <c r="AA19">
        <v>130859</v>
      </c>
      <c r="AB19">
        <v>101610</v>
      </c>
      <c r="AC19">
        <v>171560</v>
      </c>
      <c r="AD19">
        <v>118364</v>
      </c>
      <c r="AE19">
        <v>23035</v>
      </c>
      <c r="AF19">
        <v>4532</v>
      </c>
      <c r="AH19" t="s">
        <v>421</v>
      </c>
      <c r="AI19">
        <v>1685</v>
      </c>
      <c r="AJ19">
        <v>221.19406528190001</v>
      </c>
      <c r="AK19">
        <v>2404</v>
      </c>
      <c r="AL19">
        <v>404</v>
      </c>
      <c r="AM19">
        <v>3401</v>
      </c>
      <c r="AN19">
        <v>1274</v>
      </c>
      <c r="AO19">
        <v>1094</v>
      </c>
      <c r="AP19">
        <v>564</v>
      </c>
      <c r="AQ19">
        <v>861</v>
      </c>
      <c r="AR19">
        <v>529</v>
      </c>
      <c r="AS19">
        <v>3</v>
      </c>
      <c r="AT19">
        <v>16</v>
      </c>
      <c r="AV19" t="s">
        <v>398</v>
      </c>
      <c r="AW19">
        <v>169</v>
      </c>
      <c r="AX19">
        <v>61.662721893499999</v>
      </c>
      <c r="AY19">
        <v>281</v>
      </c>
      <c r="AZ19">
        <v>12</v>
      </c>
      <c r="BA19">
        <v>274</v>
      </c>
      <c r="BB19">
        <v>20</v>
      </c>
      <c r="BC19">
        <v>0</v>
      </c>
      <c r="BE19">
        <v>16</v>
      </c>
      <c r="BF19">
        <v>7</v>
      </c>
      <c r="BG19">
        <v>356</v>
      </c>
      <c r="BH19">
        <v>52</v>
      </c>
      <c r="BJ19" t="s">
        <v>632</v>
      </c>
      <c r="BK19" t="s">
        <v>389</v>
      </c>
      <c r="BL19">
        <v>1171</v>
      </c>
      <c r="BM19">
        <v>135</v>
      </c>
      <c r="BN19">
        <v>68.1272416738</v>
      </c>
      <c r="BO19">
        <v>3006</v>
      </c>
      <c r="BP19">
        <v>116</v>
      </c>
      <c r="BQ19">
        <v>100.2807717898</v>
      </c>
      <c r="BR19">
        <v>113.67241379310001</v>
      </c>
      <c r="BS19">
        <v>557</v>
      </c>
      <c r="BT19">
        <v>200</v>
      </c>
      <c r="BU19">
        <v>106.69658886889999</v>
      </c>
      <c r="BV19">
        <v>4277</v>
      </c>
      <c r="BW19">
        <v>195</v>
      </c>
      <c r="BX19">
        <v>123.1931260229</v>
      </c>
      <c r="BY19">
        <v>131.41025641030001</v>
      </c>
      <c r="CA19" t="s">
        <v>398</v>
      </c>
      <c r="CB19" t="s">
        <v>806</v>
      </c>
      <c r="CC19" t="s">
        <v>1003</v>
      </c>
      <c r="CD19">
        <v>2797</v>
      </c>
      <c r="CE19">
        <v>382</v>
      </c>
      <c r="CF19">
        <v>74.874508401900002</v>
      </c>
      <c r="CG19">
        <v>7849</v>
      </c>
      <c r="CH19">
        <v>291</v>
      </c>
      <c r="CI19">
        <v>110.4191616766</v>
      </c>
      <c r="CJ19">
        <v>109.4089347079</v>
      </c>
      <c r="CL19" t="s">
        <v>398</v>
      </c>
      <c r="CM19" t="s">
        <v>781</v>
      </c>
      <c r="CN19" t="s">
        <v>783</v>
      </c>
      <c r="CO19">
        <v>264</v>
      </c>
      <c r="CP19">
        <v>15</v>
      </c>
      <c r="CQ19">
        <v>59.75</v>
      </c>
      <c r="CR19">
        <v>1479</v>
      </c>
      <c r="CS19">
        <v>78</v>
      </c>
      <c r="CT19">
        <v>66.419202163600005</v>
      </c>
      <c r="CU19">
        <v>70.346153846199996</v>
      </c>
      <c r="CW19" t="s">
        <v>398</v>
      </c>
      <c r="CX19" t="s">
        <v>794</v>
      </c>
      <c r="CY19" t="s">
        <v>796</v>
      </c>
      <c r="CZ19">
        <v>43</v>
      </c>
      <c r="DA19">
        <v>3</v>
      </c>
      <c r="DB19">
        <v>53.372093023300003</v>
      </c>
      <c r="DC19">
        <v>124</v>
      </c>
      <c r="DD19">
        <v>4</v>
      </c>
      <c r="DE19">
        <v>134.1048387097</v>
      </c>
      <c r="DF19">
        <v>75</v>
      </c>
      <c r="DH19" t="s">
        <v>398</v>
      </c>
      <c r="DI19" t="s">
        <v>768</v>
      </c>
      <c r="DJ19" t="s">
        <v>770</v>
      </c>
      <c r="DK19">
        <v>38</v>
      </c>
      <c r="DL19">
        <v>3</v>
      </c>
      <c r="DM19">
        <v>59.078947368400001</v>
      </c>
      <c r="DN19">
        <v>86</v>
      </c>
      <c r="DO19">
        <v>5</v>
      </c>
      <c r="DP19">
        <v>131.31395348839999</v>
      </c>
      <c r="DQ19">
        <v>140.19999999999999</v>
      </c>
    </row>
    <row r="20" spans="2:121" x14ac:dyDescent="0.2">
      <c r="B20" t="s">
        <v>98</v>
      </c>
      <c r="C20">
        <v>96319</v>
      </c>
      <c r="D20">
        <v>72470</v>
      </c>
      <c r="F20" t="s">
        <v>78</v>
      </c>
      <c r="G20">
        <v>1264</v>
      </c>
      <c r="H20">
        <v>281.69778481010002</v>
      </c>
      <c r="I20">
        <v>1481</v>
      </c>
      <c r="J20">
        <v>170</v>
      </c>
      <c r="K20">
        <v>2439</v>
      </c>
      <c r="L20">
        <v>1035</v>
      </c>
      <c r="M20">
        <v>861</v>
      </c>
      <c r="N20">
        <v>654</v>
      </c>
      <c r="O20">
        <v>227</v>
      </c>
      <c r="P20">
        <v>156</v>
      </c>
      <c r="Q20">
        <v>1</v>
      </c>
      <c r="R20">
        <v>0</v>
      </c>
      <c r="AH20" t="s">
        <v>392</v>
      </c>
      <c r="AI20">
        <v>4794</v>
      </c>
      <c r="AJ20">
        <v>527.87546933670001</v>
      </c>
      <c r="AK20">
        <v>3847</v>
      </c>
      <c r="AL20">
        <v>577</v>
      </c>
      <c r="AM20">
        <v>8165</v>
      </c>
      <c r="AN20">
        <v>5193</v>
      </c>
      <c r="AO20">
        <v>2265</v>
      </c>
      <c r="AP20">
        <v>1942</v>
      </c>
      <c r="AQ20">
        <v>2168</v>
      </c>
      <c r="AR20">
        <v>1560</v>
      </c>
      <c r="AS20">
        <v>600</v>
      </c>
      <c r="AT20">
        <v>157</v>
      </c>
      <c r="AV20" t="s">
        <v>427</v>
      </c>
      <c r="AW20">
        <v>25</v>
      </c>
      <c r="AX20">
        <v>58</v>
      </c>
      <c r="AY20">
        <v>23</v>
      </c>
      <c r="AZ20">
        <v>1</v>
      </c>
      <c r="BA20">
        <v>50</v>
      </c>
      <c r="BB20">
        <v>5</v>
      </c>
      <c r="BC20">
        <v>1</v>
      </c>
      <c r="BD20">
        <v>1</v>
      </c>
      <c r="BE20">
        <v>1</v>
      </c>
      <c r="BF20">
        <v>1</v>
      </c>
      <c r="BG20">
        <v>93</v>
      </c>
      <c r="BH20">
        <v>13</v>
      </c>
      <c r="BJ20" t="s">
        <v>560</v>
      </c>
      <c r="BK20" t="s">
        <v>389</v>
      </c>
      <c r="BL20">
        <v>5179</v>
      </c>
      <c r="BM20">
        <v>950</v>
      </c>
      <c r="BN20">
        <v>86.953272832600007</v>
      </c>
      <c r="BO20">
        <v>14903</v>
      </c>
      <c r="BP20">
        <v>697</v>
      </c>
      <c r="BQ20">
        <v>127.2860497886</v>
      </c>
      <c r="BR20">
        <v>126.5408895265</v>
      </c>
      <c r="BS20">
        <v>1636</v>
      </c>
      <c r="BT20">
        <v>490</v>
      </c>
      <c r="BU20">
        <v>103.6491442543</v>
      </c>
      <c r="BV20">
        <v>16443</v>
      </c>
      <c r="BW20">
        <v>777</v>
      </c>
      <c r="BX20">
        <v>128.56996898380001</v>
      </c>
      <c r="BY20">
        <v>133.9446589447</v>
      </c>
      <c r="CA20" t="s">
        <v>421</v>
      </c>
      <c r="CB20" t="s">
        <v>806</v>
      </c>
      <c r="CC20" t="s">
        <v>1004</v>
      </c>
      <c r="CD20">
        <v>2393</v>
      </c>
      <c r="CE20">
        <v>385</v>
      </c>
      <c r="CF20">
        <v>77.975344755500004</v>
      </c>
      <c r="CG20">
        <v>8156</v>
      </c>
      <c r="CH20">
        <v>346</v>
      </c>
      <c r="CI20">
        <v>111.7285434036</v>
      </c>
      <c r="CJ20">
        <v>104.87861271680001</v>
      </c>
      <c r="CL20" t="s">
        <v>421</v>
      </c>
      <c r="CM20" t="s">
        <v>781</v>
      </c>
      <c r="CN20" t="s">
        <v>784</v>
      </c>
      <c r="CO20">
        <v>220</v>
      </c>
      <c r="CP20">
        <v>17</v>
      </c>
      <c r="CQ20">
        <v>56.6181818182</v>
      </c>
      <c r="CR20">
        <v>1320</v>
      </c>
      <c r="CS20">
        <v>64</v>
      </c>
      <c r="CT20">
        <v>68.290909090900001</v>
      </c>
      <c r="CU20">
        <v>63.078125</v>
      </c>
      <c r="CW20" t="s">
        <v>421</v>
      </c>
      <c r="CX20" t="s">
        <v>794</v>
      </c>
      <c r="CY20" t="s">
        <v>797</v>
      </c>
      <c r="CZ20">
        <v>54</v>
      </c>
      <c r="DA20">
        <v>3</v>
      </c>
      <c r="DB20">
        <v>45.129629629599997</v>
      </c>
      <c r="DC20">
        <v>227</v>
      </c>
      <c r="DD20">
        <v>10</v>
      </c>
      <c r="DE20">
        <v>115.15859030839999</v>
      </c>
      <c r="DF20">
        <v>70.900000000000006</v>
      </c>
      <c r="DH20" t="s">
        <v>421</v>
      </c>
      <c r="DI20" t="s">
        <v>768</v>
      </c>
      <c r="DJ20" t="s">
        <v>771</v>
      </c>
      <c r="DK20">
        <v>111</v>
      </c>
      <c r="DL20">
        <v>6</v>
      </c>
      <c r="DM20">
        <v>52.126126126099997</v>
      </c>
      <c r="DN20">
        <v>352</v>
      </c>
      <c r="DO20">
        <v>8</v>
      </c>
      <c r="DP20">
        <v>118.40625</v>
      </c>
      <c r="DQ20">
        <v>84.5</v>
      </c>
    </row>
    <row r="21" spans="2:121" x14ac:dyDescent="0.2">
      <c r="B21" t="s">
        <v>127</v>
      </c>
      <c r="C21">
        <v>67021</v>
      </c>
      <c r="D21">
        <v>56467</v>
      </c>
      <c r="F21" t="s">
        <v>181</v>
      </c>
      <c r="G21">
        <v>273</v>
      </c>
      <c r="H21">
        <v>192.0989010989</v>
      </c>
      <c r="I21">
        <v>642</v>
      </c>
      <c r="J21">
        <v>60</v>
      </c>
      <c r="K21">
        <v>1117</v>
      </c>
      <c r="L21">
        <v>98</v>
      </c>
      <c r="M21">
        <v>359</v>
      </c>
      <c r="N21">
        <v>189</v>
      </c>
      <c r="O21">
        <v>234</v>
      </c>
      <c r="P21">
        <v>121</v>
      </c>
      <c r="Q21">
        <v>0</v>
      </c>
      <c r="R21">
        <v>3</v>
      </c>
      <c r="AH21" t="s">
        <v>386</v>
      </c>
      <c r="AI21">
        <v>3847</v>
      </c>
      <c r="AJ21">
        <v>403.2609825838</v>
      </c>
      <c r="AK21">
        <v>5625</v>
      </c>
      <c r="AL21">
        <v>1083</v>
      </c>
      <c r="AM21">
        <v>7457</v>
      </c>
      <c r="AN21">
        <v>3524</v>
      </c>
      <c r="AO21">
        <v>1696</v>
      </c>
      <c r="AP21">
        <v>1206</v>
      </c>
      <c r="AQ21">
        <v>3099</v>
      </c>
      <c r="AR21">
        <v>2055</v>
      </c>
      <c r="AS21">
        <v>324</v>
      </c>
      <c r="AT21">
        <v>273</v>
      </c>
      <c r="AV21" t="s">
        <v>422</v>
      </c>
      <c r="AW21">
        <v>53</v>
      </c>
      <c r="AX21">
        <v>111.3396226415</v>
      </c>
      <c r="AY21">
        <v>78</v>
      </c>
      <c r="AZ21">
        <v>12</v>
      </c>
      <c r="BA21">
        <v>79</v>
      </c>
      <c r="BB21">
        <v>22</v>
      </c>
      <c r="BC21">
        <v>2</v>
      </c>
      <c r="BD21">
        <v>2</v>
      </c>
      <c r="BE21">
        <v>6</v>
      </c>
      <c r="BF21">
        <v>1</v>
      </c>
      <c r="BG21">
        <v>11</v>
      </c>
      <c r="BH21">
        <v>10</v>
      </c>
      <c r="BJ21" t="s">
        <v>577</v>
      </c>
      <c r="BK21" t="s">
        <v>389</v>
      </c>
      <c r="BL21">
        <v>1812</v>
      </c>
      <c r="BM21">
        <v>215</v>
      </c>
      <c r="BN21">
        <v>70.461368653400001</v>
      </c>
      <c r="BO21">
        <v>6346</v>
      </c>
      <c r="BP21">
        <v>287</v>
      </c>
      <c r="BQ21">
        <v>115.1144027734</v>
      </c>
      <c r="BR21">
        <v>105.2055749129</v>
      </c>
      <c r="BS21">
        <v>1813</v>
      </c>
      <c r="BT21">
        <v>241</v>
      </c>
      <c r="BU21">
        <v>71.845008273600001</v>
      </c>
      <c r="BV21">
        <v>15487</v>
      </c>
      <c r="BW21">
        <v>730</v>
      </c>
      <c r="BX21">
        <v>136.38064182860001</v>
      </c>
      <c r="BY21">
        <v>106.10958904109999</v>
      </c>
      <c r="CA21" t="s">
        <v>394</v>
      </c>
      <c r="CB21" t="s">
        <v>806</v>
      </c>
      <c r="CC21" t="s">
        <v>1005</v>
      </c>
      <c r="CD21">
        <v>7910</v>
      </c>
      <c r="CE21">
        <v>1734</v>
      </c>
      <c r="CF21">
        <v>95.585587863499995</v>
      </c>
      <c r="CG21">
        <v>20587</v>
      </c>
      <c r="CH21">
        <v>1045</v>
      </c>
      <c r="CI21">
        <v>134.88623888859999</v>
      </c>
      <c r="CJ21">
        <v>139.98851674639999</v>
      </c>
      <c r="CL21" t="s">
        <v>394</v>
      </c>
      <c r="CM21" t="s">
        <v>781</v>
      </c>
      <c r="CN21" t="s">
        <v>785</v>
      </c>
      <c r="CO21">
        <v>688</v>
      </c>
      <c r="CP21">
        <v>107</v>
      </c>
      <c r="CQ21">
        <v>76.735465116300006</v>
      </c>
      <c r="CR21">
        <v>4473</v>
      </c>
      <c r="CS21">
        <v>227</v>
      </c>
      <c r="CT21">
        <v>71.861390565600004</v>
      </c>
      <c r="CU21">
        <v>67.158590308399994</v>
      </c>
      <c r="CW21" t="s">
        <v>394</v>
      </c>
      <c r="CX21" t="s">
        <v>794</v>
      </c>
      <c r="CY21" t="s">
        <v>798</v>
      </c>
      <c r="CZ21">
        <v>98</v>
      </c>
      <c r="DA21">
        <v>8</v>
      </c>
      <c r="DB21">
        <v>59.765306122399998</v>
      </c>
      <c r="DC21">
        <v>394</v>
      </c>
      <c r="DD21">
        <v>19</v>
      </c>
      <c r="DE21">
        <v>138.79949238579999</v>
      </c>
      <c r="DF21">
        <v>105</v>
      </c>
      <c r="DH21" t="s">
        <v>394</v>
      </c>
      <c r="DI21" t="s">
        <v>768</v>
      </c>
      <c r="DJ21" t="s">
        <v>772</v>
      </c>
      <c r="DK21">
        <v>115</v>
      </c>
      <c r="DL21">
        <v>26</v>
      </c>
      <c r="DM21">
        <v>87.069565217399997</v>
      </c>
      <c r="DN21">
        <v>323</v>
      </c>
      <c r="DO21">
        <v>18</v>
      </c>
      <c r="DP21">
        <v>123.94736842109999</v>
      </c>
      <c r="DQ21">
        <v>143.7222222222</v>
      </c>
    </row>
    <row r="22" spans="2:121" x14ac:dyDescent="0.2">
      <c r="B22" t="s">
        <v>126</v>
      </c>
      <c r="C22">
        <v>10557</v>
      </c>
      <c r="D22">
        <v>6872</v>
      </c>
      <c r="F22" t="s">
        <v>53</v>
      </c>
      <c r="G22">
        <v>6195</v>
      </c>
      <c r="H22">
        <v>477.83761097659999</v>
      </c>
      <c r="I22">
        <v>4188</v>
      </c>
      <c r="J22">
        <v>956</v>
      </c>
      <c r="K22">
        <v>9830</v>
      </c>
      <c r="L22">
        <v>6407</v>
      </c>
      <c r="M22">
        <v>3355</v>
      </c>
      <c r="N22">
        <v>3166</v>
      </c>
      <c r="O22">
        <v>1665</v>
      </c>
      <c r="P22">
        <v>1287</v>
      </c>
      <c r="Q22">
        <v>102</v>
      </c>
      <c r="R22">
        <v>316</v>
      </c>
      <c r="AH22" t="s">
        <v>415</v>
      </c>
      <c r="AI22">
        <v>1075</v>
      </c>
      <c r="AJ22">
        <v>300.65395348840002</v>
      </c>
      <c r="AK22">
        <v>1311</v>
      </c>
      <c r="AL22">
        <v>176</v>
      </c>
      <c r="AM22">
        <v>2049</v>
      </c>
      <c r="AN22">
        <v>864</v>
      </c>
      <c r="AO22">
        <v>848</v>
      </c>
      <c r="AP22">
        <v>661</v>
      </c>
      <c r="AQ22">
        <v>469</v>
      </c>
      <c r="AR22">
        <v>303</v>
      </c>
      <c r="AS22">
        <v>405</v>
      </c>
      <c r="AT22">
        <v>2</v>
      </c>
      <c r="AV22" t="s">
        <v>381</v>
      </c>
      <c r="AW22">
        <v>1445</v>
      </c>
      <c r="AX22">
        <v>111.1190311419</v>
      </c>
      <c r="AY22">
        <v>1322</v>
      </c>
      <c r="AZ22">
        <v>208</v>
      </c>
      <c r="BA22">
        <v>1805</v>
      </c>
      <c r="BB22">
        <v>648</v>
      </c>
      <c r="BC22">
        <v>12</v>
      </c>
      <c r="BD22">
        <v>11</v>
      </c>
      <c r="BE22">
        <v>87</v>
      </c>
      <c r="BF22">
        <v>29</v>
      </c>
      <c r="BG22">
        <v>242</v>
      </c>
      <c r="BH22">
        <v>331</v>
      </c>
      <c r="BJ22" t="s">
        <v>389</v>
      </c>
      <c r="BK22" t="s">
        <v>389</v>
      </c>
      <c r="BL22">
        <v>56507</v>
      </c>
      <c r="BM22">
        <v>10955</v>
      </c>
      <c r="BN22">
        <v>88.170032031399998</v>
      </c>
      <c r="BO22">
        <v>156078</v>
      </c>
      <c r="BP22">
        <v>7105</v>
      </c>
      <c r="BQ22">
        <v>124.968374787</v>
      </c>
      <c r="BR22">
        <v>125.7389162562</v>
      </c>
      <c r="BS22">
        <v>21247</v>
      </c>
      <c r="BT22">
        <v>6009</v>
      </c>
      <c r="BU22">
        <v>100.2684143644</v>
      </c>
      <c r="BV22">
        <v>177526</v>
      </c>
      <c r="BW22">
        <v>8046</v>
      </c>
      <c r="BX22">
        <v>129.6899045774</v>
      </c>
      <c r="BY22">
        <v>130.42530449910001</v>
      </c>
      <c r="CA22" t="s">
        <v>400</v>
      </c>
      <c r="CB22" t="s">
        <v>806</v>
      </c>
      <c r="CC22" t="s">
        <v>1006</v>
      </c>
      <c r="CD22">
        <v>5458</v>
      </c>
      <c r="CE22">
        <v>717</v>
      </c>
      <c r="CF22">
        <v>74.796995236399994</v>
      </c>
      <c r="CG22">
        <v>16684</v>
      </c>
      <c r="CH22">
        <v>747</v>
      </c>
      <c r="CI22">
        <v>107.6069887317</v>
      </c>
      <c r="CJ22">
        <v>110.02811244980001</v>
      </c>
      <c r="CL22" t="s">
        <v>400</v>
      </c>
      <c r="CM22" t="s">
        <v>781</v>
      </c>
      <c r="CN22" t="s">
        <v>786</v>
      </c>
      <c r="CO22">
        <v>264</v>
      </c>
      <c r="CP22">
        <v>19</v>
      </c>
      <c r="CQ22">
        <v>61.060606060600001</v>
      </c>
      <c r="CR22">
        <v>1848</v>
      </c>
      <c r="CS22">
        <v>86</v>
      </c>
      <c r="CT22">
        <v>63.033008658</v>
      </c>
      <c r="CU22">
        <v>64.802325581399998</v>
      </c>
      <c r="CW22" t="s">
        <v>400</v>
      </c>
      <c r="CX22" t="s">
        <v>794</v>
      </c>
      <c r="CY22" t="s">
        <v>799</v>
      </c>
      <c r="CZ22">
        <v>59</v>
      </c>
      <c r="DA22">
        <v>4</v>
      </c>
      <c r="DB22">
        <v>53.355932203400002</v>
      </c>
      <c r="DC22">
        <v>183</v>
      </c>
      <c r="DD22">
        <v>5</v>
      </c>
      <c r="DE22">
        <v>121.89617486340001</v>
      </c>
      <c r="DF22">
        <v>90.2</v>
      </c>
      <c r="DH22" t="s">
        <v>400</v>
      </c>
      <c r="DI22" t="s">
        <v>768</v>
      </c>
      <c r="DJ22" t="s">
        <v>773</v>
      </c>
      <c r="DK22">
        <v>34</v>
      </c>
      <c r="DL22">
        <v>2</v>
      </c>
      <c r="DM22">
        <v>61.147058823499997</v>
      </c>
      <c r="DN22">
        <v>102</v>
      </c>
      <c r="DO22">
        <v>1</v>
      </c>
      <c r="DP22">
        <v>128.95098039219999</v>
      </c>
      <c r="DQ22">
        <v>130</v>
      </c>
    </row>
    <row r="23" spans="2:121" x14ac:dyDescent="0.2">
      <c r="B23" t="s">
        <v>107</v>
      </c>
      <c r="C23">
        <v>62821</v>
      </c>
      <c r="D23">
        <v>48278</v>
      </c>
      <c r="F23" t="s">
        <v>76</v>
      </c>
      <c r="G23">
        <v>3375</v>
      </c>
      <c r="H23">
        <v>167.20829629630001</v>
      </c>
      <c r="I23">
        <v>11351</v>
      </c>
      <c r="J23">
        <v>1985</v>
      </c>
      <c r="K23">
        <v>13232</v>
      </c>
      <c r="L23">
        <v>3212</v>
      </c>
      <c r="M23">
        <v>5086</v>
      </c>
      <c r="N23">
        <v>3681</v>
      </c>
      <c r="O23">
        <v>1112</v>
      </c>
      <c r="P23">
        <v>685</v>
      </c>
      <c r="Q23">
        <v>30</v>
      </c>
      <c r="R23">
        <v>0</v>
      </c>
      <c r="AH23" t="s">
        <v>375</v>
      </c>
      <c r="AI23">
        <v>7802</v>
      </c>
      <c r="AJ23">
        <v>633.55588310689996</v>
      </c>
      <c r="AK23">
        <v>6329</v>
      </c>
      <c r="AL23">
        <v>1469</v>
      </c>
      <c r="AM23">
        <v>12135</v>
      </c>
      <c r="AN23">
        <v>7435</v>
      </c>
      <c r="AO23">
        <v>4262</v>
      </c>
      <c r="AP23">
        <v>3701</v>
      </c>
      <c r="AQ23">
        <v>3308</v>
      </c>
      <c r="AR23">
        <v>2328</v>
      </c>
      <c r="AS23">
        <v>524</v>
      </c>
      <c r="AT23">
        <v>6</v>
      </c>
      <c r="AV23" t="s">
        <v>382</v>
      </c>
      <c r="AW23">
        <v>913</v>
      </c>
      <c r="AX23">
        <v>110.0536692223</v>
      </c>
      <c r="AY23">
        <v>908</v>
      </c>
      <c r="AZ23">
        <v>150</v>
      </c>
      <c r="BA23">
        <v>1154</v>
      </c>
      <c r="BB23">
        <v>409</v>
      </c>
      <c r="BC23">
        <v>0</v>
      </c>
      <c r="BE23">
        <v>42</v>
      </c>
      <c r="BF23">
        <v>9</v>
      </c>
      <c r="BG23">
        <v>146</v>
      </c>
      <c r="BH23">
        <v>222</v>
      </c>
      <c r="BJ23" t="s">
        <v>570</v>
      </c>
      <c r="BK23" t="s">
        <v>389</v>
      </c>
      <c r="BL23">
        <v>4715</v>
      </c>
      <c r="BM23">
        <v>699</v>
      </c>
      <c r="BN23">
        <v>78.635843054099993</v>
      </c>
      <c r="BO23">
        <v>12865</v>
      </c>
      <c r="BP23">
        <v>559</v>
      </c>
      <c r="BQ23">
        <v>113.6984065293</v>
      </c>
      <c r="BR23">
        <v>109.4007155635</v>
      </c>
      <c r="BS23">
        <v>1609</v>
      </c>
      <c r="BT23">
        <v>349</v>
      </c>
      <c r="BU23">
        <v>86.970789310100002</v>
      </c>
      <c r="BV23">
        <v>14347</v>
      </c>
      <c r="BW23">
        <v>458</v>
      </c>
      <c r="BX23">
        <v>126.85460374989999</v>
      </c>
      <c r="BY23">
        <v>130.97161572050001</v>
      </c>
      <c r="CA23" t="s">
        <v>396</v>
      </c>
      <c r="CB23" t="s">
        <v>806</v>
      </c>
      <c r="CC23" t="s">
        <v>1007</v>
      </c>
      <c r="CD23">
        <v>6293</v>
      </c>
      <c r="CE23">
        <v>1392</v>
      </c>
      <c r="CF23">
        <v>92.099316701099994</v>
      </c>
      <c r="CG23">
        <v>18113</v>
      </c>
      <c r="CH23">
        <v>855</v>
      </c>
      <c r="CI23">
        <v>118.0236846464</v>
      </c>
      <c r="CJ23">
        <v>124.3415204678</v>
      </c>
      <c r="CL23" t="s">
        <v>396</v>
      </c>
      <c r="CM23" t="s">
        <v>781</v>
      </c>
      <c r="CN23" t="s">
        <v>787</v>
      </c>
      <c r="CO23">
        <v>530</v>
      </c>
      <c r="CP23">
        <v>87</v>
      </c>
      <c r="CQ23">
        <v>76.686792452800006</v>
      </c>
      <c r="CR23">
        <v>3125</v>
      </c>
      <c r="CS23">
        <v>154</v>
      </c>
      <c r="CT23">
        <v>69.998720000000006</v>
      </c>
      <c r="CU23">
        <v>63.207792207799997</v>
      </c>
      <c r="CW23" t="s">
        <v>396</v>
      </c>
      <c r="CX23" t="s">
        <v>794</v>
      </c>
      <c r="CY23" t="s">
        <v>800</v>
      </c>
      <c r="CZ23">
        <v>104</v>
      </c>
      <c r="DA23">
        <v>7</v>
      </c>
      <c r="DB23">
        <v>57.807692307700002</v>
      </c>
      <c r="DC23">
        <v>432</v>
      </c>
      <c r="DD23">
        <v>12</v>
      </c>
      <c r="DE23">
        <v>122.7777777778</v>
      </c>
      <c r="DF23">
        <v>99.416666666699996</v>
      </c>
      <c r="DH23" t="s">
        <v>396</v>
      </c>
      <c r="DI23" t="s">
        <v>768</v>
      </c>
      <c r="DJ23" t="s">
        <v>774</v>
      </c>
      <c r="DK23">
        <v>143</v>
      </c>
      <c r="DL23">
        <v>7</v>
      </c>
      <c r="DM23">
        <v>52.8531468531</v>
      </c>
      <c r="DN23">
        <v>395</v>
      </c>
      <c r="DO23">
        <v>15</v>
      </c>
      <c r="DP23">
        <v>123.3848101266</v>
      </c>
      <c r="DQ23">
        <v>103.8</v>
      </c>
    </row>
    <row r="24" spans="2:121" x14ac:dyDescent="0.2">
      <c r="B24" t="s">
        <v>128</v>
      </c>
      <c r="C24">
        <v>905</v>
      </c>
      <c r="D24">
        <v>35</v>
      </c>
      <c r="F24" t="s">
        <v>40</v>
      </c>
      <c r="G24">
        <v>4762</v>
      </c>
      <c r="H24">
        <v>401.034649307</v>
      </c>
      <c r="I24">
        <v>7165</v>
      </c>
      <c r="J24">
        <v>2107</v>
      </c>
      <c r="K24">
        <v>9394</v>
      </c>
      <c r="L24">
        <v>4963</v>
      </c>
      <c r="M24">
        <v>3893</v>
      </c>
      <c r="N24">
        <v>3295</v>
      </c>
      <c r="O24">
        <v>695</v>
      </c>
      <c r="P24">
        <v>479</v>
      </c>
      <c r="Q24">
        <v>0</v>
      </c>
      <c r="R24">
        <v>53</v>
      </c>
      <c r="T24" t="s">
        <v>646</v>
      </c>
      <c r="U24" t="s">
        <v>306</v>
      </c>
      <c r="V24" t="s">
        <v>133</v>
      </c>
      <c r="W24" t="s">
        <v>214</v>
      </c>
      <c r="X24" t="s">
        <v>215</v>
      </c>
      <c r="Y24" t="s">
        <v>216</v>
      </c>
      <c r="Z24" t="s">
        <v>217</v>
      </c>
      <c r="AA24" t="s">
        <v>218</v>
      </c>
      <c r="AB24" t="s">
        <v>219</v>
      </c>
      <c r="AC24" t="s">
        <v>220</v>
      </c>
      <c r="AD24" t="s">
        <v>221</v>
      </c>
      <c r="AE24" t="s">
        <v>222</v>
      </c>
      <c r="AF24" t="s">
        <v>223</v>
      </c>
      <c r="AH24" t="s">
        <v>370</v>
      </c>
      <c r="AI24">
        <v>3322</v>
      </c>
      <c r="AJ24">
        <v>557.89494280550002</v>
      </c>
      <c r="AK24">
        <v>4425</v>
      </c>
      <c r="AL24">
        <v>922</v>
      </c>
      <c r="AM24">
        <v>7487</v>
      </c>
      <c r="AN24">
        <v>3656</v>
      </c>
      <c r="AO24">
        <v>2583</v>
      </c>
      <c r="AP24">
        <v>2141</v>
      </c>
      <c r="AQ24">
        <v>1276</v>
      </c>
      <c r="AR24">
        <v>932</v>
      </c>
      <c r="AS24">
        <v>832</v>
      </c>
      <c r="AT24">
        <v>13</v>
      </c>
      <c r="AV24" t="s">
        <v>8</v>
      </c>
      <c r="AW24">
        <v>173</v>
      </c>
      <c r="AX24">
        <v>99.121387283199994</v>
      </c>
      <c r="AY24">
        <v>209</v>
      </c>
      <c r="AZ24">
        <v>94</v>
      </c>
      <c r="BA24">
        <v>364</v>
      </c>
      <c r="BB24">
        <v>208</v>
      </c>
      <c r="BC24">
        <v>7</v>
      </c>
      <c r="BD24">
        <v>6</v>
      </c>
      <c r="BE24">
        <v>11</v>
      </c>
      <c r="BF24">
        <v>5</v>
      </c>
      <c r="BG24">
        <v>59</v>
      </c>
      <c r="BH24">
        <v>23</v>
      </c>
      <c r="BJ24" t="s">
        <v>634</v>
      </c>
      <c r="BK24" t="s">
        <v>389</v>
      </c>
      <c r="BL24">
        <v>1472</v>
      </c>
      <c r="BM24">
        <v>251</v>
      </c>
      <c r="BN24">
        <v>77.200407608700004</v>
      </c>
      <c r="BO24">
        <v>2704</v>
      </c>
      <c r="BP24">
        <v>118</v>
      </c>
      <c r="BQ24">
        <v>109.2455621302</v>
      </c>
      <c r="BR24">
        <v>110.406779661</v>
      </c>
      <c r="BS24">
        <v>678</v>
      </c>
      <c r="BT24">
        <v>258</v>
      </c>
      <c r="BU24">
        <v>114.3362831858</v>
      </c>
      <c r="BV24">
        <v>4653</v>
      </c>
      <c r="BW24">
        <v>181</v>
      </c>
      <c r="BX24">
        <v>132.0040833871</v>
      </c>
      <c r="BY24">
        <v>155.51381215469999</v>
      </c>
      <c r="CA24" t="s">
        <v>399</v>
      </c>
      <c r="CB24" t="s">
        <v>806</v>
      </c>
      <c r="CC24" t="s">
        <v>1008</v>
      </c>
      <c r="CD24">
        <v>1800</v>
      </c>
      <c r="CE24">
        <v>214</v>
      </c>
      <c r="CF24">
        <v>70.438333333299994</v>
      </c>
      <c r="CG24">
        <v>6476</v>
      </c>
      <c r="CH24">
        <v>295</v>
      </c>
      <c r="CI24">
        <v>111.6959542928</v>
      </c>
      <c r="CJ24">
        <v>103.52203389829999</v>
      </c>
      <c r="CL24" t="s">
        <v>399</v>
      </c>
      <c r="CM24" t="s">
        <v>781</v>
      </c>
      <c r="CN24" t="s">
        <v>788</v>
      </c>
      <c r="CO24">
        <v>113</v>
      </c>
      <c r="CP24">
        <v>12</v>
      </c>
      <c r="CQ24">
        <v>73.619469026499999</v>
      </c>
      <c r="CR24">
        <v>570</v>
      </c>
      <c r="CS24">
        <v>30</v>
      </c>
      <c r="CT24">
        <v>74.426315789499995</v>
      </c>
      <c r="CU24">
        <v>90.9</v>
      </c>
      <c r="CW24" t="s">
        <v>399</v>
      </c>
      <c r="CX24" t="s">
        <v>794</v>
      </c>
      <c r="CY24" t="s">
        <v>801</v>
      </c>
      <c r="CZ24">
        <v>47</v>
      </c>
      <c r="DA24">
        <v>5</v>
      </c>
      <c r="DB24">
        <v>59</v>
      </c>
      <c r="DC24">
        <v>107</v>
      </c>
      <c r="DD24">
        <v>4</v>
      </c>
      <c r="DE24">
        <v>116.7102803738</v>
      </c>
      <c r="DF24">
        <v>64.75</v>
      </c>
      <c r="DH24" t="s">
        <v>399</v>
      </c>
      <c r="DI24" t="s">
        <v>768</v>
      </c>
      <c r="DJ24" t="s">
        <v>775</v>
      </c>
      <c r="DK24">
        <v>93</v>
      </c>
      <c r="DL24">
        <v>3</v>
      </c>
      <c r="DM24">
        <v>49.978494623700001</v>
      </c>
      <c r="DN24">
        <v>197</v>
      </c>
      <c r="DO24">
        <v>3</v>
      </c>
      <c r="DP24">
        <v>116.421319797</v>
      </c>
      <c r="DQ24">
        <v>59.666666666700003</v>
      </c>
    </row>
    <row r="25" spans="2:121" x14ac:dyDescent="0.2">
      <c r="B25" t="s">
        <v>118</v>
      </c>
      <c r="C25">
        <v>24</v>
      </c>
      <c r="D25">
        <v>17</v>
      </c>
      <c r="F25" t="s">
        <v>72</v>
      </c>
      <c r="G25">
        <v>709</v>
      </c>
      <c r="H25">
        <v>269.29901269390001</v>
      </c>
      <c r="I25">
        <v>1851</v>
      </c>
      <c r="J25">
        <v>620</v>
      </c>
      <c r="K25">
        <v>3469</v>
      </c>
      <c r="L25">
        <v>959</v>
      </c>
      <c r="M25">
        <v>837</v>
      </c>
      <c r="N25">
        <v>756</v>
      </c>
      <c r="O25">
        <v>794</v>
      </c>
      <c r="P25">
        <v>667</v>
      </c>
      <c r="Q25">
        <v>0</v>
      </c>
      <c r="R25">
        <v>2</v>
      </c>
      <c r="T25" t="s">
        <v>384</v>
      </c>
      <c r="U25">
        <v>40296</v>
      </c>
      <c r="V25">
        <v>328.2507444908</v>
      </c>
      <c r="W25">
        <v>67628</v>
      </c>
      <c r="X25">
        <v>13095</v>
      </c>
      <c r="Y25">
        <v>80239</v>
      </c>
      <c r="Z25">
        <v>35661</v>
      </c>
      <c r="AA25">
        <v>21858</v>
      </c>
      <c r="AB25">
        <v>15885</v>
      </c>
      <c r="AC25">
        <v>33512</v>
      </c>
      <c r="AD25">
        <v>20514</v>
      </c>
      <c r="AE25">
        <v>1197</v>
      </c>
      <c r="AF25">
        <v>1160</v>
      </c>
      <c r="AH25" t="s">
        <v>394</v>
      </c>
      <c r="AI25">
        <v>2985</v>
      </c>
      <c r="AJ25">
        <v>365.39061976549999</v>
      </c>
      <c r="AK25">
        <v>7726</v>
      </c>
      <c r="AL25">
        <v>1810</v>
      </c>
      <c r="AM25">
        <v>7585</v>
      </c>
      <c r="AN25">
        <v>3521</v>
      </c>
      <c r="AO25">
        <v>2107</v>
      </c>
      <c r="AP25">
        <v>1811</v>
      </c>
      <c r="AQ25">
        <v>2817</v>
      </c>
      <c r="AR25">
        <v>1609</v>
      </c>
      <c r="AS25">
        <v>966</v>
      </c>
      <c r="AT25">
        <v>225</v>
      </c>
      <c r="AV25" t="s">
        <v>408</v>
      </c>
      <c r="AW25">
        <v>159</v>
      </c>
      <c r="AX25">
        <v>64.383647798699997</v>
      </c>
      <c r="AY25">
        <v>238</v>
      </c>
      <c r="AZ25">
        <v>9</v>
      </c>
      <c r="BA25">
        <v>282</v>
      </c>
      <c r="BB25">
        <v>37</v>
      </c>
      <c r="BC25">
        <v>1</v>
      </c>
      <c r="BD25">
        <v>1</v>
      </c>
      <c r="BE25">
        <v>18</v>
      </c>
      <c r="BF25">
        <v>8</v>
      </c>
      <c r="BG25">
        <v>358</v>
      </c>
      <c r="BH25">
        <v>89</v>
      </c>
      <c r="BJ25" t="s">
        <v>573</v>
      </c>
      <c r="BK25" t="s">
        <v>389</v>
      </c>
      <c r="BL25">
        <v>6332</v>
      </c>
      <c r="BM25">
        <v>1405</v>
      </c>
      <c r="BN25">
        <v>92.664560960200006</v>
      </c>
      <c r="BO25">
        <v>17169</v>
      </c>
      <c r="BP25">
        <v>862</v>
      </c>
      <c r="BQ25">
        <v>120.97850777559999</v>
      </c>
      <c r="BR25">
        <v>128.5174013921</v>
      </c>
      <c r="BS25">
        <v>2779</v>
      </c>
      <c r="BT25">
        <v>786</v>
      </c>
      <c r="BU25">
        <v>100.0975170925</v>
      </c>
      <c r="BV25">
        <v>19551</v>
      </c>
      <c r="BW25">
        <v>1115</v>
      </c>
      <c r="BX25">
        <v>123.3473479617</v>
      </c>
      <c r="BY25">
        <v>119.3013452915</v>
      </c>
      <c r="CA25" t="s">
        <v>418</v>
      </c>
      <c r="CB25" t="s">
        <v>806</v>
      </c>
      <c r="CC25" t="s">
        <v>1009</v>
      </c>
      <c r="CD25">
        <v>649</v>
      </c>
      <c r="CE25">
        <v>86</v>
      </c>
      <c r="CF25">
        <v>70.093990754999993</v>
      </c>
      <c r="CG25">
        <v>2228</v>
      </c>
      <c r="CH25">
        <v>71</v>
      </c>
      <c r="CI25">
        <v>99.083931777399997</v>
      </c>
      <c r="CJ25">
        <v>111.7323943662</v>
      </c>
      <c r="CL25" t="s">
        <v>418</v>
      </c>
      <c r="CM25" t="s">
        <v>781</v>
      </c>
      <c r="CN25" t="s">
        <v>789</v>
      </c>
      <c r="CO25">
        <v>35</v>
      </c>
      <c r="CP25">
        <v>4</v>
      </c>
      <c r="CQ25">
        <v>56.857142857100001</v>
      </c>
      <c r="CR25">
        <v>215</v>
      </c>
      <c r="CS25">
        <v>13</v>
      </c>
      <c r="CT25">
        <v>63.474418604699999</v>
      </c>
      <c r="CU25">
        <v>49.2307692308</v>
      </c>
      <c r="CW25" t="s">
        <v>418</v>
      </c>
      <c r="CX25" t="s">
        <v>794</v>
      </c>
      <c r="CY25" t="s">
        <v>802</v>
      </c>
      <c r="CZ25">
        <v>12</v>
      </c>
      <c r="DA25">
        <v>1</v>
      </c>
      <c r="DB25">
        <v>38.666666666700003</v>
      </c>
      <c r="DC25">
        <v>37</v>
      </c>
      <c r="DD25">
        <v>0</v>
      </c>
      <c r="DE25">
        <v>114.5135135135</v>
      </c>
      <c r="DF25">
        <v>0</v>
      </c>
      <c r="DH25" t="s">
        <v>418</v>
      </c>
      <c r="DI25" t="s">
        <v>768</v>
      </c>
      <c r="DJ25" t="s">
        <v>776</v>
      </c>
      <c r="DK25">
        <v>11</v>
      </c>
      <c r="DL25">
        <v>0</v>
      </c>
      <c r="DM25">
        <v>50.818181818200003</v>
      </c>
      <c r="DN25">
        <v>16</v>
      </c>
      <c r="DO25">
        <v>2</v>
      </c>
      <c r="DP25">
        <v>104</v>
      </c>
      <c r="DQ25">
        <v>138</v>
      </c>
    </row>
    <row r="26" spans="2:121" x14ac:dyDescent="0.2">
      <c r="B26" t="s">
        <v>1060</v>
      </c>
      <c r="C26">
        <v>289</v>
      </c>
      <c r="D26">
        <v>102</v>
      </c>
      <c r="F26" t="s">
        <v>58</v>
      </c>
      <c r="G26">
        <v>3526</v>
      </c>
      <c r="H26">
        <v>280.5709018718</v>
      </c>
      <c r="I26">
        <v>9483</v>
      </c>
      <c r="J26">
        <v>1535</v>
      </c>
      <c r="K26">
        <v>9103</v>
      </c>
      <c r="L26">
        <v>3039</v>
      </c>
      <c r="M26">
        <v>3169</v>
      </c>
      <c r="N26">
        <v>2504</v>
      </c>
      <c r="O26">
        <v>1440</v>
      </c>
      <c r="P26">
        <v>1110</v>
      </c>
      <c r="Q26">
        <v>1</v>
      </c>
      <c r="R26">
        <v>285</v>
      </c>
      <c r="T26" t="s">
        <v>389</v>
      </c>
      <c r="U26">
        <v>29263</v>
      </c>
      <c r="V26">
        <v>374.9425212726</v>
      </c>
      <c r="W26">
        <v>53765</v>
      </c>
      <c r="X26">
        <v>10519</v>
      </c>
      <c r="Y26">
        <v>64848</v>
      </c>
      <c r="Z26">
        <v>26712</v>
      </c>
      <c r="AA26">
        <v>17156</v>
      </c>
      <c r="AB26">
        <v>13404</v>
      </c>
      <c r="AC26">
        <v>22781</v>
      </c>
      <c r="AD26">
        <v>15326</v>
      </c>
      <c r="AE26">
        <v>5109</v>
      </c>
      <c r="AF26">
        <v>1147</v>
      </c>
      <c r="AH26" t="s">
        <v>400</v>
      </c>
      <c r="AI26">
        <v>1473</v>
      </c>
      <c r="AJ26">
        <v>174.91038696539999</v>
      </c>
      <c r="AK26">
        <v>5236</v>
      </c>
      <c r="AL26">
        <v>736</v>
      </c>
      <c r="AM26">
        <v>5350</v>
      </c>
      <c r="AN26">
        <v>887</v>
      </c>
      <c r="AO26">
        <v>1157</v>
      </c>
      <c r="AP26">
        <v>586</v>
      </c>
      <c r="AQ26">
        <v>1168</v>
      </c>
      <c r="AR26">
        <v>710</v>
      </c>
      <c r="AS26">
        <v>7</v>
      </c>
      <c r="AT26">
        <v>5</v>
      </c>
      <c r="AV26" t="s">
        <v>418</v>
      </c>
      <c r="AW26">
        <v>22</v>
      </c>
      <c r="AX26">
        <v>60</v>
      </c>
      <c r="AY26">
        <v>27</v>
      </c>
      <c r="AZ26">
        <v>1</v>
      </c>
      <c r="BA26">
        <v>44</v>
      </c>
      <c r="BB26">
        <v>2</v>
      </c>
      <c r="BC26">
        <v>0</v>
      </c>
      <c r="BE26">
        <v>1</v>
      </c>
      <c r="BG26">
        <v>66</v>
      </c>
      <c r="BH26">
        <v>15</v>
      </c>
      <c r="BJ26" t="s">
        <v>579</v>
      </c>
      <c r="BK26" t="s">
        <v>389</v>
      </c>
      <c r="BL26">
        <v>8559</v>
      </c>
      <c r="BM26">
        <v>1568</v>
      </c>
      <c r="BN26">
        <v>82.548662226900007</v>
      </c>
      <c r="BO26">
        <v>21524</v>
      </c>
      <c r="BP26">
        <v>978</v>
      </c>
      <c r="BQ26">
        <v>116.0928730719</v>
      </c>
      <c r="BR26">
        <v>123.7280163599</v>
      </c>
      <c r="BS26">
        <v>2784</v>
      </c>
      <c r="BT26">
        <v>951</v>
      </c>
      <c r="BU26">
        <v>105.8789511494</v>
      </c>
      <c r="BV26">
        <v>26020</v>
      </c>
      <c r="BW26">
        <v>1059</v>
      </c>
      <c r="BX26">
        <v>125.91929285170001</v>
      </c>
      <c r="BY26">
        <v>140.18035882909999</v>
      </c>
      <c r="CA26" t="s">
        <v>390</v>
      </c>
      <c r="CB26" t="s">
        <v>806</v>
      </c>
      <c r="CC26" t="s">
        <v>1010</v>
      </c>
      <c r="CD26">
        <v>8158</v>
      </c>
      <c r="CE26">
        <v>1690</v>
      </c>
      <c r="CF26">
        <v>94.934910517299997</v>
      </c>
      <c r="CG26">
        <v>25733</v>
      </c>
      <c r="CH26">
        <v>1115</v>
      </c>
      <c r="CI26">
        <v>127.81358566820001</v>
      </c>
      <c r="CJ26">
        <v>123.25022421520001</v>
      </c>
      <c r="CL26" t="s">
        <v>390</v>
      </c>
      <c r="CM26" t="s">
        <v>781</v>
      </c>
      <c r="CN26" t="s">
        <v>790</v>
      </c>
      <c r="CO26">
        <v>737</v>
      </c>
      <c r="CP26">
        <v>112</v>
      </c>
      <c r="CQ26">
        <v>75.936227951199996</v>
      </c>
      <c r="CR26">
        <v>4992</v>
      </c>
      <c r="CS26">
        <v>229</v>
      </c>
      <c r="CT26">
        <v>71.264623397400001</v>
      </c>
      <c r="CU26">
        <v>66.868995633200001</v>
      </c>
      <c r="CW26" t="s">
        <v>390</v>
      </c>
      <c r="CX26" t="s">
        <v>794</v>
      </c>
      <c r="CY26" t="s">
        <v>803</v>
      </c>
      <c r="CZ26">
        <v>156</v>
      </c>
      <c r="DA26">
        <v>16</v>
      </c>
      <c r="DB26">
        <v>58.192307692299998</v>
      </c>
      <c r="DC26">
        <v>574</v>
      </c>
      <c r="DD26">
        <v>32</v>
      </c>
      <c r="DE26">
        <v>133.78745644599999</v>
      </c>
      <c r="DF26">
        <v>93</v>
      </c>
      <c r="DH26" t="s">
        <v>390</v>
      </c>
      <c r="DI26" t="s">
        <v>768</v>
      </c>
      <c r="DJ26" t="s">
        <v>777</v>
      </c>
      <c r="DK26">
        <v>149</v>
      </c>
      <c r="DL26">
        <v>17</v>
      </c>
      <c r="DM26">
        <v>61.348993288599999</v>
      </c>
      <c r="DN26">
        <v>405</v>
      </c>
      <c r="DO26">
        <v>24</v>
      </c>
      <c r="DP26">
        <v>130.7111111111</v>
      </c>
      <c r="DQ26">
        <v>119.625</v>
      </c>
    </row>
    <row r="27" spans="2:121" x14ac:dyDescent="0.2">
      <c r="B27" t="s">
        <v>90</v>
      </c>
      <c r="C27">
        <v>9903</v>
      </c>
      <c r="D27">
        <v>1916</v>
      </c>
      <c r="F27" t="s">
        <v>27</v>
      </c>
      <c r="G27">
        <v>1079</v>
      </c>
      <c r="H27">
        <v>80.330861909199996</v>
      </c>
      <c r="I27">
        <v>6343</v>
      </c>
      <c r="J27">
        <v>559</v>
      </c>
      <c r="K27">
        <v>5626</v>
      </c>
      <c r="L27">
        <v>710</v>
      </c>
      <c r="M27">
        <v>1023</v>
      </c>
      <c r="N27">
        <v>423</v>
      </c>
      <c r="O27">
        <v>1605</v>
      </c>
      <c r="P27">
        <v>1032</v>
      </c>
      <c r="Q27">
        <v>1</v>
      </c>
      <c r="R27">
        <v>17</v>
      </c>
      <c r="T27" t="s">
        <v>368</v>
      </c>
      <c r="U27">
        <v>55033</v>
      </c>
      <c r="V27">
        <v>397.22281176749999</v>
      </c>
      <c r="W27">
        <v>74940</v>
      </c>
      <c r="X27">
        <v>16738</v>
      </c>
      <c r="Y27">
        <v>101272</v>
      </c>
      <c r="Z27">
        <v>49535</v>
      </c>
      <c r="AA27">
        <v>34373</v>
      </c>
      <c r="AB27">
        <v>27536</v>
      </c>
      <c r="AC27">
        <v>39963</v>
      </c>
      <c r="AD27">
        <v>29400</v>
      </c>
      <c r="AE27">
        <v>9714</v>
      </c>
      <c r="AF27">
        <v>140</v>
      </c>
      <c r="AH27" t="s">
        <v>388</v>
      </c>
      <c r="AI27">
        <v>2967</v>
      </c>
      <c r="AJ27">
        <v>394.26053252439999</v>
      </c>
      <c r="AK27">
        <v>4848</v>
      </c>
      <c r="AL27">
        <v>1420</v>
      </c>
      <c r="AM27">
        <v>6680</v>
      </c>
      <c r="AN27">
        <v>3610</v>
      </c>
      <c r="AO27">
        <v>1911</v>
      </c>
      <c r="AP27">
        <v>1382</v>
      </c>
      <c r="AQ27">
        <v>1831</v>
      </c>
      <c r="AR27">
        <v>1227</v>
      </c>
      <c r="AS27">
        <v>425</v>
      </c>
      <c r="AT27">
        <v>251</v>
      </c>
      <c r="AV27" t="s">
        <v>416</v>
      </c>
      <c r="AW27">
        <v>44</v>
      </c>
      <c r="AX27">
        <v>115</v>
      </c>
      <c r="AY27">
        <v>44</v>
      </c>
      <c r="AZ27">
        <v>6</v>
      </c>
      <c r="BA27">
        <v>53</v>
      </c>
      <c r="BB27">
        <v>19</v>
      </c>
      <c r="BC27">
        <v>0</v>
      </c>
      <c r="BE27">
        <v>1</v>
      </c>
      <c r="BF27">
        <v>1</v>
      </c>
      <c r="BG27">
        <v>8</v>
      </c>
      <c r="BH27">
        <v>8</v>
      </c>
      <c r="BJ27" t="s">
        <v>638</v>
      </c>
      <c r="BK27" t="s">
        <v>389</v>
      </c>
      <c r="BL27">
        <v>2609</v>
      </c>
      <c r="BM27">
        <v>395</v>
      </c>
      <c r="BN27">
        <v>76.727098505200004</v>
      </c>
      <c r="BO27">
        <v>7527</v>
      </c>
      <c r="BP27">
        <v>312</v>
      </c>
      <c r="BQ27">
        <v>121.3889996014</v>
      </c>
      <c r="BR27">
        <v>116.8301282051</v>
      </c>
      <c r="BS27">
        <v>575</v>
      </c>
      <c r="BT27">
        <v>193</v>
      </c>
      <c r="BU27">
        <v>104.7547826087</v>
      </c>
      <c r="BV27">
        <v>6535</v>
      </c>
      <c r="BW27">
        <v>292</v>
      </c>
      <c r="BX27">
        <v>123.1629686305</v>
      </c>
      <c r="BY27">
        <v>137.88698630139999</v>
      </c>
      <c r="CA27" t="s">
        <v>419</v>
      </c>
      <c r="CB27" t="s">
        <v>806</v>
      </c>
      <c r="CC27" t="s">
        <v>1011</v>
      </c>
      <c r="CD27">
        <v>1084</v>
      </c>
      <c r="CE27">
        <v>256</v>
      </c>
      <c r="CF27">
        <v>90.039667896699996</v>
      </c>
      <c r="CG27">
        <v>2833</v>
      </c>
      <c r="CH27">
        <v>112</v>
      </c>
      <c r="CI27">
        <v>108.4133427462</v>
      </c>
      <c r="CJ27">
        <v>120.7946428571</v>
      </c>
      <c r="CL27" t="s">
        <v>419</v>
      </c>
      <c r="CM27" t="s">
        <v>781</v>
      </c>
      <c r="CN27" t="s">
        <v>791</v>
      </c>
      <c r="CO27">
        <v>54</v>
      </c>
      <c r="CP27">
        <v>4</v>
      </c>
      <c r="CQ27">
        <v>54.611111111100001</v>
      </c>
      <c r="CR27">
        <v>400</v>
      </c>
      <c r="CS27">
        <v>20</v>
      </c>
      <c r="CT27">
        <v>62.682499999999997</v>
      </c>
      <c r="CU27">
        <v>67.599999999999994</v>
      </c>
      <c r="CW27" t="s">
        <v>419</v>
      </c>
      <c r="CX27" t="s">
        <v>794</v>
      </c>
      <c r="CY27" t="s">
        <v>804</v>
      </c>
      <c r="CZ27">
        <v>13</v>
      </c>
      <c r="DA27">
        <v>1</v>
      </c>
      <c r="DB27">
        <v>56.2307692308</v>
      </c>
      <c r="DC27">
        <v>32</v>
      </c>
      <c r="DD27">
        <v>2</v>
      </c>
      <c r="DE27">
        <v>130.40625</v>
      </c>
      <c r="DF27">
        <v>61</v>
      </c>
      <c r="DH27" t="s">
        <v>419</v>
      </c>
      <c r="DI27" t="s">
        <v>768</v>
      </c>
      <c r="DJ27" t="s">
        <v>778</v>
      </c>
      <c r="DK27">
        <v>15</v>
      </c>
      <c r="DL27">
        <v>1</v>
      </c>
      <c r="DM27">
        <v>42.066666666700002</v>
      </c>
      <c r="DN27">
        <v>28</v>
      </c>
      <c r="DO27">
        <v>3</v>
      </c>
      <c r="DP27">
        <v>144.75</v>
      </c>
      <c r="DQ27">
        <v>90.333333333300004</v>
      </c>
    </row>
    <row r="28" spans="2:121" x14ac:dyDescent="0.2">
      <c r="B28" t="s">
        <v>95</v>
      </c>
      <c r="C28">
        <v>1207</v>
      </c>
      <c r="D28">
        <v>775</v>
      </c>
      <c r="F28" t="s">
        <v>48</v>
      </c>
      <c r="G28">
        <v>5299</v>
      </c>
      <c r="H28">
        <v>530.42498584639998</v>
      </c>
      <c r="I28">
        <v>4809</v>
      </c>
      <c r="J28">
        <v>863</v>
      </c>
      <c r="K28">
        <v>10435</v>
      </c>
      <c r="L28">
        <v>6318</v>
      </c>
      <c r="M28">
        <v>2240</v>
      </c>
      <c r="N28">
        <v>1647</v>
      </c>
      <c r="O28">
        <v>2566</v>
      </c>
      <c r="P28">
        <v>1967</v>
      </c>
      <c r="Q28">
        <v>1</v>
      </c>
      <c r="R28">
        <v>242</v>
      </c>
      <c r="T28" t="s">
        <v>8</v>
      </c>
      <c r="U28">
        <v>2923</v>
      </c>
      <c r="V28">
        <v>333.63325350669999</v>
      </c>
      <c r="W28">
        <v>4328</v>
      </c>
      <c r="X28">
        <v>1680</v>
      </c>
      <c r="Y28">
        <v>4915</v>
      </c>
      <c r="Z28">
        <v>2783</v>
      </c>
      <c r="AA28">
        <v>1521</v>
      </c>
      <c r="AB28">
        <v>1026</v>
      </c>
      <c r="AC28">
        <v>1311</v>
      </c>
      <c r="AD28">
        <v>832</v>
      </c>
      <c r="AE28">
        <v>488</v>
      </c>
      <c r="AF28">
        <v>127</v>
      </c>
      <c r="AH28" t="s">
        <v>396</v>
      </c>
      <c r="AI28">
        <v>3667</v>
      </c>
      <c r="AJ28">
        <v>238.65939460050001</v>
      </c>
      <c r="AK28">
        <v>6396</v>
      </c>
      <c r="AL28">
        <v>1358</v>
      </c>
      <c r="AM28">
        <v>7649</v>
      </c>
      <c r="AN28">
        <v>3261</v>
      </c>
      <c r="AO28">
        <v>2483</v>
      </c>
      <c r="AP28">
        <v>2075</v>
      </c>
      <c r="AQ28">
        <v>4567</v>
      </c>
      <c r="AR28">
        <v>3386</v>
      </c>
      <c r="AS28">
        <v>871</v>
      </c>
      <c r="AT28">
        <v>65</v>
      </c>
      <c r="AV28" t="s">
        <v>370</v>
      </c>
      <c r="AW28">
        <v>379</v>
      </c>
      <c r="AX28">
        <v>104.23482849600001</v>
      </c>
      <c r="AY28">
        <v>524</v>
      </c>
      <c r="AZ28">
        <v>95</v>
      </c>
      <c r="BA28">
        <v>532</v>
      </c>
      <c r="BB28">
        <v>153</v>
      </c>
      <c r="BC28">
        <v>4</v>
      </c>
      <c r="BD28">
        <v>4</v>
      </c>
      <c r="BE28">
        <v>33</v>
      </c>
      <c r="BF28">
        <v>7</v>
      </c>
      <c r="BG28">
        <v>47</v>
      </c>
      <c r="BH28">
        <v>117</v>
      </c>
      <c r="BJ28" t="s">
        <v>532</v>
      </c>
      <c r="BK28" t="s">
        <v>368</v>
      </c>
      <c r="BL28">
        <v>5400</v>
      </c>
      <c r="BM28">
        <v>1314</v>
      </c>
      <c r="BN28">
        <v>97.276481481499999</v>
      </c>
      <c r="BO28">
        <v>13538</v>
      </c>
      <c r="BP28">
        <v>657</v>
      </c>
      <c r="BQ28">
        <v>142.27064559019999</v>
      </c>
      <c r="BR28">
        <v>135.06088280060001</v>
      </c>
      <c r="BS28">
        <v>725</v>
      </c>
      <c r="BT28">
        <v>270</v>
      </c>
      <c r="BU28">
        <v>117.3820689655</v>
      </c>
      <c r="BV28">
        <v>6829</v>
      </c>
      <c r="BW28">
        <v>257</v>
      </c>
      <c r="BX28">
        <v>144.31805535219999</v>
      </c>
      <c r="BY28">
        <v>154.63424124509999</v>
      </c>
      <c r="CA28" t="s">
        <v>395</v>
      </c>
      <c r="CB28" t="s">
        <v>806</v>
      </c>
      <c r="CC28" t="s">
        <v>1012</v>
      </c>
      <c r="CD28">
        <v>4141</v>
      </c>
      <c r="CE28">
        <v>631</v>
      </c>
      <c r="CF28">
        <v>79.853417049000001</v>
      </c>
      <c r="CG28">
        <v>12043</v>
      </c>
      <c r="CH28">
        <v>517</v>
      </c>
      <c r="CI28">
        <v>112.7967283899</v>
      </c>
      <c r="CJ28">
        <v>111.9264990329</v>
      </c>
      <c r="CL28" t="s">
        <v>395</v>
      </c>
      <c r="CM28" t="s">
        <v>781</v>
      </c>
      <c r="CN28" t="s">
        <v>792</v>
      </c>
      <c r="CO28">
        <v>248</v>
      </c>
      <c r="CP28">
        <v>28</v>
      </c>
      <c r="CQ28">
        <v>67.201612903200001</v>
      </c>
      <c r="CR28">
        <v>1949</v>
      </c>
      <c r="CS28">
        <v>107</v>
      </c>
      <c r="CT28">
        <v>59.902001026199997</v>
      </c>
      <c r="CU28">
        <v>54.579439252299998</v>
      </c>
      <c r="CW28" t="s">
        <v>395</v>
      </c>
      <c r="CX28" t="s">
        <v>794</v>
      </c>
      <c r="CY28" t="s">
        <v>805</v>
      </c>
      <c r="CZ28">
        <v>62</v>
      </c>
      <c r="DA28">
        <v>9</v>
      </c>
      <c r="DB28">
        <v>60.161290322600003</v>
      </c>
      <c r="DC28">
        <v>227</v>
      </c>
      <c r="DD28">
        <v>11</v>
      </c>
      <c r="DE28">
        <v>124.16299559470001</v>
      </c>
      <c r="DF28">
        <v>96.363636363599994</v>
      </c>
      <c r="DH28" t="s">
        <v>395</v>
      </c>
      <c r="DI28" t="s">
        <v>768</v>
      </c>
      <c r="DJ28" t="s">
        <v>779</v>
      </c>
      <c r="DK28">
        <v>48</v>
      </c>
      <c r="DL28">
        <v>9</v>
      </c>
      <c r="DM28">
        <v>80.333333333300004</v>
      </c>
      <c r="DN28">
        <v>145</v>
      </c>
      <c r="DO28">
        <v>5</v>
      </c>
      <c r="DP28">
        <v>126.7655172414</v>
      </c>
      <c r="DQ28">
        <v>202.2</v>
      </c>
    </row>
    <row r="29" spans="2:121" x14ac:dyDescent="0.2">
      <c r="B29" t="s">
        <v>94</v>
      </c>
      <c r="C29">
        <v>264</v>
      </c>
      <c r="D29">
        <v>226</v>
      </c>
      <c r="F29" t="s">
        <v>42</v>
      </c>
      <c r="G29">
        <v>2492</v>
      </c>
      <c r="H29">
        <v>389.88764044940001</v>
      </c>
      <c r="I29">
        <v>7129</v>
      </c>
      <c r="J29">
        <v>1682</v>
      </c>
      <c r="K29">
        <v>7436</v>
      </c>
      <c r="L29">
        <v>3261</v>
      </c>
      <c r="M29">
        <v>2463</v>
      </c>
      <c r="N29">
        <v>2250</v>
      </c>
      <c r="O29">
        <v>1122</v>
      </c>
      <c r="P29">
        <v>533</v>
      </c>
      <c r="Q29">
        <v>1</v>
      </c>
      <c r="R29">
        <v>219</v>
      </c>
      <c r="T29" t="s">
        <v>403</v>
      </c>
      <c r="U29">
        <v>42859</v>
      </c>
      <c r="V29">
        <v>392.231899951</v>
      </c>
      <c r="W29">
        <v>64367</v>
      </c>
      <c r="X29">
        <v>12945</v>
      </c>
      <c r="Y29">
        <v>83464</v>
      </c>
      <c r="Z29">
        <v>41839</v>
      </c>
      <c r="AA29">
        <v>25052</v>
      </c>
      <c r="AB29">
        <v>18595</v>
      </c>
      <c r="AC29">
        <v>31697</v>
      </c>
      <c r="AD29">
        <v>22566</v>
      </c>
      <c r="AE29">
        <v>101</v>
      </c>
      <c r="AF29">
        <v>665</v>
      </c>
      <c r="AH29" t="s">
        <v>417</v>
      </c>
      <c r="AI29">
        <v>390</v>
      </c>
      <c r="AJ29">
        <v>245.3487179487</v>
      </c>
      <c r="AK29">
        <v>729</v>
      </c>
      <c r="AL29">
        <v>67</v>
      </c>
      <c r="AM29">
        <v>1261</v>
      </c>
      <c r="AN29">
        <v>279</v>
      </c>
      <c r="AO29">
        <v>353</v>
      </c>
      <c r="AP29">
        <v>212</v>
      </c>
      <c r="AQ29">
        <v>463</v>
      </c>
      <c r="AR29">
        <v>263</v>
      </c>
      <c r="AS29">
        <v>1</v>
      </c>
      <c r="AT29">
        <v>5</v>
      </c>
      <c r="AV29" t="s">
        <v>377</v>
      </c>
      <c r="AW29">
        <v>752</v>
      </c>
      <c r="AX29">
        <v>104.57446808509999</v>
      </c>
      <c r="AY29">
        <v>825</v>
      </c>
      <c r="AZ29">
        <v>126</v>
      </c>
      <c r="BA29">
        <v>1030</v>
      </c>
      <c r="BB29">
        <v>300</v>
      </c>
      <c r="BC29">
        <v>134</v>
      </c>
      <c r="BD29">
        <v>131</v>
      </c>
      <c r="BE29">
        <v>47</v>
      </c>
      <c r="BF29">
        <v>23</v>
      </c>
      <c r="BG29">
        <v>183</v>
      </c>
      <c r="BH29">
        <v>233</v>
      </c>
      <c r="BJ29" t="s">
        <v>511</v>
      </c>
      <c r="BK29" t="s">
        <v>368</v>
      </c>
      <c r="BL29">
        <v>3561</v>
      </c>
      <c r="BM29">
        <v>682</v>
      </c>
      <c r="BN29">
        <v>83.836281943299994</v>
      </c>
      <c r="BO29">
        <v>9846</v>
      </c>
      <c r="BP29">
        <v>400</v>
      </c>
      <c r="BQ29">
        <v>130.04418037779999</v>
      </c>
      <c r="BR29">
        <v>119.5425</v>
      </c>
      <c r="BS29">
        <v>1100</v>
      </c>
      <c r="BT29">
        <v>423</v>
      </c>
      <c r="BU29">
        <v>111.2227272727</v>
      </c>
      <c r="BV29">
        <v>8453</v>
      </c>
      <c r="BW29">
        <v>331</v>
      </c>
      <c r="BX29">
        <v>130.7878859576</v>
      </c>
      <c r="BY29">
        <v>129.3987915408</v>
      </c>
      <c r="CA29" t="s">
        <v>389</v>
      </c>
      <c r="CB29" t="s">
        <v>806</v>
      </c>
      <c r="CD29">
        <v>53460</v>
      </c>
      <c r="CE29">
        <v>10242</v>
      </c>
      <c r="CF29">
        <v>87.926655443300007</v>
      </c>
      <c r="CG29">
        <v>155548</v>
      </c>
      <c r="CH29">
        <v>7017</v>
      </c>
      <c r="CI29">
        <v>121.9389577494</v>
      </c>
      <c r="CJ29">
        <v>121.9180561494</v>
      </c>
      <c r="CL29" t="s">
        <v>389</v>
      </c>
      <c r="CM29" t="s">
        <v>781</v>
      </c>
      <c r="CO29">
        <v>4122</v>
      </c>
      <c r="CP29">
        <v>543</v>
      </c>
      <c r="CQ29">
        <v>71.353954391100004</v>
      </c>
      <c r="CR29">
        <v>26658</v>
      </c>
      <c r="CS29">
        <v>1297</v>
      </c>
      <c r="CT29">
        <v>69.591529747199999</v>
      </c>
      <c r="CU29">
        <v>64.943716268299994</v>
      </c>
      <c r="CW29" t="s">
        <v>389</v>
      </c>
      <c r="CX29" t="s">
        <v>794</v>
      </c>
      <c r="CZ29">
        <v>906</v>
      </c>
      <c r="DA29">
        <v>89</v>
      </c>
      <c r="DB29">
        <v>59.088300220800001</v>
      </c>
      <c r="DC29">
        <v>3111</v>
      </c>
      <c r="DD29">
        <v>128</v>
      </c>
      <c r="DE29">
        <v>129.7084538734</v>
      </c>
      <c r="DF29">
        <v>96.359375</v>
      </c>
      <c r="DH29" t="s">
        <v>389</v>
      </c>
      <c r="DI29" t="s">
        <v>768</v>
      </c>
      <c r="DK29">
        <v>987</v>
      </c>
      <c r="DL29">
        <v>101</v>
      </c>
      <c r="DM29">
        <v>62.0557244174</v>
      </c>
      <c r="DN29">
        <v>2739</v>
      </c>
      <c r="DO29">
        <v>114</v>
      </c>
      <c r="DP29">
        <v>125.1190215407</v>
      </c>
      <c r="DQ29">
        <v>119.298245614</v>
      </c>
    </row>
    <row r="30" spans="2:121" x14ac:dyDescent="0.2">
      <c r="B30" t="s">
        <v>119</v>
      </c>
      <c r="C30">
        <v>36</v>
      </c>
      <c r="D30">
        <v>28</v>
      </c>
      <c r="F30" t="s">
        <v>50</v>
      </c>
      <c r="G30">
        <v>1582</v>
      </c>
      <c r="H30">
        <v>120.47281921619999</v>
      </c>
      <c r="I30">
        <v>1893</v>
      </c>
      <c r="J30">
        <v>218</v>
      </c>
      <c r="K30">
        <v>3330</v>
      </c>
      <c r="L30">
        <v>855</v>
      </c>
      <c r="M30">
        <v>721</v>
      </c>
      <c r="N30">
        <v>458</v>
      </c>
      <c r="O30">
        <v>571</v>
      </c>
      <c r="P30">
        <v>376</v>
      </c>
      <c r="Q30">
        <v>1</v>
      </c>
      <c r="R30">
        <v>18</v>
      </c>
      <c r="T30" t="s">
        <v>379</v>
      </c>
      <c r="U30">
        <v>58518</v>
      </c>
      <c r="V30">
        <v>348.11466557300002</v>
      </c>
      <c r="W30">
        <v>80484</v>
      </c>
      <c r="X30">
        <v>18474</v>
      </c>
      <c r="Y30">
        <v>106134</v>
      </c>
      <c r="Z30">
        <v>56617</v>
      </c>
      <c r="AA30">
        <v>30899</v>
      </c>
      <c r="AB30">
        <v>25164</v>
      </c>
      <c r="AC30">
        <v>42296</v>
      </c>
      <c r="AD30">
        <v>29726</v>
      </c>
      <c r="AE30">
        <v>6426</v>
      </c>
      <c r="AF30">
        <v>1293</v>
      </c>
      <c r="AH30" t="s">
        <v>399</v>
      </c>
      <c r="AI30">
        <v>778</v>
      </c>
      <c r="AJ30">
        <v>173.58868894599999</v>
      </c>
      <c r="AK30">
        <v>1936</v>
      </c>
      <c r="AL30">
        <v>231</v>
      </c>
      <c r="AM30">
        <v>2242</v>
      </c>
      <c r="AN30">
        <v>447</v>
      </c>
      <c r="AO30">
        <v>718</v>
      </c>
      <c r="AP30">
        <v>449</v>
      </c>
      <c r="AQ30">
        <v>719</v>
      </c>
      <c r="AR30">
        <v>365</v>
      </c>
      <c r="AS30">
        <v>4</v>
      </c>
      <c r="AT30">
        <v>15</v>
      </c>
      <c r="AV30" t="s">
        <v>375</v>
      </c>
      <c r="AW30">
        <v>305</v>
      </c>
      <c r="AX30">
        <v>100.5344262295</v>
      </c>
      <c r="AY30">
        <v>526</v>
      </c>
      <c r="AZ30">
        <v>85</v>
      </c>
      <c r="BA30">
        <v>493</v>
      </c>
      <c r="BB30">
        <v>143</v>
      </c>
      <c r="BC30">
        <v>7</v>
      </c>
      <c r="BD30">
        <v>5</v>
      </c>
      <c r="BE30">
        <v>25</v>
      </c>
      <c r="BF30">
        <v>10</v>
      </c>
      <c r="BG30">
        <v>83</v>
      </c>
      <c r="BH30">
        <v>138</v>
      </c>
      <c r="BJ30" t="s">
        <v>519</v>
      </c>
      <c r="BK30" t="s">
        <v>368</v>
      </c>
      <c r="BL30">
        <v>3851</v>
      </c>
      <c r="BM30">
        <v>720</v>
      </c>
      <c r="BN30">
        <v>85.894313165400007</v>
      </c>
      <c r="BO30">
        <v>11157</v>
      </c>
      <c r="BP30">
        <v>462</v>
      </c>
      <c r="BQ30">
        <v>133.2587613158</v>
      </c>
      <c r="BR30">
        <v>127.5021645022</v>
      </c>
      <c r="BS30">
        <v>1108</v>
      </c>
      <c r="BT30">
        <v>382</v>
      </c>
      <c r="BU30">
        <v>107.1299638989</v>
      </c>
      <c r="BV30">
        <v>8746</v>
      </c>
      <c r="BW30">
        <v>220</v>
      </c>
      <c r="BX30">
        <v>134.60324719869999</v>
      </c>
      <c r="BY30">
        <v>163.28181818179999</v>
      </c>
      <c r="CA30" t="s">
        <v>372</v>
      </c>
      <c r="CB30" t="s">
        <v>855</v>
      </c>
      <c r="CC30" t="s">
        <v>978</v>
      </c>
      <c r="CD30">
        <v>1934</v>
      </c>
      <c r="CE30">
        <v>310</v>
      </c>
      <c r="CF30">
        <v>81.190796277100006</v>
      </c>
      <c r="CG30">
        <v>5807</v>
      </c>
      <c r="CH30">
        <v>249</v>
      </c>
      <c r="CI30">
        <v>112.8405372826</v>
      </c>
      <c r="CJ30">
        <v>111.8955823293</v>
      </c>
      <c r="CL30" t="s">
        <v>372</v>
      </c>
      <c r="CM30" t="s">
        <v>824</v>
      </c>
      <c r="CN30" t="s">
        <v>823</v>
      </c>
      <c r="CO30">
        <v>225</v>
      </c>
      <c r="CP30">
        <v>25</v>
      </c>
      <c r="CQ30">
        <v>71.8533333333</v>
      </c>
      <c r="CR30">
        <v>794</v>
      </c>
      <c r="CS30">
        <v>52</v>
      </c>
      <c r="CT30">
        <v>96.923173803500006</v>
      </c>
      <c r="CU30">
        <v>82.076923076900002</v>
      </c>
      <c r="CW30" t="s">
        <v>372</v>
      </c>
      <c r="CX30" t="s">
        <v>840</v>
      </c>
      <c r="CY30" t="s">
        <v>839</v>
      </c>
      <c r="CZ30">
        <v>57</v>
      </c>
      <c r="DA30">
        <v>4</v>
      </c>
      <c r="DB30">
        <v>63.964912280699998</v>
      </c>
      <c r="DC30">
        <v>124</v>
      </c>
      <c r="DD30">
        <v>3</v>
      </c>
      <c r="DE30">
        <v>134.67741935480001</v>
      </c>
      <c r="DF30">
        <v>105.6666666667</v>
      </c>
      <c r="DH30" t="s">
        <v>372</v>
      </c>
      <c r="DI30" t="s">
        <v>808</v>
      </c>
      <c r="DJ30" t="s">
        <v>807</v>
      </c>
      <c r="DK30">
        <v>37</v>
      </c>
      <c r="DL30">
        <v>2</v>
      </c>
      <c r="DM30">
        <v>55.675675675699999</v>
      </c>
      <c r="DN30">
        <v>140</v>
      </c>
      <c r="DO30">
        <v>6</v>
      </c>
      <c r="DP30">
        <v>133.3785714286</v>
      </c>
      <c r="DQ30">
        <v>87</v>
      </c>
    </row>
    <row r="31" spans="2:121" x14ac:dyDescent="0.2">
      <c r="B31" t="s">
        <v>1058</v>
      </c>
      <c r="C31">
        <v>114</v>
      </c>
      <c r="D31">
        <v>103</v>
      </c>
      <c r="F31" t="s">
        <v>429</v>
      </c>
      <c r="G31">
        <v>5197</v>
      </c>
      <c r="H31">
        <v>884.20781219929995</v>
      </c>
      <c r="I31">
        <v>836</v>
      </c>
      <c r="J31">
        <v>116</v>
      </c>
      <c r="K31">
        <v>5593</v>
      </c>
      <c r="L31">
        <v>4296</v>
      </c>
      <c r="M31">
        <v>1050</v>
      </c>
      <c r="N31">
        <v>716</v>
      </c>
      <c r="O31">
        <v>1137</v>
      </c>
      <c r="P31">
        <v>1120</v>
      </c>
      <c r="Q31">
        <v>0</v>
      </c>
      <c r="R31">
        <v>0</v>
      </c>
      <c r="T31" t="s">
        <v>460</v>
      </c>
      <c r="U31">
        <v>228892</v>
      </c>
      <c r="V31">
        <v>367.93050434269998</v>
      </c>
      <c r="W31">
        <v>345512</v>
      </c>
      <c r="X31">
        <v>73451</v>
      </c>
      <c r="Y31">
        <v>440872</v>
      </c>
      <c r="Z31">
        <v>213147</v>
      </c>
      <c r="AA31">
        <v>130859</v>
      </c>
      <c r="AB31">
        <v>101610</v>
      </c>
      <c r="AC31">
        <v>171560</v>
      </c>
      <c r="AD31">
        <v>118364</v>
      </c>
      <c r="AE31">
        <v>23035</v>
      </c>
      <c r="AF31">
        <v>4532</v>
      </c>
      <c r="AH31" t="s">
        <v>412</v>
      </c>
      <c r="AI31">
        <v>2656</v>
      </c>
      <c r="AJ31">
        <v>435.54631024100001</v>
      </c>
      <c r="AK31">
        <v>4043</v>
      </c>
      <c r="AL31">
        <v>1005</v>
      </c>
      <c r="AM31">
        <v>4396</v>
      </c>
      <c r="AN31">
        <v>2481</v>
      </c>
      <c r="AO31">
        <v>1037</v>
      </c>
      <c r="AP31">
        <v>798</v>
      </c>
      <c r="AQ31">
        <v>1956</v>
      </c>
      <c r="AR31">
        <v>1486</v>
      </c>
      <c r="AS31">
        <v>3</v>
      </c>
      <c r="AT31">
        <v>123</v>
      </c>
      <c r="AV31" t="s">
        <v>395</v>
      </c>
      <c r="AW31">
        <v>227</v>
      </c>
      <c r="AX31">
        <v>53.616740088100002</v>
      </c>
      <c r="AY31">
        <v>413</v>
      </c>
      <c r="AZ31">
        <v>53</v>
      </c>
      <c r="BA31">
        <v>357</v>
      </c>
      <c r="BB31">
        <v>21</v>
      </c>
      <c r="BC31">
        <v>1</v>
      </c>
      <c r="BD31">
        <v>1</v>
      </c>
      <c r="BE31">
        <v>39</v>
      </c>
      <c r="BF31">
        <v>7</v>
      </c>
      <c r="BG31">
        <v>63</v>
      </c>
      <c r="BH31">
        <v>41</v>
      </c>
      <c r="BJ31" t="s">
        <v>521</v>
      </c>
      <c r="BK31" t="s">
        <v>368</v>
      </c>
      <c r="BL31">
        <v>1911</v>
      </c>
      <c r="BM31">
        <v>340</v>
      </c>
      <c r="BN31">
        <v>84.007326007299994</v>
      </c>
      <c r="BO31">
        <v>5687</v>
      </c>
      <c r="BP31">
        <v>248</v>
      </c>
      <c r="BQ31">
        <v>115.3808686478</v>
      </c>
      <c r="BR31">
        <v>118.00806451610001</v>
      </c>
      <c r="BS31">
        <v>740</v>
      </c>
      <c r="BT31">
        <v>174</v>
      </c>
      <c r="BU31">
        <v>95.628378378400001</v>
      </c>
      <c r="BV31">
        <v>8472</v>
      </c>
      <c r="BW31">
        <v>482</v>
      </c>
      <c r="BX31">
        <v>125.2269830028</v>
      </c>
      <c r="BY31">
        <v>115.08713692950001</v>
      </c>
      <c r="CA31" t="s">
        <v>422</v>
      </c>
      <c r="CB31" t="s">
        <v>855</v>
      </c>
      <c r="CC31" t="s">
        <v>979</v>
      </c>
      <c r="CD31">
        <v>1016</v>
      </c>
      <c r="CE31">
        <v>237</v>
      </c>
      <c r="CF31">
        <v>96.872047244100003</v>
      </c>
      <c r="CG31">
        <v>2584</v>
      </c>
      <c r="CH31">
        <v>129</v>
      </c>
      <c r="CI31">
        <v>137.08630030960001</v>
      </c>
      <c r="CJ31">
        <v>141.51162790699999</v>
      </c>
      <c r="CL31" t="s">
        <v>422</v>
      </c>
      <c r="CM31" t="s">
        <v>824</v>
      </c>
      <c r="CN31" t="s">
        <v>825</v>
      </c>
      <c r="CO31">
        <v>72</v>
      </c>
      <c r="CP31">
        <v>9</v>
      </c>
      <c r="CQ31">
        <v>63.458333333299997</v>
      </c>
      <c r="CR31">
        <v>268</v>
      </c>
      <c r="CS31">
        <v>17</v>
      </c>
      <c r="CT31">
        <v>102.4664179104</v>
      </c>
      <c r="CU31">
        <v>129.0588235294</v>
      </c>
      <c r="CW31" t="s">
        <v>422</v>
      </c>
      <c r="CX31" t="s">
        <v>840</v>
      </c>
      <c r="CY31" t="s">
        <v>841</v>
      </c>
      <c r="CZ31">
        <v>13</v>
      </c>
      <c r="DA31">
        <v>1</v>
      </c>
      <c r="DB31">
        <v>41.461538461499998</v>
      </c>
      <c r="DC31">
        <v>43</v>
      </c>
      <c r="DD31">
        <v>2</v>
      </c>
      <c r="DE31">
        <v>153.58139534879999</v>
      </c>
      <c r="DF31">
        <v>124</v>
      </c>
      <c r="DH31" t="s">
        <v>422</v>
      </c>
      <c r="DI31" t="s">
        <v>808</v>
      </c>
      <c r="DJ31" t="s">
        <v>809</v>
      </c>
      <c r="DK31">
        <v>21</v>
      </c>
      <c r="DL31">
        <v>2</v>
      </c>
      <c r="DM31">
        <v>60.095238095200003</v>
      </c>
      <c r="DN31">
        <v>54</v>
      </c>
      <c r="DO31">
        <v>1</v>
      </c>
      <c r="DP31">
        <v>152.5</v>
      </c>
      <c r="DQ31">
        <v>186</v>
      </c>
    </row>
    <row r="32" spans="2:121" x14ac:dyDescent="0.2">
      <c r="B32" t="s">
        <v>91</v>
      </c>
      <c r="C32">
        <v>453</v>
      </c>
      <c r="D32">
        <v>24</v>
      </c>
      <c r="F32" t="s">
        <v>68</v>
      </c>
      <c r="G32">
        <v>2296</v>
      </c>
      <c r="H32">
        <v>455.7225609756</v>
      </c>
      <c r="I32">
        <v>3585</v>
      </c>
      <c r="J32">
        <v>960</v>
      </c>
      <c r="K32">
        <v>3609</v>
      </c>
      <c r="L32">
        <v>2073</v>
      </c>
      <c r="M32">
        <v>607</v>
      </c>
      <c r="N32">
        <v>467</v>
      </c>
      <c r="O32">
        <v>1133</v>
      </c>
      <c r="P32">
        <v>937</v>
      </c>
      <c r="Q32">
        <v>0</v>
      </c>
      <c r="R32">
        <v>126</v>
      </c>
      <c r="AH32" t="s">
        <v>414</v>
      </c>
      <c r="AI32">
        <v>967</v>
      </c>
      <c r="AJ32">
        <v>253.50775594620001</v>
      </c>
      <c r="AK32">
        <v>1337</v>
      </c>
      <c r="AL32">
        <v>221</v>
      </c>
      <c r="AM32">
        <v>1982</v>
      </c>
      <c r="AN32">
        <v>841</v>
      </c>
      <c r="AO32">
        <v>382</v>
      </c>
      <c r="AP32">
        <v>267</v>
      </c>
      <c r="AQ32">
        <v>345</v>
      </c>
      <c r="AR32">
        <v>187</v>
      </c>
      <c r="AS32">
        <v>219</v>
      </c>
      <c r="AT32">
        <v>4</v>
      </c>
      <c r="AV32" t="s">
        <v>421</v>
      </c>
      <c r="AW32">
        <v>117</v>
      </c>
      <c r="AX32">
        <v>74.692307692300005</v>
      </c>
      <c r="AY32">
        <v>211</v>
      </c>
      <c r="AZ32">
        <v>7</v>
      </c>
      <c r="BA32">
        <v>197</v>
      </c>
      <c r="BB32">
        <v>25</v>
      </c>
      <c r="BC32">
        <v>1</v>
      </c>
      <c r="BE32">
        <v>18</v>
      </c>
      <c r="BF32">
        <v>6</v>
      </c>
      <c r="BG32">
        <v>196</v>
      </c>
      <c r="BH32">
        <v>39</v>
      </c>
      <c r="BJ32" t="s">
        <v>536</v>
      </c>
      <c r="BK32" t="s">
        <v>368</v>
      </c>
      <c r="BL32">
        <v>2504</v>
      </c>
      <c r="BM32">
        <v>401</v>
      </c>
      <c r="BN32">
        <v>78.089057507999996</v>
      </c>
      <c r="BO32">
        <v>8056</v>
      </c>
      <c r="BP32">
        <v>333</v>
      </c>
      <c r="BQ32">
        <v>117.1786246276</v>
      </c>
      <c r="BR32">
        <v>120.1321321321</v>
      </c>
      <c r="BS32">
        <v>2736</v>
      </c>
      <c r="BT32">
        <v>361</v>
      </c>
      <c r="BU32">
        <v>77.823099415200005</v>
      </c>
      <c r="BV32">
        <v>14440</v>
      </c>
      <c r="BW32">
        <v>631</v>
      </c>
      <c r="BX32">
        <v>126.816066482</v>
      </c>
      <c r="BY32">
        <v>113.0522979398</v>
      </c>
      <c r="CA32" t="s">
        <v>413</v>
      </c>
      <c r="CB32" t="s">
        <v>855</v>
      </c>
      <c r="CC32" t="s">
        <v>980</v>
      </c>
      <c r="CD32">
        <v>432</v>
      </c>
      <c r="CE32">
        <v>95</v>
      </c>
      <c r="CF32">
        <v>91.3587962963</v>
      </c>
      <c r="CG32">
        <v>1175</v>
      </c>
      <c r="CH32">
        <v>55</v>
      </c>
      <c r="CI32">
        <v>142.83063829790001</v>
      </c>
      <c r="CJ32">
        <v>177.45454545449999</v>
      </c>
      <c r="CL32" t="s">
        <v>413</v>
      </c>
      <c r="CM32" t="s">
        <v>824</v>
      </c>
      <c r="CN32" t="s">
        <v>826</v>
      </c>
      <c r="CO32">
        <v>33</v>
      </c>
      <c r="CP32">
        <v>8</v>
      </c>
      <c r="CQ32">
        <v>89.090909090899999</v>
      </c>
      <c r="CR32">
        <v>228</v>
      </c>
      <c r="CS32">
        <v>15</v>
      </c>
      <c r="CT32">
        <v>107.9868421053</v>
      </c>
      <c r="CU32">
        <v>84.2</v>
      </c>
      <c r="CW32" t="s">
        <v>413</v>
      </c>
      <c r="CX32" t="s">
        <v>840</v>
      </c>
      <c r="CY32" t="s">
        <v>842</v>
      </c>
      <c r="CZ32">
        <v>10</v>
      </c>
      <c r="DA32">
        <v>1</v>
      </c>
      <c r="DB32">
        <v>50.9</v>
      </c>
      <c r="DC32">
        <v>39</v>
      </c>
      <c r="DD32">
        <v>0</v>
      </c>
      <c r="DE32">
        <v>152.30769230769999</v>
      </c>
      <c r="DF32">
        <v>0</v>
      </c>
      <c r="DH32" t="s">
        <v>413</v>
      </c>
      <c r="DI32" t="s">
        <v>808</v>
      </c>
      <c r="DJ32" t="s">
        <v>810</v>
      </c>
      <c r="DK32">
        <v>13</v>
      </c>
      <c r="DL32">
        <v>0</v>
      </c>
      <c r="DM32">
        <v>41</v>
      </c>
      <c r="DN32">
        <v>59</v>
      </c>
      <c r="DO32">
        <v>4</v>
      </c>
      <c r="DP32">
        <v>124.7118644068</v>
      </c>
      <c r="DQ32">
        <v>41.5</v>
      </c>
    </row>
    <row r="33" spans="2:121" x14ac:dyDescent="0.2">
      <c r="B33" t="s">
        <v>123</v>
      </c>
      <c r="C33">
        <v>42</v>
      </c>
      <c r="D33">
        <v>30</v>
      </c>
      <c r="F33" t="s">
        <v>74</v>
      </c>
      <c r="G33">
        <v>297</v>
      </c>
      <c r="H33">
        <v>88.845117845100006</v>
      </c>
      <c r="I33">
        <v>1405</v>
      </c>
      <c r="J33">
        <v>248</v>
      </c>
      <c r="K33">
        <v>1131</v>
      </c>
      <c r="L33">
        <v>94</v>
      </c>
      <c r="M33">
        <v>380</v>
      </c>
      <c r="N33">
        <v>134</v>
      </c>
      <c r="O33">
        <v>28</v>
      </c>
      <c r="P33">
        <v>14</v>
      </c>
      <c r="Q33">
        <v>0</v>
      </c>
      <c r="R33">
        <v>0</v>
      </c>
      <c r="AH33" t="s">
        <v>373</v>
      </c>
      <c r="AI33">
        <v>1525</v>
      </c>
      <c r="AJ33">
        <v>298.56131147539998</v>
      </c>
      <c r="AK33">
        <v>4581</v>
      </c>
      <c r="AL33">
        <v>1239</v>
      </c>
      <c r="AM33">
        <v>4227</v>
      </c>
      <c r="AN33">
        <v>1585</v>
      </c>
      <c r="AO33">
        <v>1333</v>
      </c>
      <c r="AP33">
        <v>1118</v>
      </c>
      <c r="AQ33">
        <v>2462</v>
      </c>
      <c r="AR33">
        <v>1835</v>
      </c>
      <c r="AS33">
        <v>842</v>
      </c>
      <c r="AT33">
        <v>6</v>
      </c>
      <c r="AV33" t="s">
        <v>390</v>
      </c>
      <c r="AW33">
        <v>529</v>
      </c>
      <c r="AX33">
        <v>55.236294895999997</v>
      </c>
      <c r="AY33">
        <v>1150</v>
      </c>
      <c r="AZ33">
        <v>171</v>
      </c>
      <c r="BA33">
        <v>951</v>
      </c>
      <c r="BB33">
        <v>78</v>
      </c>
      <c r="BC33">
        <v>1</v>
      </c>
      <c r="BD33">
        <v>1</v>
      </c>
      <c r="BE33">
        <v>86</v>
      </c>
      <c r="BF33">
        <v>15</v>
      </c>
      <c r="BG33">
        <v>130</v>
      </c>
      <c r="BH33">
        <v>143</v>
      </c>
      <c r="BJ33" t="s">
        <v>621</v>
      </c>
      <c r="BK33" t="s">
        <v>368</v>
      </c>
      <c r="BL33">
        <v>1351</v>
      </c>
      <c r="BM33">
        <v>199</v>
      </c>
      <c r="BN33">
        <v>77.336787564800005</v>
      </c>
      <c r="BO33">
        <v>3418</v>
      </c>
      <c r="BP33">
        <v>131</v>
      </c>
      <c r="BQ33">
        <v>126.4438267993</v>
      </c>
      <c r="BR33">
        <v>115.1908396947</v>
      </c>
      <c r="BS33">
        <v>471</v>
      </c>
      <c r="BT33">
        <v>220</v>
      </c>
      <c r="BU33">
        <v>120.3121019108</v>
      </c>
      <c r="BV33">
        <v>3604</v>
      </c>
      <c r="BW33">
        <v>132</v>
      </c>
      <c r="BX33">
        <v>133.97419533850001</v>
      </c>
      <c r="BY33">
        <v>170.60606060609999</v>
      </c>
      <c r="CA33" t="s">
        <v>415</v>
      </c>
      <c r="CB33" t="s">
        <v>855</v>
      </c>
      <c r="CC33" t="s">
        <v>981</v>
      </c>
      <c r="CD33">
        <v>1241</v>
      </c>
      <c r="CE33">
        <v>172</v>
      </c>
      <c r="CF33">
        <v>71.9879129734</v>
      </c>
      <c r="CG33">
        <v>4588</v>
      </c>
      <c r="CH33">
        <v>200</v>
      </c>
      <c r="CI33">
        <v>102.8986486486</v>
      </c>
      <c r="CJ33">
        <v>102.94499999999999</v>
      </c>
      <c r="CL33" t="s">
        <v>415</v>
      </c>
      <c r="CM33" t="s">
        <v>824</v>
      </c>
      <c r="CN33" t="s">
        <v>827</v>
      </c>
      <c r="CO33">
        <v>118</v>
      </c>
      <c r="CP33">
        <v>7</v>
      </c>
      <c r="CQ33">
        <v>59.186440677999997</v>
      </c>
      <c r="CR33">
        <v>500</v>
      </c>
      <c r="CS33">
        <v>27</v>
      </c>
      <c r="CT33">
        <v>87.8</v>
      </c>
      <c r="CU33">
        <v>90.259259259299995</v>
      </c>
      <c r="CW33" t="s">
        <v>415</v>
      </c>
      <c r="CX33" t="s">
        <v>840</v>
      </c>
      <c r="CY33" t="s">
        <v>843</v>
      </c>
      <c r="CZ33">
        <v>14</v>
      </c>
      <c r="DA33">
        <v>1</v>
      </c>
      <c r="DB33">
        <v>59.5</v>
      </c>
      <c r="DC33">
        <v>52</v>
      </c>
      <c r="DD33">
        <v>2</v>
      </c>
      <c r="DE33">
        <v>147.44230769230001</v>
      </c>
      <c r="DF33">
        <v>215.5</v>
      </c>
      <c r="DH33" t="s">
        <v>415</v>
      </c>
      <c r="DI33" t="s">
        <v>808</v>
      </c>
      <c r="DJ33" t="s">
        <v>811</v>
      </c>
      <c r="DK33">
        <v>14</v>
      </c>
      <c r="DL33">
        <v>0</v>
      </c>
      <c r="DM33">
        <v>37.428571428600002</v>
      </c>
      <c r="DN33">
        <v>54</v>
      </c>
      <c r="DO33">
        <v>2</v>
      </c>
      <c r="DP33">
        <v>128.9074074074</v>
      </c>
      <c r="DQ33">
        <v>47</v>
      </c>
    </row>
    <row r="34" spans="2:121" x14ac:dyDescent="0.2">
      <c r="B34" t="s">
        <v>116</v>
      </c>
      <c r="C34">
        <v>13969</v>
      </c>
      <c r="D34">
        <v>4457</v>
      </c>
      <c r="F34" t="s">
        <v>67</v>
      </c>
      <c r="G34">
        <v>803</v>
      </c>
      <c r="H34">
        <v>339.9240348692</v>
      </c>
      <c r="I34">
        <v>2686</v>
      </c>
      <c r="J34">
        <v>355</v>
      </c>
      <c r="K34">
        <v>3026</v>
      </c>
      <c r="L34">
        <v>852</v>
      </c>
      <c r="M34">
        <v>1454</v>
      </c>
      <c r="N34">
        <v>1353</v>
      </c>
      <c r="O34">
        <v>428</v>
      </c>
      <c r="P34">
        <v>246</v>
      </c>
      <c r="Q34">
        <v>0</v>
      </c>
      <c r="R34">
        <v>1</v>
      </c>
      <c r="AH34" t="s">
        <v>404</v>
      </c>
      <c r="AI34">
        <v>791</v>
      </c>
      <c r="AJ34">
        <v>239.75853350189999</v>
      </c>
      <c r="AK34">
        <v>2853</v>
      </c>
      <c r="AL34">
        <v>659</v>
      </c>
      <c r="AM34">
        <v>2039</v>
      </c>
      <c r="AN34">
        <v>665</v>
      </c>
      <c r="AO34">
        <v>566</v>
      </c>
      <c r="AP34">
        <v>331</v>
      </c>
      <c r="AQ34">
        <v>987</v>
      </c>
      <c r="AR34">
        <v>592</v>
      </c>
      <c r="AS34">
        <v>6</v>
      </c>
      <c r="AT34">
        <v>12</v>
      </c>
      <c r="AV34" t="s">
        <v>413</v>
      </c>
      <c r="AW34">
        <v>38</v>
      </c>
      <c r="AX34">
        <v>94</v>
      </c>
      <c r="AY34">
        <v>30</v>
      </c>
      <c r="AZ34">
        <v>7</v>
      </c>
      <c r="BA34">
        <v>56</v>
      </c>
      <c r="BB34">
        <v>12</v>
      </c>
      <c r="BC34">
        <v>2</v>
      </c>
      <c r="BD34">
        <v>2</v>
      </c>
      <c r="BE34">
        <v>2</v>
      </c>
      <c r="BF34">
        <v>1</v>
      </c>
      <c r="BG34">
        <v>6</v>
      </c>
      <c r="BH34">
        <v>12</v>
      </c>
      <c r="BJ34" t="s">
        <v>517</v>
      </c>
      <c r="BK34" t="s">
        <v>368</v>
      </c>
      <c r="BL34">
        <v>4931</v>
      </c>
      <c r="BM34">
        <v>1482</v>
      </c>
      <c r="BN34">
        <v>110.4323666599</v>
      </c>
      <c r="BO34">
        <v>12412</v>
      </c>
      <c r="BP34">
        <v>620</v>
      </c>
      <c r="BQ34">
        <v>137.30518852719999</v>
      </c>
      <c r="BR34">
        <v>136.3403225806</v>
      </c>
      <c r="BS34">
        <v>1456</v>
      </c>
      <c r="BT34">
        <v>570</v>
      </c>
      <c r="BU34">
        <v>121.3585164835</v>
      </c>
      <c r="BV34">
        <v>9790</v>
      </c>
      <c r="BW34">
        <v>442</v>
      </c>
      <c r="BX34">
        <v>133.8915219612</v>
      </c>
      <c r="BY34">
        <v>148.9253393665</v>
      </c>
      <c r="CA34" t="s">
        <v>375</v>
      </c>
      <c r="CB34" t="s">
        <v>855</v>
      </c>
      <c r="CC34" t="s">
        <v>982</v>
      </c>
      <c r="CD34">
        <v>5976</v>
      </c>
      <c r="CE34">
        <v>1424</v>
      </c>
      <c r="CF34">
        <v>99.023594377500004</v>
      </c>
      <c r="CG34">
        <v>15681</v>
      </c>
      <c r="CH34">
        <v>773</v>
      </c>
      <c r="CI34">
        <v>136.59549773609999</v>
      </c>
      <c r="CJ34">
        <v>133.30012936610001</v>
      </c>
      <c r="CL34" t="s">
        <v>375</v>
      </c>
      <c r="CM34" t="s">
        <v>824</v>
      </c>
      <c r="CN34" t="s">
        <v>828</v>
      </c>
      <c r="CO34">
        <v>474</v>
      </c>
      <c r="CP34">
        <v>63</v>
      </c>
      <c r="CQ34">
        <v>66.7004219409</v>
      </c>
      <c r="CR34">
        <v>1727</v>
      </c>
      <c r="CS34">
        <v>98</v>
      </c>
      <c r="CT34">
        <v>102.2987840185</v>
      </c>
      <c r="CU34">
        <v>125.31632653059999</v>
      </c>
      <c r="CW34" t="s">
        <v>375</v>
      </c>
      <c r="CX34" t="s">
        <v>840</v>
      </c>
      <c r="CY34" t="s">
        <v>844</v>
      </c>
      <c r="CZ34">
        <v>173</v>
      </c>
      <c r="DA34">
        <v>24</v>
      </c>
      <c r="DB34">
        <v>68.346820809199997</v>
      </c>
      <c r="DC34">
        <v>519</v>
      </c>
      <c r="DD34">
        <v>14</v>
      </c>
      <c r="DE34">
        <v>145.50674373800001</v>
      </c>
      <c r="DF34">
        <v>140.57142857139999</v>
      </c>
      <c r="DH34" t="s">
        <v>375</v>
      </c>
      <c r="DI34" t="s">
        <v>808</v>
      </c>
      <c r="DJ34" t="s">
        <v>812</v>
      </c>
      <c r="DK34">
        <v>201</v>
      </c>
      <c r="DL34">
        <v>20</v>
      </c>
      <c r="DM34">
        <v>62.019900497499997</v>
      </c>
      <c r="DN34">
        <v>726</v>
      </c>
      <c r="DO34">
        <v>21</v>
      </c>
      <c r="DP34">
        <v>141.33195592289999</v>
      </c>
      <c r="DQ34">
        <v>96.523809523799997</v>
      </c>
    </row>
    <row r="35" spans="2:121" x14ac:dyDescent="0.2">
      <c r="B35" t="s">
        <v>115</v>
      </c>
      <c r="C35">
        <v>5642</v>
      </c>
      <c r="D35">
        <v>1483</v>
      </c>
      <c r="F35" t="s">
        <v>8</v>
      </c>
      <c r="G35">
        <v>78</v>
      </c>
      <c r="H35">
        <v>373.51282051279998</v>
      </c>
      <c r="I35">
        <v>63</v>
      </c>
      <c r="J35">
        <v>53</v>
      </c>
      <c r="K35">
        <v>261</v>
      </c>
      <c r="L35">
        <v>93</v>
      </c>
      <c r="M35">
        <v>111</v>
      </c>
      <c r="N35">
        <v>59</v>
      </c>
      <c r="O35">
        <v>65970</v>
      </c>
      <c r="P35">
        <v>39941</v>
      </c>
      <c r="Q35">
        <v>0</v>
      </c>
      <c r="R35">
        <v>0</v>
      </c>
      <c r="AH35" t="s">
        <v>60</v>
      </c>
      <c r="AI35">
        <v>3359</v>
      </c>
      <c r="AJ35">
        <v>277.25513545699999</v>
      </c>
      <c r="AK35">
        <v>9250</v>
      </c>
      <c r="AL35">
        <v>2217</v>
      </c>
      <c r="AM35">
        <v>9164</v>
      </c>
      <c r="AN35">
        <v>3472</v>
      </c>
      <c r="AO35">
        <v>3174</v>
      </c>
      <c r="AP35">
        <v>2509</v>
      </c>
      <c r="AQ35">
        <v>6161</v>
      </c>
      <c r="AR35">
        <v>4485</v>
      </c>
      <c r="AS35">
        <v>1776</v>
      </c>
      <c r="AT35">
        <v>10</v>
      </c>
      <c r="AV35" t="s">
        <v>406</v>
      </c>
      <c r="AW35">
        <v>1056</v>
      </c>
      <c r="AX35">
        <v>67.934659090899999</v>
      </c>
      <c r="AY35">
        <v>1677</v>
      </c>
      <c r="AZ35">
        <v>84</v>
      </c>
      <c r="BA35">
        <v>1874</v>
      </c>
      <c r="BB35">
        <v>239</v>
      </c>
      <c r="BC35">
        <v>10</v>
      </c>
      <c r="BD35">
        <v>8</v>
      </c>
      <c r="BE35">
        <v>114</v>
      </c>
      <c r="BF35">
        <v>50</v>
      </c>
      <c r="BG35">
        <v>1615</v>
      </c>
      <c r="BH35">
        <v>522</v>
      </c>
      <c r="BJ35" t="s">
        <v>523</v>
      </c>
      <c r="BK35" t="s">
        <v>368</v>
      </c>
      <c r="BL35">
        <v>2920</v>
      </c>
      <c r="BM35">
        <v>716</v>
      </c>
      <c r="BN35">
        <v>94.936643835599995</v>
      </c>
      <c r="BO35">
        <v>6918</v>
      </c>
      <c r="BP35">
        <v>305</v>
      </c>
      <c r="BQ35">
        <v>138.0925122868</v>
      </c>
      <c r="BR35">
        <v>146.2786885246</v>
      </c>
      <c r="BS35">
        <v>858</v>
      </c>
      <c r="BT35">
        <v>338</v>
      </c>
      <c r="BU35">
        <v>116.1934731935</v>
      </c>
      <c r="BV35">
        <v>4585</v>
      </c>
      <c r="BW35">
        <v>209</v>
      </c>
      <c r="BX35">
        <v>144.681134133</v>
      </c>
      <c r="BY35">
        <v>167.47368421050001</v>
      </c>
      <c r="CA35" t="s">
        <v>370</v>
      </c>
      <c r="CB35" t="s">
        <v>855</v>
      </c>
      <c r="CC35" t="s">
        <v>983</v>
      </c>
      <c r="CD35">
        <v>4441</v>
      </c>
      <c r="CE35">
        <v>887</v>
      </c>
      <c r="CF35">
        <v>85.827966674199999</v>
      </c>
      <c r="CG35">
        <v>12213</v>
      </c>
      <c r="CH35">
        <v>501</v>
      </c>
      <c r="CI35">
        <v>126.2346679767</v>
      </c>
      <c r="CJ35">
        <v>115.1357285429</v>
      </c>
      <c r="CL35" t="s">
        <v>370</v>
      </c>
      <c r="CM35" t="s">
        <v>824</v>
      </c>
      <c r="CN35" t="s">
        <v>829</v>
      </c>
      <c r="CO35">
        <v>435</v>
      </c>
      <c r="CP35">
        <v>61</v>
      </c>
      <c r="CQ35">
        <v>67.901149425300005</v>
      </c>
      <c r="CR35">
        <v>1647</v>
      </c>
      <c r="CS35">
        <v>96</v>
      </c>
      <c r="CT35">
        <v>93.834244080100007</v>
      </c>
      <c r="CU35">
        <v>91.510416666699996</v>
      </c>
      <c r="CW35" t="s">
        <v>370</v>
      </c>
      <c r="CX35" t="s">
        <v>840</v>
      </c>
      <c r="CY35" t="s">
        <v>845</v>
      </c>
      <c r="CZ35">
        <v>77</v>
      </c>
      <c r="DA35">
        <v>4</v>
      </c>
      <c r="DB35">
        <v>58.129870129899999</v>
      </c>
      <c r="DC35">
        <v>203</v>
      </c>
      <c r="DD35">
        <v>10</v>
      </c>
      <c r="DE35">
        <v>135.2660098522</v>
      </c>
      <c r="DF35">
        <v>97.5</v>
      </c>
      <c r="DH35" t="s">
        <v>370</v>
      </c>
      <c r="DI35" t="s">
        <v>808</v>
      </c>
      <c r="DJ35" t="s">
        <v>813</v>
      </c>
      <c r="DK35">
        <v>61</v>
      </c>
      <c r="DL35">
        <v>5</v>
      </c>
      <c r="DM35">
        <v>58.327868852500004</v>
      </c>
      <c r="DN35">
        <v>125</v>
      </c>
      <c r="DO35">
        <v>7</v>
      </c>
      <c r="DP35">
        <v>120</v>
      </c>
      <c r="DQ35">
        <v>47.571428571399998</v>
      </c>
    </row>
    <row r="36" spans="2:121" x14ac:dyDescent="0.2">
      <c r="B36" t="s">
        <v>108</v>
      </c>
      <c r="C36">
        <v>471</v>
      </c>
      <c r="D36">
        <v>385</v>
      </c>
      <c r="F36" t="s">
        <v>62</v>
      </c>
      <c r="G36">
        <v>6710</v>
      </c>
      <c r="H36">
        <v>458.13845007449999</v>
      </c>
      <c r="I36">
        <v>11482</v>
      </c>
      <c r="J36">
        <v>2803</v>
      </c>
      <c r="K36">
        <v>12311</v>
      </c>
      <c r="L36">
        <v>7606</v>
      </c>
      <c r="M36">
        <v>3752</v>
      </c>
      <c r="N36">
        <v>3372</v>
      </c>
      <c r="O36">
        <v>2692</v>
      </c>
      <c r="P36">
        <v>2143</v>
      </c>
      <c r="Q36">
        <v>0</v>
      </c>
      <c r="R36">
        <v>48</v>
      </c>
      <c r="T36" t="s">
        <v>645</v>
      </c>
      <c r="U36" t="s">
        <v>306</v>
      </c>
      <c r="V36" t="s">
        <v>133</v>
      </c>
      <c r="W36" t="s">
        <v>214</v>
      </c>
      <c r="X36" t="s">
        <v>458</v>
      </c>
      <c r="Y36" t="s">
        <v>216</v>
      </c>
      <c r="Z36" t="s">
        <v>217</v>
      </c>
      <c r="AA36" t="s">
        <v>218</v>
      </c>
      <c r="AB36" t="s">
        <v>459</v>
      </c>
      <c r="AC36" t="s">
        <v>220</v>
      </c>
      <c r="AD36" t="s">
        <v>221</v>
      </c>
      <c r="AE36" t="s">
        <v>222</v>
      </c>
      <c r="AF36" t="s">
        <v>223</v>
      </c>
      <c r="AH36" t="s">
        <v>381</v>
      </c>
      <c r="AI36">
        <v>12960</v>
      </c>
      <c r="AJ36">
        <v>347.8625771605</v>
      </c>
      <c r="AK36">
        <v>17971</v>
      </c>
      <c r="AL36">
        <v>4064</v>
      </c>
      <c r="AM36">
        <v>20416</v>
      </c>
      <c r="AN36">
        <v>11343</v>
      </c>
      <c r="AO36">
        <v>8962</v>
      </c>
      <c r="AP36">
        <v>7102</v>
      </c>
      <c r="AQ36">
        <v>7607</v>
      </c>
      <c r="AR36">
        <v>5230</v>
      </c>
      <c r="AS36">
        <v>1251</v>
      </c>
      <c r="AT36">
        <v>43</v>
      </c>
      <c r="AV36" t="s">
        <v>373</v>
      </c>
      <c r="AW36">
        <v>455</v>
      </c>
      <c r="AX36">
        <v>104.28351648349999</v>
      </c>
      <c r="AY36">
        <v>659</v>
      </c>
      <c r="AZ36">
        <v>123</v>
      </c>
      <c r="BA36">
        <v>627</v>
      </c>
      <c r="BB36">
        <v>182</v>
      </c>
      <c r="BC36">
        <v>1</v>
      </c>
      <c r="BD36">
        <v>1</v>
      </c>
      <c r="BE36">
        <v>25</v>
      </c>
      <c r="BF36">
        <v>11</v>
      </c>
      <c r="BG36">
        <v>59</v>
      </c>
      <c r="BH36">
        <v>136</v>
      </c>
      <c r="BJ36" t="s">
        <v>368</v>
      </c>
      <c r="BK36" t="s">
        <v>368</v>
      </c>
      <c r="BL36">
        <v>74715</v>
      </c>
      <c r="BM36">
        <v>17056</v>
      </c>
      <c r="BN36">
        <v>94.206611791499995</v>
      </c>
      <c r="BO36">
        <v>203241</v>
      </c>
      <c r="BP36">
        <v>9064</v>
      </c>
      <c r="BQ36">
        <v>130.66893490979999</v>
      </c>
      <c r="BR36">
        <v>130.83263459840001</v>
      </c>
      <c r="BS36">
        <v>25353</v>
      </c>
      <c r="BT36">
        <v>6841</v>
      </c>
      <c r="BU36">
        <v>99.155642330299997</v>
      </c>
      <c r="BV36">
        <v>194996</v>
      </c>
      <c r="BW36">
        <v>9039</v>
      </c>
      <c r="BX36">
        <v>129.74144597840001</v>
      </c>
      <c r="BY36">
        <v>128.4956300476</v>
      </c>
      <c r="CA36" t="s">
        <v>414</v>
      </c>
      <c r="CB36" t="s">
        <v>855</v>
      </c>
      <c r="CC36" t="s">
        <v>984</v>
      </c>
      <c r="CD36">
        <v>1375</v>
      </c>
      <c r="CE36">
        <v>209</v>
      </c>
      <c r="CF36">
        <v>76.816727272700007</v>
      </c>
      <c r="CG36">
        <v>3653</v>
      </c>
      <c r="CH36">
        <v>136</v>
      </c>
      <c r="CI36">
        <v>125.5417465097</v>
      </c>
      <c r="CJ36">
        <v>117.04411764709999</v>
      </c>
      <c r="CL36" t="s">
        <v>414</v>
      </c>
      <c r="CM36" t="s">
        <v>824</v>
      </c>
      <c r="CN36" t="s">
        <v>830</v>
      </c>
      <c r="CO36">
        <v>98</v>
      </c>
      <c r="CP36">
        <v>15</v>
      </c>
      <c r="CQ36">
        <v>70.234693877599994</v>
      </c>
      <c r="CR36">
        <v>416</v>
      </c>
      <c r="CS36">
        <v>30</v>
      </c>
      <c r="CT36">
        <v>93.295673076900002</v>
      </c>
      <c r="CU36">
        <v>90.766666666700004</v>
      </c>
      <c r="CW36" t="s">
        <v>414</v>
      </c>
      <c r="CX36" t="s">
        <v>840</v>
      </c>
      <c r="CY36" t="s">
        <v>846</v>
      </c>
      <c r="CZ36">
        <v>29</v>
      </c>
      <c r="DA36">
        <v>2</v>
      </c>
      <c r="DB36">
        <v>67.034482758600006</v>
      </c>
      <c r="DC36">
        <v>52</v>
      </c>
      <c r="DD36">
        <v>0</v>
      </c>
      <c r="DE36">
        <v>144.23076923080001</v>
      </c>
      <c r="DF36">
        <v>0</v>
      </c>
      <c r="DH36" t="s">
        <v>414</v>
      </c>
      <c r="DI36" t="s">
        <v>808</v>
      </c>
      <c r="DJ36" t="s">
        <v>814</v>
      </c>
      <c r="DK36">
        <v>11</v>
      </c>
      <c r="DL36">
        <v>1</v>
      </c>
      <c r="DM36">
        <v>37.272727272700003</v>
      </c>
      <c r="DN36">
        <v>51</v>
      </c>
      <c r="DO36">
        <v>1</v>
      </c>
      <c r="DP36">
        <v>136.9411764706</v>
      </c>
      <c r="DQ36">
        <v>66</v>
      </c>
    </row>
    <row r="37" spans="2:121" x14ac:dyDescent="0.2">
      <c r="B37" t="s">
        <v>99</v>
      </c>
      <c r="C37">
        <v>22418</v>
      </c>
      <c r="D37">
        <v>3610</v>
      </c>
      <c r="F37" t="s">
        <v>71</v>
      </c>
      <c r="G37">
        <v>4943</v>
      </c>
      <c r="H37">
        <v>330.44648998579999</v>
      </c>
      <c r="I37">
        <v>12559</v>
      </c>
      <c r="J37">
        <v>2087</v>
      </c>
      <c r="K37">
        <v>17567</v>
      </c>
      <c r="L37">
        <v>7913</v>
      </c>
      <c r="M37">
        <v>6607</v>
      </c>
      <c r="N37">
        <v>4555</v>
      </c>
      <c r="O37">
        <v>2344</v>
      </c>
      <c r="P37">
        <v>1635</v>
      </c>
      <c r="Q37">
        <v>0</v>
      </c>
      <c r="R37">
        <v>61</v>
      </c>
      <c r="T37" t="s">
        <v>389</v>
      </c>
      <c r="U37">
        <v>2967</v>
      </c>
      <c r="V37">
        <v>59.914054600599997</v>
      </c>
      <c r="W37">
        <v>5635</v>
      </c>
      <c r="X37">
        <v>695</v>
      </c>
      <c r="Y37">
        <v>4811</v>
      </c>
      <c r="Z37">
        <v>398</v>
      </c>
      <c r="AA37">
        <v>10</v>
      </c>
      <c r="AB37">
        <v>9</v>
      </c>
      <c r="AC37">
        <v>403</v>
      </c>
      <c r="AD37">
        <v>103</v>
      </c>
      <c r="AE37">
        <v>2360</v>
      </c>
      <c r="AF37">
        <v>826</v>
      </c>
      <c r="AH37" t="s">
        <v>418</v>
      </c>
      <c r="AI37">
        <v>242</v>
      </c>
      <c r="AJ37">
        <v>146.50826446280001</v>
      </c>
      <c r="AK37">
        <v>604</v>
      </c>
      <c r="AL37">
        <v>89</v>
      </c>
      <c r="AM37">
        <v>885</v>
      </c>
      <c r="AN37">
        <v>111</v>
      </c>
      <c r="AO37">
        <v>166</v>
      </c>
      <c r="AP37">
        <v>76</v>
      </c>
      <c r="AQ37">
        <v>151</v>
      </c>
      <c r="AR37">
        <v>98</v>
      </c>
      <c r="AS37">
        <v>2</v>
      </c>
      <c r="AT37">
        <v>2</v>
      </c>
      <c r="AV37" t="s">
        <v>402</v>
      </c>
      <c r="AW37">
        <v>142</v>
      </c>
      <c r="AX37">
        <v>68.718309859200005</v>
      </c>
      <c r="AY37">
        <v>240</v>
      </c>
      <c r="AZ37">
        <v>7</v>
      </c>
      <c r="BA37">
        <v>323</v>
      </c>
      <c r="BB37">
        <v>37</v>
      </c>
      <c r="BC37">
        <v>4</v>
      </c>
      <c r="BD37">
        <v>3</v>
      </c>
      <c r="BE37">
        <v>13</v>
      </c>
      <c r="BF37">
        <v>9</v>
      </c>
      <c r="BG37">
        <v>410</v>
      </c>
      <c r="BH37">
        <v>89</v>
      </c>
      <c r="BJ37" t="s">
        <v>525</v>
      </c>
      <c r="BK37" t="s">
        <v>368</v>
      </c>
      <c r="BL37">
        <v>8438</v>
      </c>
      <c r="BM37">
        <v>2709</v>
      </c>
      <c r="BN37">
        <v>120.5964683574</v>
      </c>
      <c r="BO37">
        <v>20031</v>
      </c>
      <c r="BP37">
        <v>853</v>
      </c>
      <c r="BQ37">
        <v>149.1462233538</v>
      </c>
      <c r="BR37">
        <v>159.90621336460001</v>
      </c>
      <c r="BS37">
        <v>3248</v>
      </c>
      <c r="BT37">
        <v>1073</v>
      </c>
      <c r="BU37">
        <v>116.3318965517</v>
      </c>
      <c r="BV37">
        <v>20648</v>
      </c>
      <c r="BW37">
        <v>984</v>
      </c>
      <c r="BX37">
        <v>145.17672413790001</v>
      </c>
      <c r="BY37">
        <v>138.01930894309999</v>
      </c>
      <c r="CA37" t="s">
        <v>373</v>
      </c>
      <c r="CB37" t="s">
        <v>855</v>
      </c>
      <c r="CC37" t="s">
        <v>985</v>
      </c>
      <c r="CD37">
        <v>4477</v>
      </c>
      <c r="CE37">
        <v>1231</v>
      </c>
      <c r="CF37">
        <v>104.2999776636</v>
      </c>
      <c r="CG37">
        <v>10654</v>
      </c>
      <c r="CH37">
        <v>473</v>
      </c>
      <c r="CI37">
        <v>139.11385395159999</v>
      </c>
      <c r="CJ37">
        <v>152.92177589849999</v>
      </c>
      <c r="CL37" t="s">
        <v>373</v>
      </c>
      <c r="CM37" t="s">
        <v>824</v>
      </c>
      <c r="CN37" t="s">
        <v>831</v>
      </c>
      <c r="CO37">
        <v>504</v>
      </c>
      <c r="CP37">
        <v>79</v>
      </c>
      <c r="CQ37">
        <v>70.226190476200003</v>
      </c>
      <c r="CR37">
        <v>1793</v>
      </c>
      <c r="CS37">
        <v>96</v>
      </c>
      <c r="CT37">
        <v>96.993865030699993</v>
      </c>
      <c r="CU37">
        <v>96.197916666699996</v>
      </c>
      <c r="CW37" t="s">
        <v>373</v>
      </c>
      <c r="CX37" t="s">
        <v>840</v>
      </c>
      <c r="CY37" t="s">
        <v>847</v>
      </c>
      <c r="CZ37">
        <v>95</v>
      </c>
      <c r="DA37">
        <v>8</v>
      </c>
      <c r="DB37">
        <v>59.915789473700002</v>
      </c>
      <c r="DC37">
        <v>241</v>
      </c>
      <c r="DD37">
        <v>12</v>
      </c>
      <c r="DE37">
        <v>144.4190871369</v>
      </c>
      <c r="DF37">
        <v>129.75</v>
      </c>
      <c r="DH37" t="s">
        <v>373</v>
      </c>
      <c r="DI37" t="s">
        <v>808</v>
      </c>
      <c r="DJ37" t="s">
        <v>815</v>
      </c>
      <c r="DK37">
        <v>74</v>
      </c>
      <c r="DL37">
        <v>9</v>
      </c>
      <c r="DM37">
        <v>66.243243243199998</v>
      </c>
      <c r="DN37">
        <v>182</v>
      </c>
      <c r="DO37">
        <v>7</v>
      </c>
      <c r="DP37">
        <v>134.7362637363</v>
      </c>
      <c r="DQ37">
        <v>80.571428571400006</v>
      </c>
    </row>
    <row r="38" spans="2:121" x14ac:dyDescent="0.2">
      <c r="B38" t="s">
        <v>21</v>
      </c>
      <c r="C38">
        <v>36392</v>
      </c>
      <c r="D38">
        <v>9669</v>
      </c>
      <c r="F38" t="s">
        <v>43</v>
      </c>
      <c r="G38">
        <v>251</v>
      </c>
      <c r="H38">
        <v>83.840637450200006</v>
      </c>
      <c r="I38">
        <v>1060</v>
      </c>
      <c r="J38">
        <v>135</v>
      </c>
      <c r="K38">
        <v>1063</v>
      </c>
      <c r="L38">
        <v>47</v>
      </c>
      <c r="M38">
        <v>173</v>
      </c>
      <c r="N38">
        <v>70</v>
      </c>
      <c r="O38">
        <v>67</v>
      </c>
      <c r="P38">
        <v>44</v>
      </c>
      <c r="Q38">
        <v>0</v>
      </c>
      <c r="R38">
        <v>0</v>
      </c>
      <c r="T38" t="s">
        <v>379</v>
      </c>
      <c r="U38">
        <v>7488</v>
      </c>
      <c r="V38">
        <v>100.7601495726</v>
      </c>
      <c r="W38">
        <v>8241</v>
      </c>
      <c r="X38">
        <v>1202</v>
      </c>
      <c r="Y38">
        <v>10043</v>
      </c>
      <c r="Z38">
        <v>3064</v>
      </c>
      <c r="AA38">
        <v>27</v>
      </c>
      <c r="AB38">
        <v>24</v>
      </c>
      <c r="AC38">
        <v>467</v>
      </c>
      <c r="AD38">
        <v>143</v>
      </c>
      <c r="AE38">
        <v>1235</v>
      </c>
      <c r="AF38">
        <v>1524</v>
      </c>
      <c r="AH38" t="s">
        <v>390</v>
      </c>
      <c r="AI38">
        <v>4757</v>
      </c>
      <c r="AJ38">
        <v>500.89888585239999</v>
      </c>
      <c r="AK38">
        <v>8536</v>
      </c>
      <c r="AL38">
        <v>1757</v>
      </c>
      <c r="AM38">
        <v>9721</v>
      </c>
      <c r="AN38">
        <v>4519</v>
      </c>
      <c r="AO38">
        <v>2927</v>
      </c>
      <c r="AP38">
        <v>2597</v>
      </c>
      <c r="AQ38">
        <v>4333</v>
      </c>
      <c r="AR38">
        <v>3183</v>
      </c>
      <c r="AS38">
        <v>1073</v>
      </c>
      <c r="AT38">
        <v>342</v>
      </c>
      <c r="AV38" t="s">
        <v>424</v>
      </c>
      <c r="AW38">
        <v>2620</v>
      </c>
      <c r="AX38">
        <v>99.702290076300002</v>
      </c>
      <c r="AY38">
        <v>3231</v>
      </c>
      <c r="AZ38">
        <v>488</v>
      </c>
      <c r="BA38">
        <v>3497</v>
      </c>
      <c r="BB38">
        <v>1083</v>
      </c>
      <c r="BC38">
        <v>16</v>
      </c>
      <c r="BD38">
        <v>15</v>
      </c>
      <c r="BE38">
        <v>140</v>
      </c>
      <c r="BF38">
        <v>53</v>
      </c>
      <c r="BG38">
        <v>432</v>
      </c>
      <c r="BH38">
        <v>550</v>
      </c>
      <c r="BJ38" t="s">
        <v>528</v>
      </c>
      <c r="BK38" t="s">
        <v>368</v>
      </c>
      <c r="BL38">
        <v>4461</v>
      </c>
      <c r="BM38">
        <v>1396</v>
      </c>
      <c r="BN38">
        <v>114.63371441380001</v>
      </c>
      <c r="BO38">
        <v>11519</v>
      </c>
      <c r="BP38">
        <v>606</v>
      </c>
      <c r="BQ38">
        <v>157.67931244030001</v>
      </c>
      <c r="BR38">
        <v>160.7491749175</v>
      </c>
      <c r="BS38">
        <v>830</v>
      </c>
      <c r="BT38">
        <v>408</v>
      </c>
      <c r="BU38">
        <v>144.08674698799999</v>
      </c>
      <c r="BV38">
        <v>9570</v>
      </c>
      <c r="BW38">
        <v>343</v>
      </c>
      <c r="BX38">
        <v>174.31745036570001</v>
      </c>
      <c r="BY38">
        <v>192.9387755102</v>
      </c>
      <c r="CA38" t="s">
        <v>60</v>
      </c>
      <c r="CB38" t="s">
        <v>855</v>
      </c>
      <c r="CC38" t="s">
        <v>517</v>
      </c>
      <c r="CD38">
        <v>9056</v>
      </c>
      <c r="CE38">
        <v>2180</v>
      </c>
      <c r="CF38">
        <v>97.804659893999997</v>
      </c>
      <c r="CG38">
        <v>24501</v>
      </c>
      <c r="CH38">
        <v>1125</v>
      </c>
      <c r="CI38">
        <v>129.54834496550001</v>
      </c>
      <c r="CJ38">
        <v>126.5697777778</v>
      </c>
      <c r="CL38" t="s">
        <v>60</v>
      </c>
      <c r="CM38" t="s">
        <v>824</v>
      </c>
      <c r="CN38" t="s">
        <v>832</v>
      </c>
      <c r="CO38">
        <v>1089</v>
      </c>
      <c r="CP38">
        <v>125</v>
      </c>
      <c r="CQ38">
        <v>63.884297520700002</v>
      </c>
      <c r="CR38">
        <v>4637</v>
      </c>
      <c r="CS38">
        <v>299</v>
      </c>
      <c r="CT38">
        <v>99.866939831799996</v>
      </c>
      <c r="CU38">
        <v>108.32107023410001</v>
      </c>
      <c r="CW38" t="s">
        <v>60</v>
      </c>
      <c r="CX38" t="s">
        <v>840</v>
      </c>
      <c r="CY38" t="s">
        <v>848</v>
      </c>
      <c r="CZ38">
        <v>219</v>
      </c>
      <c r="DA38">
        <v>16</v>
      </c>
      <c r="DB38">
        <v>59.013698630100002</v>
      </c>
      <c r="DC38">
        <v>540</v>
      </c>
      <c r="DD38">
        <v>25</v>
      </c>
      <c r="DE38">
        <v>137.31296296299999</v>
      </c>
      <c r="DF38">
        <v>118.28</v>
      </c>
      <c r="DH38" t="s">
        <v>60</v>
      </c>
      <c r="DI38" t="s">
        <v>808</v>
      </c>
      <c r="DJ38" t="s">
        <v>816</v>
      </c>
      <c r="DK38">
        <v>147</v>
      </c>
      <c r="DL38">
        <v>19</v>
      </c>
      <c r="DM38">
        <v>59.517006802700003</v>
      </c>
      <c r="DN38">
        <v>395</v>
      </c>
      <c r="DO38">
        <v>22</v>
      </c>
      <c r="DP38">
        <v>128.0405063291</v>
      </c>
      <c r="DQ38">
        <v>87.272727272699996</v>
      </c>
    </row>
    <row r="39" spans="2:121" x14ac:dyDescent="0.2">
      <c r="B39" t="s">
        <v>102</v>
      </c>
      <c r="C39">
        <v>25353</v>
      </c>
      <c r="D39">
        <v>17411</v>
      </c>
      <c r="F39" t="s">
        <v>64</v>
      </c>
      <c r="G39">
        <v>3179</v>
      </c>
      <c r="H39">
        <v>237.7376533501</v>
      </c>
      <c r="I39">
        <v>4842</v>
      </c>
      <c r="J39">
        <v>662</v>
      </c>
      <c r="K39">
        <v>6239</v>
      </c>
      <c r="L39">
        <v>1986</v>
      </c>
      <c r="M39">
        <v>1791</v>
      </c>
      <c r="N39">
        <v>1036</v>
      </c>
      <c r="O39">
        <v>1265</v>
      </c>
      <c r="P39">
        <v>767</v>
      </c>
      <c r="Q39">
        <v>0</v>
      </c>
      <c r="R39">
        <v>80</v>
      </c>
      <c r="T39" t="s">
        <v>368</v>
      </c>
      <c r="U39">
        <v>6809</v>
      </c>
      <c r="V39">
        <v>104.4046115435</v>
      </c>
      <c r="W39">
        <v>9046</v>
      </c>
      <c r="X39">
        <v>1495</v>
      </c>
      <c r="Y39">
        <v>9404</v>
      </c>
      <c r="Z39">
        <v>2860</v>
      </c>
      <c r="AA39">
        <v>171</v>
      </c>
      <c r="AB39">
        <v>163</v>
      </c>
      <c r="AC39">
        <v>443</v>
      </c>
      <c r="AD39">
        <v>148</v>
      </c>
      <c r="AE39">
        <v>1124</v>
      </c>
      <c r="AF39">
        <v>1725</v>
      </c>
      <c r="AH39" t="s">
        <v>411</v>
      </c>
      <c r="AI39">
        <v>1505</v>
      </c>
      <c r="AJ39">
        <v>161.7601328904</v>
      </c>
      <c r="AK39">
        <v>6636</v>
      </c>
      <c r="AL39">
        <v>636</v>
      </c>
      <c r="AM39">
        <v>4732</v>
      </c>
      <c r="AN39">
        <v>699</v>
      </c>
      <c r="AO39">
        <v>1107</v>
      </c>
      <c r="AP39">
        <v>547</v>
      </c>
      <c r="AQ39">
        <v>2962</v>
      </c>
      <c r="AR39">
        <v>1837</v>
      </c>
      <c r="AS39">
        <v>7</v>
      </c>
      <c r="AT39">
        <v>21</v>
      </c>
      <c r="AV39" t="s">
        <v>80</v>
      </c>
      <c r="AW39">
        <v>176</v>
      </c>
      <c r="AX39">
        <v>68.926136363599994</v>
      </c>
      <c r="AY39">
        <v>353</v>
      </c>
      <c r="AZ39">
        <v>18</v>
      </c>
      <c r="BA39">
        <v>401</v>
      </c>
      <c r="BB39">
        <v>66</v>
      </c>
      <c r="BC39">
        <v>0</v>
      </c>
      <c r="BE39">
        <v>24</v>
      </c>
      <c r="BF39">
        <v>9</v>
      </c>
      <c r="BG39">
        <v>513</v>
      </c>
      <c r="BH39">
        <v>132</v>
      </c>
      <c r="BJ39" t="s">
        <v>513</v>
      </c>
      <c r="BK39" t="s">
        <v>368</v>
      </c>
      <c r="BL39">
        <v>2951</v>
      </c>
      <c r="BM39">
        <v>367</v>
      </c>
      <c r="BN39">
        <v>67.724161301300001</v>
      </c>
      <c r="BO39">
        <v>18795</v>
      </c>
      <c r="BP39">
        <v>836</v>
      </c>
      <c r="BQ39">
        <v>56.6487895717</v>
      </c>
      <c r="BR39">
        <v>59.866028708100004</v>
      </c>
      <c r="BS39">
        <v>1996</v>
      </c>
      <c r="BT39">
        <v>284</v>
      </c>
      <c r="BU39">
        <v>65.976452905800002</v>
      </c>
      <c r="BV39">
        <v>22961</v>
      </c>
      <c r="BW39">
        <v>1107</v>
      </c>
      <c r="BX39">
        <v>72.386002351800002</v>
      </c>
      <c r="BY39">
        <v>74.024390243900001</v>
      </c>
      <c r="CA39" t="s">
        <v>381</v>
      </c>
      <c r="CB39" t="s">
        <v>855</v>
      </c>
      <c r="CC39" t="s">
        <v>986</v>
      </c>
      <c r="CD39">
        <v>17399</v>
      </c>
      <c r="CE39">
        <v>3929</v>
      </c>
      <c r="CF39">
        <v>90.736938904499993</v>
      </c>
      <c r="CG39">
        <v>44429</v>
      </c>
      <c r="CH39">
        <v>2008</v>
      </c>
      <c r="CI39">
        <v>135.4740147201</v>
      </c>
      <c r="CJ39">
        <v>129.32021912350001</v>
      </c>
      <c r="CL39" t="s">
        <v>381</v>
      </c>
      <c r="CM39" t="s">
        <v>824</v>
      </c>
      <c r="CN39" t="s">
        <v>833</v>
      </c>
      <c r="CO39">
        <v>1236</v>
      </c>
      <c r="CP39">
        <v>174</v>
      </c>
      <c r="CQ39">
        <v>70.613268608400006</v>
      </c>
      <c r="CR39">
        <v>4647</v>
      </c>
      <c r="CS39">
        <v>274</v>
      </c>
      <c r="CT39">
        <v>98.200344308200002</v>
      </c>
      <c r="CU39">
        <v>109.47080291970001</v>
      </c>
      <c r="CW39" t="s">
        <v>381</v>
      </c>
      <c r="CX39" t="s">
        <v>840</v>
      </c>
      <c r="CY39" t="s">
        <v>849</v>
      </c>
      <c r="CZ39">
        <v>488</v>
      </c>
      <c r="DA39">
        <v>56</v>
      </c>
      <c r="DB39">
        <v>68.196721311499999</v>
      </c>
      <c r="DC39">
        <v>1183</v>
      </c>
      <c r="DD39">
        <v>54</v>
      </c>
      <c r="DE39">
        <v>149.24344885880001</v>
      </c>
      <c r="DF39">
        <v>133.2222222222</v>
      </c>
      <c r="DH39" t="s">
        <v>381</v>
      </c>
      <c r="DI39" t="s">
        <v>808</v>
      </c>
      <c r="DJ39" t="s">
        <v>817</v>
      </c>
      <c r="DK39">
        <v>793</v>
      </c>
      <c r="DL39">
        <v>57</v>
      </c>
      <c r="DM39">
        <v>52.576292559899997</v>
      </c>
      <c r="DN39">
        <v>2083</v>
      </c>
      <c r="DO39">
        <v>54</v>
      </c>
      <c r="DP39">
        <v>140.4071051368</v>
      </c>
      <c r="DQ39">
        <v>107.7037037037</v>
      </c>
    </row>
    <row r="40" spans="2:121" x14ac:dyDescent="0.2">
      <c r="B40" t="s">
        <v>109</v>
      </c>
      <c r="C40">
        <v>17580</v>
      </c>
      <c r="D40">
        <v>14485</v>
      </c>
      <c r="F40" t="s">
        <v>37</v>
      </c>
      <c r="G40">
        <v>4384</v>
      </c>
      <c r="H40">
        <v>492.37819343069998</v>
      </c>
      <c r="I40">
        <v>6309</v>
      </c>
      <c r="J40">
        <v>1699</v>
      </c>
      <c r="K40">
        <v>7676</v>
      </c>
      <c r="L40">
        <v>4486</v>
      </c>
      <c r="M40">
        <v>1742</v>
      </c>
      <c r="N40">
        <v>1621</v>
      </c>
      <c r="O40">
        <v>1504</v>
      </c>
      <c r="P40">
        <v>943</v>
      </c>
      <c r="Q40">
        <v>5</v>
      </c>
      <c r="R40">
        <v>218</v>
      </c>
      <c r="T40" t="s">
        <v>384</v>
      </c>
      <c r="U40">
        <v>2119</v>
      </c>
      <c r="V40">
        <v>66.642756016999996</v>
      </c>
      <c r="W40">
        <v>3102</v>
      </c>
      <c r="X40">
        <v>193</v>
      </c>
      <c r="Y40">
        <v>3574</v>
      </c>
      <c r="Z40">
        <v>348</v>
      </c>
      <c r="AA40">
        <v>22</v>
      </c>
      <c r="AB40">
        <v>20</v>
      </c>
      <c r="AC40">
        <v>229</v>
      </c>
      <c r="AD40">
        <v>85</v>
      </c>
      <c r="AE40">
        <v>3213</v>
      </c>
      <c r="AF40">
        <v>919</v>
      </c>
      <c r="AH40" t="s">
        <v>408</v>
      </c>
      <c r="AI40">
        <v>5177</v>
      </c>
      <c r="AJ40">
        <v>383.81784817459999</v>
      </c>
      <c r="AK40">
        <v>4761</v>
      </c>
      <c r="AL40">
        <v>895</v>
      </c>
      <c r="AM40">
        <v>8844</v>
      </c>
      <c r="AN40">
        <v>4668</v>
      </c>
      <c r="AO40">
        <v>3330</v>
      </c>
      <c r="AP40">
        <v>2823</v>
      </c>
      <c r="AQ40">
        <v>3223</v>
      </c>
      <c r="AR40">
        <v>2337</v>
      </c>
      <c r="AS40">
        <v>7</v>
      </c>
      <c r="AT40">
        <v>109</v>
      </c>
      <c r="AV40" t="s">
        <v>386</v>
      </c>
      <c r="AW40">
        <v>321</v>
      </c>
      <c r="AX40">
        <v>67.355140186900002</v>
      </c>
      <c r="AY40">
        <v>481</v>
      </c>
      <c r="AZ40">
        <v>55</v>
      </c>
      <c r="BA40">
        <v>463</v>
      </c>
      <c r="BB40">
        <v>42</v>
      </c>
      <c r="BC40">
        <v>2</v>
      </c>
      <c r="BD40">
        <v>2</v>
      </c>
      <c r="BE40">
        <v>41</v>
      </c>
      <c r="BF40">
        <v>12</v>
      </c>
      <c r="BG40">
        <v>99</v>
      </c>
      <c r="BH40">
        <v>82</v>
      </c>
      <c r="BJ40" t="s">
        <v>534</v>
      </c>
      <c r="BK40" t="s">
        <v>368</v>
      </c>
      <c r="BL40">
        <v>11416</v>
      </c>
      <c r="BM40">
        <v>2194</v>
      </c>
      <c r="BN40">
        <v>87.220918009800002</v>
      </c>
      <c r="BO40">
        <v>30129</v>
      </c>
      <c r="BP40">
        <v>1335</v>
      </c>
      <c r="BQ40">
        <v>135.9621627004</v>
      </c>
      <c r="BR40">
        <v>142.18352059930001</v>
      </c>
      <c r="BS40">
        <v>3490</v>
      </c>
      <c r="BT40">
        <v>819</v>
      </c>
      <c r="BU40">
        <v>95.365902578800004</v>
      </c>
      <c r="BV40">
        <v>30549</v>
      </c>
      <c r="BW40">
        <v>1649</v>
      </c>
      <c r="BX40">
        <v>132.49055615570001</v>
      </c>
      <c r="BY40">
        <v>126.166767738</v>
      </c>
      <c r="CA40" t="s">
        <v>374</v>
      </c>
      <c r="CB40" t="s">
        <v>855</v>
      </c>
      <c r="CC40" t="s">
        <v>987</v>
      </c>
      <c r="CD40">
        <v>9445</v>
      </c>
      <c r="CE40">
        <v>2834</v>
      </c>
      <c r="CF40">
        <v>114.2653255691</v>
      </c>
      <c r="CG40">
        <v>24782</v>
      </c>
      <c r="CH40">
        <v>1109</v>
      </c>
      <c r="CI40">
        <v>140.78032442899999</v>
      </c>
      <c r="CJ40">
        <v>148.2885482417</v>
      </c>
      <c r="CL40" t="s">
        <v>374</v>
      </c>
      <c r="CM40" t="s">
        <v>824</v>
      </c>
      <c r="CN40" t="s">
        <v>834</v>
      </c>
      <c r="CO40">
        <v>1356</v>
      </c>
      <c r="CP40">
        <v>139</v>
      </c>
      <c r="CQ40">
        <v>67.687315634200004</v>
      </c>
      <c r="CR40">
        <v>5435</v>
      </c>
      <c r="CS40">
        <v>352</v>
      </c>
      <c r="CT40">
        <v>97.064581416699994</v>
      </c>
      <c r="CU40">
        <v>99.40625</v>
      </c>
      <c r="CW40" t="s">
        <v>374</v>
      </c>
      <c r="CX40" t="s">
        <v>840</v>
      </c>
      <c r="CY40" t="s">
        <v>850</v>
      </c>
      <c r="CZ40">
        <v>169</v>
      </c>
      <c r="DA40">
        <v>21</v>
      </c>
      <c r="DB40">
        <v>67.698224852099997</v>
      </c>
      <c r="DC40">
        <v>436</v>
      </c>
      <c r="DD40">
        <v>18</v>
      </c>
      <c r="DE40">
        <v>139.5435779817</v>
      </c>
      <c r="DF40">
        <v>100.8333333333</v>
      </c>
      <c r="DH40" t="s">
        <v>374</v>
      </c>
      <c r="DI40" t="s">
        <v>808</v>
      </c>
      <c r="DJ40" t="s">
        <v>818</v>
      </c>
      <c r="DK40">
        <v>122</v>
      </c>
      <c r="DL40">
        <v>22</v>
      </c>
      <c r="DM40">
        <v>70.868852458999996</v>
      </c>
      <c r="DN40">
        <v>368</v>
      </c>
      <c r="DO40">
        <v>22</v>
      </c>
      <c r="DP40">
        <v>128.05706521740001</v>
      </c>
      <c r="DQ40">
        <v>84</v>
      </c>
    </row>
    <row r="41" spans="2:121" x14ac:dyDescent="0.2">
      <c r="B41" t="s">
        <v>117</v>
      </c>
      <c r="C41">
        <v>4898</v>
      </c>
      <c r="D41">
        <v>1002</v>
      </c>
      <c r="F41" t="s">
        <v>59</v>
      </c>
      <c r="G41">
        <v>3455</v>
      </c>
      <c r="H41">
        <v>428.97395079590001</v>
      </c>
      <c r="I41">
        <v>4978</v>
      </c>
      <c r="J41">
        <v>1003</v>
      </c>
      <c r="K41">
        <v>6497</v>
      </c>
      <c r="L41">
        <v>3118</v>
      </c>
      <c r="M41">
        <v>1248</v>
      </c>
      <c r="N41">
        <v>882</v>
      </c>
      <c r="O41">
        <v>1918</v>
      </c>
      <c r="P41">
        <v>1346</v>
      </c>
      <c r="Q41">
        <v>2</v>
      </c>
      <c r="R41">
        <v>275</v>
      </c>
      <c r="T41" t="s">
        <v>8</v>
      </c>
      <c r="U41">
        <v>173</v>
      </c>
      <c r="V41">
        <v>99.121387283199994</v>
      </c>
      <c r="W41">
        <v>209</v>
      </c>
      <c r="X41">
        <v>94</v>
      </c>
      <c r="Y41">
        <v>364</v>
      </c>
      <c r="Z41">
        <v>208</v>
      </c>
      <c r="AA41">
        <v>7</v>
      </c>
      <c r="AB41">
        <v>6</v>
      </c>
      <c r="AC41">
        <v>11</v>
      </c>
      <c r="AD41">
        <v>5</v>
      </c>
      <c r="AE41">
        <v>59</v>
      </c>
      <c r="AF41">
        <v>23</v>
      </c>
      <c r="AH41" t="s">
        <v>8</v>
      </c>
      <c r="AI41">
        <v>2923</v>
      </c>
      <c r="AJ41">
        <v>333.63325350669999</v>
      </c>
      <c r="AK41">
        <v>4328</v>
      </c>
      <c r="AL41">
        <v>1680</v>
      </c>
      <c r="AM41">
        <v>4915</v>
      </c>
      <c r="AN41">
        <v>2783</v>
      </c>
      <c r="AO41">
        <v>1521</v>
      </c>
      <c r="AP41">
        <v>1026</v>
      </c>
      <c r="AQ41">
        <v>1311</v>
      </c>
      <c r="AR41">
        <v>832</v>
      </c>
      <c r="AS41">
        <v>488</v>
      </c>
      <c r="AT41">
        <v>127</v>
      </c>
      <c r="AV41" t="s">
        <v>405</v>
      </c>
      <c r="AW41">
        <v>74</v>
      </c>
      <c r="AX41">
        <v>63.432432432399999</v>
      </c>
      <c r="AY41">
        <v>149</v>
      </c>
      <c r="AZ41">
        <v>5</v>
      </c>
      <c r="BA41">
        <v>132</v>
      </c>
      <c r="BB41">
        <v>12</v>
      </c>
      <c r="BC41">
        <v>0</v>
      </c>
      <c r="BE41">
        <v>3</v>
      </c>
      <c r="BG41">
        <v>171</v>
      </c>
      <c r="BH41">
        <v>31</v>
      </c>
      <c r="BJ41" t="s">
        <v>626</v>
      </c>
      <c r="BK41" t="s">
        <v>368</v>
      </c>
      <c r="BL41">
        <v>1519</v>
      </c>
      <c r="BM41">
        <v>174</v>
      </c>
      <c r="BN41">
        <v>72.5727452271</v>
      </c>
      <c r="BO41">
        <v>4483</v>
      </c>
      <c r="BP41">
        <v>205</v>
      </c>
      <c r="BQ41">
        <v>103.88891367390001</v>
      </c>
      <c r="BR41">
        <v>105</v>
      </c>
      <c r="BS41">
        <v>1921</v>
      </c>
      <c r="BT41">
        <v>221</v>
      </c>
      <c r="BU41">
        <v>71.953669963600007</v>
      </c>
      <c r="BV41">
        <v>15161</v>
      </c>
      <c r="BW41">
        <v>774</v>
      </c>
      <c r="BX41">
        <v>123.6008838467</v>
      </c>
      <c r="BY41">
        <v>98.227390180900002</v>
      </c>
      <c r="CA41" t="s">
        <v>371</v>
      </c>
      <c r="CB41" t="s">
        <v>855</v>
      </c>
      <c r="CC41" t="s">
        <v>988</v>
      </c>
      <c r="CD41">
        <v>907</v>
      </c>
      <c r="CE41">
        <v>167</v>
      </c>
      <c r="CF41">
        <v>86.528114663699995</v>
      </c>
      <c r="CG41">
        <v>2904</v>
      </c>
      <c r="CH41">
        <v>125</v>
      </c>
      <c r="CI41">
        <v>106.742768595</v>
      </c>
      <c r="CJ41">
        <v>106.06399999999999</v>
      </c>
      <c r="CL41" t="s">
        <v>371</v>
      </c>
      <c r="CM41" t="s">
        <v>824</v>
      </c>
      <c r="CN41" t="s">
        <v>835</v>
      </c>
      <c r="CO41">
        <v>91</v>
      </c>
      <c r="CP41">
        <v>12</v>
      </c>
      <c r="CQ41">
        <v>64.978021978000001</v>
      </c>
      <c r="CR41">
        <v>418</v>
      </c>
      <c r="CS41">
        <v>30</v>
      </c>
      <c r="CT41">
        <v>98.057416267899995</v>
      </c>
      <c r="CU41">
        <v>93.933333333299998</v>
      </c>
      <c r="CW41" t="s">
        <v>371</v>
      </c>
      <c r="CX41" t="s">
        <v>840</v>
      </c>
      <c r="CY41" t="s">
        <v>851</v>
      </c>
      <c r="CZ41">
        <v>6</v>
      </c>
      <c r="DA41">
        <v>0</v>
      </c>
      <c r="DB41">
        <v>56.666666666700003</v>
      </c>
      <c r="DC41">
        <v>29</v>
      </c>
      <c r="DD41">
        <v>1</v>
      </c>
      <c r="DE41">
        <v>152.7586206897</v>
      </c>
      <c r="DF41">
        <v>123</v>
      </c>
      <c r="DH41" t="s">
        <v>371</v>
      </c>
      <c r="DI41" t="s">
        <v>808</v>
      </c>
      <c r="DJ41" t="s">
        <v>819</v>
      </c>
      <c r="DK41">
        <v>8</v>
      </c>
      <c r="DL41">
        <v>1</v>
      </c>
      <c r="DM41">
        <v>57.625</v>
      </c>
      <c r="DN41">
        <v>24</v>
      </c>
      <c r="DO41">
        <v>1</v>
      </c>
      <c r="DP41">
        <v>121.8333333333</v>
      </c>
      <c r="DQ41">
        <v>50</v>
      </c>
    </row>
    <row r="42" spans="2:121" x14ac:dyDescent="0.2">
      <c r="B42" t="s">
        <v>110</v>
      </c>
      <c r="C42">
        <v>905</v>
      </c>
      <c r="D42">
        <v>357</v>
      </c>
      <c r="F42" t="s">
        <v>24</v>
      </c>
      <c r="G42">
        <v>588</v>
      </c>
      <c r="H42">
        <v>154.20918367350001</v>
      </c>
      <c r="I42">
        <v>3809</v>
      </c>
      <c r="J42">
        <v>728</v>
      </c>
      <c r="K42">
        <v>2945</v>
      </c>
      <c r="L42">
        <v>887</v>
      </c>
      <c r="M42">
        <v>981</v>
      </c>
      <c r="N42">
        <v>668</v>
      </c>
      <c r="O42">
        <v>311</v>
      </c>
      <c r="P42">
        <v>156</v>
      </c>
      <c r="Q42">
        <v>0</v>
      </c>
      <c r="R42">
        <v>0</v>
      </c>
      <c r="T42" t="s">
        <v>403</v>
      </c>
      <c r="U42">
        <v>1900</v>
      </c>
      <c r="V42">
        <v>66.751578947400006</v>
      </c>
      <c r="W42">
        <v>3041</v>
      </c>
      <c r="X42">
        <v>153</v>
      </c>
      <c r="Y42">
        <v>3500</v>
      </c>
      <c r="Z42">
        <v>448</v>
      </c>
      <c r="AA42">
        <v>13</v>
      </c>
      <c r="AB42">
        <v>11</v>
      </c>
      <c r="AC42">
        <v>202</v>
      </c>
      <c r="AD42">
        <v>86</v>
      </c>
      <c r="AE42">
        <v>3636</v>
      </c>
      <c r="AF42">
        <v>1008</v>
      </c>
      <c r="AH42" t="s">
        <v>374</v>
      </c>
      <c r="AI42">
        <v>4926</v>
      </c>
      <c r="AJ42">
        <v>505.05237515229999</v>
      </c>
      <c r="AK42">
        <v>9639</v>
      </c>
      <c r="AL42">
        <v>2813</v>
      </c>
      <c r="AM42">
        <v>11176</v>
      </c>
      <c r="AN42">
        <v>5254</v>
      </c>
      <c r="AO42">
        <v>2367</v>
      </c>
      <c r="AP42">
        <v>1961</v>
      </c>
      <c r="AQ42">
        <v>6497</v>
      </c>
      <c r="AR42">
        <v>5290</v>
      </c>
      <c r="AS42">
        <v>1667</v>
      </c>
      <c r="AT42">
        <v>16</v>
      </c>
      <c r="AV42" t="s">
        <v>396</v>
      </c>
      <c r="AW42">
        <v>403</v>
      </c>
      <c r="AX42">
        <v>55.337468982600001</v>
      </c>
      <c r="AY42">
        <v>716</v>
      </c>
      <c r="AZ42">
        <v>100</v>
      </c>
      <c r="BA42">
        <v>625</v>
      </c>
      <c r="BB42">
        <v>48</v>
      </c>
      <c r="BC42">
        <v>2</v>
      </c>
      <c r="BD42">
        <v>2</v>
      </c>
      <c r="BE42">
        <v>54</v>
      </c>
      <c r="BF42">
        <v>15</v>
      </c>
      <c r="BG42">
        <v>131</v>
      </c>
      <c r="BH42">
        <v>68</v>
      </c>
      <c r="BJ42" t="s">
        <v>628</v>
      </c>
      <c r="BK42" t="s">
        <v>368</v>
      </c>
      <c r="BL42">
        <v>529</v>
      </c>
      <c r="BM42">
        <v>123</v>
      </c>
      <c r="BN42">
        <v>92.731568998100002</v>
      </c>
      <c r="BO42">
        <v>1327</v>
      </c>
      <c r="BP42">
        <v>52</v>
      </c>
      <c r="BQ42">
        <v>138.67596081389999</v>
      </c>
      <c r="BR42">
        <v>158.51923076919999</v>
      </c>
      <c r="BS42">
        <v>338</v>
      </c>
      <c r="BT42">
        <v>113</v>
      </c>
      <c r="BU42">
        <v>102.6834319527</v>
      </c>
      <c r="BV42">
        <v>1942</v>
      </c>
      <c r="BW42">
        <v>83</v>
      </c>
      <c r="BX42">
        <v>147.14778578779999</v>
      </c>
      <c r="BY42">
        <v>209.26506024099999</v>
      </c>
      <c r="CA42" t="s">
        <v>416</v>
      </c>
      <c r="CB42" t="s">
        <v>855</v>
      </c>
      <c r="CC42" t="s">
        <v>989</v>
      </c>
      <c r="CD42">
        <v>534</v>
      </c>
      <c r="CE42">
        <v>126</v>
      </c>
      <c r="CF42">
        <v>92.604868913900006</v>
      </c>
      <c r="CG42">
        <v>1301</v>
      </c>
      <c r="CH42">
        <v>47</v>
      </c>
      <c r="CI42">
        <v>133.02690238279999</v>
      </c>
      <c r="CJ42">
        <v>157.19148936170001</v>
      </c>
      <c r="CL42" t="s">
        <v>416</v>
      </c>
      <c r="CM42" t="s">
        <v>824</v>
      </c>
      <c r="CN42" t="s">
        <v>836</v>
      </c>
      <c r="CO42">
        <v>44</v>
      </c>
      <c r="CP42">
        <v>4</v>
      </c>
      <c r="CQ42">
        <v>61.159090909100001</v>
      </c>
      <c r="CR42">
        <v>146</v>
      </c>
      <c r="CS42">
        <v>7</v>
      </c>
      <c r="CT42">
        <v>100.1232876712</v>
      </c>
      <c r="CU42">
        <v>76</v>
      </c>
      <c r="CW42" t="s">
        <v>416</v>
      </c>
      <c r="CX42" t="s">
        <v>840</v>
      </c>
      <c r="CY42" t="s">
        <v>852</v>
      </c>
      <c r="CZ42">
        <v>9</v>
      </c>
      <c r="DA42">
        <v>1</v>
      </c>
      <c r="DB42">
        <v>43.666666666700003</v>
      </c>
      <c r="DC42">
        <v>13</v>
      </c>
      <c r="DD42">
        <v>0</v>
      </c>
      <c r="DE42">
        <v>148.61538461539999</v>
      </c>
      <c r="DF42">
        <v>0</v>
      </c>
      <c r="DH42" t="s">
        <v>416</v>
      </c>
      <c r="DI42" t="s">
        <v>808</v>
      </c>
      <c r="DJ42" t="s">
        <v>820</v>
      </c>
      <c r="DK42">
        <v>10</v>
      </c>
      <c r="DL42">
        <v>1</v>
      </c>
      <c r="DM42">
        <v>60.2</v>
      </c>
      <c r="DN42">
        <v>12</v>
      </c>
      <c r="DO42">
        <v>0</v>
      </c>
      <c r="DP42">
        <v>115.4166666667</v>
      </c>
      <c r="DQ42">
        <v>0</v>
      </c>
    </row>
    <row r="43" spans="2:121" x14ac:dyDescent="0.2">
      <c r="B43" t="s">
        <v>1057</v>
      </c>
      <c r="C43">
        <v>1142</v>
      </c>
      <c r="D43">
        <v>517</v>
      </c>
      <c r="F43" t="s">
        <v>44</v>
      </c>
      <c r="G43">
        <v>535</v>
      </c>
      <c r="H43">
        <v>292.23551401869997</v>
      </c>
      <c r="I43">
        <v>1752</v>
      </c>
      <c r="J43">
        <v>329</v>
      </c>
      <c r="K43">
        <v>2455</v>
      </c>
      <c r="L43">
        <v>672</v>
      </c>
      <c r="M43">
        <v>454</v>
      </c>
      <c r="N43">
        <v>268</v>
      </c>
      <c r="O43">
        <v>819</v>
      </c>
      <c r="P43">
        <v>696</v>
      </c>
      <c r="Q43">
        <v>0</v>
      </c>
      <c r="R43">
        <v>5</v>
      </c>
      <c r="AH43" t="s">
        <v>426</v>
      </c>
      <c r="AI43">
        <v>1191</v>
      </c>
      <c r="AJ43">
        <v>242.49958018469999</v>
      </c>
      <c r="AK43">
        <v>3059</v>
      </c>
      <c r="AL43">
        <v>678</v>
      </c>
      <c r="AM43">
        <v>4491</v>
      </c>
      <c r="AN43">
        <v>1587</v>
      </c>
      <c r="AO43">
        <v>976</v>
      </c>
      <c r="AP43">
        <v>790</v>
      </c>
      <c r="AQ43">
        <v>1775</v>
      </c>
      <c r="AR43">
        <v>1265</v>
      </c>
      <c r="AS43">
        <v>414</v>
      </c>
      <c r="AT43">
        <v>2</v>
      </c>
      <c r="AV43" t="s">
        <v>372</v>
      </c>
      <c r="AW43">
        <v>208</v>
      </c>
      <c r="AX43">
        <v>103.6490384615</v>
      </c>
      <c r="AY43">
        <v>348</v>
      </c>
      <c r="AZ43">
        <v>55</v>
      </c>
      <c r="BA43">
        <v>274</v>
      </c>
      <c r="BB43">
        <v>84</v>
      </c>
      <c r="BC43">
        <v>0</v>
      </c>
      <c r="BE43">
        <v>15</v>
      </c>
      <c r="BF43">
        <v>4</v>
      </c>
      <c r="BG43">
        <v>20</v>
      </c>
      <c r="BH43">
        <v>50</v>
      </c>
      <c r="BJ43" t="s">
        <v>642</v>
      </c>
      <c r="BK43" t="s">
        <v>368</v>
      </c>
      <c r="BL43">
        <v>856</v>
      </c>
      <c r="BM43">
        <v>181</v>
      </c>
      <c r="BN43">
        <v>86.457943925199999</v>
      </c>
      <c r="BO43">
        <v>2140</v>
      </c>
      <c r="BP43">
        <v>95</v>
      </c>
      <c r="BQ43">
        <v>140.2247663551</v>
      </c>
      <c r="BR43">
        <v>133.5052631579</v>
      </c>
      <c r="BS43">
        <v>215</v>
      </c>
      <c r="BT43">
        <v>125</v>
      </c>
      <c r="BU43">
        <v>155.623255814</v>
      </c>
      <c r="BV43">
        <v>1298</v>
      </c>
      <c r="BW43">
        <v>73</v>
      </c>
      <c r="BX43">
        <v>138.43220338980001</v>
      </c>
      <c r="BY43">
        <v>199.47945205479999</v>
      </c>
      <c r="CA43" t="s">
        <v>377</v>
      </c>
      <c r="CB43" t="s">
        <v>855</v>
      </c>
      <c r="CC43" t="s">
        <v>990</v>
      </c>
      <c r="CD43">
        <v>11321</v>
      </c>
      <c r="CE43">
        <v>2031</v>
      </c>
      <c r="CF43">
        <v>84.306951682700003</v>
      </c>
      <c r="CG43">
        <v>31217</v>
      </c>
      <c r="CH43">
        <v>1345</v>
      </c>
      <c r="CI43">
        <v>129.8643687734</v>
      </c>
      <c r="CJ43">
        <v>125.4988847584</v>
      </c>
      <c r="CL43" t="s">
        <v>377</v>
      </c>
      <c r="CM43" t="s">
        <v>824</v>
      </c>
      <c r="CN43" t="s">
        <v>837</v>
      </c>
      <c r="CO43">
        <v>879</v>
      </c>
      <c r="CP43">
        <v>149</v>
      </c>
      <c r="CQ43">
        <v>70.559726962499994</v>
      </c>
      <c r="CR43">
        <v>2928</v>
      </c>
      <c r="CS43">
        <v>183</v>
      </c>
      <c r="CT43">
        <v>101.44023224039999</v>
      </c>
      <c r="CU43">
        <v>104.09289617490001</v>
      </c>
      <c r="CW43" t="s">
        <v>377</v>
      </c>
      <c r="CX43" t="s">
        <v>840</v>
      </c>
      <c r="CY43" t="s">
        <v>853</v>
      </c>
      <c r="CZ43">
        <v>569</v>
      </c>
      <c r="DA43">
        <v>73</v>
      </c>
      <c r="DB43">
        <v>69.191564147600005</v>
      </c>
      <c r="DC43">
        <v>1352</v>
      </c>
      <c r="DD43">
        <v>41</v>
      </c>
      <c r="DE43">
        <v>153.16863905330001</v>
      </c>
      <c r="DF43">
        <v>140.56097560980001</v>
      </c>
      <c r="DH43" t="s">
        <v>377</v>
      </c>
      <c r="DI43" t="s">
        <v>808</v>
      </c>
      <c r="DJ43" t="s">
        <v>821</v>
      </c>
      <c r="DK43">
        <v>834</v>
      </c>
      <c r="DL43">
        <v>81</v>
      </c>
      <c r="DM43">
        <v>57.571942446000001</v>
      </c>
      <c r="DN43">
        <v>2261</v>
      </c>
      <c r="DO43">
        <v>54</v>
      </c>
      <c r="DP43">
        <v>146.63025210079999</v>
      </c>
      <c r="DQ43">
        <v>119.537037037</v>
      </c>
    </row>
    <row r="44" spans="2:121" x14ac:dyDescent="0.2">
      <c r="B44" t="s">
        <v>100</v>
      </c>
      <c r="C44">
        <v>355</v>
      </c>
      <c r="D44">
        <v>278</v>
      </c>
      <c r="F44" t="s">
        <v>54</v>
      </c>
      <c r="G44">
        <v>932</v>
      </c>
      <c r="H44">
        <v>251.91523605149999</v>
      </c>
      <c r="I44">
        <v>1231</v>
      </c>
      <c r="J44">
        <v>195</v>
      </c>
      <c r="K44">
        <v>1796</v>
      </c>
      <c r="L44">
        <v>764</v>
      </c>
      <c r="M44">
        <v>242</v>
      </c>
      <c r="N44">
        <v>147</v>
      </c>
      <c r="O44">
        <v>140</v>
      </c>
      <c r="P44">
        <v>59</v>
      </c>
      <c r="Q44">
        <v>0</v>
      </c>
      <c r="R44">
        <v>1</v>
      </c>
      <c r="AH44" t="s">
        <v>371</v>
      </c>
      <c r="AI44">
        <v>228</v>
      </c>
      <c r="AJ44">
        <v>249.2543859649</v>
      </c>
      <c r="AK44">
        <v>920</v>
      </c>
      <c r="AL44">
        <v>171</v>
      </c>
      <c r="AM44">
        <v>1001</v>
      </c>
      <c r="AN44">
        <v>246</v>
      </c>
      <c r="AO44">
        <v>225</v>
      </c>
      <c r="AP44">
        <v>162</v>
      </c>
      <c r="AQ44">
        <v>231</v>
      </c>
      <c r="AR44">
        <v>130</v>
      </c>
      <c r="AS44">
        <v>194</v>
      </c>
      <c r="AT44">
        <v>3</v>
      </c>
      <c r="AV44" t="s">
        <v>407</v>
      </c>
      <c r="AW44">
        <v>66</v>
      </c>
      <c r="AX44">
        <v>73.954545454500007</v>
      </c>
      <c r="AY44">
        <v>94</v>
      </c>
      <c r="AZ44">
        <v>5</v>
      </c>
      <c r="BA44">
        <v>114</v>
      </c>
      <c r="BB44">
        <v>16</v>
      </c>
      <c r="BC44">
        <v>1</v>
      </c>
      <c r="BD44">
        <v>1</v>
      </c>
      <c r="BE44">
        <v>7</v>
      </c>
      <c r="BG44">
        <v>121</v>
      </c>
      <c r="BH44">
        <v>25</v>
      </c>
      <c r="BJ44" t="s">
        <v>542</v>
      </c>
      <c r="BK44" t="s">
        <v>368</v>
      </c>
      <c r="BL44">
        <v>18116</v>
      </c>
      <c r="BM44">
        <v>4058</v>
      </c>
      <c r="BN44">
        <v>90.741830426099995</v>
      </c>
      <c r="BO44">
        <v>43785</v>
      </c>
      <c r="BP44">
        <v>1926</v>
      </c>
      <c r="BQ44">
        <v>142.91028891170001</v>
      </c>
      <c r="BR44">
        <v>135.3971962617</v>
      </c>
      <c r="BS44">
        <v>4121</v>
      </c>
      <c r="BT44">
        <v>1060</v>
      </c>
      <c r="BU44">
        <v>97.708080562999996</v>
      </c>
      <c r="BV44">
        <v>27948</v>
      </c>
      <c r="BW44">
        <v>1322</v>
      </c>
      <c r="BX44">
        <v>141.93784886220001</v>
      </c>
      <c r="BY44">
        <v>145.9009077156</v>
      </c>
      <c r="CA44" t="s">
        <v>378</v>
      </c>
      <c r="CB44" t="s">
        <v>855</v>
      </c>
      <c r="CC44" t="s">
        <v>991</v>
      </c>
      <c r="CD44">
        <v>2524</v>
      </c>
      <c r="CE44">
        <v>422</v>
      </c>
      <c r="CF44">
        <v>79.3474643423</v>
      </c>
      <c r="CG44">
        <v>8226</v>
      </c>
      <c r="CH44">
        <v>325</v>
      </c>
      <c r="CI44">
        <v>116.8858497447</v>
      </c>
      <c r="CJ44">
        <v>119.16307692309999</v>
      </c>
      <c r="CL44" t="s">
        <v>378</v>
      </c>
      <c r="CM44" t="s">
        <v>824</v>
      </c>
      <c r="CN44" t="s">
        <v>838</v>
      </c>
      <c r="CO44">
        <v>224</v>
      </c>
      <c r="CP44">
        <v>29</v>
      </c>
      <c r="CQ44">
        <v>63.794642857100001</v>
      </c>
      <c r="CR44">
        <v>963</v>
      </c>
      <c r="CS44">
        <v>55</v>
      </c>
      <c r="CT44">
        <v>99.177570093499995</v>
      </c>
      <c r="CU44">
        <v>95.8</v>
      </c>
      <c r="CW44" t="s">
        <v>378</v>
      </c>
      <c r="CX44" t="s">
        <v>840</v>
      </c>
      <c r="CY44" t="s">
        <v>854</v>
      </c>
      <c r="CZ44">
        <v>24</v>
      </c>
      <c r="DA44">
        <v>4</v>
      </c>
      <c r="DB44">
        <v>70.833333333300004</v>
      </c>
      <c r="DC44">
        <v>47</v>
      </c>
      <c r="DD44">
        <v>1</v>
      </c>
      <c r="DE44">
        <v>139.4680851064</v>
      </c>
      <c r="DF44">
        <v>105</v>
      </c>
      <c r="DH44" t="s">
        <v>378</v>
      </c>
      <c r="DI44" t="s">
        <v>808</v>
      </c>
      <c r="DJ44" t="s">
        <v>822</v>
      </c>
      <c r="DK44">
        <v>14</v>
      </c>
      <c r="DL44">
        <v>2</v>
      </c>
      <c r="DM44">
        <v>54.5</v>
      </c>
      <c r="DN44">
        <v>78</v>
      </c>
      <c r="DO44">
        <v>3</v>
      </c>
      <c r="DP44">
        <v>123.6025641026</v>
      </c>
      <c r="DQ44">
        <v>72.666666666699996</v>
      </c>
    </row>
    <row r="45" spans="2:121" x14ac:dyDescent="0.2">
      <c r="B45" t="s">
        <v>92</v>
      </c>
      <c r="C45">
        <v>3</v>
      </c>
      <c r="D45">
        <v>1</v>
      </c>
      <c r="F45" t="s">
        <v>39</v>
      </c>
      <c r="G45">
        <v>7054</v>
      </c>
      <c r="H45">
        <v>324.7863623476</v>
      </c>
      <c r="I45">
        <v>9537</v>
      </c>
      <c r="J45">
        <v>2398</v>
      </c>
      <c r="K45">
        <v>13738</v>
      </c>
      <c r="L45">
        <v>7966</v>
      </c>
      <c r="M45">
        <v>2891</v>
      </c>
      <c r="N45">
        <v>2301</v>
      </c>
      <c r="O45">
        <v>1593</v>
      </c>
      <c r="P45">
        <v>1075</v>
      </c>
      <c r="Q45">
        <v>1</v>
      </c>
      <c r="R45">
        <v>59</v>
      </c>
      <c r="AH45" t="s">
        <v>382</v>
      </c>
      <c r="AI45">
        <v>6563</v>
      </c>
      <c r="AJ45">
        <v>338.56239524609998</v>
      </c>
      <c r="AK45">
        <v>10009</v>
      </c>
      <c r="AL45">
        <v>2544</v>
      </c>
      <c r="AM45">
        <v>12467</v>
      </c>
      <c r="AN45">
        <v>6918</v>
      </c>
      <c r="AO45">
        <v>3153</v>
      </c>
      <c r="AP45">
        <v>2474</v>
      </c>
      <c r="AQ45">
        <v>3813</v>
      </c>
      <c r="AR45">
        <v>2531</v>
      </c>
      <c r="AS45">
        <v>759</v>
      </c>
      <c r="AT45">
        <v>63</v>
      </c>
      <c r="AV45" t="s">
        <v>400</v>
      </c>
      <c r="AW45">
        <v>209</v>
      </c>
      <c r="AX45">
        <v>66.837320574200007</v>
      </c>
      <c r="AY45">
        <v>265</v>
      </c>
      <c r="AZ45">
        <v>10</v>
      </c>
      <c r="BA45">
        <v>319</v>
      </c>
      <c r="BB45">
        <v>33</v>
      </c>
      <c r="BC45">
        <v>1</v>
      </c>
      <c r="BD45">
        <v>1</v>
      </c>
      <c r="BE45">
        <v>18</v>
      </c>
      <c r="BF45">
        <v>5</v>
      </c>
      <c r="BG45">
        <v>787</v>
      </c>
      <c r="BH45">
        <v>76</v>
      </c>
      <c r="BJ45" t="s">
        <v>8</v>
      </c>
      <c r="BK45" t="s">
        <v>8</v>
      </c>
      <c r="BL45">
        <v>91</v>
      </c>
      <c r="BM45">
        <v>73</v>
      </c>
      <c r="BN45">
        <v>188.956043956</v>
      </c>
      <c r="BO45">
        <v>576</v>
      </c>
      <c r="BP45">
        <v>7</v>
      </c>
      <c r="BQ45">
        <v>228.9791666667</v>
      </c>
      <c r="BR45">
        <v>265.28571428570001</v>
      </c>
      <c r="BS45">
        <v>216629</v>
      </c>
      <c r="BT45">
        <v>41619</v>
      </c>
      <c r="BU45">
        <v>87.031279283900005</v>
      </c>
      <c r="BV45">
        <v>17</v>
      </c>
      <c r="BW45">
        <v>2</v>
      </c>
      <c r="BX45">
        <v>136.6470588235</v>
      </c>
      <c r="BY45">
        <v>65.5</v>
      </c>
      <c r="CA45" t="s">
        <v>368</v>
      </c>
      <c r="CB45" t="s">
        <v>855</v>
      </c>
      <c r="CD45">
        <v>72078</v>
      </c>
      <c r="CE45">
        <v>16254</v>
      </c>
      <c r="CF45">
        <v>93.732914342800001</v>
      </c>
      <c r="CG45">
        <v>193715</v>
      </c>
      <c r="CH45">
        <v>8600</v>
      </c>
      <c r="CI45">
        <v>131.40018584000001</v>
      </c>
      <c r="CJ45">
        <v>130.2474418605</v>
      </c>
      <c r="CL45" t="s">
        <v>368</v>
      </c>
      <c r="CM45" t="s">
        <v>824</v>
      </c>
      <c r="CO45">
        <v>6878</v>
      </c>
      <c r="CP45">
        <v>899</v>
      </c>
      <c r="CQ45">
        <v>67.990404187300001</v>
      </c>
      <c r="CR45">
        <v>26547</v>
      </c>
      <c r="CS45">
        <v>1631</v>
      </c>
      <c r="CT45">
        <v>98.390477266700003</v>
      </c>
      <c r="CU45">
        <v>103.14408338440001</v>
      </c>
      <c r="CW45" t="s">
        <v>368</v>
      </c>
      <c r="CX45" t="s">
        <v>840</v>
      </c>
      <c r="CZ45">
        <v>1952</v>
      </c>
      <c r="DA45">
        <v>216</v>
      </c>
      <c r="DB45">
        <v>66.040471311499999</v>
      </c>
      <c r="DC45">
        <v>4873</v>
      </c>
      <c r="DD45">
        <v>183</v>
      </c>
      <c r="DE45">
        <v>146.46808947260001</v>
      </c>
      <c r="DF45">
        <v>128.15846994539999</v>
      </c>
      <c r="DH45" t="s">
        <v>368</v>
      </c>
      <c r="DI45" t="s">
        <v>808</v>
      </c>
      <c r="DK45">
        <v>2360</v>
      </c>
      <c r="DL45">
        <v>222</v>
      </c>
      <c r="DM45">
        <v>57.0525423729</v>
      </c>
      <c r="DN45">
        <v>6612</v>
      </c>
      <c r="DO45">
        <v>205</v>
      </c>
      <c r="DP45">
        <v>140.0468844525</v>
      </c>
      <c r="DQ45">
        <v>98.853658536599994</v>
      </c>
    </row>
    <row r="46" spans="2:121" x14ac:dyDescent="0.2">
      <c r="B46" t="s">
        <v>101</v>
      </c>
      <c r="C46">
        <v>129711</v>
      </c>
      <c r="D46">
        <v>79387</v>
      </c>
      <c r="F46" t="s">
        <v>35</v>
      </c>
      <c r="G46">
        <v>3215</v>
      </c>
      <c r="H46">
        <v>610.17076205290005</v>
      </c>
      <c r="I46">
        <v>3248</v>
      </c>
      <c r="J46">
        <v>676</v>
      </c>
      <c r="K46">
        <v>6617</v>
      </c>
      <c r="L46">
        <v>3564</v>
      </c>
      <c r="M46">
        <v>2539</v>
      </c>
      <c r="N46">
        <v>2097</v>
      </c>
      <c r="O46">
        <v>543</v>
      </c>
      <c r="P46">
        <v>468</v>
      </c>
      <c r="Q46">
        <v>0</v>
      </c>
      <c r="R46">
        <v>4</v>
      </c>
      <c r="AH46" t="s">
        <v>419</v>
      </c>
      <c r="AI46">
        <v>338</v>
      </c>
      <c r="AJ46">
        <v>169.18639053250001</v>
      </c>
      <c r="AK46">
        <v>1060</v>
      </c>
      <c r="AL46">
        <v>261</v>
      </c>
      <c r="AM46">
        <v>1166</v>
      </c>
      <c r="AN46">
        <v>159</v>
      </c>
      <c r="AO46">
        <v>319</v>
      </c>
      <c r="AP46">
        <v>132</v>
      </c>
      <c r="AQ46">
        <v>175</v>
      </c>
      <c r="AR46">
        <v>96</v>
      </c>
      <c r="AS46">
        <v>3</v>
      </c>
      <c r="AT46">
        <v>2</v>
      </c>
      <c r="AV46" t="s">
        <v>380</v>
      </c>
      <c r="AW46">
        <v>1221</v>
      </c>
      <c r="AX46">
        <v>107.19410319409999</v>
      </c>
      <c r="AY46">
        <v>1464</v>
      </c>
      <c r="AZ46">
        <v>236</v>
      </c>
      <c r="BA46">
        <v>1666</v>
      </c>
      <c r="BB46">
        <v>592</v>
      </c>
      <c r="BC46">
        <v>2</v>
      </c>
      <c r="BD46">
        <v>2</v>
      </c>
      <c r="BE46">
        <v>93</v>
      </c>
      <c r="BF46">
        <v>30</v>
      </c>
      <c r="BG46">
        <v>210</v>
      </c>
      <c r="BH46">
        <v>380</v>
      </c>
      <c r="BJ46" t="s">
        <v>685</v>
      </c>
      <c r="BK46" t="s">
        <v>8</v>
      </c>
      <c r="BL46">
        <v>91</v>
      </c>
      <c r="BM46">
        <v>73</v>
      </c>
      <c r="BN46">
        <v>188.956043956</v>
      </c>
      <c r="BO46">
        <v>576</v>
      </c>
      <c r="BP46">
        <v>7</v>
      </c>
      <c r="BQ46">
        <v>228.9791666667</v>
      </c>
      <c r="BR46">
        <v>265.28571428570001</v>
      </c>
      <c r="BS46">
        <v>216629</v>
      </c>
      <c r="BT46">
        <v>41619</v>
      </c>
      <c r="BU46">
        <v>87.031279283900005</v>
      </c>
      <c r="BV46">
        <v>17</v>
      </c>
      <c r="BW46">
        <v>2</v>
      </c>
      <c r="BX46">
        <v>136.6470588235</v>
      </c>
      <c r="BY46">
        <v>65.5</v>
      </c>
      <c r="CA46" t="s">
        <v>8</v>
      </c>
      <c r="CB46" t="s">
        <v>685</v>
      </c>
      <c r="CC46" t="s">
        <v>685</v>
      </c>
      <c r="CD46">
        <v>3514</v>
      </c>
      <c r="CE46">
        <v>1217</v>
      </c>
      <c r="CF46">
        <v>117.09846328970001</v>
      </c>
      <c r="CG46">
        <v>8284</v>
      </c>
      <c r="CH46">
        <v>494</v>
      </c>
      <c r="CI46">
        <v>170.13845968129999</v>
      </c>
      <c r="CJ46">
        <v>160.91700404860001</v>
      </c>
      <c r="CL46" t="s">
        <v>8</v>
      </c>
      <c r="CM46" t="s">
        <v>857</v>
      </c>
      <c r="CN46" t="s">
        <v>857</v>
      </c>
      <c r="CO46">
        <v>225</v>
      </c>
      <c r="CP46">
        <v>39</v>
      </c>
      <c r="CQ46">
        <v>87.133333333300001</v>
      </c>
      <c r="CR46">
        <v>783</v>
      </c>
      <c r="CS46">
        <v>34</v>
      </c>
      <c r="CT46">
        <v>100.8250319285</v>
      </c>
      <c r="CU46">
        <v>133.3823529412</v>
      </c>
      <c r="CW46" t="s">
        <v>8</v>
      </c>
      <c r="CX46" t="s">
        <v>858</v>
      </c>
      <c r="CY46" t="s">
        <v>858</v>
      </c>
      <c r="CZ46">
        <v>39</v>
      </c>
      <c r="DA46">
        <v>2</v>
      </c>
      <c r="DB46">
        <v>58.384615384600004</v>
      </c>
      <c r="DC46">
        <v>54</v>
      </c>
      <c r="DD46">
        <v>3</v>
      </c>
      <c r="DE46">
        <v>140.3888888889</v>
      </c>
      <c r="DF46">
        <v>151.3333333333</v>
      </c>
      <c r="DH46" t="s">
        <v>8</v>
      </c>
      <c r="DI46" t="s">
        <v>856</v>
      </c>
      <c r="DJ46" t="s">
        <v>856</v>
      </c>
      <c r="DK46">
        <v>90</v>
      </c>
      <c r="DL46">
        <v>7</v>
      </c>
      <c r="DM46">
        <v>59.9555555556</v>
      </c>
      <c r="DN46">
        <v>143</v>
      </c>
      <c r="DO46">
        <v>5</v>
      </c>
      <c r="DP46">
        <v>114.4825174825</v>
      </c>
      <c r="DQ46">
        <v>99.6</v>
      </c>
    </row>
    <row r="47" spans="2:121" x14ac:dyDescent="0.2">
      <c r="B47" t="s">
        <v>125</v>
      </c>
      <c r="C47">
        <v>34662</v>
      </c>
      <c r="D47">
        <v>7661</v>
      </c>
      <c r="F47" t="s">
        <v>33</v>
      </c>
      <c r="G47">
        <v>7611</v>
      </c>
      <c r="H47">
        <v>699.40507160690004</v>
      </c>
      <c r="I47">
        <v>5388</v>
      </c>
      <c r="J47">
        <v>1299</v>
      </c>
      <c r="K47">
        <v>10416</v>
      </c>
      <c r="L47">
        <v>7235</v>
      </c>
      <c r="M47">
        <v>3391</v>
      </c>
      <c r="N47">
        <v>3076</v>
      </c>
      <c r="O47">
        <v>1514</v>
      </c>
      <c r="P47">
        <v>1218</v>
      </c>
      <c r="Q47">
        <v>0</v>
      </c>
      <c r="R47">
        <v>7</v>
      </c>
      <c r="AH47" t="s">
        <v>383</v>
      </c>
      <c r="AI47">
        <v>4304</v>
      </c>
      <c r="AJ47">
        <v>275.7005111524</v>
      </c>
      <c r="AK47">
        <v>9688</v>
      </c>
      <c r="AL47">
        <v>1632</v>
      </c>
      <c r="AM47">
        <v>9640</v>
      </c>
      <c r="AN47">
        <v>3624</v>
      </c>
      <c r="AO47">
        <v>2825</v>
      </c>
      <c r="AP47">
        <v>2229</v>
      </c>
      <c r="AQ47">
        <v>3174</v>
      </c>
      <c r="AR47">
        <v>2158</v>
      </c>
      <c r="AS47">
        <v>720</v>
      </c>
      <c r="AT47">
        <v>289</v>
      </c>
      <c r="AV47" t="s">
        <v>409</v>
      </c>
      <c r="AW47">
        <v>954</v>
      </c>
      <c r="AX47">
        <v>68.480083857400004</v>
      </c>
      <c r="AY47">
        <v>1330</v>
      </c>
      <c r="AZ47">
        <v>55</v>
      </c>
      <c r="BA47">
        <v>1649</v>
      </c>
      <c r="BB47">
        <v>146</v>
      </c>
      <c r="BC47">
        <v>7</v>
      </c>
      <c r="BD47">
        <v>6</v>
      </c>
      <c r="BE47">
        <v>85</v>
      </c>
      <c r="BF47">
        <v>38</v>
      </c>
      <c r="BG47">
        <v>1567</v>
      </c>
      <c r="BH47">
        <v>539</v>
      </c>
      <c r="BJ47" t="s">
        <v>585</v>
      </c>
      <c r="BK47" t="s">
        <v>403</v>
      </c>
      <c r="BL47">
        <v>3039</v>
      </c>
      <c r="BM47">
        <v>671</v>
      </c>
      <c r="BN47">
        <v>90.341230667999994</v>
      </c>
      <c r="BO47">
        <v>7815</v>
      </c>
      <c r="BP47">
        <v>282</v>
      </c>
      <c r="BQ47">
        <v>133.63672424820001</v>
      </c>
      <c r="BR47">
        <v>126.7836879433</v>
      </c>
      <c r="BS47">
        <v>749</v>
      </c>
      <c r="BT47">
        <v>244</v>
      </c>
      <c r="BU47">
        <v>105.4552736983</v>
      </c>
      <c r="BV47">
        <v>8306</v>
      </c>
      <c r="BW47">
        <v>529</v>
      </c>
      <c r="BX47">
        <v>130.46821574769999</v>
      </c>
      <c r="BY47">
        <v>116.6049149338</v>
      </c>
      <c r="CA47" t="s">
        <v>8</v>
      </c>
      <c r="CB47" t="s">
        <v>685</v>
      </c>
      <c r="CC47" t="s">
        <v>685</v>
      </c>
      <c r="CD47">
        <v>3514</v>
      </c>
      <c r="CE47">
        <v>1217</v>
      </c>
      <c r="CF47">
        <v>117.09846328970001</v>
      </c>
      <c r="CG47">
        <v>8284</v>
      </c>
      <c r="CH47">
        <v>494</v>
      </c>
      <c r="CI47">
        <v>170.13845968129999</v>
      </c>
      <c r="CJ47">
        <v>160.91700404860001</v>
      </c>
      <c r="CL47" t="s">
        <v>8</v>
      </c>
      <c r="CM47" t="s">
        <v>857</v>
      </c>
      <c r="CN47" t="s">
        <v>857</v>
      </c>
      <c r="CO47">
        <v>225</v>
      </c>
      <c r="CP47">
        <v>39</v>
      </c>
      <c r="CQ47">
        <v>87.133333333300001</v>
      </c>
      <c r="CR47">
        <v>783</v>
      </c>
      <c r="CS47">
        <v>34</v>
      </c>
      <c r="CT47">
        <v>100.8250319285</v>
      </c>
      <c r="CU47">
        <v>133.3823529412</v>
      </c>
      <c r="CW47" t="s">
        <v>8</v>
      </c>
      <c r="CX47" t="s">
        <v>858</v>
      </c>
      <c r="CY47" t="s">
        <v>858</v>
      </c>
      <c r="CZ47">
        <v>39</v>
      </c>
      <c r="DA47">
        <v>2</v>
      </c>
      <c r="DB47">
        <v>58.384615384600004</v>
      </c>
      <c r="DC47">
        <v>54</v>
      </c>
      <c r="DD47">
        <v>3</v>
      </c>
      <c r="DE47">
        <v>140.3888888889</v>
      </c>
      <c r="DF47">
        <v>151.3333333333</v>
      </c>
      <c r="DH47" t="s">
        <v>8</v>
      </c>
      <c r="DI47" t="s">
        <v>856</v>
      </c>
      <c r="DJ47" t="s">
        <v>856</v>
      </c>
      <c r="DK47">
        <v>90</v>
      </c>
      <c r="DL47">
        <v>7</v>
      </c>
      <c r="DM47">
        <v>59.9555555556</v>
      </c>
      <c r="DN47">
        <v>143</v>
      </c>
      <c r="DO47">
        <v>5</v>
      </c>
      <c r="DP47">
        <v>114.4825174825</v>
      </c>
      <c r="DQ47">
        <v>99.6</v>
      </c>
    </row>
    <row r="48" spans="2:121" x14ac:dyDescent="0.2">
      <c r="B48" t="s">
        <v>104</v>
      </c>
      <c r="C48">
        <v>34544</v>
      </c>
      <c r="D48">
        <v>24049</v>
      </c>
      <c r="F48" t="s">
        <v>79</v>
      </c>
      <c r="G48">
        <v>9960</v>
      </c>
      <c r="H48">
        <v>289.23965863450002</v>
      </c>
      <c r="I48">
        <v>17113</v>
      </c>
      <c r="J48">
        <v>2994</v>
      </c>
      <c r="K48">
        <v>16732</v>
      </c>
      <c r="L48">
        <v>6949</v>
      </c>
      <c r="M48">
        <v>3620</v>
      </c>
      <c r="N48">
        <v>2418</v>
      </c>
      <c r="O48">
        <v>8715</v>
      </c>
      <c r="P48">
        <v>4283</v>
      </c>
      <c r="Q48">
        <v>3</v>
      </c>
      <c r="R48">
        <v>222</v>
      </c>
      <c r="AH48" t="s">
        <v>409</v>
      </c>
      <c r="AI48">
        <v>22309</v>
      </c>
      <c r="AJ48">
        <v>321.93451073559999</v>
      </c>
      <c r="AK48">
        <v>37304</v>
      </c>
      <c r="AL48">
        <v>7532</v>
      </c>
      <c r="AM48">
        <v>40939</v>
      </c>
      <c r="AN48">
        <v>19370</v>
      </c>
      <c r="AO48">
        <v>9636</v>
      </c>
      <c r="AP48">
        <v>7173</v>
      </c>
      <c r="AQ48">
        <v>19751</v>
      </c>
      <c r="AR48">
        <v>11716</v>
      </c>
      <c r="AS48">
        <v>23</v>
      </c>
      <c r="AT48">
        <v>444</v>
      </c>
      <c r="AV48" t="s">
        <v>392</v>
      </c>
      <c r="AW48">
        <v>224</v>
      </c>
      <c r="AX48">
        <v>65.540178571400006</v>
      </c>
      <c r="AY48">
        <v>428</v>
      </c>
      <c r="AZ48">
        <v>55</v>
      </c>
      <c r="BA48">
        <v>406</v>
      </c>
      <c r="BB48">
        <v>50</v>
      </c>
      <c r="BC48">
        <v>3</v>
      </c>
      <c r="BD48">
        <v>1</v>
      </c>
      <c r="BE48">
        <v>51</v>
      </c>
      <c r="BF48">
        <v>10</v>
      </c>
      <c r="BG48">
        <v>83</v>
      </c>
      <c r="BH48">
        <v>71</v>
      </c>
      <c r="BJ48" t="s">
        <v>644</v>
      </c>
      <c r="BK48" t="s">
        <v>403</v>
      </c>
      <c r="BL48">
        <v>1120</v>
      </c>
      <c r="BM48">
        <v>277</v>
      </c>
      <c r="BN48">
        <v>98.517857142899999</v>
      </c>
      <c r="BO48">
        <v>2880</v>
      </c>
      <c r="BP48">
        <v>165</v>
      </c>
      <c r="BQ48">
        <v>139.60104166670001</v>
      </c>
      <c r="BR48">
        <v>142.13939393940001</v>
      </c>
      <c r="BS48">
        <v>361</v>
      </c>
      <c r="BT48">
        <v>149</v>
      </c>
      <c r="BU48">
        <v>118.86149584490001</v>
      </c>
      <c r="BV48">
        <v>2296</v>
      </c>
      <c r="BW48">
        <v>104</v>
      </c>
      <c r="BX48">
        <v>149.96994773520001</v>
      </c>
      <c r="BY48">
        <v>179.375</v>
      </c>
      <c r="CA48" t="s">
        <v>8</v>
      </c>
      <c r="CB48" t="s">
        <v>685</v>
      </c>
      <c r="CC48" t="s">
        <v>685</v>
      </c>
      <c r="CD48">
        <v>3514</v>
      </c>
      <c r="CE48">
        <v>1217</v>
      </c>
      <c r="CF48">
        <v>117.09846328970001</v>
      </c>
      <c r="CG48">
        <v>8284</v>
      </c>
      <c r="CH48">
        <v>494</v>
      </c>
      <c r="CI48">
        <v>170.13845968129999</v>
      </c>
      <c r="CJ48">
        <v>160.91700404860001</v>
      </c>
      <c r="CL48" t="s">
        <v>8</v>
      </c>
      <c r="CM48" t="s">
        <v>857</v>
      </c>
      <c r="CN48" t="s">
        <v>857</v>
      </c>
      <c r="CO48">
        <v>225</v>
      </c>
      <c r="CP48">
        <v>39</v>
      </c>
      <c r="CQ48">
        <v>87.133333333300001</v>
      </c>
      <c r="CR48">
        <v>783</v>
      </c>
      <c r="CS48">
        <v>34</v>
      </c>
      <c r="CT48">
        <v>100.8250319285</v>
      </c>
      <c r="CU48">
        <v>133.3823529412</v>
      </c>
      <c r="CW48" t="s">
        <v>8</v>
      </c>
      <c r="CX48" t="s">
        <v>858</v>
      </c>
      <c r="CY48" t="s">
        <v>858</v>
      </c>
      <c r="CZ48">
        <v>39</v>
      </c>
      <c r="DA48">
        <v>2</v>
      </c>
      <c r="DB48">
        <v>58.384615384600004</v>
      </c>
      <c r="DC48">
        <v>54</v>
      </c>
      <c r="DD48">
        <v>3</v>
      </c>
      <c r="DE48">
        <v>140.3888888889</v>
      </c>
      <c r="DF48">
        <v>151.3333333333</v>
      </c>
      <c r="DH48" t="s">
        <v>8</v>
      </c>
      <c r="DI48" t="s">
        <v>856</v>
      </c>
      <c r="DJ48" t="s">
        <v>856</v>
      </c>
      <c r="DK48">
        <v>90</v>
      </c>
      <c r="DL48">
        <v>7</v>
      </c>
      <c r="DM48">
        <v>59.9555555556</v>
      </c>
      <c r="DN48">
        <v>143</v>
      </c>
      <c r="DO48">
        <v>5</v>
      </c>
      <c r="DP48">
        <v>114.4825174825</v>
      </c>
      <c r="DQ48">
        <v>99.6</v>
      </c>
    </row>
    <row r="49" spans="2:121" x14ac:dyDescent="0.2">
      <c r="B49" t="s">
        <v>124</v>
      </c>
      <c r="C49">
        <v>262</v>
      </c>
      <c r="D49">
        <v>93</v>
      </c>
      <c r="F49" t="s">
        <v>57</v>
      </c>
      <c r="G49">
        <v>9829</v>
      </c>
      <c r="H49">
        <v>348.51266659880002</v>
      </c>
      <c r="I49">
        <v>7713</v>
      </c>
      <c r="J49">
        <v>1877</v>
      </c>
      <c r="K49">
        <v>13765</v>
      </c>
      <c r="L49">
        <v>7936</v>
      </c>
      <c r="M49">
        <v>4063</v>
      </c>
      <c r="N49">
        <v>3720</v>
      </c>
      <c r="O49">
        <v>1672</v>
      </c>
      <c r="P49">
        <v>698</v>
      </c>
      <c r="Q49">
        <v>1</v>
      </c>
      <c r="R49">
        <v>420</v>
      </c>
      <c r="AH49" t="s">
        <v>405</v>
      </c>
      <c r="AI49">
        <v>708</v>
      </c>
      <c r="AJ49">
        <v>205.98870056499999</v>
      </c>
      <c r="AK49">
        <v>1876</v>
      </c>
      <c r="AL49">
        <v>436</v>
      </c>
      <c r="AM49">
        <v>2079</v>
      </c>
      <c r="AN49">
        <v>451</v>
      </c>
      <c r="AO49">
        <v>626</v>
      </c>
      <c r="AP49">
        <v>304</v>
      </c>
      <c r="AQ49">
        <v>600</v>
      </c>
      <c r="AR49">
        <v>317</v>
      </c>
      <c r="AS49">
        <v>0</v>
      </c>
      <c r="AT49">
        <v>4</v>
      </c>
      <c r="AV49" t="s">
        <v>391</v>
      </c>
      <c r="AW49">
        <v>235</v>
      </c>
      <c r="AX49">
        <v>66.685106383000004</v>
      </c>
      <c r="AY49">
        <v>604</v>
      </c>
      <c r="AZ49">
        <v>82</v>
      </c>
      <c r="BA49">
        <v>440</v>
      </c>
      <c r="BB49">
        <v>38</v>
      </c>
      <c r="BC49">
        <v>2</v>
      </c>
      <c r="BD49">
        <v>2</v>
      </c>
      <c r="BE49">
        <v>39</v>
      </c>
      <c r="BF49">
        <v>10</v>
      </c>
      <c r="BG49">
        <v>72</v>
      </c>
      <c r="BH49">
        <v>88</v>
      </c>
      <c r="BJ49" t="s">
        <v>600</v>
      </c>
      <c r="BK49" t="s">
        <v>403</v>
      </c>
      <c r="BL49">
        <v>1704</v>
      </c>
      <c r="BM49">
        <v>447</v>
      </c>
      <c r="BN49">
        <v>97.359154929599995</v>
      </c>
      <c r="BO49">
        <v>4040</v>
      </c>
      <c r="BP49">
        <v>180</v>
      </c>
      <c r="BQ49">
        <v>117.3339108911</v>
      </c>
      <c r="BR49">
        <v>137.3333333333</v>
      </c>
      <c r="BS49">
        <v>1155</v>
      </c>
      <c r="BT49">
        <v>368</v>
      </c>
      <c r="BU49">
        <v>103.71861471859999</v>
      </c>
      <c r="BV49">
        <v>5595</v>
      </c>
      <c r="BW49">
        <v>300</v>
      </c>
      <c r="BX49">
        <v>118.8377122431</v>
      </c>
      <c r="BY49">
        <v>129.94</v>
      </c>
      <c r="CA49" t="s">
        <v>8</v>
      </c>
      <c r="CB49" t="s">
        <v>685</v>
      </c>
      <c r="CD49">
        <v>3514</v>
      </c>
      <c r="CE49">
        <v>1217</v>
      </c>
      <c r="CF49">
        <v>117.09846328970001</v>
      </c>
      <c r="CG49">
        <v>8284</v>
      </c>
      <c r="CH49">
        <v>494</v>
      </c>
      <c r="CI49">
        <v>170.13845968129999</v>
      </c>
      <c r="CJ49">
        <v>160.91700404860001</v>
      </c>
      <c r="CL49" t="s">
        <v>8</v>
      </c>
      <c r="CM49" t="s">
        <v>857</v>
      </c>
      <c r="CO49">
        <v>225</v>
      </c>
      <c r="CP49">
        <v>39</v>
      </c>
      <c r="CQ49">
        <v>87.133333333300001</v>
      </c>
      <c r="CR49">
        <v>783</v>
      </c>
      <c r="CS49">
        <v>34</v>
      </c>
      <c r="CT49">
        <v>100.8250319285</v>
      </c>
      <c r="CU49">
        <v>133.3823529412</v>
      </c>
      <c r="CW49" t="s">
        <v>8</v>
      </c>
      <c r="CX49" t="s">
        <v>858</v>
      </c>
      <c r="CZ49">
        <v>39</v>
      </c>
      <c r="DA49">
        <v>2</v>
      </c>
      <c r="DB49">
        <v>58.384615384600004</v>
      </c>
      <c r="DC49">
        <v>54</v>
      </c>
      <c r="DD49">
        <v>3</v>
      </c>
      <c r="DE49">
        <v>140.3888888889</v>
      </c>
      <c r="DF49">
        <v>151.3333333333</v>
      </c>
      <c r="DH49" t="s">
        <v>8</v>
      </c>
      <c r="DI49" t="s">
        <v>856</v>
      </c>
      <c r="DK49">
        <v>90</v>
      </c>
      <c r="DL49">
        <v>7</v>
      </c>
      <c r="DM49">
        <v>59.9555555556</v>
      </c>
      <c r="DN49">
        <v>143</v>
      </c>
      <c r="DO49">
        <v>5</v>
      </c>
      <c r="DP49">
        <v>114.4825174825</v>
      </c>
      <c r="DQ49">
        <v>99.6</v>
      </c>
    </row>
    <row r="50" spans="2:121" x14ac:dyDescent="0.2">
      <c r="B50" t="s">
        <v>120</v>
      </c>
      <c r="C50">
        <v>190</v>
      </c>
      <c r="D50">
        <v>188</v>
      </c>
      <c r="F50" t="s">
        <v>34</v>
      </c>
      <c r="G50">
        <v>408</v>
      </c>
      <c r="H50">
        <v>84.838235294100002</v>
      </c>
      <c r="I50">
        <v>1697</v>
      </c>
      <c r="J50">
        <v>445</v>
      </c>
      <c r="K50">
        <v>1263</v>
      </c>
      <c r="L50">
        <v>143</v>
      </c>
      <c r="M50">
        <v>244</v>
      </c>
      <c r="N50">
        <v>55</v>
      </c>
      <c r="O50">
        <v>135</v>
      </c>
      <c r="P50">
        <v>82</v>
      </c>
      <c r="Q50">
        <v>0</v>
      </c>
      <c r="R50">
        <v>5</v>
      </c>
      <c r="AH50" t="s">
        <v>416</v>
      </c>
      <c r="AI50">
        <v>409</v>
      </c>
      <c r="AJ50">
        <v>324.82885085570001</v>
      </c>
      <c r="AK50">
        <v>541</v>
      </c>
      <c r="AL50">
        <v>127</v>
      </c>
      <c r="AM50">
        <v>1045</v>
      </c>
      <c r="AN50">
        <v>409</v>
      </c>
      <c r="AO50">
        <v>240</v>
      </c>
      <c r="AP50">
        <v>185</v>
      </c>
      <c r="AQ50">
        <v>197</v>
      </c>
      <c r="AR50">
        <v>116</v>
      </c>
      <c r="AS50">
        <v>84</v>
      </c>
      <c r="AT50">
        <v>3</v>
      </c>
      <c r="AV50" t="s">
        <v>60</v>
      </c>
      <c r="AW50">
        <v>1048</v>
      </c>
      <c r="AX50">
        <v>100.49809160309999</v>
      </c>
      <c r="AY50">
        <v>1808</v>
      </c>
      <c r="AZ50">
        <v>319</v>
      </c>
      <c r="BA50">
        <v>1527</v>
      </c>
      <c r="BB50">
        <v>428</v>
      </c>
      <c r="BC50">
        <v>5</v>
      </c>
      <c r="BD50">
        <v>5</v>
      </c>
      <c r="BE50">
        <v>52</v>
      </c>
      <c r="BF50">
        <v>21</v>
      </c>
      <c r="BG50">
        <v>181</v>
      </c>
      <c r="BH50">
        <v>261</v>
      </c>
      <c r="BJ50" t="s">
        <v>640</v>
      </c>
      <c r="BK50" t="s">
        <v>403</v>
      </c>
      <c r="BL50">
        <v>2452</v>
      </c>
      <c r="BM50">
        <v>412</v>
      </c>
      <c r="BN50">
        <v>79.278955954300002</v>
      </c>
      <c r="BO50">
        <v>6204</v>
      </c>
      <c r="BP50">
        <v>279</v>
      </c>
      <c r="BQ50">
        <v>125.2649903288</v>
      </c>
      <c r="BR50">
        <v>119.1362007168</v>
      </c>
      <c r="BS50">
        <v>667</v>
      </c>
      <c r="BT50">
        <v>173</v>
      </c>
      <c r="BU50">
        <v>90.925037481299995</v>
      </c>
      <c r="BV50">
        <v>5879</v>
      </c>
      <c r="BW50">
        <v>279</v>
      </c>
      <c r="BX50">
        <v>124.1995237285</v>
      </c>
      <c r="BY50">
        <v>141.47311827959999</v>
      </c>
      <c r="CA50" t="s">
        <v>423</v>
      </c>
      <c r="CB50" t="s">
        <v>889</v>
      </c>
      <c r="CC50" t="s">
        <v>1013</v>
      </c>
      <c r="CD50">
        <v>1116</v>
      </c>
      <c r="CE50">
        <v>271</v>
      </c>
      <c r="CF50">
        <v>97.379032258099997</v>
      </c>
      <c r="CG50">
        <v>3554</v>
      </c>
      <c r="CH50">
        <v>196</v>
      </c>
      <c r="CI50">
        <v>114.4392234102</v>
      </c>
      <c r="CJ50">
        <v>118.2193877551</v>
      </c>
      <c r="CL50" t="s">
        <v>423</v>
      </c>
      <c r="CM50" t="s">
        <v>870</v>
      </c>
      <c r="CN50" t="s">
        <v>869</v>
      </c>
      <c r="CO50">
        <v>29</v>
      </c>
      <c r="CP50">
        <v>3</v>
      </c>
      <c r="CQ50">
        <v>82.344827586199997</v>
      </c>
      <c r="CR50">
        <v>181</v>
      </c>
      <c r="CS50">
        <v>10</v>
      </c>
      <c r="CT50">
        <v>74.966850828700004</v>
      </c>
      <c r="CU50">
        <v>80.400000000000006</v>
      </c>
      <c r="CW50" t="s">
        <v>423</v>
      </c>
      <c r="CX50" t="s">
        <v>880</v>
      </c>
      <c r="CY50" t="s">
        <v>879</v>
      </c>
      <c r="CZ50">
        <v>27</v>
      </c>
      <c r="DA50">
        <v>2</v>
      </c>
      <c r="DB50">
        <v>58.592592592599999</v>
      </c>
      <c r="DC50">
        <v>56</v>
      </c>
      <c r="DD50">
        <v>2</v>
      </c>
      <c r="DE50">
        <v>118.7321428571</v>
      </c>
      <c r="DF50">
        <v>66.5</v>
      </c>
      <c r="DH50" t="s">
        <v>423</v>
      </c>
      <c r="DI50" t="s">
        <v>860</v>
      </c>
      <c r="DJ50" t="s">
        <v>859</v>
      </c>
      <c r="DK50">
        <v>27</v>
      </c>
      <c r="DL50">
        <v>3</v>
      </c>
      <c r="DM50">
        <v>66.777777777799997</v>
      </c>
      <c r="DN50">
        <v>99</v>
      </c>
      <c r="DO50">
        <v>5</v>
      </c>
      <c r="DP50">
        <v>122.2727272727</v>
      </c>
      <c r="DQ50">
        <v>101.2</v>
      </c>
    </row>
    <row r="51" spans="2:121" x14ac:dyDescent="0.2">
      <c r="B51" t="s">
        <v>103</v>
      </c>
      <c r="C51">
        <v>21</v>
      </c>
      <c r="D51">
        <v>19</v>
      </c>
      <c r="F51" t="s">
        <v>46</v>
      </c>
      <c r="G51">
        <v>9736</v>
      </c>
      <c r="H51">
        <v>365.32169268690001</v>
      </c>
      <c r="I51">
        <v>17624</v>
      </c>
      <c r="J51">
        <v>4168</v>
      </c>
      <c r="K51">
        <v>17491</v>
      </c>
      <c r="L51">
        <v>9531</v>
      </c>
      <c r="M51">
        <v>3637</v>
      </c>
      <c r="N51">
        <v>2969</v>
      </c>
      <c r="O51">
        <v>3430</v>
      </c>
      <c r="P51">
        <v>2820</v>
      </c>
      <c r="Q51">
        <v>1</v>
      </c>
      <c r="R51">
        <v>251</v>
      </c>
      <c r="AH51" t="s">
        <v>377</v>
      </c>
      <c r="AI51">
        <v>14865</v>
      </c>
      <c r="AJ51">
        <v>318.7355533132</v>
      </c>
      <c r="AK51">
        <v>12720</v>
      </c>
      <c r="AL51">
        <v>2225</v>
      </c>
      <c r="AM51">
        <v>22626</v>
      </c>
      <c r="AN51">
        <v>10996</v>
      </c>
      <c r="AO51">
        <v>8465</v>
      </c>
      <c r="AP51">
        <v>6632</v>
      </c>
      <c r="AQ51">
        <v>7956</v>
      </c>
      <c r="AR51">
        <v>6093</v>
      </c>
      <c r="AS51">
        <v>1106</v>
      </c>
      <c r="AT51">
        <v>23</v>
      </c>
      <c r="AV51" t="s">
        <v>410</v>
      </c>
      <c r="AW51">
        <v>200</v>
      </c>
      <c r="AX51">
        <v>64.53</v>
      </c>
      <c r="AY51">
        <v>252</v>
      </c>
      <c r="AZ51">
        <v>23</v>
      </c>
      <c r="BA51">
        <v>286</v>
      </c>
      <c r="BB51">
        <v>30</v>
      </c>
      <c r="BC51">
        <v>4</v>
      </c>
      <c r="BD51">
        <v>4</v>
      </c>
      <c r="BE51">
        <v>31</v>
      </c>
      <c r="BF51">
        <v>10</v>
      </c>
      <c r="BG51">
        <v>81</v>
      </c>
      <c r="BH51">
        <v>44</v>
      </c>
      <c r="BJ51" t="s">
        <v>592</v>
      </c>
      <c r="BK51" t="s">
        <v>403</v>
      </c>
      <c r="BL51">
        <v>10912</v>
      </c>
      <c r="BM51">
        <v>2216</v>
      </c>
      <c r="BN51">
        <v>85.0174120235</v>
      </c>
      <c r="BO51">
        <v>25346</v>
      </c>
      <c r="BP51">
        <v>1327</v>
      </c>
      <c r="BQ51">
        <v>133.31310660459999</v>
      </c>
      <c r="BR51">
        <v>135.22305953279999</v>
      </c>
      <c r="BS51">
        <v>2553</v>
      </c>
      <c r="BT51">
        <v>735</v>
      </c>
      <c r="BU51">
        <v>98.092048570299994</v>
      </c>
      <c r="BV51">
        <v>20792</v>
      </c>
      <c r="BW51">
        <v>1034</v>
      </c>
      <c r="BX51">
        <v>126.8616775683</v>
      </c>
      <c r="BY51">
        <v>144.7978723404</v>
      </c>
      <c r="CA51" t="s">
        <v>425</v>
      </c>
      <c r="CB51" t="s">
        <v>889</v>
      </c>
      <c r="CC51" t="s">
        <v>1014</v>
      </c>
      <c r="CD51">
        <v>5502</v>
      </c>
      <c r="CE51">
        <v>922</v>
      </c>
      <c r="CF51">
        <v>83.869501999299999</v>
      </c>
      <c r="CG51">
        <v>18063</v>
      </c>
      <c r="CH51">
        <v>773</v>
      </c>
      <c r="CI51">
        <v>122.97641587779999</v>
      </c>
      <c r="CJ51">
        <v>123.34540750319999</v>
      </c>
      <c r="CL51" t="s">
        <v>425</v>
      </c>
      <c r="CM51" t="s">
        <v>870</v>
      </c>
      <c r="CN51" t="s">
        <v>871</v>
      </c>
      <c r="CO51">
        <v>513</v>
      </c>
      <c r="CP51">
        <v>45</v>
      </c>
      <c r="CQ51">
        <v>65.068226120899993</v>
      </c>
      <c r="CR51">
        <v>3014</v>
      </c>
      <c r="CS51">
        <v>144</v>
      </c>
      <c r="CT51">
        <v>68.448241539500003</v>
      </c>
      <c r="CU51">
        <v>73.25</v>
      </c>
      <c r="CW51" t="s">
        <v>425</v>
      </c>
      <c r="CX51" t="s">
        <v>880</v>
      </c>
      <c r="CY51" t="s">
        <v>881</v>
      </c>
      <c r="CZ51">
        <v>152</v>
      </c>
      <c r="DA51">
        <v>16</v>
      </c>
      <c r="DB51">
        <v>57.572368421100002</v>
      </c>
      <c r="DC51">
        <v>483</v>
      </c>
      <c r="DD51">
        <v>22</v>
      </c>
      <c r="DE51">
        <v>126.2463768116</v>
      </c>
      <c r="DF51">
        <v>76</v>
      </c>
      <c r="DH51" t="s">
        <v>425</v>
      </c>
      <c r="DI51" t="s">
        <v>860</v>
      </c>
      <c r="DJ51" t="s">
        <v>861</v>
      </c>
      <c r="DK51">
        <v>110</v>
      </c>
      <c r="DL51">
        <v>6</v>
      </c>
      <c r="DM51">
        <v>61.636363636399999</v>
      </c>
      <c r="DN51">
        <v>361</v>
      </c>
      <c r="DO51">
        <v>13</v>
      </c>
      <c r="DP51">
        <v>126.2770083102</v>
      </c>
      <c r="DQ51">
        <v>136.23076923080001</v>
      </c>
    </row>
    <row r="52" spans="2:121" x14ac:dyDescent="0.2">
      <c r="B52" t="s">
        <v>1061</v>
      </c>
      <c r="C52">
        <v>1</v>
      </c>
      <c r="F52" t="s">
        <v>47</v>
      </c>
      <c r="G52">
        <v>1822</v>
      </c>
      <c r="H52">
        <v>247.9374313941</v>
      </c>
      <c r="I52">
        <v>2343</v>
      </c>
      <c r="J52">
        <v>385</v>
      </c>
      <c r="K52">
        <v>3449</v>
      </c>
      <c r="L52">
        <v>1732</v>
      </c>
      <c r="M52">
        <v>466</v>
      </c>
      <c r="N52">
        <v>379</v>
      </c>
      <c r="O52">
        <v>1340</v>
      </c>
      <c r="P52">
        <v>969</v>
      </c>
      <c r="Q52">
        <v>1</v>
      </c>
      <c r="R52">
        <v>3</v>
      </c>
      <c r="AH52" t="s">
        <v>80</v>
      </c>
      <c r="AI52">
        <v>8469</v>
      </c>
      <c r="AJ52">
        <v>372.19270279839998</v>
      </c>
      <c r="AK52">
        <v>7670</v>
      </c>
      <c r="AL52">
        <v>1406</v>
      </c>
      <c r="AM52">
        <v>15637</v>
      </c>
      <c r="AN52">
        <v>8457</v>
      </c>
      <c r="AO52">
        <v>4220</v>
      </c>
      <c r="AP52">
        <v>2911</v>
      </c>
      <c r="AQ52">
        <v>5862</v>
      </c>
      <c r="AR52">
        <v>4485</v>
      </c>
      <c r="AS52">
        <v>17</v>
      </c>
      <c r="AT52">
        <v>155</v>
      </c>
      <c r="AV52" t="s">
        <v>378</v>
      </c>
      <c r="AW52">
        <v>269</v>
      </c>
      <c r="AX52">
        <v>109.3903345725</v>
      </c>
      <c r="AY52">
        <v>229</v>
      </c>
      <c r="AZ52">
        <v>31</v>
      </c>
      <c r="BA52">
        <v>357</v>
      </c>
      <c r="BB52">
        <v>122</v>
      </c>
      <c r="BC52">
        <v>0</v>
      </c>
      <c r="BE52">
        <v>12</v>
      </c>
      <c r="BF52">
        <v>5</v>
      </c>
      <c r="BG52">
        <v>55</v>
      </c>
      <c r="BH52">
        <v>65</v>
      </c>
      <c r="BJ52" t="s">
        <v>614</v>
      </c>
      <c r="BK52" t="s">
        <v>403</v>
      </c>
      <c r="BL52">
        <v>750</v>
      </c>
      <c r="BM52">
        <v>226</v>
      </c>
      <c r="BN52">
        <v>103.73466666669999</v>
      </c>
      <c r="BO52">
        <v>2382</v>
      </c>
      <c r="BP52">
        <v>113</v>
      </c>
      <c r="BQ52">
        <v>131.916456759</v>
      </c>
      <c r="BR52">
        <v>155.38053097349999</v>
      </c>
      <c r="BS52">
        <v>818</v>
      </c>
      <c r="BT52">
        <v>294</v>
      </c>
      <c r="BU52">
        <v>115.0941320293</v>
      </c>
      <c r="BV52">
        <v>5308</v>
      </c>
      <c r="BW52">
        <v>276</v>
      </c>
      <c r="BX52">
        <v>153.21665410700001</v>
      </c>
      <c r="BY52">
        <v>150.29710144929999</v>
      </c>
      <c r="CA52" t="s">
        <v>406</v>
      </c>
      <c r="CB52" t="s">
        <v>889</v>
      </c>
      <c r="CC52" t="s">
        <v>1015</v>
      </c>
      <c r="CD52">
        <v>32849</v>
      </c>
      <c r="CE52">
        <v>7002</v>
      </c>
      <c r="CF52">
        <v>88.561143413799996</v>
      </c>
      <c r="CG52">
        <v>80800</v>
      </c>
      <c r="CH52">
        <v>3692</v>
      </c>
      <c r="CI52">
        <v>131.00318069310001</v>
      </c>
      <c r="CJ52">
        <v>130.2464788732</v>
      </c>
      <c r="CL52" t="s">
        <v>406</v>
      </c>
      <c r="CM52" t="s">
        <v>870</v>
      </c>
      <c r="CN52" t="s">
        <v>872</v>
      </c>
      <c r="CO52">
        <v>2041</v>
      </c>
      <c r="CP52">
        <v>149</v>
      </c>
      <c r="CQ52">
        <v>59.252817246399999</v>
      </c>
      <c r="CR52">
        <v>12054</v>
      </c>
      <c r="CS52">
        <v>635</v>
      </c>
      <c r="CT52">
        <v>66.994441679100007</v>
      </c>
      <c r="CU52">
        <v>68.020472440899994</v>
      </c>
      <c r="CW52" t="s">
        <v>406</v>
      </c>
      <c r="CX52" t="s">
        <v>880</v>
      </c>
      <c r="CY52" t="s">
        <v>882</v>
      </c>
      <c r="CZ52">
        <v>1213</v>
      </c>
      <c r="DA52">
        <v>131</v>
      </c>
      <c r="DB52">
        <v>62.508656224200003</v>
      </c>
      <c r="DC52">
        <v>3220</v>
      </c>
      <c r="DD52">
        <v>128</v>
      </c>
      <c r="DE52">
        <v>126.82546583849999</v>
      </c>
      <c r="DF52">
        <v>100.4609375</v>
      </c>
      <c r="DH52" t="s">
        <v>406</v>
      </c>
      <c r="DI52" t="s">
        <v>860</v>
      </c>
      <c r="DJ52" t="s">
        <v>862</v>
      </c>
      <c r="DK52">
        <v>742</v>
      </c>
      <c r="DL52">
        <v>70</v>
      </c>
      <c r="DM52">
        <v>60.595687331500002</v>
      </c>
      <c r="DN52">
        <v>1896</v>
      </c>
      <c r="DO52">
        <v>66</v>
      </c>
      <c r="DP52">
        <v>119.1297468354</v>
      </c>
      <c r="DQ52">
        <v>111.2272727273</v>
      </c>
    </row>
    <row r="53" spans="2:121" x14ac:dyDescent="0.2">
      <c r="F53" t="s">
        <v>82</v>
      </c>
      <c r="G53">
        <v>474</v>
      </c>
      <c r="H53">
        <v>405.73206751049997</v>
      </c>
      <c r="I53">
        <v>828</v>
      </c>
      <c r="J53">
        <v>179</v>
      </c>
      <c r="K53">
        <v>810</v>
      </c>
      <c r="L53">
        <v>373</v>
      </c>
      <c r="M53">
        <v>49</v>
      </c>
      <c r="N53">
        <v>46</v>
      </c>
      <c r="O53">
        <v>90</v>
      </c>
      <c r="P53">
        <v>48</v>
      </c>
      <c r="Q53">
        <v>0</v>
      </c>
      <c r="R53">
        <v>0</v>
      </c>
      <c r="AH53" t="s">
        <v>378</v>
      </c>
      <c r="AI53">
        <v>1880</v>
      </c>
      <c r="AJ53">
        <v>276.77393617019999</v>
      </c>
      <c r="AK53">
        <v>2544</v>
      </c>
      <c r="AL53">
        <v>440</v>
      </c>
      <c r="AM53">
        <v>3393</v>
      </c>
      <c r="AN53">
        <v>1750</v>
      </c>
      <c r="AO53">
        <v>481</v>
      </c>
      <c r="AP53">
        <v>363</v>
      </c>
      <c r="AQ53">
        <v>1575</v>
      </c>
      <c r="AR53">
        <v>1087</v>
      </c>
      <c r="AS53">
        <v>398</v>
      </c>
      <c r="AT53">
        <v>5</v>
      </c>
      <c r="AV53" t="s">
        <v>415</v>
      </c>
      <c r="AW53">
        <v>108</v>
      </c>
      <c r="AX53">
        <v>99.740740740700005</v>
      </c>
      <c r="AY53">
        <v>124</v>
      </c>
      <c r="AZ53">
        <v>22</v>
      </c>
      <c r="BA53">
        <v>153</v>
      </c>
      <c r="BB53">
        <v>45</v>
      </c>
      <c r="BC53">
        <v>1</v>
      </c>
      <c r="BD53">
        <v>1</v>
      </c>
      <c r="BE53">
        <v>11</v>
      </c>
      <c r="BF53">
        <v>5</v>
      </c>
      <c r="BG53">
        <v>23</v>
      </c>
      <c r="BH53">
        <v>21</v>
      </c>
      <c r="BJ53" t="s">
        <v>590</v>
      </c>
      <c r="BK53" t="s">
        <v>403</v>
      </c>
      <c r="BL53">
        <v>11489</v>
      </c>
      <c r="BM53">
        <v>2915</v>
      </c>
      <c r="BN53">
        <v>99.335190181900003</v>
      </c>
      <c r="BO53">
        <v>27170</v>
      </c>
      <c r="BP53">
        <v>1255</v>
      </c>
      <c r="BQ53">
        <v>145.48807508280001</v>
      </c>
      <c r="BR53">
        <v>141.59362549799999</v>
      </c>
      <c r="BS53">
        <v>3007</v>
      </c>
      <c r="BT53">
        <v>890</v>
      </c>
      <c r="BU53">
        <v>107.2504156967</v>
      </c>
      <c r="BV53">
        <v>15626</v>
      </c>
      <c r="BW53">
        <v>740</v>
      </c>
      <c r="BX53">
        <v>149.6989632664</v>
      </c>
      <c r="BY53">
        <v>150.2837837838</v>
      </c>
      <c r="CA53" t="s">
        <v>427</v>
      </c>
      <c r="CB53" t="s">
        <v>889</v>
      </c>
      <c r="CC53" t="s">
        <v>1016</v>
      </c>
      <c r="CD53">
        <v>2000</v>
      </c>
      <c r="CE53">
        <v>304</v>
      </c>
      <c r="CF53">
        <v>77.093999999999994</v>
      </c>
      <c r="CG53">
        <v>6318</v>
      </c>
      <c r="CH53">
        <v>267</v>
      </c>
      <c r="CI53">
        <v>107.7720797721</v>
      </c>
      <c r="CJ53">
        <v>102.3895131086</v>
      </c>
      <c r="CL53" t="s">
        <v>427</v>
      </c>
      <c r="CM53" t="s">
        <v>870</v>
      </c>
      <c r="CN53" t="s">
        <v>873</v>
      </c>
      <c r="CO53">
        <v>70</v>
      </c>
      <c r="CP53">
        <v>9</v>
      </c>
      <c r="CQ53">
        <v>72.471428571399997</v>
      </c>
      <c r="CR53">
        <v>373</v>
      </c>
      <c r="CS53">
        <v>20</v>
      </c>
      <c r="CT53">
        <v>71.5013404826</v>
      </c>
      <c r="CU53">
        <v>72.400000000000006</v>
      </c>
      <c r="CW53" t="s">
        <v>427</v>
      </c>
      <c r="CX53" t="s">
        <v>880</v>
      </c>
      <c r="CY53" t="s">
        <v>883</v>
      </c>
      <c r="CZ53">
        <v>32</v>
      </c>
      <c r="DA53">
        <v>1</v>
      </c>
      <c r="DB53">
        <v>55.25</v>
      </c>
      <c r="DC53">
        <v>104</v>
      </c>
      <c r="DD53">
        <v>4</v>
      </c>
      <c r="DE53">
        <v>121.89423076920001</v>
      </c>
      <c r="DF53">
        <v>68.25</v>
      </c>
      <c r="DH53" t="s">
        <v>427</v>
      </c>
      <c r="DI53" t="s">
        <v>860</v>
      </c>
      <c r="DJ53" t="s">
        <v>863</v>
      </c>
      <c r="DK53">
        <v>134</v>
      </c>
      <c r="DL53">
        <v>8</v>
      </c>
      <c r="DM53">
        <v>55.619402985100002</v>
      </c>
      <c r="DN53">
        <v>188</v>
      </c>
      <c r="DO53">
        <v>10</v>
      </c>
      <c r="DP53">
        <v>115.5106382979</v>
      </c>
      <c r="DQ53">
        <v>90.3</v>
      </c>
    </row>
    <row r="54" spans="2:121" x14ac:dyDescent="0.2">
      <c r="F54" t="s">
        <v>135</v>
      </c>
      <c r="G54">
        <v>475</v>
      </c>
      <c r="H54">
        <v>334.2294736842</v>
      </c>
      <c r="I54">
        <v>509</v>
      </c>
      <c r="J54">
        <v>120</v>
      </c>
      <c r="K54">
        <v>1049</v>
      </c>
      <c r="L54">
        <v>430</v>
      </c>
      <c r="M54">
        <v>161</v>
      </c>
      <c r="N54">
        <v>128</v>
      </c>
      <c r="O54">
        <v>193</v>
      </c>
      <c r="P54">
        <v>116</v>
      </c>
      <c r="Q54">
        <v>1</v>
      </c>
      <c r="R54">
        <v>2</v>
      </c>
      <c r="AH54" t="s">
        <v>395</v>
      </c>
      <c r="AI54">
        <v>3014</v>
      </c>
      <c r="AJ54">
        <v>217.72694094229999</v>
      </c>
      <c r="AK54">
        <v>4020</v>
      </c>
      <c r="AL54">
        <v>664</v>
      </c>
      <c r="AM54">
        <v>5889</v>
      </c>
      <c r="AN54">
        <v>1997</v>
      </c>
      <c r="AO54">
        <v>895</v>
      </c>
      <c r="AP54">
        <v>629</v>
      </c>
      <c r="AQ54">
        <v>1052</v>
      </c>
      <c r="AR54">
        <v>663</v>
      </c>
      <c r="AS54">
        <v>628</v>
      </c>
      <c r="AT54">
        <v>6</v>
      </c>
      <c r="AV54" t="s">
        <v>423</v>
      </c>
      <c r="AW54">
        <v>13</v>
      </c>
      <c r="AX54">
        <v>62.461538461499998</v>
      </c>
      <c r="AY54">
        <v>8</v>
      </c>
      <c r="BA54">
        <v>26</v>
      </c>
      <c r="BB54">
        <v>2</v>
      </c>
      <c r="BC54">
        <v>0</v>
      </c>
      <c r="BE54">
        <v>2</v>
      </c>
      <c r="BF54">
        <v>1</v>
      </c>
      <c r="BG54">
        <v>35</v>
      </c>
      <c r="BH54">
        <v>12</v>
      </c>
      <c r="BJ54" t="s">
        <v>403</v>
      </c>
      <c r="BK54" t="s">
        <v>403</v>
      </c>
      <c r="BL54">
        <v>64650</v>
      </c>
      <c r="BM54">
        <v>13246</v>
      </c>
      <c r="BN54">
        <v>87.927996906399997</v>
      </c>
      <c r="BO54">
        <v>190395</v>
      </c>
      <c r="BP54">
        <v>8615</v>
      </c>
      <c r="BQ54">
        <v>114.8510622653</v>
      </c>
      <c r="BR54">
        <v>115.9460243761</v>
      </c>
      <c r="BS54">
        <v>22490</v>
      </c>
      <c r="BT54">
        <v>5358</v>
      </c>
      <c r="BU54">
        <v>92.803779457499999</v>
      </c>
      <c r="BV54">
        <v>190100</v>
      </c>
      <c r="BW54">
        <v>9446</v>
      </c>
      <c r="BX54">
        <v>113.0436138874</v>
      </c>
      <c r="BY54">
        <v>116.40800338770001</v>
      </c>
      <c r="CA54" t="s">
        <v>407</v>
      </c>
      <c r="CB54" t="s">
        <v>889</v>
      </c>
      <c r="CC54" t="s">
        <v>1017</v>
      </c>
      <c r="CD54">
        <v>1794</v>
      </c>
      <c r="CE54">
        <v>468</v>
      </c>
      <c r="CF54">
        <v>96.912486064700005</v>
      </c>
      <c r="CG54">
        <v>4376</v>
      </c>
      <c r="CH54">
        <v>184</v>
      </c>
      <c r="CI54">
        <v>114.2360603291</v>
      </c>
      <c r="CJ54">
        <v>129.74456521740001</v>
      </c>
      <c r="CL54" t="s">
        <v>407</v>
      </c>
      <c r="CM54" t="s">
        <v>870</v>
      </c>
      <c r="CN54" t="s">
        <v>874</v>
      </c>
      <c r="CO54">
        <v>123</v>
      </c>
      <c r="CP54">
        <v>12</v>
      </c>
      <c r="CQ54">
        <v>61.861788617899997</v>
      </c>
      <c r="CR54">
        <v>700</v>
      </c>
      <c r="CS54">
        <v>39</v>
      </c>
      <c r="CT54">
        <v>66.567142857099995</v>
      </c>
      <c r="CU54">
        <v>71.974358974400005</v>
      </c>
      <c r="CW54" t="s">
        <v>407</v>
      </c>
      <c r="CX54" t="s">
        <v>880</v>
      </c>
      <c r="CY54" t="s">
        <v>884</v>
      </c>
      <c r="CZ54">
        <v>33</v>
      </c>
      <c r="DA54">
        <v>6</v>
      </c>
      <c r="DB54">
        <v>61.818181818200003</v>
      </c>
      <c r="DC54">
        <v>89</v>
      </c>
      <c r="DD54">
        <v>6</v>
      </c>
      <c r="DE54">
        <v>138.4157303371</v>
      </c>
      <c r="DF54">
        <v>146.6666666667</v>
      </c>
      <c r="DH54" t="s">
        <v>407</v>
      </c>
      <c r="DI54" t="s">
        <v>860</v>
      </c>
      <c r="DJ54" t="s">
        <v>864</v>
      </c>
      <c r="DK54">
        <v>49</v>
      </c>
      <c r="DL54">
        <v>4</v>
      </c>
      <c r="DM54">
        <v>60.367346938799997</v>
      </c>
      <c r="DN54">
        <v>126</v>
      </c>
      <c r="DO54">
        <v>3</v>
      </c>
      <c r="DP54">
        <v>117.380952381</v>
      </c>
      <c r="DQ54">
        <v>84.333333333300004</v>
      </c>
    </row>
    <row r="55" spans="2:121" x14ac:dyDescent="0.2">
      <c r="F55" t="s">
        <v>52</v>
      </c>
      <c r="G55">
        <v>5972</v>
      </c>
      <c r="H55">
        <v>437.81145344940001</v>
      </c>
      <c r="I55">
        <v>10891</v>
      </c>
      <c r="J55">
        <v>2121</v>
      </c>
      <c r="K55">
        <v>10472</v>
      </c>
      <c r="L55">
        <v>5273</v>
      </c>
      <c r="M55">
        <v>1046</v>
      </c>
      <c r="N55">
        <v>872</v>
      </c>
      <c r="O55">
        <v>4004</v>
      </c>
      <c r="P55">
        <v>3276</v>
      </c>
      <c r="Q55">
        <v>4</v>
      </c>
      <c r="R55">
        <v>36</v>
      </c>
      <c r="AH55" t="s">
        <v>420</v>
      </c>
      <c r="AI55">
        <v>274</v>
      </c>
      <c r="AJ55">
        <v>311.15693430660002</v>
      </c>
      <c r="AK55">
        <v>760</v>
      </c>
      <c r="AL55">
        <v>74</v>
      </c>
      <c r="AM55">
        <v>783</v>
      </c>
      <c r="AN55">
        <v>304</v>
      </c>
      <c r="AO55">
        <v>218</v>
      </c>
      <c r="AP55">
        <v>138</v>
      </c>
      <c r="AQ55">
        <v>197</v>
      </c>
      <c r="AR55">
        <v>113</v>
      </c>
      <c r="AS55">
        <v>2</v>
      </c>
      <c r="AT55">
        <v>1</v>
      </c>
      <c r="AV55" t="s">
        <v>417</v>
      </c>
      <c r="AW55">
        <v>34</v>
      </c>
      <c r="AX55">
        <v>79.294117647099995</v>
      </c>
      <c r="AY55">
        <v>65</v>
      </c>
      <c r="AZ55">
        <v>5</v>
      </c>
      <c r="BA55">
        <v>72</v>
      </c>
      <c r="BB55">
        <v>9</v>
      </c>
      <c r="BC55">
        <v>0</v>
      </c>
      <c r="BE55">
        <v>1</v>
      </c>
      <c r="BG55">
        <v>118</v>
      </c>
      <c r="BH55">
        <v>23</v>
      </c>
      <c r="BJ55" t="s">
        <v>594</v>
      </c>
      <c r="BK55" t="s">
        <v>403</v>
      </c>
      <c r="BL55">
        <v>5061</v>
      </c>
      <c r="BM55">
        <v>675</v>
      </c>
      <c r="BN55">
        <v>79.884410195599997</v>
      </c>
      <c r="BO55">
        <v>13935</v>
      </c>
      <c r="BP55">
        <v>662</v>
      </c>
      <c r="BQ55">
        <v>124.8175098672</v>
      </c>
      <c r="BR55">
        <v>121.6359516616</v>
      </c>
      <c r="BS55">
        <v>2894</v>
      </c>
      <c r="BT55">
        <v>408</v>
      </c>
      <c r="BU55">
        <v>75.034899792700003</v>
      </c>
      <c r="BV55">
        <v>22771</v>
      </c>
      <c r="BW55">
        <v>1330</v>
      </c>
      <c r="BX55">
        <v>124.330991173</v>
      </c>
      <c r="BY55">
        <v>114.8240601504</v>
      </c>
      <c r="CA55" t="s">
        <v>412</v>
      </c>
      <c r="CB55" t="s">
        <v>889</v>
      </c>
      <c r="CC55" t="s">
        <v>1018</v>
      </c>
      <c r="CD55">
        <v>3960</v>
      </c>
      <c r="CE55">
        <v>1003</v>
      </c>
      <c r="CF55">
        <v>97.019444444399994</v>
      </c>
      <c r="CG55">
        <v>10224</v>
      </c>
      <c r="CH55">
        <v>490</v>
      </c>
      <c r="CI55">
        <v>137.15561424099999</v>
      </c>
      <c r="CJ55">
        <v>135.81428571430001</v>
      </c>
      <c r="CL55" t="s">
        <v>412</v>
      </c>
      <c r="CM55" t="s">
        <v>870</v>
      </c>
      <c r="CN55" t="s">
        <v>875</v>
      </c>
      <c r="CO55">
        <v>189</v>
      </c>
      <c r="CP55">
        <v>22</v>
      </c>
      <c r="CQ55">
        <v>64.349206349200003</v>
      </c>
      <c r="CR55">
        <v>1325</v>
      </c>
      <c r="CS55">
        <v>67</v>
      </c>
      <c r="CT55">
        <v>68.446792452799997</v>
      </c>
      <c r="CU55">
        <v>73.014925373099999</v>
      </c>
      <c r="CW55" t="s">
        <v>412</v>
      </c>
      <c r="CX55" t="s">
        <v>880</v>
      </c>
      <c r="CY55" t="s">
        <v>885</v>
      </c>
      <c r="CZ55">
        <v>65</v>
      </c>
      <c r="DA55">
        <v>5</v>
      </c>
      <c r="DB55">
        <v>56.7692307692</v>
      </c>
      <c r="DC55">
        <v>260</v>
      </c>
      <c r="DD55">
        <v>11</v>
      </c>
      <c r="DE55">
        <v>129.0038461538</v>
      </c>
      <c r="DF55">
        <v>98.818181818200003</v>
      </c>
      <c r="DH55" t="s">
        <v>412</v>
      </c>
      <c r="DI55" t="s">
        <v>860</v>
      </c>
      <c r="DJ55" t="s">
        <v>865</v>
      </c>
      <c r="DK55">
        <v>90</v>
      </c>
      <c r="DL55">
        <v>6</v>
      </c>
      <c r="DM55">
        <v>53.5444444444</v>
      </c>
      <c r="DN55">
        <v>291</v>
      </c>
      <c r="DO55">
        <v>14</v>
      </c>
      <c r="DP55">
        <v>118.15463917530001</v>
      </c>
      <c r="DQ55">
        <v>110.92857142859999</v>
      </c>
    </row>
    <row r="56" spans="2:121" x14ac:dyDescent="0.2">
      <c r="F56" t="s">
        <v>55</v>
      </c>
      <c r="G56">
        <v>472</v>
      </c>
      <c r="H56">
        <v>199.63347457629999</v>
      </c>
      <c r="I56">
        <v>822</v>
      </c>
      <c r="J56">
        <v>240</v>
      </c>
      <c r="K56">
        <v>802</v>
      </c>
      <c r="L56">
        <v>347</v>
      </c>
      <c r="M56">
        <v>383</v>
      </c>
      <c r="N56">
        <v>322</v>
      </c>
      <c r="O56">
        <v>293</v>
      </c>
      <c r="P56">
        <v>141</v>
      </c>
      <c r="Q56">
        <v>456</v>
      </c>
      <c r="R56">
        <v>133</v>
      </c>
      <c r="BJ56" t="s">
        <v>602</v>
      </c>
      <c r="BK56" t="s">
        <v>403</v>
      </c>
      <c r="BL56">
        <v>5122</v>
      </c>
      <c r="BM56">
        <v>929</v>
      </c>
      <c r="BN56">
        <v>84.676103084700003</v>
      </c>
      <c r="BO56">
        <v>13497</v>
      </c>
      <c r="BP56">
        <v>682</v>
      </c>
      <c r="BQ56">
        <v>134.81781136550001</v>
      </c>
      <c r="BR56">
        <v>121.5014662757</v>
      </c>
      <c r="BS56">
        <v>2130</v>
      </c>
      <c r="BT56">
        <v>396</v>
      </c>
      <c r="BU56">
        <v>85.403755868499999</v>
      </c>
      <c r="BV56">
        <v>13008</v>
      </c>
      <c r="BW56">
        <v>603</v>
      </c>
      <c r="BX56">
        <v>135.2839790898</v>
      </c>
      <c r="BY56">
        <v>124.3482587065</v>
      </c>
      <c r="CA56" t="s">
        <v>404</v>
      </c>
      <c r="CB56" t="s">
        <v>889</v>
      </c>
      <c r="CC56" t="s">
        <v>1019</v>
      </c>
      <c r="CD56">
        <v>2830</v>
      </c>
      <c r="CE56">
        <v>642</v>
      </c>
      <c r="CF56">
        <v>89.583038869299997</v>
      </c>
      <c r="CG56">
        <v>7312</v>
      </c>
      <c r="CH56">
        <v>266</v>
      </c>
      <c r="CI56">
        <v>132.90836980309999</v>
      </c>
      <c r="CJ56">
        <v>123.8609022556</v>
      </c>
      <c r="CL56" t="s">
        <v>404</v>
      </c>
      <c r="CM56" t="s">
        <v>870</v>
      </c>
      <c r="CN56" t="s">
        <v>876</v>
      </c>
      <c r="CO56">
        <v>197</v>
      </c>
      <c r="CP56">
        <v>19</v>
      </c>
      <c r="CQ56">
        <v>65.9695431472</v>
      </c>
      <c r="CR56">
        <v>1049</v>
      </c>
      <c r="CS56">
        <v>41</v>
      </c>
      <c r="CT56">
        <v>61.654909437599997</v>
      </c>
      <c r="CU56">
        <v>66.365853658500001</v>
      </c>
      <c r="CW56" t="s">
        <v>404</v>
      </c>
      <c r="CX56" t="s">
        <v>880</v>
      </c>
      <c r="CY56" t="s">
        <v>886</v>
      </c>
      <c r="CZ56">
        <v>64</v>
      </c>
      <c r="DA56">
        <v>10</v>
      </c>
      <c r="DB56">
        <v>70.1875</v>
      </c>
      <c r="DC56">
        <v>137</v>
      </c>
      <c r="DD56">
        <v>8</v>
      </c>
      <c r="DE56">
        <v>144.89051094889999</v>
      </c>
      <c r="DF56">
        <v>141.5</v>
      </c>
      <c r="DH56" t="s">
        <v>404</v>
      </c>
      <c r="DI56" t="s">
        <v>860</v>
      </c>
      <c r="DJ56" t="s">
        <v>866</v>
      </c>
      <c r="DK56">
        <v>69</v>
      </c>
      <c r="DL56">
        <v>6</v>
      </c>
      <c r="DM56">
        <v>57.304347826099999</v>
      </c>
      <c r="DN56">
        <v>178</v>
      </c>
      <c r="DO56">
        <v>6</v>
      </c>
      <c r="DP56">
        <v>126.27528089889999</v>
      </c>
      <c r="DQ56">
        <v>87.333333333300004</v>
      </c>
    </row>
    <row r="57" spans="2:121" x14ac:dyDescent="0.2">
      <c r="F57" t="s">
        <v>60</v>
      </c>
      <c r="G57">
        <v>2194</v>
      </c>
      <c r="H57">
        <v>299.27666362809998</v>
      </c>
      <c r="I57">
        <v>4698</v>
      </c>
      <c r="J57">
        <v>1439</v>
      </c>
      <c r="K57">
        <v>4921</v>
      </c>
      <c r="L57">
        <v>1946</v>
      </c>
      <c r="M57">
        <v>1926</v>
      </c>
      <c r="N57">
        <v>1644</v>
      </c>
      <c r="O57">
        <v>4047</v>
      </c>
      <c r="P57">
        <v>3217</v>
      </c>
      <c r="Q57">
        <v>0</v>
      </c>
      <c r="R57">
        <v>1</v>
      </c>
      <c r="BJ57" t="s">
        <v>610</v>
      </c>
      <c r="BK57" t="s">
        <v>403</v>
      </c>
      <c r="BL57">
        <v>3598</v>
      </c>
      <c r="BM57">
        <v>973</v>
      </c>
      <c r="BN57">
        <v>101.3443579767</v>
      </c>
      <c r="BO57">
        <v>9451</v>
      </c>
      <c r="BP57">
        <v>468</v>
      </c>
      <c r="BQ57">
        <v>141.38969421229999</v>
      </c>
      <c r="BR57">
        <v>138.08760683759999</v>
      </c>
      <c r="BS57">
        <v>790</v>
      </c>
      <c r="BT57">
        <v>269</v>
      </c>
      <c r="BU57">
        <v>112.0101265823</v>
      </c>
      <c r="BV57">
        <v>8535</v>
      </c>
      <c r="BW57">
        <v>512</v>
      </c>
      <c r="BX57">
        <v>132.83292325720001</v>
      </c>
      <c r="BY57">
        <v>146.982421875</v>
      </c>
      <c r="CA57" t="s">
        <v>408</v>
      </c>
      <c r="CB57" t="s">
        <v>889</v>
      </c>
      <c r="CC57" t="s">
        <v>1020</v>
      </c>
      <c r="CD57">
        <v>4991</v>
      </c>
      <c r="CE57">
        <v>862</v>
      </c>
      <c r="CF57">
        <v>84.887196954499998</v>
      </c>
      <c r="CG57">
        <v>13621</v>
      </c>
      <c r="CH57">
        <v>679</v>
      </c>
      <c r="CI57">
        <v>134.4583363923</v>
      </c>
      <c r="CJ57">
        <v>122.64359351989999</v>
      </c>
      <c r="CL57" t="s">
        <v>408</v>
      </c>
      <c r="CM57" t="s">
        <v>870</v>
      </c>
      <c r="CN57" t="s">
        <v>877</v>
      </c>
      <c r="CO57">
        <v>329</v>
      </c>
      <c r="CP57">
        <v>28</v>
      </c>
      <c r="CQ57">
        <v>63.765957446800002</v>
      </c>
      <c r="CR57">
        <v>1961</v>
      </c>
      <c r="CS57">
        <v>103</v>
      </c>
      <c r="CT57">
        <v>69.817440081599997</v>
      </c>
      <c r="CU57">
        <v>76.038834951499993</v>
      </c>
      <c r="CW57" t="s">
        <v>408</v>
      </c>
      <c r="CX57" t="s">
        <v>880</v>
      </c>
      <c r="CY57" t="s">
        <v>887</v>
      </c>
      <c r="CZ57">
        <v>61</v>
      </c>
      <c r="DA57">
        <v>7</v>
      </c>
      <c r="DB57">
        <v>61.803278688500001</v>
      </c>
      <c r="DC57">
        <v>240</v>
      </c>
      <c r="DD57">
        <v>8</v>
      </c>
      <c r="DE57">
        <v>132.6458333333</v>
      </c>
      <c r="DF57">
        <v>82.875</v>
      </c>
      <c r="DH57" t="s">
        <v>408</v>
      </c>
      <c r="DI57" t="s">
        <v>860</v>
      </c>
      <c r="DJ57" t="s">
        <v>867</v>
      </c>
      <c r="DK57">
        <v>38</v>
      </c>
      <c r="DL57">
        <v>4</v>
      </c>
      <c r="DM57">
        <v>59.736842105299999</v>
      </c>
      <c r="DN57">
        <v>132</v>
      </c>
      <c r="DO57">
        <v>3</v>
      </c>
      <c r="DP57">
        <v>123.6666666667</v>
      </c>
      <c r="DQ57">
        <v>137.6666666667</v>
      </c>
    </row>
    <row r="58" spans="2:121" x14ac:dyDescent="0.2">
      <c r="F58" t="s">
        <v>56</v>
      </c>
      <c r="G58">
        <v>4716</v>
      </c>
      <c r="H58">
        <v>158.00954198470001</v>
      </c>
      <c r="I58">
        <v>6775</v>
      </c>
      <c r="J58">
        <v>1188</v>
      </c>
      <c r="K58">
        <v>8689</v>
      </c>
      <c r="L58">
        <v>2240</v>
      </c>
      <c r="M58">
        <v>976</v>
      </c>
      <c r="N58">
        <v>694</v>
      </c>
      <c r="O58">
        <v>619</v>
      </c>
      <c r="P58">
        <v>382</v>
      </c>
      <c r="Q58">
        <v>7948</v>
      </c>
      <c r="R58">
        <v>0</v>
      </c>
      <c r="BJ58" t="s">
        <v>623</v>
      </c>
      <c r="BK58" t="s">
        <v>403</v>
      </c>
      <c r="BL58">
        <v>11012</v>
      </c>
      <c r="BM58">
        <v>2033</v>
      </c>
      <c r="BN58">
        <v>83.024064656700006</v>
      </c>
      <c r="BO58">
        <v>28159</v>
      </c>
      <c r="BP58">
        <v>1127</v>
      </c>
      <c r="BQ58">
        <v>123.7134841436</v>
      </c>
      <c r="BR58">
        <v>123.8757763975</v>
      </c>
      <c r="BS58">
        <v>4158</v>
      </c>
      <c r="BT58">
        <v>883</v>
      </c>
      <c r="BU58">
        <v>91.683501683499998</v>
      </c>
      <c r="BV58">
        <v>29722</v>
      </c>
      <c r="BW58">
        <v>1365</v>
      </c>
      <c r="BX58">
        <v>125.805127515</v>
      </c>
      <c r="BY58">
        <v>120.69450549450001</v>
      </c>
      <c r="CA58" t="s">
        <v>80</v>
      </c>
      <c r="CB58" t="s">
        <v>889</v>
      </c>
      <c r="CC58" t="s">
        <v>1021</v>
      </c>
      <c r="CD58">
        <v>7442</v>
      </c>
      <c r="CE58">
        <v>1392</v>
      </c>
      <c r="CF58">
        <v>85.998387530200006</v>
      </c>
      <c r="CG58">
        <v>21199</v>
      </c>
      <c r="CH58">
        <v>932</v>
      </c>
      <c r="CI58">
        <v>109.5775272419</v>
      </c>
      <c r="CJ58">
        <v>126.2178111588</v>
      </c>
      <c r="CL58" t="s">
        <v>80</v>
      </c>
      <c r="CM58" t="s">
        <v>870</v>
      </c>
      <c r="CN58" t="s">
        <v>878</v>
      </c>
      <c r="CO58">
        <v>486</v>
      </c>
      <c r="CP58">
        <v>50</v>
      </c>
      <c r="CQ58">
        <v>72.847736625500005</v>
      </c>
      <c r="CR58">
        <v>2926</v>
      </c>
      <c r="CS58">
        <v>135</v>
      </c>
      <c r="CT58">
        <v>71.851332877600001</v>
      </c>
      <c r="CU58">
        <v>72.992592592600005</v>
      </c>
      <c r="CW58" t="s">
        <v>80</v>
      </c>
      <c r="CX58" t="s">
        <v>880</v>
      </c>
      <c r="CY58" t="s">
        <v>888</v>
      </c>
      <c r="CZ58">
        <v>302</v>
      </c>
      <c r="DA58">
        <v>26</v>
      </c>
      <c r="DB58">
        <v>58.652317880799998</v>
      </c>
      <c r="DC58">
        <v>791</v>
      </c>
      <c r="DD58">
        <v>28</v>
      </c>
      <c r="DE58">
        <v>121.51833122630001</v>
      </c>
      <c r="DF58">
        <v>98.035714285699996</v>
      </c>
      <c r="DH58" t="s">
        <v>80</v>
      </c>
      <c r="DI58" t="s">
        <v>860</v>
      </c>
      <c r="DJ58" t="s">
        <v>868</v>
      </c>
      <c r="DK58">
        <v>459</v>
      </c>
      <c r="DL58">
        <v>35</v>
      </c>
      <c r="DM58">
        <v>54.906318082799999</v>
      </c>
      <c r="DN58">
        <v>1158</v>
      </c>
      <c r="DO58">
        <v>40</v>
      </c>
      <c r="DP58">
        <v>118.90759930919999</v>
      </c>
      <c r="DQ58">
        <v>112.27500000000001</v>
      </c>
    </row>
    <row r="59" spans="2:121" x14ac:dyDescent="0.2">
      <c r="F59" t="s">
        <v>38</v>
      </c>
      <c r="G59">
        <v>4233</v>
      </c>
      <c r="H59">
        <v>375.6361918261</v>
      </c>
      <c r="I59">
        <v>7685</v>
      </c>
      <c r="J59">
        <v>1552</v>
      </c>
      <c r="K59">
        <v>7971</v>
      </c>
      <c r="L59">
        <v>3277</v>
      </c>
      <c r="M59">
        <v>1981</v>
      </c>
      <c r="N59">
        <v>1790</v>
      </c>
      <c r="O59">
        <v>2875</v>
      </c>
      <c r="P59">
        <v>2291</v>
      </c>
      <c r="Q59">
        <v>1</v>
      </c>
      <c r="R59">
        <v>336</v>
      </c>
      <c r="BJ59" t="s">
        <v>596</v>
      </c>
      <c r="BK59" t="s">
        <v>403</v>
      </c>
      <c r="BL59">
        <v>8391</v>
      </c>
      <c r="BM59">
        <v>1472</v>
      </c>
      <c r="BN59">
        <v>80.525443928000001</v>
      </c>
      <c r="BO59">
        <v>49516</v>
      </c>
      <c r="BP59">
        <v>2075</v>
      </c>
      <c r="BQ59">
        <v>63.504584376799997</v>
      </c>
      <c r="BR59">
        <v>67.176385542199995</v>
      </c>
      <c r="BS59">
        <v>3208</v>
      </c>
      <c r="BT59">
        <v>549</v>
      </c>
      <c r="BU59">
        <v>77.610037406499998</v>
      </c>
      <c r="BV59">
        <v>52262</v>
      </c>
      <c r="BW59">
        <v>2374</v>
      </c>
      <c r="BX59">
        <v>65.296448662499998</v>
      </c>
      <c r="BY59">
        <v>71.897219882100003</v>
      </c>
      <c r="CA59" t="s">
        <v>403</v>
      </c>
      <c r="CB59" t="s">
        <v>889</v>
      </c>
      <c r="CD59">
        <v>62484</v>
      </c>
      <c r="CE59">
        <v>12866</v>
      </c>
      <c r="CF59">
        <v>88.161897445700006</v>
      </c>
      <c r="CG59">
        <v>165467</v>
      </c>
      <c r="CH59">
        <v>7479</v>
      </c>
      <c r="CI59">
        <v>126.4445115945</v>
      </c>
      <c r="CJ59">
        <v>127.1565717342</v>
      </c>
      <c r="CL59" t="s">
        <v>403</v>
      </c>
      <c r="CM59" t="s">
        <v>870</v>
      </c>
      <c r="CO59">
        <v>3977</v>
      </c>
      <c r="CP59">
        <v>337</v>
      </c>
      <c r="CQ59">
        <v>63.094292179999997</v>
      </c>
      <c r="CR59">
        <v>23583</v>
      </c>
      <c r="CS59">
        <v>1194</v>
      </c>
      <c r="CT59">
        <v>67.981469702799998</v>
      </c>
      <c r="CU59">
        <v>70.434673366799998</v>
      </c>
      <c r="CW59" t="s">
        <v>403</v>
      </c>
      <c r="CX59" t="s">
        <v>880</v>
      </c>
      <c r="CZ59">
        <v>1949</v>
      </c>
      <c r="DA59">
        <v>204</v>
      </c>
      <c r="DB59">
        <v>61.379681888100002</v>
      </c>
      <c r="DC59">
        <v>5380</v>
      </c>
      <c r="DD59">
        <v>217</v>
      </c>
      <c r="DE59">
        <v>126.8302973978</v>
      </c>
      <c r="DF59">
        <v>98.820276497699993</v>
      </c>
      <c r="DH59" t="s">
        <v>403</v>
      </c>
      <c r="DI59" t="s">
        <v>860</v>
      </c>
      <c r="DK59">
        <v>1718</v>
      </c>
      <c r="DL59">
        <v>142</v>
      </c>
      <c r="DM59">
        <v>58.324214202599997</v>
      </c>
      <c r="DN59">
        <v>4429</v>
      </c>
      <c r="DO59">
        <v>160</v>
      </c>
      <c r="DP59">
        <v>119.87943102280001</v>
      </c>
      <c r="DQ59">
        <v>110.96875</v>
      </c>
    </row>
    <row r="60" spans="2:121" x14ac:dyDescent="0.2">
      <c r="F60" t="s">
        <v>36</v>
      </c>
      <c r="G60">
        <v>180</v>
      </c>
      <c r="H60">
        <v>282.82777777780001</v>
      </c>
      <c r="I60">
        <v>720</v>
      </c>
      <c r="J60">
        <v>73</v>
      </c>
      <c r="K60">
        <v>637</v>
      </c>
      <c r="L60">
        <v>191</v>
      </c>
      <c r="M60">
        <v>163</v>
      </c>
      <c r="N60">
        <v>95</v>
      </c>
      <c r="O60">
        <v>115</v>
      </c>
      <c r="P60">
        <v>43</v>
      </c>
      <c r="Q60">
        <v>2</v>
      </c>
      <c r="R60">
        <v>4</v>
      </c>
      <c r="BJ60" t="s">
        <v>538</v>
      </c>
      <c r="BK60" t="s">
        <v>379</v>
      </c>
      <c r="BL60">
        <v>18419</v>
      </c>
      <c r="BM60">
        <v>5066</v>
      </c>
      <c r="BN60">
        <v>96.752918182299993</v>
      </c>
      <c r="BO60">
        <v>40994</v>
      </c>
      <c r="BP60">
        <v>2128</v>
      </c>
      <c r="BQ60">
        <v>145.40530321509999</v>
      </c>
      <c r="BR60">
        <v>148.65084586469999</v>
      </c>
      <c r="BS60">
        <v>2919</v>
      </c>
      <c r="BT60">
        <v>792</v>
      </c>
      <c r="BU60">
        <v>101.5059952038</v>
      </c>
      <c r="BV60">
        <v>30618</v>
      </c>
      <c r="BW60">
        <v>1317</v>
      </c>
      <c r="BX60">
        <v>141.87010908619999</v>
      </c>
      <c r="BY60">
        <v>153.95671981780001</v>
      </c>
      <c r="CA60" t="s">
        <v>387</v>
      </c>
      <c r="CB60" t="s">
        <v>914</v>
      </c>
      <c r="CC60" t="s">
        <v>1022</v>
      </c>
      <c r="CD60">
        <v>8266</v>
      </c>
      <c r="CE60">
        <v>2003</v>
      </c>
      <c r="CF60">
        <v>94.501451729999999</v>
      </c>
      <c r="CG60">
        <v>21208</v>
      </c>
      <c r="CH60">
        <v>932</v>
      </c>
      <c r="CI60">
        <v>145.9293662769</v>
      </c>
      <c r="CJ60">
        <v>141.5</v>
      </c>
      <c r="CL60" t="s">
        <v>387</v>
      </c>
      <c r="CM60" t="s">
        <v>899</v>
      </c>
      <c r="CN60" t="s">
        <v>898</v>
      </c>
      <c r="CO60">
        <v>578</v>
      </c>
      <c r="CP60">
        <v>81</v>
      </c>
      <c r="CQ60">
        <v>74.9982698962</v>
      </c>
      <c r="CR60">
        <v>4069</v>
      </c>
      <c r="CS60">
        <v>185</v>
      </c>
      <c r="CT60">
        <v>67.832391250900002</v>
      </c>
      <c r="CU60">
        <v>67.972972972999997</v>
      </c>
      <c r="CW60" t="s">
        <v>387</v>
      </c>
      <c r="CX60" t="s">
        <v>907</v>
      </c>
      <c r="CY60" t="s">
        <v>906</v>
      </c>
      <c r="CZ60">
        <v>139</v>
      </c>
      <c r="DA60">
        <v>23</v>
      </c>
      <c r="DB60">
        <v>74.884892086299999</v>
      </c>
      <c r="DC60">
        <v>373</v>
      </c>
      <c r="DD60">
        <v>14</v>
      </c>
      <c r="DE60">
        <v>152.73726541549999</v>
      </c>
      <c r="DF60">
        <v>96.142857142899999</v>
      </c>
      <c r="DH60" t="s">
        <v>387</v>
      </c>
      <c r="DI60" t="s">
        <v>891</v>
      </c>
      <c r="DJ60" t="s">
        <v>890</v>
      </c>
      <c r="DK60">
        <v>131</v>
      </c>
      <c r="DL60">
        <v>12</v>
      </c>
      <c r="DM60">
        <v>67.465648854999998</v>
      </c>
      <c r="DN60">
        <v>444</v>
      </c>
      <c r="DO60">
        <v>15</v>
      </c>
      <c r="DP60">
        <v>144.75</v>
      </c>
      <c r="DQ60">
        <v>110.1333333333</v>
      </c>
    </row>
    <row r="61" spans="2:121" x14ac:dyDescent="0.2">
      <c r="F61" t="s">
        <v>49</v>
      </c>
      <c r="G61">
        <v>2557</v>
      </c>
      <c r="H61">
        <v>404.14626515449999</v>
      </c>
      <c r="I61">
        <v>4555</v>
      </c>
      <c r="J61">
        <v>1401</v>
      </c>
      <c r="K61">
        <v>6466</v>
      </c>
      <c r="L61">
        <v>3594</v>
      </c>
      <c r="M61">
        <v>2611</v>
      </c>
      <c r="N61">
        <v>2054</v>
      </c>
      <c r="O61">
        <v>850</v>
      </c>
      <c r="P61">
        <v>654</v>
      </c>
      <c r="Q61">
        <v>46</v>
      </c>
      <c r="R61">
        <v>292</v>
      </c>
      <c r="BJ61" t="s">
        <v>546</v>
      </c>
      <c r="BK61" t="s">
        <v>379</v>
      </c>
      <c r="BL61">
        <v>9614</v>
      </c>
      <c r="BM61">
        <v>2367</v>
      </c>
      <c r="BN61">
        <v>96.755564801299997</v>
      </c>
      <c r="BO61">
        <v>22566</v>
      </c>
      <c r="BP61">
        <v>1114</v>
      </c>
      <c r="BQ61">
        <v>134.75746698570001</v>
      </c>
      <c r="BR61">
        <v>139.09335727109999</v>
      </c>
      <c r="BS61">
        <v>4672</v>
      </c>
      <c r="BT61">
        <v>1242</v>
      </c>
      <c r="BU61">
        <v>99.195847602699999</v>
      </c>
      <c r="BV61">
        <v>23514</v>
      </c>
      <c r="BW61">
        <v>1058</v>
      </c>
      <c r="BX61">
        <v>132.8130050183</v>
      </c>
      <c r="BY61">
        <v>145.8062381853</v>
      </c>
      <c r="CA61" t="s">
        <v>424</v>
      </c>
      <c r="CB61" t="s">
        <v>914</v>
      </c>
      <c r="CC61" t="s">
        <v>1023</v>
      </c>
      <c r="CD61">
        <v>25761</v>
      </c>
      <c r="CE61">
        <v>6177</v>
      </c>
      <c r="CF61">
        <v>94.205737354899995</v>
      </c>
      <c r="CG61">
        <v>64334</v>
      </c>
      <c r="CH61">
        <v>3418</v>
      </c>
      <c r="CI61">
        <v>138.3639133273</v>
      </c>
      <c r="CJ61">
        <v>136.2118197776</v>
      </c>
      <c r="CL61" t="s">
        <v>424</v>
      </c>
      <c r="CM61" t="s">
        <v>899</v>
      </c>
      <c r="CN61" t="s">
        <v>900</v>
      </c>
      <c r="CO61">
        <v>2593</v>
      </c>
      <c r="CP61">
        <v>313</v>
      </c>
      <c r="CQ61">
        <v>64.982645584300002</v>
      </c>
      <c r="CR61">
        <v>9508</v>
      </c>
      <c r="CS61">
        <v>629</v>
      </c>
      <c r="CT61">
        <v>96.563209928500001</v>
      </c>
      <c r="CU61">
        <v>102.346581876</v>
      </c>
      <c r="CW61" t="s">
        <v>424</v>
      </c>
      <c r="CX61" t="s">
        <v>907</v>
      </c>
      <c r="CY61" t="s">
        <v>908</v>
      </c>
      <c r="CZ61">
        <v>679</v>
      </c>
      <c r="DA61">
        <v>79</v>
      </c>
      <c r="DB61">
        <v>68.051546391800002</v>
      </c>
      <c r="DC61">
        <v>1669</v>
      </c>
      <c r="DD61">
        <v>61</v>
      </c>
      <c r="DE61">
        <v>148.9946075494</v>
      </c>
      <c r="DF61">
        <v>123.7704918033</v>
      </c>
      <c r="DH61" t="s">
        <v>424</v>
      </c>
      <c r="DI61" t="s">
        <v>891</v>
      </c>
      <c r="DJ61" t="s">
        <v>892</v>
      </c>
      <c r="DK61">
        <v>738</v>
      </c>
      <c r="DL61">
        <v>75</v>
      </c>
      <c r="DM61">
        <v>59.8509485095</v>
      </c>
      <c r="DN61">
        <v>2379</v>
      </c>
      <c r="DO61">
        <v>93</v>
      </c>
      <c r="DP61">
        <v>138.42622950820001</v>
      </c>
      <c r="DQ61">
        <v>109.79569892470001</v>
      </c>
    </row>
    <row r="62" spans="2:121" x14ac:dyDescent="0.2">
      <c r="BJ62" t="s">
        <v>562</v>
      </c>
      <c r="BK62" t="s">
        <v>379</v>
      </c>
      <c r="BL62">
        <v>4148</v>
      </c>
      <c r="BM62">
        <v>804</v>
      </c>
      <c r="BN62">
        <v>92.287126325900005</v>
      </c>
      <c r="BO62">
        <v>13455</v>
      </c>
      <c r="BP62">
        <v>512</v>
      </c>
      <c r="BQ62">
        <v>129.03552582680001</v>
      </c>
      <c r="BR62">
        <v>121.203125</v>
      </c>
      <c r="BS62">
        <v>1919</v>
      </c>
      <c r="BT62">
        <v>569</v>
      </c>
      <c r="BU62">
        <v>115.08963001559999</v>
      </c>
      <c r="BV62">
        <v>19774</v>
      </c>
      <c r="BW62">
        <v>969</v>
      </c>
      <c r="BX62">
        <v>147.95994740570001</v>
      </c>
      <c r="BY62">
        <v>136.2837977296</v>
      </c>
      <c r="CA62" t="s">
        <v>380</v>
      </c>
      <c r="CB62" t="s">
        <v>914</v>
      </c>
      <c r="CC62" t="s">
        <v>1024</v>
      </c>
      <c r="CD62">
        <v>19433</v>
      </c>
      <c r="CE62">
        <v>5213</v>
      </c>
      <c r="CF62">
        <v>97.468429990199994</v>
      </c>
      <c r="CG62">
        <v>46166</v>
      </c>
      <c r="CH62">
        <v>2382</v>
      </c>
      <c r="CI62">
        <v>136.8940995538</v>
      </c>
      <c r="CJ62">
        <v>142.3320738875</v>
      </c>
      <c r="CL62" t="s">
        <v>380</v>
      </c>
      <c r="CM62" t="s">
        <v>899</v>
      </c>
      <c r="CN62" t="s">
        <v>901</v>
      </c>
      <c r="CO62">
        <v>1296</v>
      </c>
      <c r="CP62">
        <v>166</v>
      </c>
      <c r="CQ62">
        <v>67.692901234600001</v>
      </c>
      <c r="CR62">
        <v>4767</v>
      </c>
      <c r="CS62">
        <v>289</v>
      </c>
      <c r="CT62">
        <v>99.971050975500006</v>
      </c>
      <c r="CU62">
        <v>106.23183391000001</v>
      </c>
      <c r="CW62" t="s">
        <v>380</v>
      </c>
      <c r="CX62" t="s">
        <v>907</v>
      </c>
      <c r="CY62" t="s">
        <v>909</v>
      </c>
      <c r="CZ62">
        <v>438</v>
      </c>
      <c r="DA62">
        <v>56</v>
      </c>
      <c r="DB62">
        <v>75.226027397300001</v>
      </c>
      <c r="DC62">
        <v>971</v>
      </c>
      <c r="DD62">
        <v>23</v>
      </c>
      <c r="DE62">
        <v>150.70133882600001</v>
      </c>
      <c r="DF62">
        <v>152.73913043479999</v>
      </c>
      <c r="DH62" t="s">
        <v>380</v>
      </c>
      <c r="DI62" t="s">
        <v>891</v>
      </c>
      <c r="DJ62" t="s">
        <v>893</v>
      </c>
      <c r="DK62">
        <v>403</v>
      </c>
      <c r="DL62">
        <v>48</v>
      </c>
      <c r="DM62">
        <v>66.883374689799993</v>
      </c>
      <c r="DN62">
        <v>1160</v>
      </c>
      <c r="DO62">
        <v>38</v>
      </c>
      <c r="DP62">
        <v>137.93017241379999</v>
      </c>
      <c r="DQ62">
        <v>139.15789473679999</v>
      </c>
    </row>
    <row r="63" spans="2:121" x14ac:dyDescent="0.2">
      <c r="BJ63" t="s">
        <v>552</v>
      </c>
      <c r="BK63" t="s">
        <v>379</v>
      </c>
      <c r="BL63">
        <v>7992</v>
      </c>
      <c r="BM63">
        <v>1983</v>
      </c>
      <c r="BN63">
        <v>96.953828828799999</v>
      </c>
      <c r="BO63">
        <v>20323</v>
      </c>
      <c r="BP63">
        <v>885</v>
      </c>
      <c r="BQ63">
        <v>153.24942183729999</v>
      </c>
      <c r="BR63">
        <v>150.0192090395</v>
      </c>
      <c r="BS63">
        <v>2448</v>
      </c>
      <c r="BT63">
        <v>842</v>
      </c>
      <c r="BU63">
        <v>110.1658496732</v>
      </c>
      <c r="BV63">
        <v>19012</v>
      </c>
      <c r="BW63">
        <v>704</v>
      </c>
      <c r="BX63">
        <v>150.4471386493</v>
      </c>
      <c r="BY63">
        <v>156.01704545449999</v>
      </c>
      <c r="CA63" t="s">
        <v>392</v>
      </c>
      <c r="CB63" t="s">
        <v>914</v>
      </c>
      <c r="CC63" t="s">
        <v>1025</v>
      </c>
      <c r="CD63">
        <v>3786</v>
      </c>
      <c r="CE63">
        <v>531</v>
      </c>
      <c r="CF63">
        <v>77.580824088699998</v>
      </c>
      <c r="CG63">
        <v>13698</v>
      </c>
      <c r="CH63">
        <v>515</v>
      </c>
      <c r="CI63">
        <v>114.8261790042</v>
      </c>
      <c r="CJ63">
        <v>105.11456310680001</v>
      </c>
      <c r="CL63" t="s">
        <v>392</v>
      </c>
      <c r="CM63" t="s">
        <v>899</v>
      </c>
      <c r="CN63" t="s">
        <v>902</v>
      </c>
      <c r="CO63">
        <v>320</v>
      </c>
      <c r="CP63">
        <v>51</v>
      </c>
      <c r="CQ63">
        <v>72.003124999999997</v>
      </c>
      <c r="CR63">
        <v>2136</v>
      </c>
      <c r="CS63">
        <v>100</v>
      </c>
      <c r="CT63">
        <v>70.423220973799999</v>
      </c>
      <c r="CU63">
        <v>70.28</v>
      </c>
      <c r="CW63" t="s">
        <v>392</v>
      </c>
      <c r="CX63" t="s">
        <v>907</v>
      </c>
      <c r="CY63" t="s">
        <v>910</v>
      </c>
      <c r="CZ63">
        <v>75</v>
      </c>
      <c r="DA63">
        <v>4</v>
      </c>
      <c r="DB63">
        <v>61.96</v>
      </c>
      <c r="DC63">
        <v>241</v>
      </c>
      <c r="DD63">
        <v>13</v>
      </c>
      <c r="DE63">
        <v>142.2572614108</v>
      </c>
      <c r="DF63">
        <v>102.6153846154</v>
      </c>
      <c r="DH63" t="s">
        <v>392</v>
      </c>
      <c r="DI63" t="s">
        <v>891</v>
      </c>
      <c r="DJ63" t="s">
        <v>894</v>
      </c>
      <c r="DK63">
        <v>128</v>
      </c>
      <c r="DL63">
        <v>14</v>
      </c>
      <c r="DM63">
        <v>58.546875</v>
      </c>
      <c r="DN63">
        <v>374</v>
      </c>
      <c r="DO63">
        <v>13</v>
      </c>
      <c r="DP63">
        <v>131.4385026738</v>
      </c>
      <c r="DQ63">
        <v>68.538461538500002</v>
      </c>
    </row>
    <row r="64" spans="2:121" x14ac:dyDescent="0.2">
      <c r="BJ64" t="s">
        <v>548</v>
      </c>
      <c r="BK64" t="s">
        <v>379</v>
      </c>
      <c r="BL64">
        <v>9678</v>
      </c>
      <c r="BM64">
        <v>1447</v>
      </c>
      <c r="BN64">
        <v>77.928910931999994</v>
      </c>
      <c r="BO64">
        <v>26786</v>
      </c>
      <c r="BP64">
        <v>1171</v>
      </c>
      <c r="BQ64">
        <v>119.9394833122</v>
      </c>
      <c r="BR64">
        <v>121.19726729289999</v>
      </c>
      <c r="BS64">
        <v>3756</v>
      </c>
      <c r="BT64">
        <v>705</v>
      </c>
      <c r="BU64">
        <v>82.557774227899998</v>
      </c>
      <c r="BV64">
        <v>27603</v>
      </c>
      <c r="BW64">
        <v>1115</v>
      </c>
      <c r="BX64">
        <v>125.1419773213</v>
      </c>
      <c r="BY64">
        <v>133.17578475339999</v>
      </c>
      <c r="CA64" t="s">
        <v>426</v>
      </c>
      <c r="CB64" t="s">
        <v>914</v>
      </c>
      <c r="CC64" t="s">
        <v>1026</v>
      </c>
      <c r="CD64">
        <v>2986</v>
      </c>
      <c r="CE64">
        <v>648</v>
      </c>
      <c r="CF64">
        <v>95.034494306799999</v>
      </c>
      <c r="CG64">
        <v>8290</v>
      </c>
      <c r="CH64">
        <v>425</v>
      </c>
      <c r="CI64">
        <v>146.77647768400001</v>
      </c>
      <c r="CJ64">
        <v>125.2776470588</v>
      </c>
      <c r="CL64" t="s">
        <v>426</v>
      </c>
      <c r="CM64" t="s">
        <v>899</v>
      </c>
      <c r="CN64" t="s">
        <v>903</v>
      </c>
      <c r="CO64">
        <v>522</v>
      </c>
      <c r="CP64">
        <v>62</v>
      </c>
      <c r="CQ64">
        <v>68.975095785400001</v>
      </c>
      <c r="CR64">
        <v>1767</v>
      </c>
      <c r="CS64">
        <v>152</v>
      </c>
      <c r="CT64">
        <v>108.4040747029</v>
      </c>
      <c r="CU64">
        <v>108.0263157895</v>
      </c>
      <c r="CW64" t="s">
        <v>426</v>
      </c>
      <c r="CX64" t="s">
        <v>907</v>
      </c>
      <c r="CY64" t="s">
        <v>911</v>
      </c>
      <c r="CZ64">
        <v>18</v>
      </c>
      <c r="DA64">
        <v>3</v>
      </c>
      <c r="DB64">
        <v>90.277777777799997</v>
      </c>
      <c r="DC64">
        <v>23</v>
      </c>
      <c r="DD64">
        <v>2</v>
      </c>
      <c r="DE64">
        <v>127.2608695652</v>
      </c>
      <c r="DF64">
        <v>102</v>
      </c>
      <c r="DH64" t="s">
        <v>426</v>
      </c>
      <c r="DI64" t="s">
        <v>891</v>
      </c>
      <c r="DJ64" t="s">
        <v>895</v>
      </c>
      <c r="DK64">
        <v>19</v>
      </c>
      <c r="DL64">
        <v>2</v>
      </c>
      <c r="DM64">
        <v>66.578947368399994</v>
      </c>
      <c r="DN64">
        <v>44</v>
      </c>
      <c r="DO64">
        <v>2</v>
      </c>
      <c r="DP64">
        <v>123.70454545450001</v>
      </c>
      <c r="DQ64">
        <v>124</v>
      </c>
    </row>
    <row r="65" spans="62:121" x14ac:dyDescent="0.2">
      <c r="BJ65" t="s">
        <v>612</v>
      </c>
      <c r="BK65" t="s">
        <v>379</v>
      </c>
      <c r="BL65">
        <v>1912</v>
      </c>
      <c r="BM65">
        <v>622</v>
      </c>
      <c r="BN65">
        <v>106.1480125523</v>
      </c>
      <c r="BO65">
        <v>8090</v>
      </c>
      <c r="BP65">
        <v>347</v>
      </c>
      <c r="BQ65">
        <v>150.15488257109999</v>
      </c>
      <c r="BR65">
        <v>134.83285302589999</v>
      </c>
      <c r="BS65">
        <v>1001</v>
      </c>
      <c r="BT65">
        <v>282</v>
      </c>
      <c r="BU65">
        <v>110.3826173826</v>
      </c>
      <c r="BV65">
        <v>9527</v>
      </c>
      <c r="BW65">
        <v>558</v>
      </c>
      <c r="BX65">
        <v>148.34827332840001</v>
      </c>
      <c r="BY65">
        <v>133.1326164875</v>
      </c>
      <c r="CA65" t="s">
        <v>382</v>
      </c>
      <c r="CB65" t="s">
        <v>914</v>
      </c>
      <c r="CC65" t="s">
        <v>1027</v>
      </c>
      <c r="CD65">
        <v>9693</v>
      </c>
      <c r="CE65">
        <v>2419</v>
      </c>
      <c r="CF65">
        <v>97.682451253500005</v>
      </c>
      <c r="CG65">
        <v>23978</v>
      </c>
      <c r="CH65">
        <v>1136</v>
      </c>
      <c r="CI65">
        <v>132.21077654519999</v>
      </c>
      <c r="CJ65">
        <v>139.10563380280001</v>
      </c>
      <c r="CL65" t="s">
        <v>382</v>
      </c>
      <c r="CM65" t="s">
        <v>899</v>
      </c>
      <c r="CN65" t="s">
        <v>904</v>
      </c>
      <c r="CO65">
        <v>832</v>
      </c>
      <c r="CP65">
        <v>120</v>
      </c>
      <c r="CQ65">
        <v>73.384615384599996</v>
      </c>
      <c r="CR65">
        <v>2893</v>
      </c>
      <c r="CS65">
        <v>218</v>
      </c>
      <c r="CT65">
        <v>95.430003456600005</v>
      </c>
      <c r="CU65">
        <v>100.59174311930001</v>
      </c>
      <c r="CW65" t="s">
        <v>382</v>
      </c>
      <c r="CX65" t="s">
        <v>907</v>
      </c>
      <c r="CY65" t="s">
        <v>912</v>
      </c>
      <c r="CZ65">
        <v>182</v>
      </c>
      <c r="DA65">
        <v>33</v>
      </c>
      <c r="DB65">
        <v>80.285714285699996</v>
      </c>
      <c r="DC65">
        <v>500</v>
      </c>
      <c r="DD65">
        <v>15</v>
      </c>
      <c r="DE65">
        <v>159.536</v>
      </c>
      <c r="DF65">
        <v>124.7333333333</v>
      </c>
      <c r="DH65" t="s">
        <v>382</v>
      </c>
      <c r="DI65" t="s">
        <v>891</v>
      </c>
      <c r="DJ65" t="s">
        <v>896</v>
      </c>
      <c r="DK65">
        <v>203</v>
      </c>
      <c r="DL65">
        <v>24</v>
      </c>
      <c r="DM65">
        <v>65.719211822700004</v>
      </c>
      <c r="DN65">
        <v>598</v>
      </c>
      <c r="DO65">
        <v>25</v>
      </c>
      <c r="DP65">
        <v>139.69732441470001</v>
      </c>
      <c r="DQ65">
        <v>142.72</v>
      </c>
    </row>
    <row r="66" spans="62:121" x14ac:dyDescent="0.2">
      <c r="BJ66" t="s">
        <v>379</v>
      </c>
      <c r="BK66" t="s">
        <v>379</v>
      </c>
      <c r="BL66">
        <v>76517</v>
      </c>
      <c r="BM66">
        <v>18019</v>
      </c>
      <c r="BN66">
        <v>93.340878497600002</v>
      </c>
      <c r="BO66">
        <v>190715</v>
      </c>
      <c r="BP66">
        <v>9349</v>
      </c>
      <c r="BQ66">
        <v>139.6021917521</v>
      </c>
      <c r="BR66">
        <v>139.3376831747</v>
      </c>
      <c r="BS66">
        <v>26589</v>
      </c>
      <c r="BT66">
        <v>6911</v>
      </c>
      <c r="BU66">
        <v>99.6063409681</v>
      </c>
      <c r="BV66">
        <v>176287</v>
      </c>
      <c r="BW66">
        <v>6599</v>
      </c>
      <c r="BX66">
        <v>139.27089348620001</v>
      </c>
      <c r="BY66">
        <v>143.41809365060001</v>
      </c>
      <c r="CA66" t="s">
        <v>383</v>
      </c>
      <c r="CB66" t="s">
        <v>914</v>
      </c>
      <c r="CC66" t="s">
        <v>1028</v>
      </c>
      <c r="CD66">
        <v>9774</v>
      </c>
      <c r="CE66">
        <v>1493</v>
      </c>
      <c r="CF66">
        <v>78.514937589499993</v>
      </c>
      <c r="CG66">
        <v>27648</v>
      </c>
      <c r="CH66">
        <v>1248</v>
      </c>
      <c r="CI66">
        <v>117.1188151042</v>
      </c>
      <c r="CJ66">
        <v>120.7644230769</v>
      </c>
      <c r="CL66" t="s">
        <v>383</v>
      </c>
      <c r="CM66" t="s">
        <v>899</v>
      </c>
      <c r="CN66" t="s">
        <v>905</v>
      </c>
      <c r="CO66">
        <v>602</v>
      </c>
      <c r="CP66">
        <v>94</v>
      </c>
      <c r="CQ66">
        <v>73.511627907000005</v>
      </c>
      <c r="CR66">
        <v>3723</v>
      </c>
      <c r="CS66">
        <v>204</v>
      </c>
      <c r="CT66">
        <v>68.847972065500002</v>
      </c>
      <c r="CU66">
        <v>58.558823529400001</v>
      </c>
      <c r="CW66" t="s">
        <v>383</v>
      </c>
      <c r="CX66" t="s">
        <v>907</v>
      </c>
      <c r="CY66" t="s">
        <v>913</v>
      </c>
      <c r="CZ66">
        <v>213</v>
      </c>
      <c r="DA66">
        <v>36</v>
      </c>
      <c r="DB66">
        <v>80.0187793427</v>
      </c>
      <c r="DC66">
        <v>488</v>
      </c>
      <c r="DD66">
        <v>18</v>
      </c>
      <c r="DE66">
        <v>155.3647540984</v>
      </c>
      <c r="DF66">
        <v>139.6111111111</v>
      </c>
      <c r="DH66" t="s">
        <v>383</v>
      </c>
      <c r="DI66" t="s">
        <v>891</v>
      </c>
      <c r="DJ66" t="s">
        <v>897</v>
      </c>
      <c r="DK66">
        <v>282</v>
      </c>
      <c r="DL66">
        <v>37</v>
      </c>
      <c r="DM66">
        <v>62.1631205674</v>
      </c>
      <c r="DN66">
        <v>982</v>
      </c>
      <c r="DO66">
        <v>37</v>
      </c>
      <c r="DP66">
        <v>138.25356415479999</v>
      </c>
      <c r="DQ66">
        <v>131.48648648650001</v>
      </c>
    </row>
    <row r="67" spans="62:121" x14ac:dyDescent="0.2">
      <c r="BJ67" t="s">
        <v>540</v>
      </c>
      <c r="BK67" t="s">
        <v>379</v>
      </c>
      <c r="BL67">
        <v>24754</v>
      </c>
      <c r="BM67">
        <v>5730</v>
      </c>
      <c r="BN67">
        <v>93.522299426399996</v>
      </c>
      <c r="BO67">
        <v>58501</v>
      </c>
      <c r="BP67">
        <v>3192</v>
      </c>
      <c r="BQ67">
        <v>142.63751046990001</v>
      </c>
      <c r="BR67">
        <v>140.30607769420001</v>
      </c>
      <c r="BS67">
        <v>9874</v>
      </c>
      <c r="BT67">
        <v>2479</v>
      </c>
      <c r="BU67">
        <v>99.004557423500003</v>
      </c>
      <c r="BV67">
        <v>46239</v>
      </c>
      <c r="BW67">
        <v>878</v>
      </c>
      <c r="BX67">
        <v>139.0868098359</v>
      </c>
      <c r="BY67">
        <v>142.04783599090001</v>
      </c>
      <c r="CA67" t="s">
        <v>379</v>
      </c>
      <c r="CB67" t="s">
        <v>914</v>
      </c>
      <c r="CD67">
        <v>79699</v>
      </c>
      <c r="CE67">
        <v>18484</v>
      </c>
      <c r="CF67">
        <v>92.771829006600001</v>
      </c>
      <c r="CG67">
        <v>205322</v>
      </c>
      <c r="CH67">
        <v>10056</v>
      </c>
      <c r="CI67">
        <v>134.00485091709999</v>
      </c>
      <c r="CJ67">
        <v>134.50676213209999</v>
      </c>
      <c r="CL67" t="s">
        <v>379</v>
      </c>
      <c r="CM67" t="s">
        <v>899</v>
      </c>
      <c r="CO67">
        <v>6743</v>
      </c>
      <c r="CP67">
        <v>887</v>
      </c>
      <c r="CQ67">
        <v>68.802461812199994</v>
      </c>
      <c r="CR67">
        <v>28863</v>
      </c>
      <c r="CS67">
        <v>1777</v>
      </c>
      <c r="CT67">
        <v>88.177562969899995</v>
      </c>
      <c r="CU67">
        <v>92.839054586399996</v>
      </c>
      <c r="CW67" t="s">
        <v>379</v>
      </c>
      <c r="CX67" t="s">
        <v>907</v>
      </c>
      <c r="CZ67">
        <v>1744</v>
      </c>
      <c r="DA67">
        <v>234</v>
      </c>
      <c r="DB67">
        <v>73.103784403700004</v>
      </c>
      <c r="DC67">
        <v>4265</v>
      </c>
      <c r="DD67">
        <v>146</v>
      </c>
      <c r="DE67">
        <v>151.17725674089999</v>
      </c>
      <c r="DF67">
        <v>125.5547945205</v>
      </c>
      <c r="DH67" t="s">
        <v>379</v>
      </c>
      <c r="DI67" t="s">
        <v>891</v>
      </c>
      <c r="DK67">
        <v>1904</v>
      </c>
      <c r="DL67">
        <v>212</v>
      </c>
      <c r="DM67">
        <v>62.810924369699997</v>
      </c>
      <c r="DN67">
        <v>5981</v>
      </c>
      <c r="DO67">
        <v>223</v>
      </c>
      <c r="DP67">
        <v>138.35295101150001</v>
      </c>
      <c r="DQ67">
        <v>119.8340807175</v>
      </c>
    </row>
    <row r="68" spans="62:121" x14ac:dyDescent="0.2">
      <c r="BJ68" t="s">
        <v>308</v>
      </c>
      <c r="BK68" t="s">
        <v>694</v>
      </c>
      <c r="BL68">
        <v>7635</v>
      </c>
      <c r="BM68">
        <v>726</v>
      </c>
      <c r="BN68">
        <v>59.762802881500001</v>
      </c>
      <c r="BO68">
        <v>21002</v>
      </c>
      <c r="BP68">
        <v>752</v>
      </c>
      <c r="BQ68">
        <v>128.5246643177</v>
      </c>
      <c r="BR68">
        <v>115.0292553191</v>
      </c>
      <c r="BS68">
        <v>7519</v>
      </c>
      <c r="BT68">
        <v>554</v>
      </c>
      <c r="BU68">
        <v>55.200824577699997</v>
      </c>
      <c r="BV68">
        <v>5950</v>
      </c>
      <c r="BW68">
        <v>101</v>
      </c>
      <c r="BX68">
        <v>127.4766386555</v>
      </c>
      <c r="BY68">
        <v>106.70297029699999</v>
      </c>
      <c r="CA68" t="s">
        <v>697</v>
      </c>
      <c r="CD68">
        <v>380114</v>
      </c>
      <c r="CE68">
        <v>76915</v>
      </c>
      <c r="CF68">
        <v>87.669309733399999</v>
      </c>
      <c r="CG68">
        <v>1096651</v>
      </c>
      <c r="CH68">
        <v>51035</v>
      </c>
      <c r="CI68">
        <v>123.0940025587</v>
      </c>
      <c r="CJ68">
        <v>121.70265504069999</v>
      </c>
      <c r="CL68" t="s">
        <v>697</v>
      </c>
      <c r="CO68">
        <v>380114</v>
      </c>
      <c r="CP68">
        <v>76915</v>
      </c>
      <c r="CQ68">
        <v>87.669309733399999</v>
      </c>
      <c r="CR68">
        <v>1096651</v>
      </c>
      <c r="CS68">
        <v>51035</v>
      </c>
      <c r="CT68">
        <v>123.0940025587</v>
      </c>
      <c r="CU68">
        <v>121.70265504069999</v>
      </c>
      <c r="CW68" t="s">
        <v>697</v>
      </c>
      <c r="CZ68">
        <v>380114</v>
      </c>
      <c r="DA68">
        <v>76915</v>
      </c>
      <c r="DB68">
        <v>87.669309733399999</v>
      </c>
      <c r="DC68">
        <v>1096651</v>
      </c>
      <c r="DD68">
        <v>51035</v>
      </c>
      <c r="DE68">
        <v>123.0940025587</v>
      </c>
      <c r="DF68">
        <v>121.70265504069999</v>
      </c>
      <c r="DH68" t="s">
        <v>697</v>
      </c>
      <c r="DK68">
        <v>380114</v>
      </c>
      <c r="DL68">
        <v>76915</v>
      </c>
      <c r="DM68">
        <v>87.669309733399999</v>
      </c>
      <c r="DN68">
        <v>1096651</v>
      </c>
      <c r="DO68">
        <v>51035</v>
      </c>
      <c r="DP68">
        <v>123.0940025587</v>
      </c>
      <c r="DQ68">
        <v>121.70265504069999</v>
      </c>
    </row>
    <row r="69" spans="62:121" x14ac:dyDescent="0.2">
      <c r="BJ69" t="s">
        <v>211</v>
      </c>
      <c r="BK69" t="s">
        <v>694</v>
      </c>
      <c r="BL69">
        <v>59</v>
      </c>
      <c r="BM69">
        <v>5</v>
      </c>
      <c r="BN69">
        <v>58.813559322000003</v>
      </c>
      <c r="BO69">
        <v>192</v>
      </c>
      <c r="BP69">
        <v>7</v>
      </c>
      <c r="BQ69">
        <v>127.4375</v>
      </c>
      <c r="BR69">
        <v>70.285714285699996</v>
      </c>
      <c r="BS69">
        <v>605</v>
      </c>
      <c r="BT69">
        <v>95</v>
      </c>
      <c r="BU69">
        <v>86.013223140500003</v>
      </c>
      <c r="BV69">
        <v>10178</v>
      </c>
      <c r="BW69">
        <v>407</v>
      </c>
      <c r="BX69">
        <v>118.6826488505</v>
      </c>
      <c r="BY69">
        <v>116.7567567568</v>
      </c>
    </row>
    <row r="70" spans="62:121" x14ac:dyDescent="0.2">
      <c r="BJ70" t="s">
        <v>694</v>
      </c>
      <c r="BK70" t="s">
        <v>694</v>
      </c>
      <c r="BL70">
        <v>8816</v>
      </c>
      <c r="BM70">
        <v>827</v>
      </c>
      <c r="BN70">
        <v>59.302745009100001</v>
      </c>
      <c r="BO70">
        <v>25172</v>
      </c>
      <c r="BP70">
        <v>896</v>
      </c>
      <c r="BQ70">
        <v>130.45038137610001</v>
      </c>
      <c r="BR70">
        <v>112.24888392859999</v>
      </c>
      <c r="BS70">
        <v>8816</v>
      </c>
      <c r="BT70">
        <v>827</v>
      </c>
      <c r="BU70">
        <v>59.302745009100001</v>
      </c>
      <c r="BV70">
        <v>25172</v>
      </c>
      <c r="BW70">
        <v>896</v>
      </c>
      <c r="BX70">
        <v>130.45038137610001</v>
      </c>
      <c r="BY70">
        <v>112.24888392859999</v>
      </c>
    </row>
    <row r="71" spans="62:121" x14ac:dyDescent="0.2">
      <c r="BJ71" t="s">
        <v>213</v>
      </c>
      <c r="BK71" t="s">
        <v>694</v>
      </c>
      <c r="BL71">
        <v>1122</v>
      </c>
      <c r="BM71">
        <v>96</v>
      </c>
      <c r="BN71">
        <v>56.197860962599997</v>
      </c>
      <c r="BO71">
        <v>3978</v>
      </c>
      <c r="BP71">
        <v>137</v>
      </c>
      <c r="BQ71">
        <v>140.76269482149999</v>
      </c>
      <c r="BR71">
        <v>99.131386861300001</v>
      </c>
      <c r="BS71">
        <v>692</v>
      </c>
      <c r="BT71">
        <v>178</v>
      </c>
      <c r="BU71">
        <v>80.520231213900004</v>
      </c>
      <c r="BV71">
        <v>9044</v>
      </c>
      <c r="BW71">
        <v>388</v>
      </c>
      <c r="BX71">
        <v>145.65004422819999</v>
      </c>
      <c r="BY71">
        <v>108.9639175258</v>
      </c>
    </row>
    <row r="72" spans="62:121" x14ac:dyDescent="0.2">
      <c r="BJ72" t="s">
        <v>209</v>
      </c>
      <c r="BK72" t="s">
        <v>695</v>
      </c>
      <c r="BL72">
        <v>5502</v>
      </c>
      <c r="BM72">
        <v>766</v>
      </c>
      <c r="BN72">
        <v>70.1728462377</v>
      </c>
      <c r="BO72">
        <v>35905</v>
      </c>
      <c r="BP72">
        <v>1743</v>
      </c>
      <c r="BQ72">
        <v>70.544297451600002</v>
      </c>
      <c r="BR72">
        <v>64.687894434900002</v>
      </c>
      <c r="BS72">
        <v>5590</v>
      </c>
      <c r="BT72">
        <v>749</v>
      </c>
      <c r="BU72">
        <v>69.932379248700002</v>
      </c>
      <c r="BV72">
        <v>36297</v>
      </c>
      <c r="BW72">
        <v>1773</v>
      </c>
      <c r="BX72">
        <v>70.829324737600004</v>
      </c>
      <c r="BY72">
        <v>65.4726452341</v>
      </c>
    </row>
    <row r="73" spans="62:121" x14ac:dyDescent="0.2">
      <c r="BJ73" t="s">
        <v>224</v>
      </c>
      <c r="BK73" t="s">
        <v>695</v>
      </c>
      <c r="BL73">
        <v>825</v>
      </c>
      <c r="BM73">
        <v>393</v>
      </c>
      <c r="BN73">
        <v>181.65454545450001</v>
      </c>
      <c r="BO73">
        <v>4743</v>
      </c>
      <c r="BP73">
        <v>264</v>
      </c>
      <c r="BQ73">
        <v>64.738351254500003</v>
      </c>
      <c r="BR73">
        <v>81.696969697</v>
      </c>
      <c r="BS73">
        <v>854</v>
      </c>
      <c r="BT73">
        <v>459</v>
      </c>
      <c r="BU73">
        <v>196.53395784540001</v>
      </c>
      <c r="BV73">
        <v>3835</v>
      </c>
      <c r="BW73">
        <v>180</v>
      </c>
      <c r="BX73">
        <v>52.151238591899997</v>
      </c>
      <c r="BY73">
        <v>68.966666666699993</v>
      </c>
    </row>
    <row r="74" spans="62:121" x14ac:dyDescent="0.2">
      <c r="BJ74" t="s">
        <v>210</v>
      </c>
      <c r="BK74" t="s">
        <v>695</v>
      </c>
      <c r="BL74">
        <v>11818</v>
      </c>
      <c r="BM74">
        <v>1395</v>
      </c>
      <c r="BN74">
        <v>63.979607378600001</v>
      </c>
      <c r="BO74">
        <v>43397</v>
      </c>
      <c r="BP74">
        <v>2792</v>
      </c>
      <c r="BQ74">
        <v>99.461921330999999</v>
      </c>
      <c r="BR74">
        <v>103.6583094556</v>
      </c>
      <c r="BS74">
        <v>11546</v>
      </c>
      <c r="BT74">
        <v>1367</v>
      </c>
      <c r="BU74">
        <v>62.8215832323</v>
      </c>
      <c r="BV74">
        <v>43349</v>
      </c>
      <c r="BW74">
        <v>2772</v>
      </c>
      <c r="BX74">
        <v>100.037717133</v>
      </c>
      <c r="BY74">
        <v>104.2878787879</v>
      </c>
    </row>
    <row r="75" spans="62:121" x14ac:dyDescent="0.2">
      <c r="BJ75" t="s">
        <v>212</v>
      </c>
      <c r="BK75" t="s">
        <v>695</v>
      </c>
      <c r="BL75">
        <v>7705</v>
      </c>
      <c r="BM75">
        <v>576</v>
      </c>
      <c r="BN75">
        <v>59.694484101199997</v>
      </c>
      <c r="BO75">
        <v>45344</v>
      </c>
      <c r="BP75">
        <v>2307</v>
      </c>
      <c r="BQ75">
        <v>68.450048518000003</v>
      </c>
      <c r="BR75">
        <v>70.7152145644</v>
      </c>
      <c r="BS75">
        <v>7859</v>
      </c>
      <c r="BT75">
        <v>554</v>
      </c>
      <c r="BU75">
        <v>59.469398142300001</v>
      </c>
      <c r="BV75">
        <v>45908</v>
      </c>
      <c r="BW75">
        <v>2381</v>
      </c>
      <c r="BX75">
        <v>68.673608085699996</v>
      </c>
      <c r="BY75">
        <v>71.100377992399999</v>
      </c>
    </row>
    <row r="76" spans="62:121" x14ac:dyDescent="0.2">
      <c r="BJ76" t="s">
        <v>695</v>
      </c>
      <c r="BK76" t="s">
        <v>695</v>
      </c>
      <c r="BL76">
        <v>25850</v>
      </c>
      <c r="BM76">
        <v>3130</v>
      </c>
      <c r="BN76">
        <v>67.776131527999993</v>
      </c>
      <c r="BO76">
        <v>129389</v>
      </c>
      <c r="BP76">
        <v>7106</v>
      </c>
      <c r="BQ76">
        <v>79.296501248200002</v>
      </c>
      <c r="BR76">
        <v>82.588376020300004</v>
      </c>
      <c r="BS76">
        <v>25849</v>
      </c>
      <c r="BT76">
        <v>3129</v>
      </c>
      <c r="BU76">
        <v>67.757746914799995</v>
      </c>
      <c r="BV76">
        <v>129389</v>
      </c>
      <c r="BW76">
        <v>7106</v>
      </c>
      <c r="BX76">
        <v>79.296501248200002</v>
      </c>
      <c r="BY76">
        <v>82.588376020300004</v>
      </c>
    </row>
    <row r="77" spans="62:121" x14ac:dyDescent="0.2">
      <c r="BJ77" t="s">
        <v>307</v>
      </c>
      <c r="BK77" t="s">
        <v>696</v>
      </c>
      <c r="BL77">
        <v>5393</v>
      </c>
      <c r="BM77">
        <v>692</v>
      </c>
      <c r="BN77">
        <v>68.209530873399999</v>
      </c>
      <c r="BO77">
        <v>14634</v>
      </c>
      <c r="BP77">
        <v>574</v>
      </c>
      <c r="BQ77">
        <v>138.16427497609999</v>
      </c>
      <c r="BR77">
        <v>114.668989547</v>
      </c>
      <c r="BS77">
        <v>6286</v>
      </c>
      <c r="BT77">
        <v>652</v>
      </c>
      <c r="BU77">
        <v>58.8199172765</v>
      </c>
      <c r="BV77">
        <v>3909</v>
      </c>
      <c r="BW77">
        <v>70</v>
      </c>
      <c r="BX77">
        <v>133.39217191099999</v>
      </c>
      <c r="BY77">
        <v>126.6714285714</v>
      </c>
    </row>
    <row r="78" spans="62:121" x14ac:dyDescent="0.2">
      <c r="BJ78" t="s">
        <v>955</v>
      </c>
      <c r="BK78" t="s">
        <v>696</v>
      </c>
      <c r="BL78">
        <v>1436</v>
      </c>
      <c r="BM78">
        <v>122</v>
      </c>
      <c r="BN78">
        <v>58.0891364903</v>
      </c>
      <c r="BO78">
        <v>4058</v>
      </c>
      <c r="BP78">
        <v>139</v>
      </c>
      <c r="BQ78">
        <v>123.15401675699999</v>
      </c>
      <c r="BR78">
        <v>103.3741007194</v>
      </c>
      <c r="BS78">
        <v>578</v>
      </c>
      <c r="BT78">
        <v>135</v>
      </c>
      <c r="BU78">
        <v>95.543252595200002</v>
      </c>
      <c r="BV78">
        <v>10095</v>
      </c>
      <c r="BW78">
        <v>496</v>
      </c>
      <c r="BX78">
        <v>123.5422486379</v>
      </c>
      <c r="BY78">
        <v>98.756048387099995</v>
      </c>
    </row>
    <row r="79" spans="62:121" x14ac:dyDescent="0.2">
      <c r="BJ79" t="s">
        <v>696</v>
      </c>
      <c r="BK79" t="s">
        <v>696</v>
      </c>
      <c r="BL79">
        <v>8007</v>
      </c>
      <c r="BM79">
        <v>928</v>
      </c>
      <c r="BN79">
        <v>65.718371425000001</v>
      </c>
      <c r="BO79">
        <v>22212</v>
      </c>
      <c r="BP79">
        <v>857</v>
      </c>
      <c r="BQ79">
        <v>136.8616063389</v>
      </c>
      <c r="BR79">
        <v>110.6709451575</v>
      </c>
      <c r="BS79">
        <v>8007</v>
      </c>
      <c r="BT79">
        <v>928</v>
      </c>
      <c r="BU79">
        <v>65.718371425000001</v>
      </c>
      <c r="BV79">
        <v>22212</v>
      </c>
      <c r="BW79">
        <v>857</v>
      </c>
      <c r="BX79">
        <v>136.8616063389</v>
      </c>
      <c r="BY79">
        <v>110.6709451575</v>
      </c>
    </row>
    <row r="80" spans="62:121" x14ac:dyDescent="0.2">
      <c r="BJ80" t="s">
        <v>956</v>
      </c>
      <c r="BK80" t="s">
        <v>696</v>
      </c>
      <c r="BL80">
        <v>1178</v>
      </c>
      <c r="BM80">
        <v>114</v>
      </c>
      <c r="BN80">
        <v>63.613752122199998</v>
      </c>
      <c r="BO80">
        <v>3520</v>
      </c>
      <c r="BP80">
        <v>144</v>
      </c>
      <c r="BQ80">
        <v>147.24857954550001</v>
      </c>
      <c r="BR80">
        <v>101.7777777778</v>
      </c>
      <c r="BS80">
        <v>1143</v>
      </c>
      <c r="BT80">
        <v>141</v>
      </c>
      <c r="BU80">
        <v>88.574803149600001</v>
      </c>
      <c r="BV80">
        <v>8208</v>
      </c>
      <c r="BW80">
        <v>291</v>
      </c>
      <c r="BX80">
        <v>154.89534600389999</v>
      </c>
      <c r="BY80">
        <v>127.13058419239999</v>
      </c>
    </row>
    <row r="81" spans="62:77" x14ac:dyDescent="0.2">
      <c r="BJ81" t="s">
        <v>697</v>
      </c>
      <c r="BL81">
        <v>380114</v>
      </c>
      <c r="BM81">
        <v>76915</v>
      </c>
      <c r="BN81" s="153">
        <v>87.669309733399999</v>
      </c>
      <c r="BO81">
        <v>1096651</v>
      </c>
      <c r="BP81">
        <v>51035</v>
      </c>
      <c r="BQ81">
        <v>123.0940025587</v>
      </c>
      <c r="BR81">
        <v>121.70265504069999</v>
      </c>
      <c r="BS81">
        <v>380114</v>
      </c>
      <c r="BT81">
        <v>76915</v>
      </c>
      <c r="BU81">
        <v>87.669309733399999</v>
      </c>
      <c r="BV81">
        <v>1096651</v>
      </c>
      <c r="BW81">
        <v>51035</v>
      </c>
      <c r="BX81">
        <v>123.0940025587</v>
      </c>
      <c r="BY81">
        <v>121.70265504069999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380114</CP_Inventory>
    <Fiscal_Year xmlns="c9744be7-b815-40bc-84fa-afc9c406d9bc">2016</Fiscal_Year>
    <CP_Backlog xmlns="c9744be7-b815-40bc-84fa-afc9c406d9bc">76915</CP_Backlog>
    <Creation_date xmlns="c9744be7-b815-40bc-84fa-afc9c406d9bc">2016-08-15T03:00:00-05:00</Creation_date>
    <Data_date xmlns="c9744be7-b815-40bc-84fa-afc9c406d9bc">2016-08-13T01:00:00-05:00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c9744be7-b815-40bc-84fa-afc9c406d9bc"/>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fef9c9dc-374b-4157-9e06-089f148416e5"/>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15,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2016-08-15T13:01:05Z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