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<sst xmlns="http://schemas.openxmlformats.org/spreadsheetml/2006/main" count="4089" uniqueCount="1064">
  <si>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</si>
  <si>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</si>
  <si>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</si>
  <si>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</si>
  <si>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</si>
  <si>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</si>
  <si>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</si>
  <si>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</si>
  <si>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</si>
  <si>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</si>
  <si>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</si>
  <si>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</si>
  <si>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</si>
  <si>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</si>
  <si>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</si>
  <si>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</si>
  <si>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</si>
  <si>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</si>
  <si>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</si>
  <si>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</si>
  <si>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</si>
  <si>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</si>
  <si>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</si>
  <si>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</si>
  <si>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</si>
  <si>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</si>
  <si>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</si>
  <si>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</si>
  <si>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</si>
  <si>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</si>
  <si>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</si>
  <si>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</si>
  <si>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</si>
  <si>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</si>
  <si>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</si>
  <si>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</si>
  <si>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</si>
  <si>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</si>
  <si>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</si>
  <si>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</si>
  <si>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</si>
  <si>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</si>
  <si>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</si>
  <si>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</si>
  <si>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</si>
  <si>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</si>
  <si>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</si>
  <si>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</si>
  <si>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</si>
  <si>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</si>
  <si>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</si>
  <si>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</si>
  <si>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</si>
  <si>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</si>
  <si>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</si>
  <si>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</si>
  <si>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</si>
  <si>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</si>
  <si>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</si>
  <si>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</si>
  <si>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</si>
  <si>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</si>
  <si>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</si>
  <si>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</si>
  <si>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</si>
  <si>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</si>
  <si>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</si>
  <si>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</si>
  <si>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</si>
  <si>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</si>
  <si>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</si>
  <si>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</si>
  <si>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</si>
  <si>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</si>
  <si>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</si>
  <si>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</si>
  <si>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</si>
  <si>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</si>
  <si>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</si>
  <si>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</si>
  <si>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</si>
  <si>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</si>
  <si>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</si>
  <si>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</si>
  <si>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</si>
  <si>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</si>
  <si>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</si>
  <si>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</si>
  <si>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</si>
  <si>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</si>
  <si>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</si>
  <si>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</si>
  <si>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</si>
  <si>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</si>
  <si>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</si>
  <si>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</si>
  <si>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</si>
  <si>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</si>
  <si>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</si>
  <si>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</si>
  <si>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</si>
  <si>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</si>
  <si>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</si>
  <si>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</si>
  <si>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</si>
  <si>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</si>
  <si>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</si>
  <si>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</si>
  <si>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</si>
  <si>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</si>
  <si>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</si>
  <si>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</si>
  <si>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</si>
  <si>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</si>
  <si>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</si>
  <si>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</si>
  <si>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</si>
  <si>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</si>
  <si>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</si>
  <si>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</si>
  <si>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</si>
  <si>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</si>
  <si>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</si>
  <si>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</si>
  <si>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</si>
  <si>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</si>
  <si>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</si>
  <si>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</si>
  <si>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</si>
  <si>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</si>
  <si>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</si>
  <si>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</si>
  <si>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</si>
  <si>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</si>
  <si>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</si>
  <si>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</si>
  <si>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</si>
  <si>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</si>
  <si>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</si>
  <si>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</si>
  <si>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</si>
  <si>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</si>
  <si>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</si>
  <si>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</si>
  <si>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</si>
  <si>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</si>
  <si>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</si>
  <si>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</si>
  <si>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</si>
  <si>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</si>
  <si>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</si>
  <si>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</si>
  <si>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</si>
  <si>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</si>
  <si>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</si>
  <si>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</si>
  <si>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</si>
  <si>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</si>
  <si>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</si>
  <si>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</si>
  <si>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</si>
  <si>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</si>
  <si>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</si>
  <si>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</si>
  <si>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</si>
  <si>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</si>
  <si>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</si>
  <si>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</si>
  <si>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</si>
  <si>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</si>
  <si>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</si>
  <si>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</si>
  <si>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</si>
  <si>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</si>
  <si>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</si>
  <si>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</si>
  <si>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</si>
  <si>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</si>
  <si>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</si>
  <si>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</si>
  <si>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</si>
  <si>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</si>
  <si>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</si>
  <si>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</si>
  <si>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</si>
  <si>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</si>
  <si>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</si>
  <si>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</si>
  <si>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</si>
  <si>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</si>
  <si>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</si>
  <si>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</si>
  <si>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</si>
  <si>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</si>
  <si>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</si>
  <si>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</si>
  <si>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</si>
  <si>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</si>
  <si>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</si>
  <si>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</si>
  <si>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</si>
  <si>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</si>
  <si>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</si>
  <si>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</si>
  <si>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</si>
  <si>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</si>
  <si>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</si>
  <si>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</si>
  <si>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</si>
  <si>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</si>
  <si>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</si>
  <si>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</si>
  <si>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</si>
  <si>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</si>
  <si>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</si>
  <si>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</si>
  <si>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</si>
  <si>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</si>
  <si>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</si>
  <si>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</si>
  <si>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</si>
  <si>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</si>
  <si>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</si>
  <si>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</si>
  <si>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</si>
  <si>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</si>
  <si>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</si>
  <si>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</si>
  <si>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</si>
  <si>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</si>
  <si>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</si>
  <si>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</si>
  <si>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</si>
  <si>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</si>
  <si>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</si>
  <si>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</si>
  <si>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</si>
  <si>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</si>
  <si>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</si>
  <si>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</si>
  <si>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</si>
  <si>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</si>
  <si>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</si>
  <si>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</si>
  <si>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</si>
  <si>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</si>
  <si>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</si>
  <si>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</si>
  <si>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</si>
  <si>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</si>
  <si>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</si>
  <si>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</si>
  <si>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</si>
  <si>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</si>
  <si>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</si>
  <si>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</si>
  <si>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</si>
  <si>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</si>
  <si>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</si>
  <si>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</si>
  <si>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</si>
  <si>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</si>
  <si>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</si>
  <si>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</si>
  <si>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</si>
  <si>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</si>
  <si>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</si>
  <si>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</si>
  <si>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</si>
  <si>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</si>
  <si>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</si>
  <si>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</si>
  <si>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</si>
  <si>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</si>
  <si>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</si>
  <si>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</si>
  <si>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</si>
  <si>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</si>
  <si>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</si>
  <si>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</si>
  <si>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</si>
  <si>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</si>
  <si>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</si>
  <si>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</si>
  <si>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</si>
  <si>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</si>
  <si>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</si>
  <si>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</si>
  <si>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</si>
  <si>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</si>
  <si>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</si>
  <si>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</si>
  <si>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</si>
  <si>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</si>
  <si>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</si>
  <si>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</si>
  <si>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</si>
  <si>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</si>
  <si>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</si>
  <si>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</si>
  <si>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</si>
  <si>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</si>
  <si>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</si>
  <si>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</si>
  <si>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</si>
  <si>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</si>
  <si>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</si>
  <si>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</si>
  <si>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</si>
  <si>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</si>
  <si>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</si>
  <si>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</si>
  <si>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</si>
  <si>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</si>
  <si>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</si>
  <si>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</si>
  <si>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</si>
  <si>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</si>
  <si>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</si>
  <si>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</si>
  <si>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</si>
  <si>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</si>
  <si>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</si>
  <si>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</si>
  <si>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</si>
  <si>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</si>
  <si>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</si>
  <si>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</si>
  <si>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</si>
  <si>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</si>
  <si>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</si>
  <si>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</si>
  <si>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</si>
  <si>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</si>
  <si>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</si>
  <si>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</si>
  <si>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</si>
  <si>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</si>
  <si>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</si>
  <si>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</si>
  <si>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</si>
  <si>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</si>
  <si>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</si>
  <si>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</si>
  <si>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</si>
  <si>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</si>
  <si>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</si>
  <si>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</si>
  <si>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</si>
  <si>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</si>
  <si>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</si>
  <si>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</si>
  <si>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</si>
  <si>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</si>
  <si>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</si>
  <si>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</si>
  <si>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</si>
  <si>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</si>
  <si>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</si>
  <si>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</si>
  <si>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</si>
  <si>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</si>
  <si>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</si>
  <si>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</si>
  <si>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</si>
  <si>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</si>
  <si>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</si>
  <si>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</si>
  <si>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</si>
  <si>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</si>
  <si>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</si>
  <si>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</si>
  <si>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</si>
  <si>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</si>
  <si>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</si>
  <si>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</si>
  <si>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</si>
  <si>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</si>
  <si>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</si>
  <si>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</si>
  <si>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</si>
  <si>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</si>
  <si>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</si>
  <si>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</si>
  <si>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</si>
  <si>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</si>
  <si>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</si>
  <si>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</si>
  <si>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</si>
  <si>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</si>
  <si>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</si>
  <si>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</si>
  <si>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</si>
  <si>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</si>
  <si>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</si>
  <si>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</si>
  <si>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</si>
  <si>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</si>
  <si>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</si>
  <si>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</si>
  <si>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</si>
  <si>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</si>
  <si>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</si>
  <si>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</si>
  <si>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</si>
  <si>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</si>
  <si>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</si>
  <si>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</si>
  <si>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</si>
  <si>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</si>
  <si>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</si>
  <si>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</si>
  <si>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</si>
  <si>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</si>
  <si>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</si>
  <si>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</si>
  <si>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</si>
  <si>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</si>
  <si>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</si>
  <si>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</si>
  <si>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</si>
  <si>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</si>
  <si>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</si>
  <si>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</si>
  <si>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</si>
  <si>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</si>
  <si>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</si>
  <si>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</si>
  <si>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</si>
  <si>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</si>
  <si>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</si>
  <si>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</si>
  <si>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</si>
  <si>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</si>
  <si>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</si>
  <si>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</si>
  <si>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</si>
  <si>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</si>
  <si>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</si>
  <si>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</si>
  <si>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</si>
  <si>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</si>
  <si>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</si>
  <si>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</si>
  <si>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</si>
  <si>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</si>
  <si>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</si>
  <si>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</si>
  <si>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</si>
  <si>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</si>
  <si>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</si>
  <si>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</si>
  <si>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</si>
  <si>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</si>
  <si>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</si>
  <si>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</si>
  <si>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</si>
  <si>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</si>
  <si>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</si>
  <si>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</si>
  <si>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</si>
  <si>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</si>
  <si>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</si>
  <si>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</si>
  <si>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</si>
  <si>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</si>
  <si>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</si>
  <si>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</si>
  <si>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</si>
  <si>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</si>
  <si>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</si>
  <si>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</si>
  <si>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</si>
  <si>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</si>
  <si>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</si>
  <si>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</si>
  <si>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</si>
  <si>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</si>
  <si>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</si>
  <si>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</si>
  <si>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</si>
  <si>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</si>
  <si>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</si>
  <si>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</si>
  <si>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</si>
  <si>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</si>
  <si>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</si>
  <si>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</si>
  <si>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</si>
  <si>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</si>
  <si>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</si>
  <si>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</si>
  <si>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</si>
  <si>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</si>
  <si>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</si>
  <si>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</si>
  <si>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</si>
  <si>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</si>
  <si>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</si>
  <si>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</si>
  <si>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</si>
  <si>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</si>
  <si>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</si>
  <si>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</si>
  <si>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</si>
  <si>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</si>
  <si>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</si>
  <si>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</si>
  <si>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</si>
  <si>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</si>
  <si>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</si>
  <si>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</si>
  <si>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</si>
  <si>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</si>
  <si>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</si>
  <si>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</si>
  <si>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</si>
  <si>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</si>
  <si>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</si>
  <si>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</si>
  <si>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</si>
  <si>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</si>
  <si>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</si>
  <si>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</si>
  <si>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</si>
  <si>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</si>
  <si>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</si>
  <si>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</si>
  <si>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</si>
  <si>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</si>
  <si>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</si>
  <si>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</si>
  <si>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</si>
  <si>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</si>
  <si>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</si>
  <si>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</si>
  <si>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</si>
  <si>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</si>
  <si>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</si>
  <si>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</si>
  <si>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</si>
  <si>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</si>
  <si>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</si>
  <si>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</si>
  <si>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</si>
  <si>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</si>
  <si>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</si>
  <si>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</si>
  <si>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</si>
  <si>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</si>
  <si>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</si>
  <si>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</si>
  <si>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</si>
  <si>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</si>
  <si>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</si>
  <si>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</si>
  <si>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</si>
  <si>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</si>
  <si>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</si>
  <si>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</si>
  <si>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</si>
  <si>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</si>
  <si>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</si>
  <si>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</si>
  <si>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</si>
  <si>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</si>
  <si>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</si>
  <si>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</si>
  <si>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</si>
  <si>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</si>
  <si>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</si>
  <si>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</si>
  <si>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</si>
  <si>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</si>
  <si>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</si>
  <si>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</si>
  <si>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</si>
  <si>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</si>
  <si>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</si>
  <si>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</si>
  <si>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</si>
  <si>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</si>
  <si>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</si>
  <si>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</si>
  <si>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</si>
  <si>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</si>
  <si>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</si>
  <si>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</si>
  <si>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</si>
  <si>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</si>
  <si>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</si>
  <si>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</si>
  <si>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</si>
  <si>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</si>
  <si>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</si>
  <si>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</si>
  <si>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</si>
  <si>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</si>
  <si>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</si>
  <si>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</si>
  <si>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</si>
  <si>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</si>
  <si>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</si>
  <si>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</si>
  <si>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</si>
  <si>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</si>
  <si>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</si>
  <si>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</si>
  <si>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</si>
  <si>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</si>
  <si>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</si>
  <si>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</si>
  <si>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</si>
  <si>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</si>
  <si>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</si>
  <si>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</si>
  <si>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</si>
  <si>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</si>
  <si>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</si>
  <si>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</si>
  <si>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</si>
  <si>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</si>
  <si>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</si>
  <si>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</si>
  <si>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</si>
  <si>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</si>
  <si>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</si>
  <si>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</si>
  <si>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</si>
  <si>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</si>
  <si>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</si>
  <si>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</si>
  <si>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</si>
  <si>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</si>
  <si>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</si>
  <si>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</si>
  <si>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</si>
  <si>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</si>
  <si>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</si>
  <si>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</si>
  <si>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</si>
  <si>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</si>
  <si>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</si>
  <si>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</si>
  <si>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</si>
  <si>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</si>
  <si>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</si>
  <si>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</si>
  <si>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</si>
  <si>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</si>
  <si>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</si>
  <si>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</si>
  <si>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</si>
  <si>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</si>
  <si>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</si>
  <si>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</si>
  <si>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</si>
  <si>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</si>
  <si>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</si>
  <si>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</si>
  <si>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</si>
  <si>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</si>
  <si>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</si>
  <si>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</si>
  <si>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</si>
  <si>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</si>
  <si>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</si>
  <si>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</si>
  <si>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</si>
  <si>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</si>
  <si>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</si>
  <si>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</si>
  <si>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</si>
  <si>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</si>
  <si>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</si>
  <si>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</si>
  <si>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</si>
  <si>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</si>
  <si>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</si>
  <si>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</si>
  <si>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</si>
  <si>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</si>
  <si>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</si>
  <si>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</si>
  <si>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</si>
  <si>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</si>
  <si>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</si>
  <si>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</si>
  <si>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</si>
  <si>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</si>
  <si>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</si>
  <si>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</si>
  <si>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</si>
  <si>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</si>
  <si>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</si>
  <si>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</si>
  <si>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</si>
  <si>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</si>
  <si>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</si>
  <si>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</si>
  <si>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</si>
  <si>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</si>
  <si>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</si>
  <si>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</si>
  <si>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</si>
  <si>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</si>
  <si>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</si>
  <si>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</si>
  <si>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</si>
  <si>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</si>
  <si>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</si>
  <si>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</si>
  <si>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</si>
  <si>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</si>
  <si>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</si>
  <si>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</si>
  <si>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</si>
  <si>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</si>
  <si>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</si>
  <si>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</si>
  <si>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</si>
  <si>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</si>
  <si>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</si>
  <si>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</si>
  <si>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</si>
  <si>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</si>
  <si>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</si>
  <si>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</si>
  <si>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</si>
  <si>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</si>
  <si>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</si>
  <si>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</si>
  <si>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</si>
  <si>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</si>
  <si>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</si>
  <si>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</si>
  <si>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</si>
  <si>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</si>
  <si>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</si>
  <si>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</si>
  <si>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</si>
  <si>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</si>
  <si>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</si>
  <si>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</si>
  <si>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</si>
  <si>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</si>
  <si>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</si>
  <si>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</si>
  <si>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</si>
  <si>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</si>
  <si>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</si>
  <si>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</si>
  <si>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</si>
  <si>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</si>
  <si>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</si>
  <si>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</si>
  <si>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</si>
  <si>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</si>
  <si>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</si>
  <si>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</si>
  <si>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</si>
  <si>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</si>
  <si>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</si>
  <si>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</si>
  <si>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</si>
  <si>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</si>
  <si>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</si>
  <si>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</si>
  <si>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</si>
  <si>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</si>
  <si>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</si>
  <si>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</si>
  <si>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</si>
  <si>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</si>
  <si>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</si>
  <si>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</si>
  <si>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</si>
  <si>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</si>
  <si>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</si>
  <si>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</si>
  <si>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</si>
  <si>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</si>
  <si>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</si>
  <si>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</si>
  <si>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</si>
  <si>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</si>
  <si>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</si>
  <si>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</si>
  <si>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</si>
  <si>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</si>
  <si>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</si>
  <si>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</si>
  <si>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</si>
  <si>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</si>
  <si>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</si>
  <si>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</si>
  <si>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</si>
  <si>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</si>
  <si>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</si>
  <si>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</si>
  <si>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</si>
  <si>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</si>
  <si>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</si>
  <si>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</si>
  <si>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</si>
  <si>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</si>
  <si>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</si>
  <si>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</si>
  <si>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</si>
  <si>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</si>
  <si>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</si>
  <si>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</si>
  <si>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</si>
  <si>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</si>
  <si>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</si>
  <si>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</si>
  <si>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</si>
  <si>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</si>
  <si>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</si>
  <si>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</si>
  <si>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</si>
  <si>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</si>
  <si>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</si>
  <si>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</si>
  <si>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</si>
  <si>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</si>
  <si>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</si>
  <si>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</si>
  <si>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</si>
  <si>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</si>
  <si>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</si>
  <si>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</si>
  <si>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</si>
  <si>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</si>
  <si>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</si>
  <si>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</si>
  <si>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</si>
  <si>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</si>
  <si>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</si>
  <si>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</si>
  <si>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</si>
  <si>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</si>
  <si>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</si>
  <si>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</si>
  <si>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</si>
  <si>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</si>
  <si>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</si>
  <si>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</si>
  <si>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</si>
  <si>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</si>
  <si>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</si>
  <si>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</si>
  <si>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</si>
  <si>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</si>
  <si>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</si>
  <si>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</si>
  <si>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</si>
  <si>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</si>
  <si>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</si>
  <si>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</si>
  <si>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</si>
  <si>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</si>
  <si>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</si>
  <si>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</si>
  <si>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</si>
  <si>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</si>
  <si>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</si>
  <si>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</si>
  <si>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</si>
  <si>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</si>
  <si>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</si>
  <si>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</si>
  <si>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</si>
  <si>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</si>
  <si>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</si>
  <si>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</si>
  <si>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</si>
  <si>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</si>
  <si>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</si>
  <si>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</si>
  <si>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</si>
  <si>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</si>
  <si>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</si>
  <si>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</si>
  <si>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</si>
  <si>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</si>
  <si>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</si>
  <si>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</si>
  <si>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</si>
  <si>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</si>
  <si>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</si>
  <si>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</si>
  <si>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</si>
  <si>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</si>
  <si>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</si>
  <si>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</si>
  <si>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</si>
  <si>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</si>
  <si>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</si>
  <si>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</si>
  <si>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</si>
  <si>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</si>
  <si>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</si>
  <si>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</si>
  <si>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</si>
  <si>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</si>
  <si>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</si>
  <si>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</si>
  <si>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</si>
  <si>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</si>
  <si>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</si>
  <si>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</si>
  <si>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</si>
  <si>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</si>
  <si>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</si>
  <si>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</si>
  <si>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</si>
  <si>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</si>
  <si>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</si>
  <si>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</si>
  <si>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</si>
  <si>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</si>
  <si>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</si>
  <si>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</si>
  <si>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</si>
  <si>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</si>
  <si>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</si>
  <si>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</si>
  <si>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</si>
  <si>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</si>
  <si>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</si>
  <si>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</si>
  <si>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</si>
  <si>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</si>
  <si>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</si>
  <si>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</si>
  <si>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</si>
  <si>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</si>
  <si>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</si>
  <si>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</si>
  <si>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</si>
  <si>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</si>
  <si>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</si>
  <si>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</si>
  <si>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</si>
  <si>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</si>
  <si>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</si>
  <si>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</si>
  <si>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</si>
  <si>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</si>
  <si>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</si>
  <si>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</si>
  <si>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</si>
  <si>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</si>
  <si>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</si>
  <si>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</si>
  <si>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</si>
  <si>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</si>
  <si>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</si>
  <si>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</si>
  <si>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</si>
  <si>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</si>
  <si>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</si>
  <si>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</si>
  <si>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</si>
  <si>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</si>
  <si>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</si>
  <si>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</si>
  <si>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</si>
  <si>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</si>
  <si>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</si>
  <si>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</si>
  <si>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</si>
  <si>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</si>
  <si>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</si>
  <si>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</si>
  <si>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</si>
  <si>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</si>
  <si>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</si>
  <si>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</si>
  <si>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</si>
  <si>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</si>
  <si>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</si>
  <si>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</si>
  <si>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</si>
  <si>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</si>
  <si>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</si>
  <si>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</si>
  <si>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</si>
  <si>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</si>
  <si>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</si>
  <si>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</si>
  <si>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</si>
  <si>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</si>
  <si>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</si>
  <si>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</si>
  <si>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</si>
  <si>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</si>
  <si>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</si>
  <si>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</si>
  <si>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</si>
  <si>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</si>
  <si>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</si>
  <si>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</si>
  <si>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</si>
  <si>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</si>
  <si>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</si>
  <si>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</si>
  <si>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</si>
  <si>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</si>
  <si>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</si>
  <si>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</si>
  <si>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</si>
  <si>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</si>
  <si>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</si>
  <si>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</si>
  <si>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</si>
  <si>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</si>
  <si>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</si>
  <si>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</si>
  <si>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</si>
  <si>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</si>
  <si>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</si>
  <si>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</si>
  <si>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</si>
  <si>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</si>
  <si>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</si>
  <si>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</si>
  <si>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</si>
  <si>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</si>
  <si>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</si>
  <si>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</si>
  <si>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</si>
  <si>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</si>
  <si>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</si>
  <si>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</si>
  <si>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</si>
  <si>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</si>
  <si>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</si>
  <si>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</si>
  <si>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</si>
  <si>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</si>
  <si>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</si>
  <si>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</si>
  <si>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</si>
  <si>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</si>
  <si>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</si>
  <si>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</si>
  <si>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</si>
  <si>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</si>
  <si>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</si>
  <si>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</si>
  <si>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</si>
  <si>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</si>
  <si>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</si>
  <si>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</si>
  <si>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</si>
  <si>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</si>
  <si>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</si>
  <si>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</si>
  <si>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</si>
  <si>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687</t>
  </si>
  <si>
    <t>Current Pending on 08/20/2016</t>
  </si>
  <si>
    <t>Prior Pending on 08/13/2016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</si>
</sst>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3" fontId="4" fillId="38" borderId="3" xfId="0" applyNumberFormat="1" applyFont="1" applyFill="1" applyBorder="1"/>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303</v>
      </c>
      <c r="B1" s="276"/>
      <c r="C1" s="276"/>
      <c r="D1" s="276"/>
      <c r="E1" s="276"/>
      <c r="F1" s="276"/>
      <c r="G1" s="276"/>
      <c r="H1" s="276"/>
      <c r="I1" s="276"/>
      <c r="J1" s="276"/>
      <c r="K1" s="276"/>
      <c r="L1" s="276"/>
      <c r="M1" s="276"/>
      <c r="N1" s="276"/>
      <c r="O1" s="276"/>
      <c r="P1" s="277"/>
    </row>
    <row r="2" spans="1:16" ht="29.25" customHeight="1" x14ac:dyDescent="0.2">
      <c r="A2" s="269" t="s">
        <v>305</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301</v>
      </c>
      <c r="B8" s="267"/>
      <c r="C8" s="267"/>
      <c r="D8" s="267"/>
      <c r="E8" s="267"/>
      <c r="F8" s="267"/>
      <c r="G8" s="268"/>
      <c r="H8" s="266" t="s">
        <v>302</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1" max="1" width="3.7109375" customWidth="1"/>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1047</v>
      </c>
      <c r="C2" t="s">
        <v>501</v>
      </c>
      <c r="D2" t="s">
        <v>917</v>
      </c>
      <c r="E2" t="s">
        <v>918</v>
      </c>
      <c r="F2" t="s">
        <v>919</v>
      </c>
      <c r="G2" t="s">
        <v>920</v>
      </c>
      <c r="H2" t="s">
        <v>922</v>
      </c>
      <c r="I2" t="s">
        <v>1041</v>
      </c>
      <c r="J2" t="s">
        <v>923</v>
      </c>
      <c r="K2" t="s">
        <v>924</v>
      </c>
      <c r="L2" t="s">
        <v>921</v>
      </c>
      <c r="M2" t="s">
        <v>926</v>
      </c>
      <c r="N2" t="s">
        <v>927</v>
      </c>
      <c r="O2" t="s">
        <v>928</v>
      </c>
      <c r="P2" t="s">
        <v>929</v>
      </c>
    </row>
    <row r="3" spans="2:16" x14ac:dyDescent="0.2">
      <c r="B3" t="s">
        <v>585</v>
      </c>
      <c r="C3" t="s">
        <v>403</v>
      </c>
      <c r="D3" s="18">
        <v>42584.751192129632</v>
      </c>
      <c r="E3" t="s">
        <v>163</v>
      </c>
      <c r="F3" s="19">
        <v>0.92104935384138498</v>
      </c>
      <c r="G3" s="19">
        <v>0.72925752579512804</v>
      </c>
      <c r="H3" s="19">
        <v>0.88272816713040503</v>
      </c>
      <c r="I3" s="19">
        <v>4.7418521890686301E-2</v>
      </c>
      <c r="J3" s="19">
        <v>0.89673232886904797</v>
      </c>
      <c r="K3" s="19">
        <v>5.2022814670275197E-2</v>
      </c>
      <c r="L3" s="19"/>
      <c r="M3" s="19"/>
      <c r="N3" s="19"/>
      <c r="O3" s="19"/>
      <c r="P3" s="19"/>
    </row>
    <row r="4" spans="2:16" x14ac:dyDescent="0.2">
      <c r="B4" t="s">
        <v>644</v>
      </c>
      <c r="C4" t="s">
        <v>403</v>
      </c>
      <c r="D4" s="18">
        <v>42584.751192129632</v>
      </c>
      <c r="E4" t="s">
        <v>188</v>
      </c>
      <c r="F4" s="19">
        <v>0.93387373253145101</v>
      </c>
      <c r="G4" s="19">
        <v>0.838023088023088</v>
      </c>
      <c r="H4" s="19">
        <v>0.89838289631838997</v>
      </c>
      <c r="I4" s="19">
        <v>4.2937357412119501E-2</v>
      </c>
      <c r="J4" s="19">
        <v>0.96158686908005697</v>
      </c>
      <c r="K4" s="19">
        <v>3.7884263005439199E-2</v>
      </c>
      <c r="L4" s="19"/>
      <c r="M4" s="19"/>
      <c r="N4" s="19"/>
      <c r="O4" s="19"/>
      <c r="P4" s="19"/>
    </row>
    <row r="5" spans="2:16" x14ac:dyDescent="0.2">
      <c r="B5" t="s">
        <v>538</v>
      </c>
      <c r="C5" t="s">
        <v>379</v>
      </c>
      <c r="D5" s="18">
        <v>42584.751192129632</v>
      </c>
      <c r="E5" t="s">
        <v>145</v>
      </c>
      <c r="F5" s="19">
        <v>0.96330255354749195</v>
      </c>
      <c r="G5" s="19">
        <v>0.87996316449877598</v>
      </c>
      <c r="H5" s="19">
        <v>0.84586120702057299</v>
      </c>
      <c r="I5" s="19">
        <v>5.52000674157637E-2</v>
      </c>
      <c r="J5" s="19">
        <v>0.83747599964228703</v>
      </c>
      <c r="K5" s="19">
        <v>6.5331346143701605E-2</v>
      </c>
      <c r="L5" s="19"/>
      <c r="M5" s="19"/>
      <c r="N5" s="19"/>
      <c r="O5" s="19"/>
      <c r="P5" s="19"/>
    </row>
    <row r="6" spans="2:16" x14ac:dyDescent="0.2">
      <c r="B6" t="s">
        <v>532</v>
      </c>
      <c r="C6" t="s">
        <v>368</v>
      </c>
      <c r="D6" s="18">
        <v>42584.751192129632</v>
      </c>
      <c r="E6" t="s">
        <v>143</v>
      </c>
      <c r="F6" s="19">
        <v>0.90407995479671899</v>
      </c>
      <c r="G6" s="19">
        <v>0.76155029585798795</v>
      </c>
      <c r="H6" s="19">
        <v>0.80773220598491002</v>
      </c>
      <c r="I6" s="19">
        <v>4.6629541584565302E-2</v>
      </c>
      <c r="J6" s="19">
        <v>0.85954970185053403</v>
      </c>
      <c r="K6" s="19">
        <v>6.1770249450616203E-2</v>
      </c>
      <c r="L6" s="19"/>
      <c r="M6" s="19"/>
      <c r="N6" s="19"/>
      <c r="O6" s="19"/>
      <c r="P6" s="19"/>
    </row>
    <row r="7" spans="2:16" x14ac:dyDescent="0.2">
      <c r="B7" t="s">
        <v>600</v>
      </c>
      <c r="C7" t="s">
        <v>403</v>
      </c>
      <c r="D7" s="18">
        <v>42584.751192129632</v>
      </c>
      <c r="E7" t="s">
        <v>169</v>
      </c>
      <c r="F7" s="19">
        <v>0.97628100923037597</v>
      </c>
      <c r="G7" s="19">
        <v>0.92196924004825098</v>
      </c>
      <c r="H7" s="19">
        <v>0.91583508794317203</v>
      </c>
      <c r="I7" s="19">
        <v>4.5012225653454203E-2</v>
      </c>
      <c r="J7" s="19">
        <v>0.98071605813541296</v>
      </c>
      <c r="K7" s="19">
        <v>1.8180350296380501E-2</v>
      </c>
      <c r="L7" s="19"/>
      <c r="M7" s="19"/>
      <c r="N7" s="19"/>
      <c r="O7" s="19"/>
      <c r="P7" s="19"/>
    </row>
    <row r="8" spans="2:16" x14ac:dyDescent="0.2">
      <c r="B8" t="s">
        <v>511</v>
      </c>
      <c r="C8" t="s">
        <v>368</v>
      </c>
      <c r="D8" s="18">
        <v>42584.751192129632</v>
      </c>
      <c r="E8" t="s">
        <v>136</v>
      </c>
      <c r="F8" s="19">
        <v>0.93993653791471199</v>
      </c>
      <c r="G8" s="19">
        <v>0.87754362015272402</v>
      </c>
      <c r="H8" s="19">
        <v>0.81057562598789401</v>
      </c>
      <c r="I8" s="19">
        <v>5.9019322463691001E-2</v>
      </c>
      <c r="J8" s="19">
        <v>0.93119690973250602</v>
      </c>
      <c r="K8" s="19">
        <v>4.4909233852820897E-2</v>
      </c>
      <c r="L8" s="19"/>
      <c r="M8" s="19"/>
      <c r="N8" s="19"/>
      <c r="O8" s="19"/>
      <c r="P8" s="19"/>
    </row>
    <row r="9" spans="2:16" x14ac:dyDescent="0.2">
      <c r="B9" t="s">
        <v>519</v>
      </c>
      <c r="C9" t="s">
        <v>368</v>
      </c>
      <c r="D9" s="18">
        <v>42584.751192129632</v>
      </c>
      <c r="E9" t="s">
        <v>139</v>
      </c>
      <c r="F9" s="19">
        <v>0.95683022306212695</v>
      </c>
      <c r="G9" s="19">
        <v>0.862222222222222</v>
      </c>
      <c r="H9" s="19">
        <v>0.91044379374078499</v>
      </c>
      <c r="I9" s="19">
        <v>4.2015666606576803E-2</v>
      </c>
      <c r="J9" s="19">
        <v>0.83242717175484804</v>
      </c>
      <c r="K9" s="19">
        <v>6.4505543587498507E-2</v>
      </c>
      <c r="L9" s="19"/>
      <c r="M9" s="19"/>
      <c r="N9" s="19"/>
      <c r="O9" s="19"/>
      <c r="P9" s="19"/>
    </row>
    <row r="10" spans="2:16" x14ac:dyDescent="0.2">
      <c r="B10" t="s">
        <v>636</v>
      </c>
      <c r="C10" t="s">
        <v>384</v>
      </c>
      <c r="D10" s="18">
        <v>42584.751192129632</v>
      </c>
      <c r="E10" t="s">
        <v>672</v>
      </c>
      <c r="F10" s="19">
        <v>0.959598654798824</v>
      </c>
      <c r="G10" s="19">
        <v>0.926084474885845</v>
      </c>
      <c r="H10" s="19">
        <v>0.89925339664951798</v>
      </c>
      <c r="I10" s="19">
        <v>4.4302588745122398E-2</v>
      </c>
      <c r="J10" s="19">
        <v>0.83938744818779798</v>
      </c>
      <c r="K10" s="19">
        <v>6.7911065257578396E-2</v>
      </c>
      <c r="L10" s="19"/>
      <c r="M10" s="19"/>
      <c r="N10" s="19"/>
      <c r="O10" s="19"/>
      <c r="P10" s="19"/>
    </row>
    <row r="11" spans="2:16" x14ac:dyDescent="0.2">
      <c r="B11" t="s">
        <v>566</v>
      </c>
      <c r="C11" t="s">
        <v>389</v>
      </c>
      <c r="D11" s="18">
        <v>42584.751192129632</v>
      </c>
      <c r="E11" t="s">
        <v>155</v>
      </c>
      <c r="F11" s="19">
        <v>0.93613856950873497</v>
      </c>
      <c r="G11" s="19">
        <v>0.88680521729717998</v>
      </c>
      <c r="H11" s="19">
        <v>0.88424158660956398</v>
      </c>
      <c r="I11" s="19">
        <v>4.5278153066709299E-2</v>
      </c>
      <c r="J11" s="19">
        <v>0.86703175875889904</v>
      </c>
      <c r="K11" s="19">
        <v>8.1003051289297801E-2</v>
      </c>
      <c r="L11" s="252"/>
      <c r="M11" s="252"/>
      <c r="N11" s="252"/>
      <c r="O11" s="252"/>
      <c r="P11" s="252"/>
    </row>
    <row r="12" spans="2:16" x14ac:dyDescent="0.2">
      <c r="B12" t="s">
        <v>558</v>
      </c>
      <c r="C12" t="s">
        <v>389</v>
      </c>
      <c r="D12" s="18">
        <v>42584.751192129632</v>
      </c>
      <c r="E12" t="s">
        <v>152</v>
      </c>
      <c r="F12" s="19">
        <v>0.98928756671741902</v>
      </c>
      <c r="G12" s="19">
        <v>0.97583427071616002</v>
      </c>
      <c r="H12" s="19">
        <v>0.92479255872215305</v>
      </c>
      <c r="I12" s="19">
        <v>4.1045287456426903E-2</v>
      </c>
      <c r="J12" s="19">
        <v>0.88158201397129599</v>
      </c>
      <c r="K12" s="19">
        <v>5.1516310072086201E-2</v>
      </c>
      <c r="L12" s="19"/>
      <c r="M12" s="19"/>
      <c r="N12" s="19"/>
      <c r="O12" s="19"/>
      <c r="P12" s="19"/>
    </row>
    <row r="13" spans="2:16" x14ac:dyDescent="0.2">
      <c r="B13" t="s">
        <v>546</v>
      </c>
      <c r="C13" t="s">
        <v>379</v>
      </c>
      <c r="D13" s="18">
        <v>42584.751192129632</v>
      </c>
      <c r="E13" t="s">
        <v>148</v>
      </c>
      <c r="F13" s="19">
        <v>0.93859776537500395</v>
      </c>
      <c r="G13" s="19">
        <v>0.85084695311472502</v>
      </c>
      <c r="H13" s="19">
        <v>0.917776113151621</v>
      </c>
      <c r="I13" s="19">
        <v>4.2177393346934502E-2</v>
      </c>
      <c r="J13" s="19">
        <v>0.91754917567328498</v>
      </c>
      <c r="K13" s="19">
        <v>5.1552248982042297E-2</v>
      </c>
      <c r="L13" s="19"/>
      <c r="M13" s="19"/>
      <c r="N13" s="19"/>
      <c r="O13" s="19"/>
      <c r="P13" s="19"/>
    </row>
    <row r="14" spans="2:16" x14ac:dyDescent="0.2">
      <c r="B14" t="s">
        <v>384</v>
      </c>
      <c r="C14" t="s">
        <v>384</v>
      </c>
      <c r="D14" s="18">
        <v>42584.751192129632</v>
      </c>
      <c r="E14" t="s">
        <v>663</v>
      </c>
      <c r="F14" s="19">
        <v>0.94908787881316803</v>
      </c>
      <c r="G14" s="19">
        <v>0.85700483185618204</v>
      </c>
      <c r="H14" s="19">
        <v>0.88002085650197104</v>
      </c>
      <c r="I14" s="19">
        <v>1.8388590423976101E-2</v>
      </c>
      <c r="J14" s="19">
        <v>0.91500867232178495</v>
      </c>
      <c r="K14" s="19">
        <v>1.8579355910150398E-2</v>
      </c>
      <c r="L14" s="19"/>
      <c r="M14" s="19"/>
      <c r="N14" s="19"/>
      <c r="O14" s="19"/>
      <c r="P14" s="19"/>
    </row>
    <row r="15" spans="2:16" x14ac:dyDescent="0.2">
      <c r="B15" t="s">
        <v>583</v>
      </c>
      <c r="C15" t="s">
        <v>384</v>
      </c>
      <c r="D15" s="18">
        <v>42584.751192129632</v>
      </c>
      <c r="E15" t="s">
        <v>162</v>
      </c>
      <c r="F15" s="19">
        <v>0.95493910788684</v>
      </c>
      <c r="G15" s="19">
        <v>0.85304685961803495</v>
      </c>
      <c r="H15" s="19">
        <v>0.91328622578622598</v>
      </c>
      <c r="I15" s="19">
        <v>4.2831944804956099E-2</v>
      </c>
      <c r="J15" s="19">
        <v>0.91137319848718601</v>
      </c>
      <c r="K15" s="19">
        <v>4.1108169480772998E-2</v>
      </c>
      <c r="L15" s="19"/>
      <c r="M15" s="19"/>
      <c r="N15" s="19"/>
      <c r="O15" s="19"/>
      <c r="P15" s="19"/>
    </row>
    <row r="16" spans="2:16" x14ac:dyDescent="0.2">
      <c r="B16" t="s">
        <v>575</v>
      </c>
      <c r="C16" t="s">
        <v>389</v>
      </c>
      <c r="D16" s="18">
        <v>42584.751192129632</v>
      </c>
      <c r="E16" t="s">
        <v>159</v>
      </c>
      <c r="F16" s="19">
        <v>0.92184382923407604</v>
      </c>
      <c r="G16" s="19">
        <v>0.89107871370290404</v>
      </c>
      <c r="H16" s="19">
        <v>0.93911895571995296</v>
      </c>
      <c r="I16" s="19">
        <v>5.15241183507609E-2</v>
      </c>
      <c r="J16" s="19">
        <v>0.97686414426374601</v>
      </c>
      <c r="K16" s="19">
        <v>2.2827105818648299E-2</v>
      </c>
      <c r="L16" s="252"/>
      <c r="M16" s="252"/>
      <c r="N16" s="252"/>
      <c r="O16" s="252"/>
      <c r="P16" s="252"/>
    </row>
    <row r="17" spans="2:16" x14ac:dyDescent="0.2">
      <c r="B17" t="s">
        <v>568</v>
      </c>
      <c r="C17" t="s">
        <v>389</v>
      </c>
      <c r="D17" s="18">
        <v>42584.751192129632</v>
      </c>
      <c r="E17" t="s">
        <v>156</v>
      </c>
      <c r="F17" s="19">
        <v>0.89802846025343297</v>
      </c>
      <c r="G17" s="19">
        <v>0.77978252501924605</v>
      </c>
      <c r="H17" s="19">
        <v>0.89448325468661705</v>
      </c>
      <c r="I17" s="19">
        <v>4.3289321542875597E-2</v>
      </c>
      <c r="J17" s="19">
        <v>0.91858708373231202</v>
      </c>
      <c r="K17" s="19">
        <v>4.5179654983702001E-2</v>
      </c>
      <c r="L17" s="19"/>
      <c r="M17" s="19"/>
      <c r="N17" s="19"/>
      <c r="O17" s="19"/>
      <c r="P17" s="19"/>
    </row>
    <row r="18" spans="2:16" x14ac:dyDescent="0.2">
      <c r="B18" t="s">
        <v>632</v>
      </c>
      <c r="C18" t="s">
        <v>389</v>
      </c>
      <c r="D18" s="18">
        <v>42584.751192129632</v>
      </c>
      <c r="E18" t="s">
        <v>183</v>
      </c>
      <c r="F18" s="19">
        <v>0.90081791388360899</v>
      </c>
      <c r="G18" s="19">
        <v>0.88625709351098003</v>
      </c>
      <c r="H18" s="19">
        <v>0.88371055406830501</v>
      </c>
      <c r="I18" s="19">
        <v>5.2927696681556703E-2</v>
      </c>
      <c r="J18" s="19">
        <v>0.89355060943296305</v>
      </c>
      <c r="K18" s="19">
        <v>0.101988222408391</v>
      </c>
      <c r="L18" s="19"/>
      <c r="M18" s="19"/>
      <c r="N18" s="19"/>
      <c r="O18" s="19"/>
      <c r="P18" s="19"/>
    </row>
    <row r="19" spans="2:16" x14ac:dyDescent="0.2">
      <c r="B19" t="s">
        <v>630</v>
      </c>
      <c r="C19" t="s">
        <v>384</v>
      </c>
      <c r="D19" s="18">
        <v>42584.751192129632</v>
      </c>
      <c r="E19" t="s">
        <v>182</v>
      </c>
      <c r="F19" s="19">
        <v>0.97433287282774705</v>
      </c>
      <c r="G19" s="19">
        <v>0.91539440203562406</v>
      </c>
      <c r="H19" s="19">
        <v>0.929725062485799</v>
      </c>
      <c r="I19" s="19">
        <v>4.4932874438705001E-2</v>
      </c>
      <c r="J19" s="19">
        <v>0.92559295748950898</v>
      </c>
      <c r="K19" s="19">
        <v>6.5679739284348906E-2</v>
      </c>
      <c r="L19" s="19"/>
      <c r="M19" s="19"/>
      <c r="N19" s="19"/>
      <c r="O19" s="19"/>
      <c r="P19" s="19"/>
    </row>
    <row r="20" spans="2:16" x14ac:dyDescent="0.2">
      <c r="B20" t="s">
        <v>521</v>
      </c>
      <c r="C20" t="s">
        <v>368</v>
      </c>
      <c r="D20" s="18">
        <v>42584.751192129632</v>
      </c>
      <c r="E20" t="s">
        <v>140</v>
      </c>
      <c r="F20" s="19">
        <v>0.95444451993320401</v>
      </c>
      <c r="G20" s="19">
        <v>0.841482965931864</v>
      </c>
      <c r="H20" s="19">
        <v>0.91157882570503901</v>
      </c>
      <c r="I20" s="19">
        <v>4.6667229917174001E-2</v>
      </c>
      <c r="J20" s="19">
        <v>0.95342977007736696</v>
      </c>
      <c r="K20" s="19">
        <v>3.8443017085524001E-2</v>
      </c>
      <c r="L20" s="19"/>
      <c r="M20" s="19"/>
      <c r="N20" s="19"/>
      <c r="O20" s="19"/>
      <c r="P20" s="19"/>
    </row>
    <row r="21" spans="2:16" x14ac:dyDescent="0.2">
      <c r="B21" t="s">
        <v>640</v>
      </c>
      <c r="C21" t="s">
        <v>403</v>
      </c>
      <c r="D21" s="18">
        <v>42584.751192129632</v>
      </c>
      <c r="E21" t="s">
        <v>186</v>
      </c>
      <c r="F21" s="19">
        <v>0.91922446897070298</v>
      </c>
      <c r="G21" s="19">
        <v>0.87039728682170503</v>
      </c>
      <c r="H21" s="19">
        <v>0.89201330847370397</v>
      </c>
      <c r="I21" s="19">
        <v>4.4034825560490397E-2</v>
      </c>
      <c r="J21" s="19">
        <v>0.92249751984127004</v>
      </c>
      <c r="K21" s="19">
        <v>8.3048744338026503E-2</v>
      </c>
      <c r="L21" s="19"/>
      <c r="M21" s="19"/>
      <c r="N21" s="19"/>
      <c r="O21" s="19"/>
      <c r="P21" s="19"/>
    </row>
    <row r="22" spans="2:16" x14ac:dyDescent="0.2">
      <c r="B22" t="s">
        <v>618</v>
      </c>
      <c r="C22" t="s">
        <v>384</v>
      </c>
      <c r="D22" s="18">
        <v>42584.751192129632</v>
      </c>
      <c r="E22" t="s">
        <v>177</v>
      </c>
      <c r="F22" s="19">
        <v>0.94045071133250202</v>
      </c>
      <c r="G22" s="19">
        <v>0.83392417114695305</v>
      </c>
      <c r="H22" s="19">
        <v>0.83102929683950399</v>
      </c>
      <c r="I22" s="19">
        <v>5.1483422741362E-2</v>
      </c>
      <c r="J22" s="19">
        <v>0.86582899300460303</v>
      </c>
      <c r="K22" s="19">
        <v>7.6253318054137598E-2</v>
      </c>
      <c r="L22" s="19"/>
      <c r="M22" s="19"/>
      <c r="N22" s="19"/>
      <c r="O22" s="19"/>
      <c r="P22" s="19"/>
    </row>
    <row r="23" spans="2:16" x14ac:dyDescent="0.2">
      <c r="B23" t="s">
        <v>536</v>
      </c>
      <c r="C23" t="s">
        <v>368</v>
      </c>
      <c r="D23" s="18">
        <v>42584.751192129632</v>
      </c>
      <c r="E23" t="s">
        <v>144</v>
      </c>
      <c r="F23" s="19">
        <v>0.95910347412561203</v>
      </c>
      <c r="G23" s="19">
        <v>0.87954737732656496</v>
      </c>
      <c r="H23" s="19">
        <v>0.89319556179471904</v>
      </c>
      <c r="I23" s="19">
        <v>4.4956646518152503E-2</v>
      </c>
      <c r="J23" s="19">
        <v>0.89692599093827796</v>
      </c>
      <c r="K23" s="19">
        <v>5.0598798231345901E-2</v>
      </c>
      <c r="L23" s="19"/>
      <c r="M23" s="19"/>
      <c r="N23" s="19"/>
      <c r="O23" s="19"/>
      <c r="P23" s="19"/>
    </row>
    <row r="24" spans="2:16" x14ac:dyDescent="0.2">
      <c r="B24" t="s">
        <v>560</v>
      </c>
      <c r="C24" t="s">
        <v>389</v>
      </c>
      <c r="D24" s="18">
        <v>42584.751192129632</v>
      </c>
      <c r="E24" t="s">
        <v>153</v>
      </c>
      <c r="F24" s="19">
        <v>0.95896300977456805</v>
      </c>
      <c r="G24" s="19">
        <v>0.82859945654239398</v>
      </c>
      <c r="H24" s="19">
        <v>0.87789796784361995</v>
      </c>
      <c r="I24" s="19">
        <v>5.2082759545568999E-2</v>
      </c>
      <c r="J24" s="19">
        <v>0.92836509231471498</v>
      </c>
      <c r="K24" s="19">
        <v>4.8301788850881502E-2</v>
      </c>
      <c r="L24" s="19"/>
      <c r="M24" s="19"/>
      <c r="N24" s="19"/>
      <c r="O24" s="19"/>
      <c r="P24" s="19"/>
    </row>
    <row r="25" spans="2:16" x14ac:dyDescent="0.2">
      <c r="B25" t="s">
        <v>554</v>
      </c>
      <c r="C25" t="s">
        <v>384</v>
      </c>
      <c r="D25" s="18">
        <v>42584.751192129632</v>
      </c>
      <c r="E25" t="s">
        <v>151</v>
      </c>
      <c r="F25" s="19">
        <v>0.91602754142563303</v>
      </c>
      <c r="G25" s="19">
        <v>0.81039785050662005</v>
      </c>
      <c r="H25" s="19">
        <v>0.87540206368346196</v>
      </c>
      <c r="I25" s="19">
        <v>5.1005147322944602E-2</v>
      </c>
      <c r="J25" s="19">
        <v>0.85769892122748104</v>
      </c>
      <c r="K25" s="19">
        <v>6.3392193977086897E-2</v>
      </c>
      <c r="L25" s="19"/>
      <c r="M25" s="19"/>
      <c r="N25" s="19"/>
      <c r="O25" s="19"/>
      <c r="P25" s="19"/>
    </row>
    <row r="26" spans="2:16" x14ac:dyDescent="0.2">
      <c r="B26" t="s">
        <v>577</v>
      </c>
      <c r="C26" t="s">
        <v>389</v>
      </c>
      <c r="D26" s="18">
        <v>42584.751192129632</v>
      </c>
      <c r="E26" t="s">
        <v>160</v>
      </c>
      <c r="F26" s="19">
        <v>0.99172918908384</v>
      </c>
      <c r="G26" s="19">
        <v>0.98097068354812</v>
      </c>
      <c r="H26" s="19">
        <v>0.93395403294359203</v>
      </c>
      <c r="I26" s="19">
        <v>4.1425206876060099E-2</v>
      </c>
      <c r="J26" s="19">
        <v>0.98799111481327195</v>
      </c>
      <c r="K26" s="19">
        <v>1.7865895333821699E-2</v>
      </c>
      <c r="L26" s="19"/>
      <c r="M26" s="19"/>
      <c r="N26" s="19"/>
      <c r="O26" s="19"/>
      <c r="P26" s="19"/>
    </row>
    <row r="27" spans="2:16" x14ac:dyDescent="0.2">
      <c r="B27" t="s">
        <v>606</v>
      </c>
      <c r="C27" t="s">
        <v>384</v>
      </c>
      <c r="D27" s="18">
        <v>42584.751192129632</v>
      </c>
      <c r="E27" t="s">
        <v>172</v>
      </c>
      <c r="F27" s="19">
        <v>0.91862568807844702</v>
      </c>
      <c r="G27" s="19">
        <v>0.78700520144582597</v>
      </c>
      <c r="H27" s="19">
        <v>0.86321011836748796</v>
      </c>
      <c r="I27" s="19">
        <v>5.1342859378608101E-2</v>
      </c>
      <c r="J27" s="19">
        <v>0.93633106093119001</v>
      </c>
      <c r="K27" s="19">
        <v>4.33494080195942E-2</v>
      </c>
      <c r="L27" s="19"/>
      <c r="M27" s="19"/>
      <c r="N27" s="19"/>
      <c r="O27" s="19"/>
      <c r="P27" s="19"/>
    </row>
    <row r="28" spans="2:16" x14ac:dyDescent="0.2">
      <c r="B28" t="s">
        <v>592</v>
      </c>
      <c r="C28" t="s">
        <v>403</v>
      </c>
      <c r="D28" s="18">
        <v>42584.751192129632</v>
      </c>
      <c r="E28" t="s">
        <v>166</v>
      </c>
      <c r="F28" s="19">
        <v>0.94728243803033296</v>
      </c>
      <c r="G28" s="19">
        <v>0.92221574613747803</v>
      </c>
      <c r="H28" s="19">
        <v>0.87697169600875302</v>
      </c>
      <c r="I28" s="19">
        <v>4.3244071558683199E-2</v>
      </c>
      <c r="J28" s="19">
        <v>0.79575081219822996</v>
      </c>
      <c r="K28" s="19">
        <v>9.8788463340836505E-2</v>
      </c>
      <c r="L28" s="19"/>
      <c r="M28" s="19"/>
      <c r="N28" s="19"/>
      <c r="O28" s="19"/>
      <c r="P28" s="19"/>
    </row>
    <row r="29" spans="2:16" x14ac:dyDescent="0.2">
      <c r="B29" t="s">
        <v>562</v>
      </c>
      <c r="C29" t="s">
        <v>379</v>
      </c>
      <c r="D29" s="18">
        <v>42584.751192129632</v>
      </c>
      <c r="E29" t="s">
        <v>154</v>
      </c>
      <c r="F29" s="19">
        <v>0.923200601769395</v>
      </c>
      <c r="G29" s="19">
        <v>0.79571718591395302</v>
      </c>
      <c r="H29" s="19">
        <v>0.88003431329785697</v>
      </c>
      <c r="I29" s="19">
        <v>4.5312106459232102E-2</v>
      </c>
      <c r="J29" s="19">
        <v>0.92948120921234301</v>
      </c>
      <c r="K29" s="19">
        <v>4.0708738455880397E-2</v>
      </c>
      <c r="L29" s="19"/>
      <c r="M29" s="19"/>
      <c r="N29" s="19"/>
      <c r="O29" s="19"/>
      <c r="P29" s="19"/>
    </row>
    <row r="30" spans="2:16" x14ac:dyDescent="0.2">
      <c r="B30" t="s">
        <v>621</v>
      </c>
      <c r="C30" t="s">
        <v>368</v>
      </c>
      <c r="D30" s="18">
        <v>42584.751192129632</v>
      </c>
      <c r="E30" t="s">
        <v>178</v>
      </c>
      <c r="F30" s="19">
        <v>0.96060578092207405</v>
      </c>
      <c r="G30" s="19">
        <v>0.82818592018224002</v>
      </c>
      <c r="H30" s="19">
        <v>0.878746700905913</v>
      </c>
      <c r="I30" s="19">
        <v>4.9961380588676399E-2</v>
      </c>
      <c r="J30" s="19">
        <v>0.86798598227169599</v>
      </c>
      <c r="K30" s="19">
        <v>7.7975301228531399E-2</v>
      </c>
      <c r="L30" s="19"/>
      <c r="M30" s="19"/>
      <c r="N30" s="19"/>
      <c r="O30" s="19"/>
      <c r="P30" s="19"/>
    </row>
    <row r="31" spans="2:16" x14ac:dyDescent="0.2">
      <c r="B31" t="s">
        <v>614</v>
      </c>
      <c r="C31" t="s">
        <v>403</v>
      </c>
      <c r="D31" s="18">
        <v>42584.751192129632</v>
      </c>
      <c r="E31" t="s">
        <v>176</v>
      </c>
      <c r="F31" s="19">
        <v>0.93954021342118499</v>
      </c>
      <c r="G31" s="19">
        <v>0.86424809830310101</v>
      </c>
      <c r="H31" s="19">
        <v>0.88376693683103402</v>
      </c>
      <c r="I31" s="19">
        <v>5.2919749113650598E-2</v>
      </c>
      <c r="J31" s="19">
        <v>0.95980776972624804</v>
      </c>
      <c r="K31" s="19">
        <v>4.1180106764709699E-2</v>
      </c>
      <c r="L31" s="19"/>
      <c r="M31" s="19"/>
      <c r="N31" s="19"/>
      <c r="O31" s="19"/>
      <c r="P31" s="19"/>
    </row>
    <row r="32" spans="2:16" x14ac:dyDescent="0.2">
      <c r="B32" t="s">
        <v>389</v>
      </c>
      <c r="C32" t="s">
        <v>389</v>
      </c>
      <c r="D32" s="18">
        <v>42584.751192129632</v>
      </c>
      <c r="E32" t="s">
        <v>662</v>
      </c>
      <c r="F32" s="19">
        <v>0.94761421149926095</v>
      </c>
      <c r="G32" s="19">
        <v>0.88440972537066098</v>
      </c>
      <c r="H32" s="19">
        <v>0.91949912112507803</v>
      </c>
      <c r="I32" s="19">
        <v>1.32587355009699E-2</v>
      </c>
      <c r="J32" s="19">
        <v>0.91212673340706796</v>
      </c>
      <c r="K32" s="19">
        <v>1.69409766741501E-2</v>
      </c>
      <c r="L32" s="19"/>
      <c r="M32" s="19"/>
      <c r="N32" s="19"/>
      <c r="O32" s="19"/>
      <c r="P32" s="19"/>
    </row>
    <row r="33" spans="2:16" x14ac:dyDescent="0.2">
      <c r="B33" t="s">
        <v>209</v>
      </c>
      <c r="C33" t="s">
        <v>389</v>
      </c>
      <c r="D33" s="18">
        <v>42584.751192129632</v>
      </c>
      <c r="E33" t="s">
        <v>157</v>
      </c>
      <c r="F33" s="19">
        <v>0.98800687117249897</v>
      </c>
      <c r="G33" s="19">
        <v>0.95106837606837602</v>
      </c>
      <c r="H33" s="19">
        <v>0.97049729767670401</v>
      </c>
      <c r="I33" s="19">
        <v>3.23770724754937E-2</v>
      </c>
      <c r="J33" s="19">
        <v>0.88554703766455301</v>
      </c>
      <c r="K33" s="19">
        <v>4.7538378818697602E-2</v>
      </c>
      <c r="L33" s="19">
        <v>0.96110552763819102</v>
      </c>
      <c r="M33" s="19">
        <v>0.96239967637540502</v>
      </c>
      <c r="N33" s="19">
        <v>3.7286651021739302E-2</v>
      </c>
      <c r="O33" s="19">
        <v>0.98548792369622096</v>
      </c>
      <c r="P33" s="19">
        <v>1.6383998244628401E-2</v>
      </c>
    </row>
    <row r="34" spans="2:16" x14ac:dyDescent="0.2">
      <c r="B34" t="s">
        <v>570</v>
      </c>
      <c r="C34" t="s">
        <v>389</v>
      </c>
      <c r="D34" s="18">
        <v>42584.751192129632</v>
      </c>
      <c r="E34" t="s">
        <v>157</v>
      </c>
      <c r="F34" s="19">
        <v>0.98800687117249897</v>
      </c>
      <c r="G34" s="19">
        <v>0.95106837606837602</v>
      </c>
      <c r="H34" s="19">
        <v>0.97049729767670401</v>
      </c>
      <c r="I34" s="19">
        <v>3.23770724754937E-2</v>
      </c>
      <c r="J34" s="19">
        <v>0.88554703766455301</v>
      </c>
      <c r="K34" s="19">
        <v>4.7538378818697602E-2</v>
      </c>
      <c r="L34" s="19">
        <v>0.96110552763819102</v>
      </c>
      <c r="M34" s="19">
        <v>0.96239967637540502</v>
      </c>
      <c r="N34" s="19">
        <v>3.7286651021739302E-2</v>
      </c>
      <c r="O34" s="19">
        <v>0.98548792369622096</v>
      </c>
      <c r="P34" s="19">
        <v>1.6383998244628401E-2</v>
      </c>
    </row>
    <row r="35" spans="2:16" x14ac:dyDescent="0.2">
      <c r="B35" t="s">
        <v>552</v>
      </c>
      <c r="C35" t="s">
        <v>379</v>
      </c>
      <c r="D35" s="18">
        <v>42584.751192129632</v>
      </c>
      <c r="E35" t="s">
        <v>150</v>
      </c>
      <c r="F35" s="19">
        <v>0.91896714897143394</v>
      </c>
      <c r="G35" s="19">
        <v>0.846998951598812</v>
      </c>
      <c r="H35" s="19">
        <v>0.80941058330014903</v>
      </c>
      <c r="I35" s="19">
        <v>5.7738368098199398E-2</v>
      </c>
      <c r="J35" s="19">
        <v>0.94229759741570795</v>
      </c>
      <c r="K35" s="19">
        <v>3.9520746817903199E-2</v>
      </c>
      <c r="L35" s="19"/>
      <c r="M35" s="19"/>
      <c r="N35" s="19"/>
      <c r="O35" s="19"/>
      <c r="P35" s="19"/>
    </row>
    <row r="36" spans="2:16" x14ac:dyDescent="0.2">
      <c r="B36" t="s">
        <v>608</v>
      </c>
      <c r="C36" t="s">
        <v>384</v>
      </c>
      <c r="D36" s="18">
        <v>42584.751192129632</v>
      </c>
      <c r="E36" t="s">
        <v>173</v>
      </c>
      <c r="F36" s="19">
        <v>0.95989480022669305</v>
      </c>
      <c r="G36" s="19">
        <v>0.90650371884403602</v>
      </c>
      <c r="H36" s="19">
        <v>0.88099082872699397</v>
      </c>
      <c r="I36" s="19">
        <v>5.12302944870872E-2</v>
      </c>
      <c r="J36" s="19">
        <v>0.92982441481005096</v>
      </c>
      <c r="K36" s="19">
        <v>4.8987007159121299E-2</v>
      </c>
      <c r="L36" s="19"/>
      <c r="M36" s="19"/>
      <c r="N36" s="19"/>
      <c r="O36" s="19"/>
      <c r="P36" s="19"/>
    </row>
    <row r="37" spans="2:16" x14ac:dyDescent="0.2">
      <c r="B37" t="s">
        <v>548</v>
      </c>
      <c r="C37" t="s">
        <v>379</v>
      </c>
      <c r="D37" s="18">
        <v>42584.751192129632</v>
      </c>
      <c r="E37" t="s">
        <v>91</v>
      </c>
      <c r="F37" s="19">
        <v>0.96591657692131405</v>
      </c>
      <c r="G37" s="19">
        <v>0.84277475022706605</v>
      </c>
      <c r="H37" s="19">
        <v>0.91357784702171696</v>
      </c>
      <c r="I37" s="19">
        <v>4.93448635578368E-2</v>
      </c>
      <c r="J37" s="19">
        <v>0.921256112300611</v>
      </c>
      <c r="K37" s="19">
        <v>4.4348176592261403E-2</v>
      </c>
      <c r="L37" s="19"/>
      <c r="M37" s="19"/>
      <c r="N37" s="19"/>
      <c r="O37" s="19"/>
      <c r="P37" s="19"/>
    </row>
    <row r="38" spans="2:16" x14ac:dyDescent="0.2">
      <c r="B38" t="s">
        <v>550</v>
      </c>
      <c r="C38" t="s">
        <v>384</v>
      </c>
      <c r="D38" s="18">
        <v>42584.751192129632</v>
      </c>
      <c r="E38" t="s">
        <v>149</v>
      </c>
      <c r="F38" s="19">
        <v>0.93970777468764299</v>
      </c>
      <c r="G38" s="19">
        <v>0.80017301038062305</v>
      </c>
      <c r="H38" s="19">
        <v>0.89524771390760105</v>
      </c>
      <c r="I38" s="19">
        <v>4.5015086181634599E-2</v>
      </c>
      <c r="J38" s="19">
        <v>0.88902092131449895</v>
      </c>
      <c r="K38" s="19">
        <v>0.100732040057814</v>
      </c>
      <c r="L38" s="19"/>
      <c r="M38" s="19"/>
      <c r="N38" s="19"/>
      <c r="O38" s="19"/>
      <c r="P38" s="19"/>
    </row>
    <row r="39" spans="2:16" x14ac:dyDescent="0.2">
      <c r="B39" t="s">
        <v>517</v>
      </c>
      <c r="C39" t="s">
        <v>368</v>
      </c>
      <c r="D39" s="18">
        <v>42584.751192129632</v>
      </c>
      <c r="E39" t="s">
        <v>138</v>
      </c>
      <c r="F39" s="19">
        <v>0.90861043125821706</v>
      </c>
      <c r="G39" s="19">
        <v>0.83947763451539104</v>
      </c>
      <c r="H39" s="19">
        <v>0.85876523062754795</v>
      </c>
      <c r="I39" s="19">
        <v>5.4947744562224503E-2</v>
      </c>
      <c r="J39" s="19">
        <v>0.88885208623191703</v>
      </c>
      <c r="K39" s="19">
        <v>7.2089607893006599E-2</v>
      </c>
      <c r="L39" s="19"/>
      <c r="M39" s="19"/>
      <c r="N39" s="19"/>
      <c r="O39" s="19"/>
      <c r="P39" s="19"/>
    </row>
    <row r="40" spans="2:16" x14ac:dyDescent="0.2">
      <c r="B40" t="s">
        <v>523</v>
      </c>
      <c r="C40" t="s">
        <v>368</v>
      </c>
      <c r="D40" s="18">
        <v>42584.751192129632</v>
      </c>
      <c r="E40" t="s">
        <v>141</v>
      </c>
      <c r="F40" s="19">
        <v>0.95636910732196601</v>
      </c>
      <c r="G40" s="19">
        <v>0.86222627737226298</v>
      </c>
      <c r="H40" s="19">
        <v>0.89074793938739505</v>
      </c>
      <c r="I40" s="19">
        <v>4.2339201024592703E-2</v>
      </c>
      <c r="J40" s="19">
        <v>0.814498572544615</v>
      </c>
      <c r="K40" s="19">
        <v>7.5651181020405897E-2</v>
      </c>
      <c r="L40" s="19"/>
      <c r="M40" s="19"/>
      <c r="N40" s="19"/>
      <c r="O40" s="19"/>
      <c r="P40" s="19"/>
    </row>
    <row r="41" spans="2:16" x14ac:dyDescent="0.2">
      <c r="B41" t="s">
        <v>368</v>
      </c>
      <c r="C41" t="s">
        <v>368</v>
      </c>
      <c r="D41" s="18">
        <v>42584.751192129632</v>
      </c>
      <c r="E41" t="s">
        <v>661</v>
      </c>
      <c r="F41" s="19">
        <v>0.95335853088436695</v>
      </c>
      <c r="G41" s="19">
        <v>0.84907046356133897</v>
      </c>
      <c r="H41" s="19">
        <v>0.87383267458712599</v>
      </c>
      <c r="I41" s="19">
        <v>1.5346714540121801E-2</v>
      </c>
      <c r="J41" s="19">
        <v>0.87593245858850399</v>
      </c>
      <c r="K41" s="19">
        <v>3.1626362895585798E-2</v>
      </c>
      <c r="L41" s="19"/>
      <c r="M41" s="19"/>
      <c r="N41" s="19"/>
      <c r="O41" s="19"/>
      <c r="P41" s="19"/>
    </row>
    <row r="42" spans="2:16" x14ac:dyDescent="0.2">
      <c r="B42" t="s">
        <v>590</v>
      </c>
      <c r="C42" t="s">
        <v>403</v>
      </c>
      <c r="D42" s="18">
        <v>42584.751192129632</v>
      </c>
      <c r="E42" t="s">
        <v>165</v>
      </c>
      <c r="F42" s="19">
        <v>0.91806379647978997</v>
      </c>
      <c r="G42" s="19">
        <v>0.76052934407364803</v>
      </c>
      <c r="H42" s="19">
        <v>0.87453527349996896</v>
      </c>
      <c r="I42" s="19">
        <v>4.8080434968708202E-2</v>
      </c>
      <c r="J42" s="19">
        <v>0.89230064734274495</v>
      </c>
      <c r="K42" s="19">
        <v>5.6360483237143003E-2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403</v>
      </c>
      <c r="C44" t="s">
        <v>403</v>
      </c>
      <c r="D44" s="18">
        <v>42584.751192129632</v>
      </c>
      <c r="E44" t="s">
        <v>664</v>
      </c>
      <c r="F44" s="19">
        <v>0.95644376804726705</v>
      </c>
      <c r="G44" s="19">
        <v>0.85650539999154496</v>
      </c>
      <c r="H44" s="19">
        <v>0.87583755358890503</v>
      </c>
      <c r="I44" s="19">
        <v>1.7961108971639699E-2</v>
      </c>
      <c r="J44" s="19">
        <v>0.90305586490144996</v>
      </c>
      <c r="K44" s="19">
        <v>2.0128284813304101E-2</v>
      </c>
      <c r="L44" s="19"/>
      <c r="M44" s="19"/>
      <c r="N44" s="19"/>
      <c r="O44" s="19"/>
      <c r="P44" s="19"/>
    </row>
    <row r="45" spans="2:16" x14ac:dyDescent="0.2">
      <c r="B45" t="s">
        <v>210</v>
      </c>
      <c r="C45" t="s">
        <v>368</v>
      </c>
      <c r="D45" s="18">
        <v>42584.751192129632</v>
      </c>
      <c r="E45" t="s">
        <v>99</v>
      </c>
      <c r="F45" s="19">
        <v>0.92772431972499003</v>
      </c>
      <c r="G45" s="19">
        <v>0.84681366347370302</v>
      </c>
      <c r="H45" s="19">
        <v>0.89513162669833102</v>
      </c>
      <c r="I45" s="19">
        <v>4.1778757658643299E-2</v>
      </c>
      <c r="J45" s="19">
        <v>0.88658462018541395</v>
      </c>
      <c r="K45" s="19">
        <v>4.7840515973508697E-2</v>
      </c>
      <c r="L45" s="19">
        <v>1</v>
      </c>
      <c r="M45" s="19">
        <v>0.94032486922637104</v>
      </c>
      <c r="N45" s="19">
        <v>4.0677243867986802E-2</v>
      </c>
      <c r="O45" s="19">
        <v>0.94630224150561704</v>
      </c>
      <c r="P45" s="19">
        <v>3.7678527632225102E-2</v>
      </c>
    </row>
    <row r="46" spans="2:16" x14ac:dyDescent="0.2">
      <c r="B46" t="s">
        <v>525</v>
      </c>
      <c r="C46" t="s">
        <v>368</v>
      </c>
      <c r="D46" s="18">
        <v>42584.751192129632</v>
      </c>
      <c r="E46" t="s">
        <v>99</v>
      </c>
      <c r="F46" s="19">
        <v>0.92772431972499003</v>
      </c>
      <c r="G46" s="19">
        <v>0.84681366347370302</v>
      </c>
      <c r="H46" s="19">
        <v>0.89513162669833102</v>
      </c>
      <c r="I46" s="19">
        <v>4.1778757658643299E-2</v>
      </c>
      <c r="J46" s="19">
        <v>0.88658462018541395</v>
      </c>
      <c r="K46" s="19">
        <v>4.7840515973508697E-2</v>
      </c>
      <c r="L46" s="19">
        <v>1</v>
      </c>
      <c r="M46" s="19">
        <v>0.94032486922637104</v>
      </c>
      <c r="N46" s="19">
        <v>4.0677243867986802E-2</v>
      </c>
      <c r="O46" s="19">
        <v>0.94630224150561704</v>
      </c>
      <c r="P46" s="19">
        <v>3.7678527632225102E-2</v>
      </c>
    </row>
    <row r="47" spans="2:16" x14ac:dyDescent="0.2">
      <c r="B47" t="s">
        <v>594</v>
      </c>
      <c r="C47" t="s">
        <v>403</v>
      </c>
      <c r="D47" s="18">
        <v>42584.751192129632</v>
      </c>
      <c r="E47" t="s">
        <v>167</v>
      </c>
      <c r="F47" s="19">
        <v>0.93501505277869901</v>
      </c>
      <c r="G47" s="19">
        <v>0.87263357743422798</v>
      </c>
      <c r="H47" s="19">
        <v>0.89035927942461501</v>
      </c>
      <c r="I47" s="19">
        <v>4.8839069473178801E-2</v>
      </c>
      <c r="J47" s="19">
        <v>0.91939902839022003</v>
      </c>
      <c r="K47" s="19">
        <v>5.2589665198175803E-2</v>
      </c>
      <c r="L47" s="19"/>
      <c r="M47" s="19"/>
      <c r="N47" s="19"/>
      <c r="O47" s="19"/>
      <c r="P47" s="19"/>
    </row>
    <row r="48" spans="2:16" x14ac:dyDescent="0.2">
      <c r="B48" t="s">
        <v>528</v>
      </c>
      <c r="C48" t="s">
        <v>368</v>
      </c>
      <c r="D48" s="18">
        <v>42584.751192129632</v>
      </c>
      <c r="E48" t="s">
        <v>142</v>
      </c>
      <c r="F48" s="19">
        <v>0.95074676675146796</v>
      </c>
      <c r="G48" s="19">
        <v>0.82597560975609796</v>
      </c>
      <c r="H48" s="19">
        <v>0.865898794915685</v>
      </c>
      <c r="I48" s="19">
        <v>4.9207413160781602E-2</v>
      </c>
      <c r="J48" s="19">
        <v>0.90190910120751699</v>
      </c>
      <c r="K48" s="19">
        <v>4.9962499115161901E-2</v>
      </c>
      <c r="L48" s="19"/>
      <c r="M48" s="19"/>
      <c r="N48" s="19"/>
      <c r="O48" s="19"/>
      <c r="P48" s="19"/>
    </row>
    <row r="49" spans="2:16" x14ac:dyDescent="0.2">
      <c r="B49" t="s">
        <v>602</v>
      </c>
      <c r="C49" t="s">
        <v>403</v>
      </c>
      <c r="D49" s="18">
        <v>42584.751192129632</v>
      </c>
      <c r="E49" t="s">
        <v>170</v>
      </c>
      <c r="F49" s="19">
        <v>0.98479937233339998</v>
      </c>
      <c r="G49" s="19">
        <v>0.98117918902802603</v>
      </c>
      <c r="H49" s="19">
        <v>0.91475675989784</v>
      </c>
      <c r="I49" s="19">
        <v>4.8872395526493598E-2</v>
      </c>
      <c r="J49" s="19">
        <v>0.90617337371989004</v>
      </c>
      <c r="K49" s="19">
        <v>6.5005171396284506E-2</v>
      </c>
      <c r="L49" s="19"/>
      <c r="M49" s="19"/>
      <c r="N49" s="19"/>
      <c r="O49" s="19"/>
      <c r="P49" s="19"/>
    </row>
    <row r="50" spans="2:16" x14ac:dyDescent="0.2">
      <c r="B50" t="s">
        <v>513</v>
      </c>
      <c r="C50" t="s">
        <v>368</v>
      </c>
      <c r="D50" s="18">
        <v>42584.751192129632</v>
      </c>
      <c r="E50" t="s">
        <v>137</v>
      </c>
      <c r="F50" s="19">
        <v>0.96736135185518601</v>
      </c>
      <c r="G50" s="19">
        <v>0.86104246831644704</v>
      </c>
      <c r="H50" s="19">
        <v>0.86782637976757904</v>
      </c>
      <c r="I50" s="19">
        <v>5.4538171765275298E-2</v>
      </c>
      <c r="J50" s="19">
        <v>0.92296878068812804</v>
      </c>
      <c r="K50" s="19">
        <v>5.5376387136924297E-2</v>
      </c>
      <c r="L50" s="19"/>
      <c r="M50" s="19"/>
      <c r="N50" s="19"/>
      <c r="O50" s="19"/>
      <c r="P50" s="19"/>
    </row>
    <row r="51" spans="2:16" x14ac:dyDescent="0.2">
      <c r="B51" t="s">
        <v>610</v>
      </c>
      <c r="C51" t="s">
        <v>403</v>
      </c>
      <c r="D51" s="18">
        <v>42584.751192129632</v>
      </c>
      <c r="E51" t="s">
        <v>174</v>
      </c>
      <c r="F51" s="19">
        <v>0.95469065624953098</v>
      </c>
      <c r="G51" s="19">
        <v>0.839751243781095</v>
      </c>
      <c r="H51" s="19">
        <v>0.86789596695293003</v>
      </c>
      <c r="I51" s="19">
        <v>5.1510842107216799E-2</v>
      </c>
      <c r="J51" s="19">
        <v>0.90654465867979905</v>
      </c>
      <c r="K51" s="19">
        <v>5.2769412600228799E-2</v>
      </c>
      <c r="L51" s="19"/>
      <c r="M51" s="19"/>
      <c r="N51" s="19"/>
      <c r="O51" s="19"/>
      <c r="P51" s="19"/>
    </row>
    <row r="52" spans="2:16" x14ac:dyDescent="0.2">
      <c r="B52" t="s">
        <v>534</v>
      </c>
      <c r="C52" t="s">
        <v>368</v>
      </c>
      <c r="D52" s="18">
        <v>42584.751192129632</v>
      </c>
      <c r="E52" t="s">
        <v>103</v>
      </c>
      <c r="F52" s="19">
        <v>0.95898587897020404</v>
      </c>
      <c r="G52" s="19">
        <v>0.81915152780677902</v>
      </c>
      <c r="H52" s="19">
        <v>0.88073942800484195</v>
      </c>
      <c r="I52" s="19">
        <v>4.7679236017720401E-2</v>
      </c>
      <c r="J52" s="19">
        <v>0.90782617926809495</v>
      </c>
      <c r="K52" s="19">
        <v>4.4541584950891902E-2</v>
      </c>
      <c r="L52" s="19"/>
      <c r="M52" s="19"/>
      <c r="N52" s="19"/>
      <c r="O52" s="19"/>
      <c r="P52" s="19"/>
    </row>
    <row r="53" spans="2:16" x14ac:dyDescent="0.2">
      <c r="B53" t="s">
        <v>587</v>
      </c>
      <c r="C53" t="s">
        <v>384</v>
      </c>
      <c r="D53" s="18">
        <v>42584.751192129632</v>
      </c>
      <c r="E53" t="s">
        <v>164</v>
      </c>
      <c r="F53" s="19">
        <v>0.96023925657922804</v>
      </c>
      <c r="G53" s="19">
        <v>0.80242292248009295</v>
      </c>
      <c r="H53" s="19">
        <v>0.89663144171863896</v>
      </c>
      <c r="I53" s="19">
        <v>4.8075365302181802E-2</v>
      </c>
      <c r="J53" s="19">
        <v>0.96989691390806598</v>
      </c>
      <c r="K53" s="19">
        <v>3.0785831251215801E-2</v>
      </c>
      <c r="L53" s="252"/>
      <c r="M53" s="252"/>
      <c r="N53" s="252"/>
      <c r="O53" s="252"/>
      <c r="P53" s="252"/>
    </row>
    <row r="54" spans="2:16" x14ac:dyDescent="0.2">
      <c r="B54" t="s">
        <v>623</v>
      </c>
      <c r="C54" t="s">
        <v>403</v>
      </c>
      <c r="D54" s="18">
        <v>42584.751192129632</v>
      </c>
      <c r="E54" t="s">
        <v>179</v>
      </c>
      <c r="F54" s="19">
        <v>0.96395318917032502</v>
      </c>
      <c r="G54" s="19">
        <v>0.79816478792886403</v>
      </c>
      <c r="H54" s="19">
        <v>0.82158327805127795</v>
      </c>
      <c r="I54" s="19">
        <v>5.4128314957837001E-2</v>
      </c>
      <c r="J54" s="19">
        <v>0.91121143465408005</v>
      </c>
      <c r="K54" s="19">
        <v>4.1901794093732903E-2</v>
      </c>
      <c r="L54" s="19"/>
      <c r="M54" s="19"/>
      <c r="N54" s="19"/>
      <c r="O54" s="19"/>
      <c r="P54" s="19"/>
    </row>
    <row r="55" spans="2:16" x14ac:dyDescent="0.2">
      <c r="B55" t="s">
        <v>612</v>
      </c>
      <c r="C55" t="s">
        <v>379</v>
      </c>
      <c r="D55" s="18">
        <v>42584.751192129632</v>
      </c>
      <c r="E55" t="s">
        <v>175</v>
      </c>
      <c r="F55" s="19">
        <v>0.925152462308791</v>
      </c>
      <c r="G55" s="19">
        <v>0.785621326042379</v>
      </c>
      <c r="H55" s="19">
        <v>0.81591556804690402</v>
      </c>
      <c r="I55" s="19">
        <v>5.1722402372054603E-2</v>
      </c>
      <c r="J55" s="19">
        <v>0.85026685361496201</v>
      </c>
      <c r="K55" s="19">
        <v>7.7511098704103096E-2</v>
      </c>
      <c r="L55" s="19"/>
      <c r="M55" s="19"/>
      <c r="N55" s="19"/>
      <c r="O55" s="19"/>
      <c r="P55" s="19"/>
    </row>
    <row r="56" spans="2:16" x14ac:dyDescent="0.2">
      <c r="B56" t="s">
        <v>596</v>
      </c>
      <c r="C56" t="s">
        <v>403</v>
      </c>
      <c r="D56" s="18">
        <v>42584.751192129632</v>
      </c>
      <c r="E56" t="s">
        <v>168</v>
      </c>
      <c r="F56" s="19">
        <v>0.97275646507978897</v>
      </c>
      <c r="G56" s="19">
        <v>0.89535206061726103</v>
      </c>
      <c r="H56" s="19">
        <v>0.89484244269603297</v>
      </c>
      <c r="I56" s="19">
        <v>4.4192604820413803E-2</v>
      </c>
      <c r="J56" s="19">
        <v>0.91543445316219196</v>
      </c>
      <c r="K56" s="19">
        <v>5.3028833687820097E-2</v>
      </c>
      <c r="L56" s="19"/>
      <c r="M56" s="19"/>
      <c r="N56" s="19"/>
      <c r="O56" s="19"/>
      <c r="P56" s="19"/>
    </row>
    <row r="57" spans="2:16" x14ac:dyDescent="0.2">
      <c r="B57" t="s">
        <v>634</v>
      </c>
      <c r="C57" t="s">
        <v>389</v>
      </c>
      <c r="D57" s="18">
        <v>42584.751192129632</v>
      </c>
      <c r="E57" t="s">
        <v>184</v>
      </c>
      <c r="F57" s="19">
        <v>0.94302385048119397</v>
      </c>
      <c r="G57" s="19">
        <v>0.73242217160212597</v>
      </c>
      <c r="H57" s="19">
        <v>0.842639922355225</v>
      </c>
      <c r="I57" s="19">
        <v>6.10990790525828E-2</v>
      </c>
      <c r="J57" s="19">
        <v>0.91095416383026995</v>
      </c>
      <c r="K57" s="19">
        <v>9.4213366297531298E-2</v>
      </c>
      <c r="L57" s="19"/>
      <c r="M57" s="19"/>
      <c r="N57" s="19"/>
      <c r="O57" s="19"/>
      <c r="P57" s="19"/>
    </row>
    <row r="58" spans="2:16" x14ac:dyDescent="0.2">
      <c r="B58" t="s">
        <v>379</v>
      </c>
      <c r="C58" t="s">
        <v>379</v>
      </c>
      <c r="D58" s="18">
        <v>42584.751192129632</v>
      </c>
      <c r="E58" t="s">
        <v>660</v>
      </c>
      <c r="F58" s="19">
        <v>0.945371465366311</v>
      </c>
      <c r="G58" s="19">
        <v>0.84308706024441804</v>
      </c>
      <c r="H58" s="19">
        <v>0.86470119757070396</v>
      </c>
      <c r="I58" s="19">
        <v>2.2213018129089199E-2</v>
      </c>
      <c r="J58" s="19">
        <v>0.89465850415319303</v>
      </c>
      <c r="K58" s="19">
        <v>2.38465537076211E-2</v>
      </c>
      <c r="L58" s="19"/>
      <c r="M58" s="19"/>
      <c r="N58" s="19"/>
      <c r="O58" s="19"/>
      <c r="P58" s="19"/>
    </row>
    <row r="59" spans="2:16" x14ac:dyDescent="0.2">
      <c r="B59" t="s">
        <v>573</v>
      </c>
      <c r="C59" t="s">
        <v>389</v>
      </c>
      <c r="D59" s="18">
        <v>42584.751192129632</v>
      </c>
      <c r="E59" t="s">
        <v>158</v>
      </c>
      <c r="F59" s="19">
        <v>0.95493202689232504</v>
      </c>
      <c r="G59" s="19">
        <v>0.85264245515300696</v>
      </c>
      <c r="H59" s="19">
        <v>0.91846835170212304</v>
      </c>
      <c r="I59" s="19">
        <v>3.9100268771815903E-2</v>
      </c>
      <c r="J59" s="19">
        <v>0.83119256360990601</v>
      </c>
      <c r="K59" s="19">
        <v>5.8385178917865002E-2</v>
      </c>
      <c r="L59" s="19"/>
      <c r="M59" s="19"/>
      <c r="N59" s="19"/>
      <c r="O59" s="19"/>
      <c r="P59" s="19"/>
    </row>
    <row r="60" spans="2:16" x14ac:dyDescent="0.2">
      <c r="B60" t="s">
        <v>212</v>
      </c>
      <c r="C60" t="s">
        <v>389</v>
      </c>
      <c r="D60" s="18">
        <v>42584.751192129632</v>
      </c>
      <c r="E60" t="s">
        <v>161</v>
      </c>
      <c r="F60" s="19">
        <v>0.92150030381270198</v>
      </c>
      <c r="G60" s="19">
        <v>0.877269064884592</v>
      </c>
      <c r="H60" s="19">
        <v>0.95673166481386895</v>
      </c>
      <c r="I60" s="19">
        <v>3.4507619813907799E-2</v>
      </c>
      <c r="J60" s="19">
        <v>0.92879581726340699</v>
      </c>
      <c r="K60" s="19">
        <v>3.8422477958479098E-2</v>
      </c>
      <c r="L60" s="19">
        <v>1</v>
      </c>
      <c r="M60" s="19">
        <v>0.99137898774441002</v>
      </c>
      <c r="N60" s="19">
        <v>1.28793727116459E-2</v>
      </c>
      <c r="O60" s="19">
        <v>0.98073203423033295</v>
      </c>
      <c r="P60" s="19">
        <v>2.3364044644334801E-2</v>
      </c>
    </row>
    <row r="61" spans="2:16" x14ac:dyDescent="0.2">
      <c r="B61" t="s">
        <v>579</v>
      </c>
      <c r="C61" t="s">
        <v>389</v>
      </c>
      <c r="D61" s="18">
        <v>42584.751192129632</v>
      </c>
      <c r="E61" t="s">
        <v>161</v>
      </c>
      <c r="F61" s="19">
        <v>0.92150030381270198</v>
      </c>
      <c r="G61" s="19">
        <v>0.877269064884592</v>
      </c>
      <c r="H61" s="19">
        <v>0.95673166481386895</v>
      </c>
      <c r="I61" s="19">
        <v>3.4507619813907799E-2</v>
      </c>
      <c r="J61" s="19">
        <v>0.92879581726340699</v>
      </c>
      <c r="K61" s="19">
        <v>3.8422477958479098E-2</v>
      </c>
      <c r="L61" s="19">
        <v>1</v>
      </c>
      <c r="M61" s="19">
        <v>0.99137898774441002</v>
      </c>
      <c r="N61" s="19">
        <v>1.28793727116459E-2</v>
      </c>
      <c r="O61" s="19">
        <v>0.98073203423033295</v>
      </c>
      <c r="P61" s="19">
        <v>2.3364044644334801E-2</v>
      </c>
    </row>
    <row r="62" spans="2:16" x14ac:dyDescent="0.2">
      <c r="B62" t="s">
        <v>540</v>
      </c>
      <c r="C62" t="s">
        <v>379</v>
      </c>
      <c r="D62" s="18">
        <v>42584.751192129632</v>
      </c>
      <c r="E62" t="s">
        <v>146</v>
      </c>
      <c r="F62" s="19">
        <v>0.94497340783296002</v>
      </c>
      <c r="G62" s="19">
        <v>0.85187520433422104</v>
      </c>
      <c r="H62" s="19">
        <v>0.84893903572531004</v>
      </c>
      <c r="I62" s="19">
        <v>5.6198642934354802E-2</v>
      </c>
      <c r="J62" s="19">
        <v>0.87542846915699002</v>
      </c>
      <c r="K62" s="19">
        <v>6.0670182231341803E-2</v>
      </c>
      <c r="L62" s="19"/>
      <c r="M62" s="19"/>
      <c r="N62" s="19"/>
      <c r="O62" s="19"/>
      <c r="P62" s="19"/>
    </row>
    <row r="63" spans="2:16" x14ac:dyDescent="0.2">
      <c r="B63" t="s">
        <v>626</v>
      </c>
      <c r="C63" t="s">
        <v>368</v>
      </c>
      <c r="D63" s="18">
        <v>42584.751192129632</v>
      </c>
      <c r="E63" t="s">
        <v>180</v>
      </c>
      <c r="F63" s="19">
        <v>0.94678323075158999</v>
      </c>
      <c r="G63" s="19">
        <v>0.86753516691161103</v>
      </c>
      <c r="H63" s="19">
        <v>0.899253271220113</v>
      </c>
      <c r="I63" s="19">
        <v>4.4797839732621698E-2</v>
      </c>
      <c r="J63" s="19">
        <v>0.92462705526085798</v>
      </c>
      <c r="K63" s="19">
        <v>5.1063707128127897E-2</v>
      </c>
      <c r="L63" s="19"/>
      <c r="M63" s="19"/>
      <c r="N63" s="19"/>
      <c r="O63" s="19"/>
      <c r="P63" s="19"/>
    </row>
    <row r="64" spans="2:16" x14ac:dyDescent="0.2">
      <c r="B64" t="s">
        <v>695</v>
      </c>
      <c r="C64" t="s">
        <v>6</v>
      </c>
      <c r="D64" s="18">
        <v>42584.751192129632</v>
      </c>
      <c r="E64" t="s">
        <v>436</v>
      </c>
      <c r="F64" s="19"/>
      <c r="G64" s="19"/>
      <c r="H64" s="19"/>
      <c r="I64" s="19"/>
      <c r="J64" s="19"/>
      <c r="K64" s="19"/>
      <c r="L64" s="19">
        <v>0.98861798182406402</v>
      </c>
      <c r="M64" s="19">
        <v>0.96596963758717302</v>
      </c>
      <c r="N64" s="19">
        <v>1.8343995693259299E-2</v>
      </c>
      <c r="O64" s="19">
        <v>0.96864495028045905</v>
      </c>
      <c r="P64" s="19">
        <v>1.7727389141889E-2</v>
      </c>
    </row>
    <row r="65" spans="2:16" x14ac:dyDescent="0.2">
      <c r="B65" t="s">
        <v>697</v>
      </c>
      <c r="C65" t="s">
        <v>6</v>
      </c>
      <c r="D65" s="18">
        <v>42584.751192129632</v>
      </c>
      <c r="E65" t="s">
        <v>436</v>
      </c>
      <c r="F65" s="19">
        <v>0.95094960200766199</v>
      </c>
      <c r="G65" s="19">
        <v>0.85807148250309495</v>
      </c>
      <c r="H65" s="19">
        <v>0.88238313577417604</v>
      </c>
      <c r="I65" s="19">
        <v>7.8748943047496304E-3</v>
      </c>
      <c r="J65" s="19">
        <v>0.897546515808477</v>
      </c>
      <c r="K65" s="19">
        <v>1.18264562793959E-2</v>
      </c>
      <c r="L65" s="19">
        <v>0.98861798182406402</v>
      </c>
      <c r="M65" s="19">
        <v>0.96596963758717302</v>
      </c>
      <c r="N65" s="19">
        <v>1.8343995693259299E-2</v>
      </c>
      <c r="O65" s="19">
        <v>0.96864495028045905</v>
      </c>
      <c r="P65" s="19">
        <v>1.7727389141889E-2</v>
      </c>
    </row>
    <row r="66" spans="2:16" x14ac:dyDescent="0.2">
      <c r="B66" t="s">
        <v>604</v>
      </c>
      <c r="C66" t="s">
        <v>384</v>
      </c>
      <c r="D66" s="18">
        <v>42584.751192129632</v>
      </c>
      <c r="E66" t="s">
        <v>171</v>
      </c>
      <c r="F66" s="19">
        <v>0.94960591849143094</v>
      </c>
      <c r="G66" s="19">
        <v>0.91043400011801501</v>
      </c>
      <c r="H66" s="19">
        <v>0.88608190783869001</v>
      </c>
      <c r="I66" s="19">
        <v>4.7601408293891402E-2</v>
      </c>
      <c r="J66" s="19">
        <v>0.88427488932320097</v>
      </c>
      <c r="K66" s="19">
        <v>4.6185417301871999E-2</v>
      </c>
      <c r="L66" s="19"/>
      <c r="M66" s="19"/>
      <c r="N66" s="19"/>
      <c r="O66" s="19"/>
      <c r="P66" s="19"/>
    </row>
    <row r="67" spans="2:16" x14ac:dyDescent="0.2">
      <c r="B67" t="s">
        <v>669</v>
      </c>
      <c r="C67" t="s">
        <v>368</v>
      </c>
      <c r="D67" s="18">
        <v>42584.751192129632</v>
      </c>
      <c r="E67" t="s">
        <v>668</v>
      </c>
      <c r="F67" s="152"/>
      <c r="G67" s="152"/>
      <c r="H67" s="152">
        <v>0.88882935929979301</v>
      </c>
      <c r="I67" s="152">
        <v>0.122765579445424</v>
      </c>
      <c r="J67" s="152">
        <v>0.83280059390964101</v>
      </c>
      <c r="K67" s="152">
        <v>6.9714272031192404E-2</v>
      </c>
      <c r="L67" s="152"/>
      <c r="M67" s="152"/>
      <c r="N67" s="152"/>
      <c r="O67" s="152"/>
      <c r="P67" s="152"/>
    </row>
    <row r="68" spans="2:16" x14ac:dyDescent="0.2">
      <c r="B68" t="s">
        <v>628</v>
      </c>
      <c r="C68" t="s">
        <v>368</v>
      </c>
      <c r="D68" s="18">
        <v>42584.751192129632</v>
      </c>
      <c r="E68" t="s">
        <v>89</v>
      </c>
      <c r="F68" s="152">
        <v>0.94781434257032005</v>
      </c>
      <c r="G68" s="152">
        <v>0.87560940636650397</v>
      </c>
      <c r="H68" s="152">
        <v>0.85696304103726595</v>
      </c>
      <c r="I68" s="152">
        <v>4.5675954794637701E-2</v>
      </c>
      <c r="J68" s="152">
        <v>0.866091921155973</v>
      </c>
      <c r="K68" s="152">
        <v>0.115923375956293</v>
      </c>
      <c r="L68" s="152"/>
      <c r="M68" s="152"/>
      <c r="N68" s="152"/>
      <c r="O68" s="152"/>
      <c r="P68" s="152"/>
    </row>
    <row r="69" spans="2:16" x14ac:dyDescent="0.2">
      <c r="B69" t="s">
        <v>638</v>
      </c>
      <c r="C69" t="s">
        <v>389</v>
      </c>
      <c r="D69" s="18">
        <v>42584.751192129632</v>
      </c>
      <c r="E69" t="s">
        <v>185</v>
      </c>
      <c r="F69" s="152">
        <v>0.89973586412359097</v>
      </c>
      <c r="G69" s="152">
        <v>0.82118713319961401</v>
      </c>
      <c r="H69" s="152">
        <v>0.887756775115359</v>
      </c>
      <c r="I69" s="152">
        <v>5.0030656721340099E-2</v>
      </c>
      <c r="J69" s="152">
        <v>0.89940159802475905</v>
      </c>
      <c r="K69" s="152">
        <v>6.2788446009709606E-2</v>
      </c>
      <c r="L69" s="152"/>
      <c r="M69" s="152"/>
      <c r="N69" s="152"/>
      <c r="O69" s="152"/>
      <c r="P69" s="152"/>
    </row>
    <row r="70" spans="2:16" x14ac:dyDescent="0.2">
      <c r="B70" t="s">
        <v>642</v>
      </c>
      <c r="C70" t="s">
        <v>368</v>
      </c>
      <c r="D70" s="18">
        <v>42584.751192129632</v>
      </c>
      <c r="E70" t="s">
        <v>187</v>
      </c>
      <c r="F70" s="152">
        <v>0.91730563326770997</v>
      </c>
      <c r="G70" s="152">
        <v>0.83668300653594796</v>
      </c>
      <c r="H70" s="152">
        <v>0.872024457507802</v>
      </c>
      <c r="I70" s="152">
        <v>4.6132350672263102E-2</v>
      </c>
      <c r="J70" s="152">
        <v>0.89237000753579498</v>
      </c>
      <c r="K70" s="152">
        <v>7.1771077985603102E-2</v>
      </c>
      <c r="L70" s="152"/>
      <c r="M70" s="152"/>
      <c r="N70" s="152"/>
      <c r="O70" s="152"/>
      <c r="P70" s="152"/>
    </row>
    <row r="71" spans="2:16" x14ac:dyDescent="0.2">
      <c r="B71" t="s">
        <v>542</v>
      </c>
      <c r="C71" t="s">
        <v>368</v>
      </c>
      <c r="D71" s="18">
        <v>42584.751192129632</v>
      </c>
      <c r="E71" t="s">
        <v>147</v>
      </c>
      <c r="F71" s="152">
        <v>0.96188619376942197</v>
      </c>
      <c r="G71" s="152">
        <v>0.86729710634399304</v>
      </c>
      <c r="H71" s="152">
        <v>0.85716717161620004</v>
      </c>
      <c r="I71" s="152">
        <v>4.7966038447227001E-2</v>
      </c>
      <c r="J71" s="152">
        <v>0.94065368739644595</v>
      </c>
      <c r="K71" s="152">
        <v>4.7287604697840102E-2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949</v>
      </c>
      <c r="C2" t="s">
        <v>950</v>
      </c>
      <c r="D2" t="s">
        <v>133</v>
      </c>
      <c r="F2" t="s">
        <v>944</v>
      </c>
      <c r="G2" t="s">
        <v>931</v>
      </c>
      <c r="H2" t="s">
        <v>932</v>
      </c>
      <c r="I2" t="s">
        <v>933</v>
      </c>
      <c r="J2" t="s">
        <v>934</v>
      </c>
      <c r="K2" t="s">
        <v>935</v>
      </c>
      <c r="L2" t="s">
        <v>936</v>
      </c>
      <c r="M2" t="s">
        <v>937</v>
      </c>
      <c r="N2" t="s">
        <v>938</v>
      </c>
      <c r="O2" t="s">
        <v>939</v>
      </c>
      <c r="P2" t="s">
        <v>940</v>
      </c>
      <c r="Q2" t="s">
        <v>941</v>
      </c>
      <c r="R2" t="s">
        <v>942</v>
      </c>
      <c r="S2" t="s">
        <v>943</v>
      </c>
      <c r="V2" t="s">
        <v>945</v>
      </c>
      <c r="W2" t="s">
        <v>931</v>
      </c>
      <c r="X2" t="s">
        <v>932</v>
      </c>
      <c r="Y2" t="s">
        <v>933</v>
      </c>
      <c r="Z2" t="s">
        <v>934</v>
      </c>
      <c r="AA2" t="s">
        <v>935</v>
      </c>
      <c r="AB2" t="s">
        <v>936</v>
      </c>
      <c r="AC2" t="s">
        <v>937</v>
      </c>
      <c r="AD2" t="s">
        <v>938</v>
      </c>
      <c r="AE2" t="s">
        <v>939</v>
      </c>
      <c r="AF2" t="s">
        <v>940</v>
      </c>
      <c r="AG2" t="s">
        <v>941</v>
      </c>
      <c r="AH2" t="s">
        <v>942</v>
      </c>
      <c r="AI2" t="s">
        <v>943</v>
      </c>
      <c r="AL2" t="s">
        <v>946</v>
      </c>
      <c r="AM2" t="s">
        <v>931</v>
      </c>
      <c r="AN2" t="s">
        <v>932</v>
      </c>
      <c r="AO2" t="s">
        <v>933</v>
      </c>
      <c r="AP2" t="s">
        <v>934</v>
      </c>
      <c r="AQ2" t="s">
        <v>935</v>
      </c>
      <c r="AR2" t="s">
        <v>936</v>
      </c>
      <c r="AS2" t="s">
        <v>937</v>
      </c>
      <c r="AT2" t="s">
        <v>938</v>
      </c>
      <c r="AU2" t="s">
        <v>939</v>
      </c>
      <c r="AV2" t="s">
        <v>940</v>
      </c>
      <c r="AW2" t="s">
        <v>941</v>
      </c>
      <c r="AX2" t="s">
        <v>942</v>
      </c>
      <c r="AY2" t="s">
        <v>943</v>
      </c>
    </row>
    <row r="3" spans="2:51" x14ac:dyDescent="0.2">
      <c r="B3" t="s">
        <v>952</v>
      </c>
      <c r="C3">
        <v>402348</v>
      </c>
      <c r="D3">
        <v>399.03765406619999</v>
      </c>
      <c r="F3" t="s">
        <v>8</v>
      </c>
      <c r="G3">
        <v>11258</v>
      </c>
      <c r="P3">
        <v>11258</v>
      </c>
      <c r="Q3">
        <v>183.73527582840001</v>
      </c>
      <c r="V3" t="s">
        <v>309</v>
      </c>
      <c r="W3">
        <v>345</v>
      </c>
      <c r="X3">
        <v>221</v>
      </c>
      <c r="Y3">
        <v>336.75113122170001</v>
      </c>
      <c r="Z3">
        <v>58</v>
      </c>
      <c r="AA3">
        <v>462.62068965520001</v>
      </c>
      <c r="AB3">
        <v>91</v>
      </c>
      <c r="AC3">
        <v>394.13186813189998</v>
      </c>
      <c r="AD3">
        <v>22</v>
      </c>
      <c r="AE3">
        <v>744.40909090909997</v>
      </c>
      <c r="AF3">
        <v>10</v>
      </c>
      <c r="AG3">
        <v>218.7</v>
      </c>
      <c r="AH3">
        <v>1</v>
      </c>
      <c r="AI3">
        <v>562</v>
      </c>
      <c r="AL3" t="s">
        <v>309</v>
      </c>
      <c r="AM3">
        <v>2</v>
      </c>
      <c r="AN3">
        <v>1</v>
      </c>
      <c r="AO3">
        <v>26</v>
      </c>
      <c r="AT3">
        <v>1</v>
      </c>
      <c r="AU3">
        <v>383</v>
      </c>
    </row>
    <row r="4" spans="2:51" x14ac:dyDescent="0.2">
      <c r="B4" t="s">
        <v>951</v>
      </c>
      <c r="C4">
        <v>33921</v>
      </c>
      <c r="D4">
        <v>399.03765406619999</v>
      </c>
      <c r="F4" t="s">
        <v>8</v>
      </c>
      <c r="G4">
        <v>11258</v>
      </c>
      <c r="P4">
        <v>11258</v>
      </c>
      <c r="Q4">
        <v>183.73527582840001</v>
      </c>
      <c r="V4" t="s">
        <v>8</v>
      </c>
      <c r="W4">
        <v>4199</v>
      </c>
      <c r="X4">
        <v>3110</v>
      </c>
      <c r="Y4">
        <v>485.39273078159999</v>
      </c>
      <c r="Z4">
        <v>557</v>
      </c>
      <c r="AA4">
        <v>444.72890484739997</v>
      </c>
      <c r="AB4">
        <v>455</v>
      </c>
      <c r="AC4">
        <v>399.47472527470001</v>
      </c>
      <c r="AD4">
        <v>598</v>
      </c>
      <c r="AE4">
        <v>838.10367892980003</v>
      </c>
      <c r="AF4">
        <v>34</v>
      </c>
      <c r="AG4">
        <v>401.9705882353</v>
      </c>
      <c r="AH4">
        <v>2</v>
      </c>
      <c r="AI4">
        <v>147</v>
      </c>
      <c r="AL4" t="s">
        <v>8</v>
      </c>
      <c r="AM4">
        <v>29</v>
      </c>
      <c r="AN4">
        <v>25</v>
      </c>
      <c r="AO4">
        <v>191.44</v>
      </c>
      <c r="AP4">
        <v>17</v>
      </c>
      <c r="AQ4">
        <v>407.5294117647</v>
      </c>
      <c r="AR4">
        <v>4</v>
      </c>
      <c r="AS4">
        <v>171</v>
      </c>
    </row>
    <row r="5" spans="2:51" x14ac:dyDescent="0.2">
      <c r="B5" t="s">
        <v>963</v>
      </c>
      <c r="C5">
        <v>29489</v>
      </c>
      <c r="D5">
        <v>553.02923123879998</v>
      </c>
      <c r="F5" t="s">
        <v>43</v>
      </c>
      <c r="G5">
        <v>578</v>
      </c>
      <c r="H5">
        <v>491</v>
      </c>
      <c r="I5">
        <v>273.68431771889999</v>
      </c>
      <c r="J5">
        <v>44</v>
      </c>
      <c r="K5">
        <v>579.77272727269997</v>
      </c>
      <c r="L5">
        <v>72</v>
      </c>
      <c r="M5">
        <v>177.3472222222</v>
      </c>
      <c r="N5">
        <v>15</v>
      </c>
      <c r="O5">
        <v>331.4</v>
      </c>
      <c r="V5" t="s">
        <v>8</v>
      </c>
      <c r="W5">
        <v>4544</v>
      </c>
      <c r="X5">
        <v>3331</v>
      </c>
      <c r="Y5">
        <v>475.52792792790001</v>
      </c>
      <c r="Z5">
        <v>615</v>
      </c>
      <c r="AA5">
        <v>446.4162601626</v>
      </c>
      <c r="AB5">
        <v>546</v>
      </c>
      <c r="AC5">
        <v>398.5842490842</v>
      </c>
      <c r="AD5">
        <v>620</v>
      </c>
      <c r="AE5">
        <v>834.77903225809996</v>
      </c>
      <c r="AF5">
        <v>44</v>
      </c>
      <c r="AG5">
        <v>360.3181818182</v>
      </c>
      <c r="AH5">
        <v>3</v>
      </c>
      <c r="AI5">
        <v>285.3333333333</v>
      </c>
      <c r="AL5" t="s">
        <v>8</v>
      </c>
      <c r="AM5">
        <v>31</v>
      </c>
      <c r="AN5">
        <v>26</v>
      </c>
      <c r="AO5">
        <v>185.07692307689999</v>
      </c>
      <c r="AP5">
        <v>17</v>
      </c>
      <c r="AQ5">
        <v>407.5294117647</v>
      </c>
      <c r="AR5">
        <v>4</v>
      </c>
      <c r="AS5">
        <v>171</v>
      </c>
      <c r="AT5">
        <v>1</v>
      </c>
      <c r="AU5">
        <v>383</v>
      </c>
    </row>
    <row r="6" spans="2:51" x14ac:dyDescent="0.2">
      <c r="B6" t="s">
        <v>241</v>
      </c>
      <c r="C6">
        <v>50805</v>
      </c>
      <c r="D6">
        <v>523.33620706620002</v>
      </c>
      <c r="F6" t="s">
        <v>37</v>
      </c>
      <c r="G6">
        <v>8209</v>
      </c>
      <c r="H6">
        <v>6682</v>
      </c>
      <c r="I6">
        <v>446.92636935050001</v>
      </c>
      <c r="J6">
        <v>394</v>
      </c>
      <c r="K6">
        <v>967.45177664970004</v>
      </c>
      <c r="L6">
        <v>1023</v>
      </c>
      <c r="M6">
        <v>634.58651026389998</v>
      </c>
      <c r="N6">
        <v>484</v>
      </c>
      <c r="O6">
        <v>594.41735537190004</v>
      </c>
      <c r="R6">
        <v>20</v>
      </c>
      <c r="S6">
        <v>582.5</v>
      </c>
      <c r="V6" t="s">
        <v>398</v>
      </c>
      <c r="W6">
        <v>1526</v>
      </c>
      <c r="X6">
        <v>905</v>
      </c>
      <c r="Y6">
        <v>200.2508287293</v>
      </c>
      <c r="Z6">
        <v>141</v>
      </c>
      <c r="AA6">
        <v>304.64539007090002</v>
      </c>
      <c r="AB6">
        <v>433</v>
      </c>
      <c r="AC6">
        <v>316.13163972289999</v>
      </c>
      <c r="AD6">
        <v>122</v>
      </c>
      <c r="AE6">
        <v>319.63934426230003</v>
      </c>
      <c r="AF6">
        <v>63</v>
      </c>
      <c r="AG6">
        <v>194.8412698413</v>
      </c>
      <c r="AH6">
        <v>3</v>
      </c>
      <c r="AI6">
        <v>393.6666666667</v>
      </c>
      <c r="AL6" t="s">
        <v>398</v>
      </c>
      <c r="AM6">
        <v>24</v>
      </c>
      <c r="AN6">
        <v>17</v>
      </c>
      <c r="AO6">
        <v>145.5294117647</v>
      </c>
      <c r="AP6">
        <v>19</v>
      </c>
      <c r="AQ6">
        <v>219.36842105260001</v>
      </c>
      <c r="AR6">
        <v>7</v>
      </c>
      <c r="AS6">
        <v>259.85714285709997</v>
      </c>
    </row>
    <row r="7" spans="2:51" x14ac:dyDescent="0.2">
      <c r="B7" t="s">
        <v>240</v>
      </c>
      <c r="C7">
        <v>230104</v>
      </c>
      <c r="D7">
        <v>410.85832496730001</v>
      </c>
      <c r="F7" t="s">
        <v>42</v>
      </c>
      <c r="G7">
        <v>4701</v>
      </c>
      <c r="H7">
        <v>3285</v>
      </c>
      <c r="I7">
        <v>377.95220700150003</v>
      </c>
      <c r="J7">
        <v>1000</v>
      </c>
      <c r="K7">
        <v>436.77199999999999</v>
      </c>
      <c r="L7">
        <v>851</v>
      </c>
      <c r="M7">
        <v>430.70387779079999</v>
      </c>
      <c r="N7">
        <v>534</v>
      </c>
      <c r="O7">
        <v>413.71910112360001</v>
      </c>
      <c r="R7">
        <v>31</v>
      </c>
      <c r="S7">
        <v>432.1612903226</v>
      </c>
      <c r="V7" t="s">
        <v>390</v>
      </c>
      <c r="W7">
        <v>12380</v>
      </c>
      <c r="X7">
        <v>9225</v>
      </c>
      <c r="Y7">
        <v>647.12184281839995</v>
      </c>
      <c r="Z7">
        <v>694</v>
      </c>
      <c r="AA7">
        <v>942.95533141210001</v>
      </c>
      <c r="AB7">
        <v>2197</v>
      </c>
      <c r="AC7">
        <v>1109.1005917160001</v>
      </c>
      <c r="AD7">
        <v>702</v>
      </c>
      <c r="AE7">
        <v>909.40598290599996</v>
      </c>
      <c r="AF7">
        <v>245</v>
      </c>
      <c r="AG7">
        <v>171.57142857139999</v>
      </c>
      <c r="AH7">
        <v>11</v>
      </c>
      <c r="AI7">
        <v>672.18181818180005</v>
      </c>
      <c r="AL7" t="s">
        <v>390</v>
      </c>
      <c r="AM7">
        <v>285</v>
      </c>
      <c r="AN7">
        <v>187</v>
      </c>
      <c r="AO7">
        <v>381.32085561500003</v>
      </c>
      <c r="AP7">
        <v>30</v>
      </c>
      <c r="AQ7">
        <v>863.36666666669998</v>
      </c>
      <c r="AR7">
        <v>95</v>
      </c>
      <c r="AS7">
        <v>343.30526315790001</v>
      </c>
      <c r="AT7">
        <v>3</v>
      </c>
      <c r="AU7">
        <v>774</v>
      </c>
    </row>
    <row r="8" spans="2:51" x14ac:dyDescent="0.2">
      <c r="B8" t="s">
        <v>242</v>
      </c>
      <c r="C8">
        <v>22104</v>
      </c>
      <c r="D8">
        <v>507.71925061090002</v>
      </c>
      <c r="F8" t="s">
        <v>50</v>
      </c>
      <c r="G8">
        <v>1119</v>
      </c>
      <c r="H8">
        <v>519</v>
      </c>
      <c r="I8">
        <v>301.36994219650001</v>
      </c>
      <c r="J8">
        <v>489</v>
      </c>
      <c r="K8">
        <v>353.83844580779999</v>
      </c>
      <c r="L8">
        <v>439</v>
      </c>
      <c r="M8">
        <v>173.19589977219999</v>
      </c>
      <c r="N8">
        <v>160</v>
      </c>
      <c r="O8">
        <v>220.01249999999999</v>
      </c>
      <c r="R8">
        <v>1</v>
      </c>
      <c r="S8">
        <v>271</v>
      </c>
      <c r="V8" t="s">
        <v>421</v>
      </c>
      <c r="W8">
        <v>1360</v>
      </c>
      <c r="X8">
        <v>978</v>
      </c>
      <c r="Y8">
        <v>220.09406952969999</v>
      </c>
      <c r="Z8">
        <v>143</v>
      </c>
      <c r="AA8">
        <v>341.85314685309999</v>
      </c>
      <c r="AB8">
        <v>134</v>
      </c>
      <c r="AC8">
        <v>205.5895522388</v>
      </c>
      <c r="AD8">
        <v>151</v>
      </c>
      <c r="AE8">
        <v>399.72185430460001</v>
      </c>
      <c r="AF8">
        <v>93</v>
      </c>
      <c r="AG8">
        <v>167.10752688170001</v>
      </c>
      <c r="AH8">
        <v>4</v>
      </c>
      <c r="AI8">
        <v>284.25</v>
      </c>
      <c r="AL8" t="s">
        <v>421</v>
      </c>
      <c r="AM8">
        <v>28</v>
      </c>
      <c r="AN8">
        <v>21</v>
      </c>
      <c r="AO8">
        <v>143.71428571429999</v>
      </c>
      <c r="AP8">
        <v>7</v>
      </c>
      <c r="AQ8">
        <v>405.42857142859998</v>
      </c>
      <c r="AR8">
        <v>7</v>
      </c>
      <c r="AS8">
        <v>213.28571428570001</v>
      </c>
    </row>
    <row r="9" spans="2:51" x14ac:dyDescent="0.2">
      <c r="B9" t="s">
        <v>243</v>
      </c>
      <c r="C9">
        <v>11258</v>
      </c>
      <c r="D9">
        <v>183.73527582840001</v>
      </c>
      <c r="F9" t="s">
        <v>81</v>
      </c>
      <c r="G9">
        <v>1338</v>
      </c>
      <c r="H9">
        <v>1049</v>
      </c>
      <c r="I9">
        <v>245.1525262154</v>
      </c>
      <c r="J9">
        <v>181</v>
      </c>
      <c r="K9">
        <v>393.51381215470002</v>
      </c>
      <c r="L9">
        <v>124</v>
      </c>
      <c r="M9">
        <v>155.24193548389999</v>
      </c>
      <c r="N9">
        <v>161</v>
      </c>
      <c r="O9">
        <v>381.01242236019999</v>
      </c>
      <c r="R9">
        <v>4</v>
      </c>
      <c r="S9">
        <v>229.25</v>
      </c>
      <c r="V9" t="s">
        <v>391</v>
      </c>
      <c r="W9">
        <v>8132</v>
      </c>
      <c r="X9">
        <v>6290</v>
      </c>
      <c r="Y9">
        <v>500.30206677270002</v>
      </c>
      <c r="Z9">
        <v>425</v>
      </c>
      <c r="AA9">
        <v>920.9364705882</v>
      </c>
      <c r="AB9">
        <v>1337</v>
      </c>
      <c r="AC9">
        <v>894.31264023929998</v>
      </c>
      <c r="AD9">
        <v>384</v>
      </c>
      <c r="AE9">
        <v>696.8984375</v>
      </c>
      <c r="AF9">
        <v>120</v>
      </c>
      <c r="AG9">
        <v>159.94999999999999</v>
      </c>
      <c r="AH9">
        <v>1</v>
      </c>
      <c r="AI9">
        <v>394</v>
      </c>
      <c r="AL9" t="s">
        <v>391</v>
      </c>
      <c r="AM9">
        <v>138</v>
      </c>
      <c r="AN9">
        <v>103</v>
      </c>
      <c r="AO9">
        <v>327.33009708740002</v>
      </c>
      <c r="AP9">
        <v>18</v>
      </c>
      <c r="AQ9">
        <v>753.05555555559999</v>
      </c>
      <c r="AR9">
        <v>31</v>
      </c>
      <c r="AS9">
        <v>201.74193548389999</v>
      </c>
      <c r="AT9">
        <v>4</v>
      </c>
      <c r="AU9">
        <v>38</v>
      </c>
    </row>
    <row r="10" spans="2:51" x14ac:dyDescent="0.2">
      <c r="B10" t="s">
        <v>947</v>
      </c>
      <c r="C10">
        <v>559</v>
      </c>
      <c r="D10">
        <v>438.41681574239999</v>
      </c>
      <c r="F10" t="s">
        <v>76</v>
      </c>
      <c r="G10">
        <v>3568</v>
      </c>
      <c r="H10">
        <v>1596</v>
      </c>
      <c r="I10">
        <v>206.05263157889999</v>
      </c>
      <c r="J10">
        <v>977</v>
      </c>
      <c r="K10">
        <v>302.26202661209999</v>
      </c>
      <c r="L10">
        <v>1900</v>
      </c>
      <c r="M10">
        <v>357.0068421053</v>
      </c>
      <c r="N10">
        <v>72</v>
      </c>
      <c r="O10">
        <v>258.0416666667</v>
      </c>
      <c r="V10" t="s">
        <v>393</v>
      </c>
      <c r="W10">
        <v>8350</v>
      </c>
      <c r="X10">
        <v>6577</v>
      </c>
      <c r="Y10">
        <v>446.64345446250002</v>
      </c>
      <c r="Z10">
        <v>397</v>
      </c>
      <c r="AA10">
        <v>937.3022670025</v>
      </c>
      <c r="AB10">
        <v>1032</v>
      </c>
      <c r="AC10">
        <v>628.45058139529999</v>
      </c>
      <c r="AD10">
        <v>478</v>
      </c>
      <c r="AE10">
        <v>578.83263598329995</v>
      </c>
      <c r="AF10">
        <v>244</v>
      </c>
      <c r="AG10">
        <v>185.04508196719999</v>
      </c>
      <c r="AH10">
        <v>19</v>
      </c>
      <c r="AI10">
        <v>594.68421052630003</v>
      </c>
      <c r="AL10" t="s">
        <v>393</v>
      </c>
      <c r="AM10">
        <v>295</v>
      </c>
      <c r="AN10">
        <v>186</v>
      </c>
      <c r="AO10">
        <v>379.72580645160002</v>
      </c>
      <c r="AP10">
        <v>37</v>
      </c>
      <c r="AQ10">
        <v>609.24324324320003</v>
      </c>
      <c r="AR10">
        <v>98</v>
      </c>
      <c r="AS10">
        <v>401.12244897959999</v>
      </c>
      <c r="AT10">
        <v>11</v>
      </c>
      <c r="AU10">
        <v>182.63636363640001</v>
      </c>
    </row>
    <row r="11" spans="2:51" x14ac:dyDescent="0.2">
      <c r="F11" t="s">
        <v>38</v>
      </c>
      <c r="G11">
        <v>12289</v>
      </c>
      <c r="H11">
        <v>9320</v>
      </c>
      <c r="I11">
        <v>654.457832618</v>
      </c>
      <c r="J11">
        <v>636</v>
      </c>
      <c r="K11">
        <v>981.85062893079999</v>
      </c>
      <c r="L11">
        <v>2249</v>
      </c>
      <c r="M11">
        <v>1124.1325033348</v>
      </c>
      <c r="N11">
        <v>710</v>
      </c>
      <c r="O11">
        <v>920.85915492959998</v>
      </c>
      <c r="R11">
        <v>10</v>
      </c>
      <c r="S11">
        <v>685</v>
      </c>
      <c r="V11" t="s">
        <v>394</v>
      </c>
      <c r="W11">
        <v>4845</v>
      </c>
      <c r="X11">
        <v>3139</v>
      </c>
      <c r="Y11">
        <v>366.80853775089997</v>
      </c>
      <c r="Z11">
        <v>905</v>
      </c>
      <c r="AA11">
        <v>412.17458563539998</v>
      </c>
      <c r="AB11">
        <v>844</v>
      </c>
      <c r="AC11">
        <v>446.68009478670001</v>
      </c>
      <c r="AD11">
        <v>528</v>
      </c>
      <c r="AE11">
        <v>421.1666666667</v>
      </c>
      <c r="AF11">
        <v>302</v>
      </c>
      <c r="AG11">
        <v>183.5993377483</v>
      </c>
      <c r="AH11">
        <v>32</v>
      </c>
      <c r="AI11">
        <v>425.0625</v>
      </c>
      <c r="AL11" t="s">
        <v>394</v>
      </c>
      <c r="AM11">
        <v>228</v>
      </c>
      <c r="AN11">
        <v>171</v>
      </c>
      <c r="AO11">
        <v>353.60818713449999</v>
      </c>
      <c r="AP11">
        <v>20</v>
      </c>
      <c r="AQ11">
        <v>538</v>
      </c>
      <c r="AR11">
        <v>48</v>
      </c>
      <c r="AS11">
        <v>304.2916666667</v>
      </c>
      <c r="AT11">
        <v>8</v>
      </c>
      <c r="AU11">
        <v>522.5</v>
      </c>
      <c r="AV11">
        <v>1</v>
      </c>
      <c r="AW11">
        <v>2178</v>
      </c>
    </row>
    <row r="12" spans="2:51" x14ac:dyDescent="0.2">
      <c r="F12" t="s">
        <v>56</v>
      </c>
      <c r="G12">
        <v>3034</v>
      </c>
      <c r="H12">
        <v>2580</v>
      </c>
      <c r="I12">
        <v>349.9062015504</v>
      </c>
      <c r="J12">
        <v>421</v>
      </c>
      <c r="K12">
        <v>316.33254156769999</v>
      </c>
      <c r="L12">
        <v>407</v>
      </c>
      <c r="M12">
        <v>332.9213759214</v>
      </c>
      <c r="N12">
        <v>46</v>
      </c>
      <c r="O12">
        <v>124.47826086960001</v>
      </c>
      <c r="R12">
        <v>1</v>
      </c>
      <c r="S12">
        <v>557</v>
      </c>
      <c r="V12" t="s">
        <v>396</v>
      </c>
      <c r="W12">
        <v>5983</v>
      </c>
      <c r="X12">
        <v>5053</v>
      </c>
      <c r="Y12">
        <v>287.41895903419999</v>
      </c>
      <c r="Z12">
        <v>663</v>
      </c>
      <c r="AA12">
        <v>538.93815987929997</v>
      </c>
      <c r="AB12">
        <v>339</v>
      </c>
      <c r="AC12">
        <v>210.37463126840001</v>
      </c>
      <c r="AD12">
        <v>335</v>
      </c>
      <c r="AE12">
        <v>405.14029850750001</v>
      </c>
      <c r="AF12">
        <v>244</v>
      </c>
      <c r="AG12">
        <v>191.87704918029999</v>
      </c>
      <c r="AH12">
        <v>12</v>
      </c>
      <c r="AI12">
        <v>362.9166666667</v>
      </c>
      <c r="AL12" t="s">
        <v>396</v>
      </c>
      <c r="AM12">
        <v>212</v>
      </c>
      <c r="AN12">
        <v>168</v>
      </c>
      <c r="AO12">
        <v>311.58928571429999</v>
      </c>
      <c r="AP12">
        <v>24</v>
      </c>
      <c r="AQ12">
        <v>609.45833333329995</v>
      </c>
      <c r="AR12">
        <v>41</v>
      </c>
      <c r="AS12">
        <v>268.41463414629999</v>
      </c>
      <c r="AT12">
        <v>3</v>
      </c>
      <c r="AU12">
        <v>98.666666666699996</v>
      </c>
    </row>
    <row r="13" spans="2:51" x14ac:dyDescent="0.2">
      <c r="F13" t="s">
        <v>75</v>
      </c>
      <c r="G13">
        <v>5651</v>
      </c>
      <c r="H13">
        <v>5025</v>
      </c>
      <c r="I13">
        <v>281.88199004979998</v>
      </c>
      <c r="J13">
        <v>646</v>
      </c>
      <c r="K13">
        <v>538.78018575850001</v>
      </c>
      <c r="L13">
        <v>275</v>
      </c>
      <c r="M13">
        <v>126.35272727269999</v>
      </c>
      <c r="N13">
        <v>339</v>
      </c>
      <c r="O13">
        <v>399.30973451329999</v>
      </c>
      <c r="R13">
        <v>12</v>
      </c>
      <c r="S13">
        <v>318.8333333333</v>
      </c>
      <c r="V13" t="s">
        <v>399</v>
      </c>
      <c r="W13">
        <v>1041</v>
      </c>
      <c r="X13">
        <v>288</v>
      </c>
      <c r="Y13">
        <v>141.2777777778</v>
      </c>
      <c r="Z13">
        <v>273</v>
      </c>
      <c r="AA13">
        <v>210.60073260070001</v>
      </c>
      <c r="AB13">
        <v>461</v>
      </c>
      <c r="AC13">
        <v>222.47288503249999</v>
      </c>
      <c r="AD13">
        <v>161</v>
      </c>
      <c r="AE13">
        <v>217.0931677019</v>
      </c>
      <c r="AF13">
        <v>130</v>
      </c>
      <c r="AG13">
        <v>180.56153846149999</v>
      </c>
      <c r="AH13">
        <v>1</v>
      </c>
      <c r="AI13">
        <v>271</v>
      </c>
      <c r="AL13" t="s">
        <v>399</v>
      </c>
      <c r="AM13">
        <v>15</v>
      </c>
      <c r="AN13">
        <v>9</v>
      </c>
      <c r="AO13">
        <v>97.888888888899999</v>
      </c>
      <c r="AP13">
        <v>3</v>
      </c>
      <c r="AQ13">
        <v>224.6666666667</v>
      </c>
      <c r="AR13">
        <v>4</v>
      </c>
      <c r="AS13">
        <v>55</v>
      </c>
      <c r="AT13">
        <v>2</v>
      </c>
      <c r="AU13">
        <v>150.5</v>
      </c>
    </row>
    <row r="14" spans="2:51" x14ac:dyDescent="0.2">
      <c r="F14" t="s">
        <v>41</v>
      </c>
      <c r="G14">
        <v>1492</v>
      </c>
      <c r="H14">
        <v>918</v>
      </c>
      <c r="I14">
        <v>196.7636165577</v>
      </c>
      <c r="J14">
        <v>176</v>
      </c>
      <c r="K14">
        <v>385.70454545450002</v>
      </c>
      <c r="L14">
        <v>446</v>
      </c>
      <c r="M14">
        <v>307.97309417039997</v>
      </c>
      <c r="N14">
        <v>126</v>
      </c>
      <c r="O14">
        <v>322.29365079370001</v>
      </c>
      <c r="R14">
        <v>2</v>
      </c>
      <c r="S14">
        <v>415</v>
      </c>
      <c r="V14" t="s">
        <v>400</v>
      </c>
      <c r="W14">
        <v>2030</v>
      </c>
      <c r="X14">
        <v>927</v>
      </c>
      <c r="Y14">
        <v>180.26752966559999</v>
      </c>
      <c r="Z14">
        <v>601</v>
      </c>
      <c r="AA14">
        <v>217.1131447587</v>
      </c>
      <c r="AB14">
        <v>877</v>
      </c>
      <c r="AC14">
        <v>277.55302166479999</v>
      </c>
      <c r="AD14">
        <v>63</v>
      </c>
      <c r="AE14">
        <v>256.25396825399997</v>
      </c>
      <c r="AF14">
        <v>163</v>
      </c>
      <c r="AG14">
        <v>162.16564417180001</v>
      </c>
      <c r="AL14" t="s">
        <v>400</v>
      </c>
      <c r="AM14">
        <v>30</v>
      </c>
      <c r="AN14">
        <v>21</v>
      </c>
      <c r="AO14">
        <v>107.380952381</v>
      </c>
      <c r="AP14">
        <v>15</v>
      </c>
      <c r="AQ14">
        <v>270.46666666670001</v>
      </c>
      <c r="AR14">
        <v>5</v>
      </c>
      <c r="AS14">
        <v>120.4</v>
      </c>
      <c r="AT14">
        <v>4</v>
      </c>
      <c r="AU14">
        <v>155.5</v>
      </c>
    </row>
    <row r="15" spans="2:51" x14ac:dyDescent="0.2">
      <c r="F15" t="s">
        <v>74</v>
      </c>
      <c r="G15">
        <v>224</v>
      </c>
      <c r="H15">
        <v>103</v>
      </c>
      <c r="I15">
        <v>213.3495145631</v>
      </c>
      <c r="J15">
        <v>146</v>
      </c>
      <c r="K15">
        <v>287.5</v>
      </c>
      <c r="L15">
        <v>75</v>
      </c>
      <c r="M15">
        <v>271.2266666667</v>
      </c>
      <c r="N15">
        <v>42</v>
      </c>
      <c r="O15">
        <v>206.78571428570001</v>
      </c>
      <c r="R15">
        <v>4</v>
      </c>
      <c r="S15">
        <v>419</v>
      </c>
      <c r="V15" t="s">
        <v>395</v>
      </c>
      <c r="W15">
        <v>3127</v>
      </c>
      <c r="X15">
        <v>2547</v>
      </c>
      <c r="Y15">
        <v>355.2033765214</v>
      </c>
      <c r="Z15">
        <v>411</v>
      </c>
      <c r="AA15">
        <v>321.79562043800001</v>
      </c>
      <c r="AB15">
        <v>414</v>
      </c>
      <c r="AC15">
        <v>327.27536231879998</v>
      </c>
      <c r="AD15">
        <v>58</v>
      </c>
      <c r="AE15">
        <v>230.89655172409999</v>
      </c>
      <c r="AF15">
        <v>106</v>
      </c>
      <c r="AG15">
        <v>149.91509433959999</v>
      </c>
      <c r="AH15">
        <v>2</v>
      </c>
      <c r="AI15">
        <v>420.5</v>
      </c>
      <c r="AL15" t="s">
        <v>395</v>
      </c>
      <c r="AM15">
        <v>92</v>
      </c>
      <c r="AN15">
        <v>71</v>
      </c>
      <c r="AO15">
        <v>355.45070422539999</v>
      </c>
      <c r="AP15">
        <v>7</v>
      </c>
      <c r="AQ15">
        <v>593.85714285710003</v>
      </c>
      <c r="AR15">
        <v>19</v>
      </c>
      <c r="AS15">
        <v>447.52631578950002</v>
      </c>
      <c r="AT15">
        <v>2</v>
      </c>
      <c r="AU15">
        <v>351.5</v>
      </c>
    </row>
    <row r="16" spans="2:51" x14ac:dyDescent="0.2">
      <c r="F16" t="s">
        <v>48</v>
      </c>
      <c r="G16">
        <v>8075</v>
      </c>
      <c r="H16">
        <v>6376</v>
      </c>
      <c r="I16">
        <v>506.95357590970002</v>
      </c>
      <c r="J16">
        <v>363</v>
      </c>
      <c r="K16">
        <v>1004.9421487603</v>
      </c>
      <c r="L16">
        <v>1309</v>
      </c>
      <c r="M16">
        <v>929.1130634072</v>
      </c>
      <c r="N16">
        <v>389</v>
      </c>
      <c r="O16">
        <v>701.47814910030002</v>
      </c>
      <c r="R16">
        <v>1</v>
      </c>
      <c r="S16">
        <v>394</v>
      </c>
      <c r="V16" t="s">
        <v>418</v>
      </c>
      <c r="W16">
        <v>451</v>
      </c>
      <c r="X16">
        <v>369</v>
      </c>
      <c r="Y16">
        <v>284.5420054201</v>
      </c>
      <c r="Z16">
        <v>35</v>
      </c>
      <c r="AA16">
        <v>615.82857142859996</v>
      </c>
      <c r="AB16">
        <v>61</v>
      </c>
      <c r="AC16">
        <v>296.77049180329999</v>
      </c>
      <c r="AD16">
        <v>8</v>
      </c>
      <c r="AE16">
        <v>441</v>
      </c>
      <c r="AF16">
        <v>13</v>
      </c>
      <c r="AG16">
        <v>215.61538461539999</v>
      </c>
      <c r="AL16" t="s">
        <v>418</v>
      </c>
      <c r="AM16">
        <v>4</v>
      </c>
      <c r="AN16">
        <v>3</v>
      </c>
      <c r="AO16">
        <v>86</v>
      </c>
      <c r="AP16">
        <v>3</v>
      </c>
      <c r="AQ16">
        <v>186.6666666667</v>
      </c>
      <c r="AR16">
        <v>1</v>
      </c>
      <c r="AS16">
        <v>159</v>
      </c>
    </row>
    <row r="17" spans="6:49" x14ac:dyDescent="0.2">
      <c r="F17" t="s">
        <v>389</v>
      </c>
      <c r="G17">
        <v>50278</v>
      </c>
      <c r="H17">
        <v>37944</v>
      </c>
      <c r="I17">
        <v>446.93369175629999</v>
      </c>
      <c r="J17">
        <v>5473</v>
      </c>
      <c r="K17">
        <v>541.4505755527</v>
      </c>
      <c r="L17">
        <v>9170</v>
      </c>
      <c r="M17">
        <v>640.6110141767</v>
      </c>
      <c r="N17">
        <v>3078</v>
      </c>
      <c r="O17">
        <v>567.18323586739996</v>
      </c>
      <c r="R17">
        <v>86</v>
      </c>
      <c r="S17">
        <v>469.3953488372</v>
      </c>
      <c r="V17" t="s">
        <v>419</v>
      </c>
      <c r="W17">
        <v>187</v>
      </c>
      <c r="X17">
        <v>54</v>
      </c>
      <c r="Y17">
        <v>246.44444444440001</v>
      </c>
      <c r="Z17">
        <v>46</v>
      </c>
      <c r="AA17">
        <v>245.4347826087</v>
      </c>
      <c r="AB17">
        <v>41</v>
      </c>
      <c r="AC17">
        <v>362.87804878050002</v>
      </c>
      <c r="AD17">
        <v>44</v>
      </c>
      <c r="AE17">
        <v>273.72727272729998</v>
      </c>
      <c r="AF17">
        <v>44</v>
      </c>
      <c r="AG17">
        <v>245.75</v>
      </c>
      <c r="AH17">
        <v>4</v>
      </c>
      <c r="AI17">
        <v>419</v>
      </c>
      <c r="AL17" t="s">
        <v>419</v>
      </c>
      <c r="AM17">
        <v>7</v>
      </c>
      <c r="AN17">
        <v>3</v>
      </c>
      <c r="AO17">
        <v>232.6666666667</v>
      </c>
      <c r="AP17">
        <v>2</v>
      </c>
      <c r="AQ17">
        <v>220</v>
      </c>
      <c r="AR17">
        <v>4</v>
      </c>
      <c r="AS17">
        <v>86.75</v>
      </c>
    </row>
    <row r="18" spans="6:49" x14ac:dyDescent="0.2">
      <c r="F18" t="s">
        <v>68</v>
      </c>
      <c r="G18">
        <v>2887</v>
      </c>
      <c r="H18">
        <v>2392</v>
      </c>
      <c r="I18">
        <v>315.12165551840002</v>
      </c>
      <c r="J18">
        <v>370</v>
      </c>
      <c r="K18">
        <v>506.52162162159999</v>
      </c>
      <c r="L18">
        <v>329</v>
      </c>
      <c r="M18">
        <v>265.24012158049999</v>
      </c>
      <c r="N18">
        <v>162</v>
      </c>
      <c r="O18">
        <v>518.3703703704</v>
      </c>
      <c r="R18">
        <v>4</v>
      </c>
      <c r="S18">
        <v>326</v>
      </c>
      <c r="V18" t="s">
        <v>389</v>
      </c>
      <c r="W18">
        <v>49412</v>
      </c>
      <c r="X18">
        <v>36352</v>
      </c>
      <c r="Y18">
        <v>447.98621808979999</v>
      </c>
      <c r="Z18">
        <v>4734</v>
      </c>
      <c r="AA18">
        <v>547.77629911279996</v>
      </c>
      <c r="AB18">
        <v>8170</v>
      </c>
      <c r="AC18">
        <v>661.95189718480003</v>
      </c>
      <c r="AD18">
        <v>3034</v>
      </c>
      <c r="AE18">
        <v>566.97626895190001</v>
      </c>
      <c r="AF18">
        <v>1767</v>
      </c>
      <c r="AG18">
        <v>178.76287492930001</v>
      </c>
      <c r="AH18">
        <v>89</v>
      </c>
      <c r="AI18">
        <v>473.595505618</v>
      </c>
      <c r="AL18" t="s">
        <v>389</v>
      </c>
      <c r="AM18">
        <v>1358</v>
      </c>
      <c r="AN18">
        <v>960</v>
      </c>
      <c r="AO18">
        <v>336.75625000000002</v>
      </c>
      <c r="AP18">
        <v>185</v>
      </c>
      <c r="AQ18">
        <v>563.67027027029997</v>
      </c>
      <c r="AR18">
        <v>360</v>
      </c>
      <c r="AS18">
        <v>324.81111111109999</v>
      </c>
      <c r="AT18">
        <v>37</v>
      </c>
      <c r="AU18">
        <v>286.08108108110002</v>
      </c>
      <c r="AV18">
        <v>1</v>
      </c>
      <c r="AW18">
        <v>2178</v>
      </c>
    </row>
    <row r="19" spans="6:49" x14ac:dyDescent="0.2">
      <c r="F19" t="s">
        <v>34</v>
      </c>
      <c r="G19">
        <v>767</v>
      </c>
      <c r="H19">
        <v>491</v>
      </c>
      <c r="I19">
        <v>245.2871690428</v>
      </c>
      <c r="J19">
        <v>132</v>
      </c>
      <c r="K19">
        <v>346.36363636359999</v>
      </c>
      <c r="L19">
        <v>129</v>
      </c>
      <c r="M19">
        <v>209.480620155</v>
      </c>
      <c r="N19">
        <v>144</v>
      </c>
      <c r="O19">
        <v>569.10416666670005</v>
      </c>
      <c r="R19">
        <v>3</v>
      </c>
      <c r="S19">
        <v>224</v>
      </c>
      <c r="V19" t="s">
        <v>407</v>
      </c>
      <c r="W19">
        <v>845</v>
      </c>
      <c r="X19">
        <v>505</v>
      </c>
      <c r="Y19">
        <v>264.30891089110003</v>
      </c>
      <c r="Z19">
        <v>136</v>
      </c>
      <c r="AA19">
        <v>375.13970588239999</v>
      </c>
      <c r="AB19">
        <v>130</v>
      </c>
      <c r="AC19">
        <v>238.6538461538</v>
      </c>
      <c r="AD19">
        <v>139</v>
      </c>
      <c r="AE19">
        <v>550.9136690647</v>
      </c>
      <c r="AF19">
        <v>68</v>
      </c>
      <c r="AG19">
        <v>184.4264705882</v>
      </c>
      <c r="AH19">
        <v>3</v>
      </c>
      <c r="AI19">
        <v>224</v>
      </c>
      <c r="AL19" t="s">
        <v>407</v>
      </c>
      <c r="AM19">
        <v>6</v>
      </c>
      <c r="AN19">
        <v>3</v>
      </c>
      <c r="AO19">
        <v>89</v>
      </c>
      <c r="AP19">
        <v>4</v>
      </c>
      <c r="AQ19">
        <v>264.75</v>
      </c>
      <c r="AR19">
        <v>3</v>
      </c>
      <c r="AS19">
        <v>98.666666666699996</v>
      </c>
    </row>
    <row r="20" spans="6:49" x14ac:dyDescent="0.2">
      <c r="F20" t="s">
        <v>55</v>
      </c>
      <c r="G20">
        <v>791</v>
      </c>
      <c r="H20">
        <v>310</v>
      </c>
      <c r="I20">
        <v>259.21612903229999</v>
      </c>
      <c r="J20">
        <v>313</v>
      </c>
      <c r="K20">
        <v>302.06070287540001</v>
      </c>
      <c r="L20">
        <v>202</v>
      </c>
      <c r="M20">
        <v>219.2079207921</v>
      </c>
      <c r="N20">
        <v>277</v>
      </c>
      <c r="O20">
        <v>572.91335740069997</v>
      </c>
      <c r="R20">
        <v>2</v>
      </c>
      <c r="S20">
        <v>156.5</v>
      </c>
      <c r="V20" t="s">
        <v>423</v>
      </c>
      <c r="W20">
        <v>241</v>
      </c>
      <c r="X20">
        <v>108</v>
      </c>
      <c r="Y20">
        <v>187.2314814815</v>
      </c>
      <c r="Z20">
        <v>106</v>
      </c>
      <c r="AA20">
        <v>249.89622641509999</v>
      </c>
      <c r="AB20">
        <v>53</v>
      </c>
      <c r="AC20">
        <v>277.15094339619998</v>
      </c>
      <c r="AD20">
        <v>47</v>
      </c>
      <c r="AE20">
        <v>457.93617021279999</v>
      </c>
      <c r="AF20">
        <v>31</v>
      </c>
      <c r="AG20">
        <v>238.1612903226</v>
      </c>
      <c r="AH20">
        <v>2</v>
      </c>
      <c r="AI20">
        <v>563</v>
      </c>
      <c r="AL20" t="s">
        <v>423</v>
      </c>
      <c r="AM20">
        <v>2</v>
      </c>
      <c r="AN20">
        <v>1</v>
      </c>
      <c r="AO20">
        <v>220</v>
      </c>
      <c r="AP20">
        <v>1</v>
      </c>
      <c r="AQ20">
        <v>289</v>
      </c>
      <c r="AR20">
        <v>1</v>
      </c>
      <c r="AS20">
        <v>158</v>
      </c>
    </row>
    <row r="21" spans="6:49" x14ac:dyDescent="0.2">
      <c r="F21" t="s">
        <v>62</v>
      </c>
      <c r="G21">
        <v>8297</v>
      </c>
      <c r="H21">
        <v>7144</v>
      </c>
      <c r="I21">
        <v>394.49958006719999</v>
      </c>
      <c r="J21">
        <v>584</v>
      </c>
      <c r="K21">
        <v>661.85958904109998</v>
      </c>
      <c r="L21">
        <v>843</v>
      </c>
      <c r="M21">
        <v>478.92170818509999</v>
      </c>
      <c r="N21">
        <v>303</v>
      </c>
      <c r="O21">
        <v>479.04620462050002</v>
      </c>
      <c r="R21">
        <v>7</v>
      </c>
      <c r="S21">
        <v>408.71428571429999</v>
      </c>
      <c r="V21" t="s">
        <v>427</v>
      </c>
      <c r="W21">
        <v>1120</v>
      </c>
      <c r="X21">
        <v>773</v>
      </c>
      <c r="Y21">
        <v>326.71798188870002</v>
      </c>
      <c r="Z21">
        <v>151</v>
      </c>
      <c r="AA21">
        <v>365.92715231789998</v>
      </c>
      <c r="AB21">
        <v>263</v>
      </c>
      <c r="AC21">
        <v>273.39923954369999</v>
      </c>
      <c r="AD21">
        <v>48</v>
      </c>
      <c r="AE21">
        <v>516.52083333329995</v>
      </c>
      <c r="AF21">
        <v>33</v>
      </c>
      <c r="AG21">
        <v>193.21212121209999</v>
      </c>
      <c r="AH21">
        <v>3</v>
      </c>
      <c r="AI21">
        <v>377</v>
      </c>
      <c r="AL21" t="s">
        <v>427</v>
      </c>
      <c r="AM21">
        <v>9</v>
      </c>
      <c r="AN21">
        <v>8</v>
      </c>
      <c r="AO21">
        <v>199.375</v>
      </c>
      <c r="AP21">
        <v>5</v>
      </c>
      <c r="AQ21">
        <v>312</v>
      </c>
      <c r="AR21">
        <v>1</v>
      </c>
      <c r="AS21">
        <v>43</v>
      </c>
    </row>
    <row r="22" spans="6:49" x14ac:dyDescent="0.2">
      <c r="F22" t="s">
        <v>64</v>
      </c>
      <c r="G22">
        <v>6611</v>
      </c>
      <c r="H22">
        <v>5042</v>
      </c>
      <c r="I22">
        <v>431.62197540659997</v>
      </c>
      <c r="J22">
        <v>612</v>
      </c>
      <c r="K22">
        <v>623.31699346410005</v>
      </c>
      <c r="L22">
        <v>1216</v>
      </c>
      <c r="M22">
        <v>679.32565789470004</v>
      </c>
      <c r="N22">
        <v>342</v>
      </c>
      <c r="O22">
        <v>496.65204678359999</v>
      </c>
      <c r="R22">
        <v>11</v>
      </c>
      <c r="S22">
        <v>664.90909090909997</v>
      </c>
      <c r="V22" t="s">
        <v>412</v>
      </c>
      <c r="W22">
        <v>2931</v>
      </c>
      <c r="X22">
        <v>2344</v>
      </c>
      <c r="Y22">
        <v>321.84513651880002</v>
      </c>
      <c r="Z22">
        <v>359</v>
      </c>
      <c r="AA22">
        <v>515.77158774370002</v>
      </c>
      <c r="AB22">
        <v>353</v>
      </c>
      <c r="AC22">
        <v>306.045325779</v>
      </c>
      <c r="AD22">
        <v>162</v>
      </c>
      <c r="AE22">
        <v>507.03086419750002</v>
      </c>
      <c r="AF22">
        <v>69</v>
      </c>
      <c r="AG22">
        <v>249.9855072464</v>
      </c>
      <c r="AH22">
        <v>3</v>
      </c>
      <c r="AI22">
        <v>366.3333333333</v>
      </c>
      <c r="AL22" t="s">
        <v>412</v>
      </c>
      <c r="AM22">
        <v>29</v>
      </c>
      <c r="AN22">
        <v>20</v>
      </c>
      <c r="AO22">
        <v>155</v>
      </c>
      <c r="AP22">
        <v>14</v>
      </c>
      <c r="AQ22">
        <v>196.5</v>
      </c>
      <c r="AR22">
        <v>5</v>
      </c>
      <c r="AS22">
        <v>130</v>
      </c>
      <c r="AT22">
        <v>3</v>
      </c>
      <c r="AU22">
        <v>318.6666666667</v>
      </c>
      <c r="AV22">
        <v>1</v>
      </c>
      <c r="AW22">
        <v>4</v>
      </c>
    </row>
    <row r="23" spans="6:49" x14ac:dyDescent="0.2">
      <c r="F23" t="s">
        <v>73</v>
      </c>
      <c r="G23">
        <v>4546</v>
      </c>
      <c r="H23">
        <v>3362</v>
      </c>
      <c r="I23">
        <v>290.96162998220001</v>
      </c>
      <c r="J23">
        <v>816</v>
      </c>
      <c r="K23">
        <v>380.1053921569</v>
      </c>
      <c r="L23">
        <v>918</v>
      </c>
      <c r="M23">
        <v>266.9662309368</v>
      </c>
      <c r="N23">
        <v>244</v>
      </c>
      <c r="O23">
        <v>480.16803278690003</v>
      </c>
      <c r="R23">
        <v>22</v>
      </c>
      <c r="S23">
        <v>352.95454545450002</v>
      </c>
      <c r="V23" t="s">
        <v>408</v>
      </c>
      <c r="W23">
        <v>4678</v>
      </c>
      <c r="X23">
        <v>3433</v>
      </c>
      <c r="Y23">
        <v>391.1803087678</v>
      </c>
      <c r="Z23">
        <v>453</v>
      </c>
      <c r="AA23">
        <v>519.01103752760002</v>
      </c>
      <c r="AB23">
        <v>844</v>
      </c>
      <c r="AC23">
        <v>579.18246445499994</v>
      </c>
      <c r="AD23">
        <v>245</v>
      </c>
      <c r="AE23">
        <v>484.23673469390002</v>
      </c>
      <c r="AF23">
        <v>146</v>
      </c>
      <c r="AG23">
        <v>169.8287671233</v>
      </c>
      <c r="AH23">
        <v>10</v>
      </c>
      <c r="AI23">
        <v>342.6</v>
      </c>
      <c r="AL23" t="s">
        <v>408</v>
      </c>
      <c r="AM23">
        <v>36</v>
      </c>
      <c r="AN23">
        <v>30</v>
      </c>
      <c r="AO23">
        <v>148.76666666669999</v>
      </c>
      <c r="AP23">
        <v>12</v>
      </c>
      <c r="AQ23">
        <v>195.5</v>
      </c>
      <c r="AR23">
        <v>6</v>
      </c>
      <c r="AS23">
        <v>90</v>
      </c>
    </row>
    <row r="24" spans="6:49" x14ac:dyDescent="0.2">
      <c r="F24" t="s">
        <v>45</v>
      </c>
      <c r="G24">
        <v>1322</v>
      </c>
      <c r="H24">
        <v>933</v>
      </c>
      <c r="I24">
        <v>314.84137191849999</v>
      </c>
      <c r="J24">
        <v>194</v>
      </c>
      <c r="K24">
        <v>360.20618556699998</v>
      </c>
      <c r="L24">
        <v>334</v>
      </c>
      <c r="M24">
        <v>286.7604790419</v>
      </c>
      <c r="N24">
        <v>52</v>
      </c>
      <c r="O24">
        <v>561.65384615380003</v>
      </c>
      <c r="R24">
        <v>3</v>
      </c>
      <c r="S24">
        <v>377</v>
      </c>
      <c r="V24" t="s">
        <v>425</v>
      </c>
      <c r="W24">
        <v>6825</v>
      </c>
      <c r="X24">
        <v>5054</v>
      </c>
      <c r="Y24">
        <v>432.01563118320001</v>
      </c>
      <c r="Z24">
        <v>623</v>
      </c>
      <c r="AA24">
        <v>608.08828250399995</v>
      </c>
      <c r="AB24">
        <v>1223</v>
      </c>
      <c r="AC24">
        <v>654.1488143908</v>
      </c>
      <c r="AD24">
        <v>350</v>
      </c>
      <c r="AE24">
        <v>506.35714285709997</v>
      </c>
      <c r="AF24">
        <v>187</v>
      </c>
      <c r="AG24">
        <v>173.7700534759</v>
      </c>
      <c r="AH24">
        <v>11</v>
      </c>
      <c r="AI24">
        <v>742</v>
      </c>
      <c r="AL24" t="s">
        <v>425</v>
      </c>
      <c r="AM24">
        <v>50</v>
      </c>
      <c r="AN24">
        <v>39</v>
      </c>
      <c r="AO24">
        <v>178.79487179489999</v>
      </c>
      <c r="AP24">
        <v>39</v>
      </c>
      <c r="AQ24">
        <v>265.51282051279998</v>
      </c>
      <c r="AR24">
        <v>8</v>
      </c>
      <c r="AS24">
        <v>62.875</v>
      </c>
      <c r="AT24">
        <v>3</v>
      </c>
      <c r="AU24">
        <v>188</v>
      </c>
    </row>
    <row r="25" spans="6:49" x14ac:dyDescent="0.2">
      <c r="F25" t="s">
        <v>66</v>
      </c>
      <c r="G25">
        <v>4583</v>
      </c>
      <c r="H25">
        <v>3477</v>
      </c>
      <c r="I25">
        <v>397.32297958010003</v>
      </c>
      <c r="J25">
        <v>450</v>
      </c>
      <c r="K25">
        <v>516.30888888890001</v>
      </c>
      <c r="L25">
        <v>846</v>
      </c>
      <c r="M25">
        <v>589.66903073289996</v>
      </c>
      <c r="N25">
        <v>248</v>
      </c>
      <c r="O25">
        <v>529.74193548389997</v>
      </c>
      <c r="R25">
        <v>12</v>
      </c>
      <c r="S25">
        <v>350.1666666667</v>
      </c>
      <c r="V25" t="s">
        <v>406</v>
      </c>
      <c r="W25">
        <v>17899</v>
      </c>
      <c r="X25">
        <v>14503</v>
      </c>
      <c r="Y25">
        <v>333.6678618217</v>
      </c>
      <c r="Z25">
        <v>2153</v>
      </c>
      <c r="AA25">
        <v>493.27496516489998</v>
      </c>
      <c r="AB25">
        <v>1886</v>
      </c>
      <c r="AC25">
        <v>350.49469777309997</v>
      </c>
      <c r="AD25">
        <v>760</v>
      </c>
      <c r="AE25">
        <v>412.10789473680001</v>
      </c>
      <c r="AF25">
        <v>737</v>
      </c>
      <c r="AG25">
        <v>180.27951153320001</v>
      </c>
      <c r="AH25">
        <v>13</v>
      </c>
      <c r="AI25">
        <v>357.84615384620002</v>
      </c>
      <c r="AL25" t="s">
        <v>406</v>
      </c>
      <c r="AM25">
        <v>256</v>
      </c>
      <c r="AN25">
        <v>183</v>
      </c>
      <c r="AO25">
        <v>154.97814207650001</v>
      </c>
      <c r="AP25">
        <v>135</v>
      </c>
      <c r="AQ25">
        <v>229.2518518519</v>
      </c>
      <c r="AR25">
        <v>62</v>
      </c>
      <c r="AS25">
        <v>136.435483871</v>
      </c>
      <c r="AT25">
        <v>11</v>
      </c>
      <c r="AU25">
        <v>223.36363636359999</v>
      </c>
    </row>
    <row r="26" spans="6:49" x14ac:dyDescent="0.2">
      <c r="F26" t="s">
        <v>32</v>
      </c>
      <c r="G26">
        <v>168</v>
      </c>
      <c r="H26">
        <v>81</v>
      </c>
      <c r="I26">
        <v>172.75308641980001</v>
      </c>
      <c r="J26">
        <v>121</v>
      </c>
      <c r="K26">
        <v>275.06611570249999</v>
      </c>
      <c r="L26">
        <v>40</v>
      </c>
      <c r="M26">
        <v>121.6</v>
      </c>
      <c r="N26">
        <v>45</v>
      </c>
      <c r="O26">
        <v>483.86666666669998</v>
      </c>
      <c r="R26">
        <v>2</v>
      </c>
      <c r="S26">
        <v>563</v>
      </c>
      <c r="V26" t="s">
        <v>404</v>
      </c>
      <c r="W26">
        <v>1641</v>
      </c>
      <c r="X26">
        <v>1202</v>
      </c>
      <c r="Y26">
        <v>307.38602329449998</v>
      </c>
      <c r="Z26">
        <v>297</v>
      </c>
      <c r="AA26">
        <v>366.50505050509997</v>
      </c>
      <c r="AB26">
        <v>314</v>
      </c>
      <c r="AC26">
        <v>262.78662420379999</v>
      </c>
      <c r="AD26">
        <v>56</v>
      </c>
      <c r="AE26">
        <v>302.30357142859998</v>
      </c>
      <c r="AF26">
        <v>67</v>
      </c>
      <c r="AG26">
        <v>209.56716417909999</v>
      </c>
      <c r="AH26">
        <v>2</v>
      </c>
      <c r="AI26">
        <v>90.5</v>
      </c>
      <c r="AL26" t="s">
        <v>404</v>
      </c>
      <c r="AM26">
        <v>15</v>
      </c>
      <c r="AN26">
        <v>11</v>
      </c>
      <c r="AO26">
        <v>103.7272727273</v>
      </c>
      <c r="AP26">
        <v>9</v>
      </c>
      <c r="AQ26">
        <v>224.1111111111</v>
      </c>
      <c r="AR26">
        <v>4</v>
      </c>
      <c r="AS26">
        <v>48.25</v>
      </c>
    </row>
    <row r="27" spans="6:49" x14ac:dyDescent="0.2">
      <c r="F27" t="s">
        <v>71</v>
      </c>
      <c r="G27">
        <v>3696</v>
      </c>
      <c r="H27">
        <v>3413</v>
      </c>
      <c r="I27">
        <v>231.06768239089999</v>
      </c>
      <c r="J27">
        <v>894</v>
      </c>
      <c r="K27">
        <v>397.73713646530001</v>
      </c>
      <c r="L27">
        <v>133</v>
      </c>
      <c r="M27">
        <v>87</v>
      </c>
      <c r="N27">
        <v>147</v>
      </c>
      <c r="O27">
        <v>241.91156462590001</v>
      </c>
      <c r="R27">
        <v>3</v>
      </c>
      <c r="S27">
        <v>233</v>
      </c>
      <c r="V27" t="s">
        <v>80</v>
      </c>
      <c r="W27">
        <v>4806</v>
      </c>
      <c r="X27">
        <v>3428</v>
      </c>
      <c r="Y27">
        <v>298.51312718790001</v>
      </c>
      <c r="Z27">
        <v>827</v>
      </c>
      <c r="AA27">
        <v>388.88270858520002</v>
      </c>
      <c r="AB27">
        <v>940</v>
      </c>
      <c r="AC27">
        <v>280.46595744680002</v>
      </c>
      <c r="AD27">
        <v>253</v>
      </c>
      <c r="AE27">
        <v>505.76284584979999</v>
      </c>
      <c r="AF27">
        <v>164</v>
      </c>
      <c r="AG27">
        <v>176.39024390239999</v>
      </c>
      <c r="AH27">
        <v>21</v>
      </c>
      <c r="AI27">
        <v>323.3333333333</v>
      </c>
      <c r="AL27" t="s">
        <v>80</v>
      </c>
      <c r="AM27">
        <v>49</v>
      </c>
      <c r="AN27">
        <v>36</v>
      </c>
      <c r="AO27">
        <v>158.3888888889</v>
      </c>
      <c r="AP27">
        <v>29</v>
      </c>
      <c r="AQ27">
        <v>249.7586206897</v>
      </c>
      <c r="AR27">
        <v>9</v>
      </c>
      <c r="AS27">
        <v>112.55555555559999</v>
      </c>
      <c r="AT27">
        <v>4</v>
      </c>
      <c r="AU27">
        <v>160.75</v>
      </c>
    </row>
    <row r="28" spans="6:49" x14ac:dyDescent="0.2">
      <c r="F28" t="s">
        <v>31</v>
      </c>
      <c r="G28">
        <v>1470</v>
      </c>
      <c r="H28">
        <v>1141</v>
      </c>
      <c r="I28">
        <v>296.89132340050003</v>
      </c>
      <c r="J28">
        <v>326</v>
      </c>
      <c r="K28">
        <v>377.15337423310001</v>
      </c>
      <c r="L28">
        <v>282</v>
      </c>
      <c r="M28">
        <v>221.3333333333</v>
      </c>
      <c r="N28">
        <v>45</v>
      </c>
      <c r="O28">
        <v>217.91111111110001</v>
      </c>
      <c r="R28">
        <v>2</v>
      </c>
      <c r="S28">
        <v>90.5</v>
      </c>
      <c r="V28" t="s">
        <v>403</v>
      </c>
      <c r="W28">
        <v>40986</v>
      </c>
      <c r="X28">
        <v>31350</v>
      </c>
      <c r="Y28">
        <v>348.29186602869999</v>
      </c>
      <c r="Z28">
        <v>5105</v>
      </c>
      <c r="AA28">
        <v>474.89813907929999</v>
      </c>
      <c r="AB28">
        <v>6006</v>
      </c>
      <c r="AC28">
        <v>419.86213786209998</v>
      </c>
      <c r="AD28">
        <v>2060</v>
      </c>
      <c r="AE28">
        <v>465.52621359220001</v>
      </c>
      <c r="AF28">
        <v>1502</v>
      </c>
      <c r="AG28">
        <v>184.2037283622</v>
      </c>
      <c r="AH28">
        <v>68</v>
      </c>
      <c r="AI28">
        <v>400.5735294118</v>
      </c>
      <c r="AL28" t="s">
        <v>403</v>
      </c>
      <c r="AM28">
        <v>452</v>
      </c>
      <c r="AN28">
        <v>331</v>
      </c>
      <c r="AO28">
        <v>156.56193353469999</v>
      </c>
      <c r="AP28">
        <v>248</v>
      </c>
      <c r="AQ28">
        <v>236.16532258059999</v>
      </c>
      <c r="AR28">
        <v>99</v>
      </c>
      <c r="AS28">
        <v>119.74747474749999</v>
      </c>
      <c r="AT28">
        <v>21</v>
      </c>
      <c r="AU28">
        <v>220</v>
      </c>
      <c r="AV28">
        <v>1</v>
      </c>
      <c r="AW28">
        <v>4</v>
      </c>
    </row>
    <row r="29" spans="6:49" x14ac:dyDescent="0.2">
      <c r="F29" t="s">
        <v>52</v>
      </c>
      <c r="G29">
        <v>4888</v>
      </c>
      <c r="H29">
        <v>3798</v>
      </c>
      <c r="I29">
        <v>305.7343338599</v>
      </c>
      <c r="J29">
        <v>658</v>
      </c>
      <c r="K29">
        <v>467.82978723399998</v>
      </c>
      <c r="L29">
        <v>828</v>
      </c>
      <c r="M29">
        <v>237.9214975845</v>
      </c>
      <c r="N29">
        <v>262</v>
      </c>
      <c r="O29">
        <v>409.08778625949998</v>
      </c>
      <c r="V29" t="s">
        <v>387</v>
      </c>
      <c r="W29">
        <v>9730</v>
      </c>
      <c r="X29">
        <v>4598</v>
      </c>
      <c r="Y29">
        <v>257.20491624969998</v>
      </c>
      <c r="Z29">
        <v>710</v>
      </c>
      <c r="AA29">
        <v>554.32112676060001</v>
      </c>
      <c r="AB29">
        <v>3496</v>
      </c>
      <c r="AC29">
        <v>549.46567505719997</v>
      </c>
      <c r="AD29">
        <v>1100</v>
      </c>
      <c r="AE29">
        <v>446.35486806189999</v>
      </c>
      <c r="AF29">
        <v>523</v>
      </c>
      <c r="AG29">
        <v>182.1491395793</v>
      </c>
      <c r="AH29">
        <v>13</v>
      </c>
      <c r="AI29">
        <v>512.76923076920002</v>
      </c>
      <c r="AL29" t="s">
        <v>387</v>
      </c>
      <c r="AM29">
        <v>247</v>
      </c>
      <c r="AN29">
        <v>172</v>
      </c>
      <c r="AO29">
        <v>357.18604651160001</v>
      </c>
      <c r="AP29">
        <v>26</v>
      </c>
      <c r="AQ29">
        <v>490.57692307690002</v>
      </c>
      <c r="AR29">
        <v>63</v>
      </c>
      <c r="AS29">
        <v>351.53968253969998</v>
      </c>
      <c r="AT29">
        <v>11</v>
      </c>
      <c r="AU29">
        <v>339.63636363640001</v>
      </c>
      <c r="AV29">
        <v>1</v>
      </c>
      <c r="AW29">
        <v>2334</v>
      </c>
    </row>
    <row r="30" spans="6:49" x14ac:dyDescent="0.2">
      <c r="F30" t="s">
        <v>403</v>
      </c>
      <c r="G30">
        <v>40026</v>
      </c>
      <c r="H30">
        <v>31584</v>
      </c>
      <c r="I30">
        <v>345.27349290780001</v>
      </c>
      <c r="J30">
        <v>5470</v>
      </c>
      <c r="K30">
        <v>462.10292504569998</v>
      </c>
      <c r="L30">
        <v>6100</v>
      </c>
      <c r="M30">
        <v>410.478852459</v>
      </c>
      <c r="N30">
        <v>2271</v>
      </c>
      <c r="O30">
        <v>480.71114046679998</v>
      </c>
      <c r="R30">
        <v>71</v>
      </c>
      <c r="S30">
        <v>388.28169014079998</v>
      </c>
      <c r="V30" t="s">
        <v>424</v>
      </c>
      <c r="W30">
        <v>31052</v>
      </c>
      <c r="X30">
        <v>26340</v>
      </c>
      <c r="Y30">
        <v>465.06894980639998</v>
      </c>
      <c r="Z30">
        <v>2540</v>
      </c>
      <c r="AA30">
        <v>700.02007874020001</v>
      </c>
      <c r="AB30">
        <v>1206</v>
      </c>
      <c r="AC30">
        <v>258.75041459369999</v>
      </c>
      <c r="AD30">
        <v>2361</v>
      </c>
      <c r="AE30">
        <v>353.33460398139999</v>
      </c>
      <c r="AF30">
        <v>1104</v>
      </c>
      <c r="AG30">
        <v>170.01358695650001</v>
      </c>
      <c r="AH30">
        <v>41</v>
      </c>
      <c r="AI30">
        <v>306.36585365849999</v>
      </c>
      <c r="AL30" t="s">
        <v>424</v>
      </c>
      <c r="AM30">
        <v>300</v>
      </c>
      <c r="AN30">
        <v>202</v>
      </c>
      <c r="AO30">
        <v>182.9455445545</v>
      </c>
      <c r="AP30">
        <v>152</v>
      </c>
      <c r="AQ30">
        <v>404.59210526319998</v>
      </c>
      <c r="AR30">
        <v>88</v>
      </c>
      <c r="AS30">
        <v>140.6931818182</v>
      </c>
      <c r="AT30">
        <v>10</v>
      </c>
      <c r="AU30">
        <v>282.5</v>
      </c>
    </row>
    <row r="31" spans="6:49" x14ac:dyDescent="0.2">
      <c r="F31" t="s">
        <v>25</v>
      </c>
      <c r="G31">
        <v>17983</v>
      </c>
      <c r="H31">
        <v>16026</v>
      </c>
      <c r="I31">
        <v>529.68900536629997</v>
      </c>
      <c r="J31">
        <v>1119</v>
      </c>
      <c r="K31">
        <v>810.83199285080002</v>
      </c>
      <c r="L31">
        <v>1025</v>
      </c>
      <c r="M31">
        <v>296.45268292679998</v>
      </c>
      <c r="N31">
        <v>892</v>
      </c>
      <c r="O31">
        <v>360.60854893139998</v>
      </c>
      <c r="R31">
        <v>40</v>
      </c>
      <c r="S31">
        <v>396.52499999999998</v>
      </c>
      <c r="V31" t="s">
        <v>380</v>
      </c>
      <c r="W31">
        <v>18857</v>
      </c>
      <c r="X31">
        <v>16153</v>
      </c>
      <c r="Y31">
        <v>527.04773107159997</v>
      </c>
      <c r="Z31">
        <v>1309</v>
      </c>
      <c r="AA31">
        <v>786.54010695190004</v>
      </c>
      <c r="AB31">
        <v>1212</v>
      </c>
      <c r="AC31">
        <v>312.251650165</v>
      </c>
      <c r="AD31">
        <v>945</v>
      </c>
      <c r="AE31">
        <v>360.9713375796</v>
      </c>
      <c r="AF31">
        <v>509</v>
      </c>
      <c r="AG31">
        <v>169.34055118110001</v>
      </c>
      <c r="AH31">
        <v>38</v>
      </c>
      <c r="AI31">
        <v>380.36842105260001</v>
      </c>
      <c r="AL31" t="s">
        <v>380</v>
      </c>
      <c r="AM31">
        <v>189</v>
      </c>
      <c r="AN31">
        <v>117</v>
      </c>
      <c r="AO31">
        <v>220.41025641030001</v>
      </c>
      <c r="AP31">
        <v>87</v>
      </c>
      <c r="AQ31">
        <v>393.03448275860001</v>
      </c>
      <c r="AR31">
        <v>53</v>
      </c>
      <c r="AS31">
        <v>178.75471698109999</v>
      </c>
      <c r="AT31">
        <v>19</v>
      </c>
      <c r="AU31">
        <v>396.15789473680002</v>
      </c>
    </row>
    <row r="32" spans="6:49" x14ac:dyDescent="0.2">
      <c r="F32" t="s">
        <v>39</v>
      </c>
      <c r="G32">
        <v>13010</v>
      </c>
      <c r="H32">
        <v>10479</v>
      </c>
      <c r="I32">
        <v>421.22456575680002</v>
      </c>
      <c r="J32">
        <v>630</v>
      </c>
      <c r="K32">
        <v>718.81746031750004</v>
      </c>
      <c r="L32">
        <v>1645</v>
      </c>
      <c r="M32">
        <v>466.44924012159998</v>
      </c>
      <c r="N32">
        <v>854</v>
      </c>
      <c r="O32">
        <v>554.43793911010005</v>
      </c>
      <c r="R32">
        <v>32</v>
      </c>
      <c r="S32">
        <v>444.9375</v>
      </c>
      <c r="V32" t="s">
        <v>392</v>
      </c>
      <c r="W32">
        <v>3148</v>
      </c>
      <c r="X32">
        <v>1957</v>
      </c>
      <c r="Y32">
        <v>395.6913643332</v>
      </c>
      <c r="Z32">
        <v>483</v>
      </c>
      <c r="AA32">
        <v>473.61283643889999</v>
      </c>
      <c r="AB32">
        <v>594</v>
      </c>
      <c r="AC32">
        <v>473.4074074074</v>
      </c>
      <c r="AD32">
        <v>467</v>
      </c>
      <c r="AE32">
        <v>659.75802997860001</v>
      </c>
      <c r="AF32">
        <v>118</v>
      </c>
      <c r="AG32">
        <v>185.77966101690001</v>
      </c>
      <c r="AH32">
        <v>12</v>
      </c>
      <c r="AI32">
        <v>617.66666666670005</v>
      </c>
      <c r="AL32" t="s">
        <v>392</v>
      </c>
      <c r="AM32">
        <v>101</v>
      </c>
      <c r="AN32">
        <v>67</v>
      </c>
      <c r="AO32">
        <v>356.25373134329999</v>
      </c>
      <c r="AP32">
        <v>14</v>
      </c>
      <c r="AQ32">
        <v>575.28571428570001</v>
      </c>
      <c r="AR32">
        <v>32</v>
      </c>
      <c r="AS32">
        <v>295.125</v>
      </c>
      <c r="AT32">
        <v>2</v>
      </c>
      <c r="AU32">
        <v>163</v>
      </c>
    </row>
    <row r="33" spans="6:49" x14ac:dyDescent="0.2">
      <c r="F33" t="s">
        <v>72</v>
      </c>
      <c r="G33">
        <v>4930</v>
      </c>
      <c r="H33">
        <v>2352</v>
      </c>
      <c r="I33">
        <v>341.56571671630002</v>
      </c>
      <c r="J33">
        <v>539</v>
      </c>
      <c r="K33">
        <v>503.9387755102</v>
      </c>
      <c r="L33">
        <v>1757</v>
      </c>
      <c r="M33">
        <v>612.95845190670002</v>
      </c>
      <c r="N33">
        <v>812</v>
      </c>
      <c r="O33">
        <v>723.51231527089999</v>
      </c>
      <c r="R33">
        <v>9</v>
      </c>
      <c r="S33">
        <v>600.66666666670005</v>
      </c>
      <c r="V33" t="s">
        <v>383</v>
      </c>
      <c r="W33">
        <v>7259</v>
      </c>
      <c r="X33">
        <v>4730</v>
      </c>
      <c r="Y33">
        <v>286.5012684989</v>
      </c>
      <c r="Z33">
        <v>559</v>
      </c>
      <c r="AA33">
        <v>521.13416815740004</v>
      </c>
      <c r="AB33">
        <v>1498</v>
      </c>
      <c r="AC33">
        <v>319.84245660879998</v>
      </c>
      <c r="AD33">
        <v>658</v>
      </c>
      <c r="AE33">
        <v>428.78875379940001</v>
      </c>
      <c r="AF33">
        <v>366</v>
      </c>
      <c r="AG33">
        <v>201.7486338798</v>
      </c>
      <c r="AH33">
        <v>7</v>
      </c>
      <c r="AI33">
        <v>440.71428571429999</v>
      </c>
      <c r="AL33" t="s">
        <v>383</v>
      </c>
      <c r="AM33">
        <v>241</v>
      </c>
      <c r="AN33">
        <v>169</v>
      </c>
      <c r="AO33">
        <v>334.42603550299998</v>
      </c>
      <c r="AP33">
        <v>19</v>
      </c>
      <c r="AQ33">
        <v>538.26315789470004</v>
      </c>
      <c r="AR33">
        <v>68</v>
      </c>
      <c r="AS33">
        <v>291.9264705882</v>
      </c>
      <c r="AT33">
        <v>4</v>
      </c>
      <c r="AU33">
        <v>448.75</v>
      </c>
    </row>
    <row r="34" spans="6:49" x14ac:dyDescent="0.2">
      <c r="F34" t="s">
        <v>58</v>
      </c>
      <c r="G34">
        <v>6729</v>
      </c>
      <c r="H34">
        <v>4618</v>
      </c>
      <c r="I34">
        <v>274.65569510609998</v>
      </c>
      <c r="J34">
        <v>541</v>
      </c>
      <c r="K34">
        <v>512.19038817010005</v>
      </c>
      <c r="L34">
        <v>1447</v>
      </c>
      <c r="M34">
        <v>298.34139599169998</v>
      </c>
      <c r="N34">
        <v>656</v>
      </c>
      <c r="O34">
        <v>432.88719512199998</v>
      </c>
      <c r="R34">
        <v>8</v>
      </c>
      <c r="S34">
        <v>391.125</v>
      </c>
      <c r="V34" t="s">
        <v>426</v>
      </c>
      <c r="W34">
        <v>5180</v>
      </c>
      <c r="X34">
        <v>2389</v>
      </c>
      <c r="Y34">
        <v>334.97696817420001</v>
      </c>
      <c r="Z34">
        <v>522</v>
      </c>
      <c r="AA34">
        <v>492.9789272031</v>
      </c>
      <c r="AB34">
        <v>1727</v>
      </c>
      <c r="AC34">
        <v>611.3491603937</v>
      </c>
      <c r="AD34">
        <v>791</v>
      </c>
      <c r="AE34">
        <v>714.2326169406</v>
      </c>
      <c r="AF34">
        <v>266</v>
      </c>
      <c r="AG34">
        <v>193.42105263159999</v>
      </c>
      <c r="AH34">
        <v>7</v>
      </c>
      <c r="AI34">
        <v>451.42857142859998</v>
      </c>
      <c r="AL34" t="s">
        <v>426</v>
      </c>
      <c r="AM34">
        <v>77</v>
      </c>
      <c r="AN34">
        <v>44</v>
      </c>
      <c r="AO34">
        <v>160.0227272727</v>
      </c>
      <c r="AP34">
        <v>23</v>
      </c>
      <c r="AQ34">
        <v>374.13043478259999</v>
      </c>
      <c r="AR34">
        <v>27</v>
      </c>
      <c r="AS34">
        <v>128.8888888889</v>
      </c>
      <c r="AT34">
        <v>6</v>
      </c>
      <c r="AU34">
        <v>171.8333333333</v>
      </c>
    </row>
    <row r="35" spans="6:49" x14ac:dyDescent="0.2">
      <c r="F35" t="s">
        <v>53</v>
      </c>
      <c r="G35">
        <v>2906</v>
      </c>
      <c r="H35">
        <v>1856</v>
      </c>
      <c r="I35">
        <v>385.95204741380002</v>
      </c>
      <c r="J35">
        <v>468</v>
      </c>
      <c r="K35">
        <v>468.59188034189998</v>
      </c>
      <c r="L35">
        <v>576</v>
      </c>
      <c r="M35">
        <v>453.7309027778</v>
      </c>
      <c r="N35">
        <v>463</v>
      </c>
      <c r="O35">
        <v>642.93520518360003</v>
      </c>
      <c r="R35">
        <v>11</v>
      </c>
      <c r="S35">
        <v>651.09090909090003</v>
      </c>
      <c r="V35" t="s">
        <v>382</v>
      </c>
      <c r="W35">
        <v>13323</v>
      </c>
      <c r="X35">
        <v>10356</v>
      </c>
      <c r="Y35">
        <v>422.5248672139</v>
      </c>
      <c r="Z35">
        <v>625</v>
      </c>
      <c r="AA35">
        <v>715.28800000000001</v>
      </c>
      <c r="AB35">
        <v>1696</v>
      </c>
      <c r="AC35">
        <v>467.26297169809999</v>
      </c>
      <c r="AD35">
        <v>852</v>
      </c>
      <c r="AE35">
        <v>545.95657276999998</v>
      </c>
      <c r="AF35">
        <v>389</v>
      </c>
      <c r="AG35">
        <v>158.25964010280001</v>
      </c>
      <c r="AH35">
        <v>30</v>
      </c>
      <c r="AI35">
        <v>407.86666666669998</v>
      </c>
      <c r="AL35" t="s">
        <v>382</v>
      </c>
      <c r="AM35">
        <v>123</v>
      </c>
      <c r="AN35">
        <v>84</v>
      </c>
      <c r="AO35">
        <v>198.38095238099999</v>
      </c>
      <c r="AP35">
        <v>51</v>
      </c>
      <c r="AQ35">
        <v>344.4705882353</v>
      </c>
      <c r="AR35">
        <v>31</v>
      </c>
      <c r="AS35">
        <v>215.5806451613</v>
      </c>
      <c r="AT35">
        <v>8</v>
      </c>
      <c r="AU35">
        <v>397.25</v>
      </c>
    </row>
    <row r="36" spans="6:49" x14ac:dyDescent="0.2">
      <c r="F36" t="s">
        <v>57</v>
      </c>
      <c r="G36">
        <v>9191</v>
      </c>
      <c r="H36">
        <v>4500</v>
      </c>
      <c r="I36">
        <v>241.9731051345</v>
      </c>
      <c r="J36">
        <v>713</v>
      </c>
      <c r="K36">
        <v>552.59747545580001</v>
      </c>
      <c r="L36">
        <v>3559</v>
      </c>
      <c r="M36">
        <v>548.05507164929998</v>
      </c>
      <c r="N36">
        <v>1121</v>
      </c>
      <c r="O36">
        <v>439.63571428569998</v>
      </c>
      <c r="R36">
        <v>11</v>
      </c>
      <c r="S36">
        <v>442.72727272729998</v>
      </c>
      <c r="V36" t="s">
        <v>379</v>
      </c>
      <c r="W36">
        <v>88549</v>
      </c>
      <c r="X36">
        <v>66523</v>
      </c>
      <c r="Y36">
        <v>439.72230073060001</v>
      </c>
      <c r="Z36">
        <v>6748</v>
      </c>
      <c r="AA36">
        <v>655.84751037340004</v>
      </c>
      <c r="AB36">
        <v>11429</v>
      </c>
      <c r="AC36">
        <v>456.73637238600003</v>
      </c>
      <c r="AD36">
        <v>7174</v>
      </c>
      <c r="AE36">
        <v>458.1820083682</v>
      </c>
      <c r="AF36">
        <v>3275</v>
      </c>
      <c r="AG36">
        <v>176.46884544900001</v>
      </c>
      <c r="AH36">
        <v>148</v>
      </c>
      <c r="AI36">
        <v>402.52702702699997</v>
      </c>
      <c r="AL36" t="s">
        <v>379</v>
      </c>
      <c r="AM36">
        <v>1278</v>
      </c>
      <c r="AN36">
        <v>855</v>
      </c>
      <c r="AO36">
        <v>266.98362573100002</v>
      </c>
      <c r="AP36">
        <v>372</v>
      </c>
      <c r="AQ36">
        <v>411.02419354839998</v>
      </c>
      <c r="AR36">
        <v>362</v>
      </c>
      <c r="AS36">
        <v>230.55248618780001</v>
      </c>
      <c r="AT36">
        <v>60</v>
      </c>
      <c r="AU36">
        <v>340.3</v>
      </c>
      <c r="AV36">
        <v>1</v>
      </c>
      <c r="AW36">
        <v>2334</v>
      </c>
    </row>
    <row r="37" spans="6:49" x14ac:dyDescent="0.2">
      <c r="F37" t="s">
        <v>77</v>
      </c>
      <c r="G37">
        <v>29494</v>
      </c>
      <c r="H37">
        <v>26235</v>
      </c>
      <c r="I37">
        <v>463.60591621240002</v>
      </c>
      <c r="J37">
        <v>2101</v>
      </c>
      <c r="K37">
        <v>737.33603046170003</v>
      </c>
      <c r="L37">
        <v>896</v>
      </c>
      <c r="M37">
        <v>175.00111607139999</v>
      </c>
      <c r="N37">
        <v>2324</v>
      </c>
      <c r="O37">
        <v>338.08950086060003</v>
      </c>
      <c r="R37">
        <v>39</v>
      </c>
      <c r="S37">
        <v>285.3333333333</v>
      </c>
      <c r="V37" t="s">
        <v>405</v>
      </c>
      <c r="W37">
        <v>549</v>
      </c>
      <c r="X37">
        <v>271</v>
      </c>
      <c r="Y37">
        <v>128.9335793358</v>
      </c>
      <c r="Z37">
        <v>271</v>
      </c>
      <c r="AA37">
        <v>220.01476014759999</v>
      </c>
      <c r="AB37">
        <v>127</v>
      </c>
      <c r="AC37">
        <v>194.69291338580001</v>
      </c>
      <c r="AD37">
        <v>86</v>
      </c>
      <c r="AE37">
        <v>248.32558139529999</v>
      </c>
      <c r="AF37">
        <v>56</v>
      </c>
      <c r="AG37">
        <v>201.5</v>
      </c>
      <c r="AH37">
        <v>9</v>
      </c>
      <c r="AI37">
        <v>267.2222222222</v>
      </c>
      <c r="AL37" t="s">
        <v>405</v>
      </c>
      <c r="AM37">
        <v>16</v>
      </c>
      <c r="AN37">
        <v>14</v>
      </c>
      <c r="AO37">
        <v>108.2142857143</v>
      </c>
      <c r="AP37">
        <v>6</v>
      </c>
      <c r="AQ37">
        <v>223</v>
      </c>
      <c r="AR37">
        <v>1</v>
      </c>
      <c r="AS37">
        <v>15</v>
      </c>
      <c r="AT37">
        <v>1</v>
      </c>
      <c r="AU37">
        <v>250</v>
      </c>
    </row>
    <row r="38" spans="6:49" x14ac:dyDescent="0.2">
      <c r="F38" t="s">
        <v>379</v>
      </c>
      <c r="G38">
        <v>84243</v>
      </c>
      <c r="H38">
        <v>66066</v>
      </c>
      <c r="I38">
        <v>438.08761599130003</v>
      </c>
      <c r="J38">
        <v>6111</v>
      </c>
      <c r="K38">
        <v>666.23138602519998</v>
      </c>
      <c r="L38">
        <v>10905</v>
      </c>
      <c r="M38">
        <v>453.78441082069997</v>
      </c>
      <c r="N38">
        <v>7122</v>
      </c>
      <c r="O38">
        <v>455.37060972180001</v>
      </c>
      <c r="R38">
        <v>150</v>
      </c>
      <c r="S38">
        <v>411.96</v>
      </c>
      <c r="V38" t="s">
        <v>409</v>
      </c>
      <c r="W38">
        <v>41835</v>
      </c>
      <c r="X38">
        <v>29744</v>
      </c>
      <c r="Y38">
        <v>466.34111081229997</v>
      </c>
      <c r="Z38">
        <v>2926</v>
      </c>
      <c r="AA38">
        <v>686.66302118930003</v>
      </c>
      <c r="AB38">
        <v>8803</v>
      </c>
      <c r="AC38">
        <v>677.09848915140003</v>
      </c>
      <c r="AD38">
        <v>2009</v>
      </c>
      <c r="AE38">
        <v>535.88346613550004</v>
      </c>
      <c r="AF38">
        <v>1229</v>
      </c>
      <c r="AG38">
        <v>194.737184703</v>
      </c>
      <c r="AH38">
        <v>50</v>
      </c>
      <c r="AI38">
        <v>540.48</v>
      </c>
      <c r="AL38" t="s">
        <v>409</v>
      </c>
      <c r="AM38">
        <v>249</v>
      </c>
      <c r="AN38">
        <v>171</v>
      </c>
      <c r="AO38">
        <v>224.17543859649999</v>
      </c>
      <c r="AP38">
        <v>143</v>
      </c>
      <c r="AQ38">
        <v>301.36363636359999</v>
      </c>
      <c r="AR38">
        <v>68</v>
      </c>
      <c r="AS38">
        <v>231.8676470588</v>
      </c>
      <c r="AT38">
        <v>10</v>
      </c>
      <c r="AU38">
        <v>190.5</v>
      </c>
    </row>
    <row r="39" spans="6:49" x14ac:dyDescent="0.2">
      <c r="F39" t="s">
        <v>79</v>
      </c>
      <c r="G39">
        <v>20207</v>
      </c>
      <c r="H39">
        <v>15623</v>
      </c>
      <c r="I39">
        <v>412.29987838440002</v>
      </c>
      <c r="J39">
        <v>1241</v>
      </c>
      <c r="K39">
        <v>763.13940370670002</v>
      </c>
      <c r="L39">
        <v>3758</v>
      </c>
      <c r="M39">
        <v>651.61522086219998</v>
      </c>
      <c r="N39">
        <v>798</v>
      </c>
      <c r="O39">
        <v>404.18546365909998</v>
      </c>
      <c r="R39">
        <v>28</v>
      </c>
      <c r="S39">
        <v>373.35714285709997</v>
      </c>
      <c r="V39" t="s">
        <v>417</v>
      </c>
      <c r="W39">
        <v>325</v>
      </c>
      <c r="X39">
        <v>178</v>
      </c>
      <c r="Y39">
        <v>195.18539325840001</v>
      </c>
      <c r="Z39">
        <v>137</v>
      </c>
      <c r="AA39">
        <v>229.0437956204</v>
      </c>
      <c r="AB39">
        <v>82</v>
      </c>
      <c r="AC39">
        <v>240.5243902439</v>
      </c>
      <c r="AD39">
        <v>41</v>
      </c>
      <c r="AE39">
        <v>354.02439024389997</v>
      </c>
      <c r="AF39">
        <v>22</v>
      </c>
      <c r="AG39">
        <v>182.0909090909</v>
      </c>
      <c r="AH39">
        <v>2</v>
      </c>
      <c r="AI39">
        <v>501</v>
      </c>
      <c r="AL39" t="s">
        <v>417</v>
      </c>
      <c r="AM39">
        <v>4</v>
      </c>
      <c r="AN39">
        <v>3</v>
      </c>
      <c r="AO39">
        <v>111.6666666667</v>
      </c>
      <c r="AP39">
        <v>2</v>
      </c>
      <c r="AQ39">
        <v>188</v>
      </c>
      <c r="AR39">
        <v>1</v>
      </c>
      <c r="AS39">
        <v>123</v>
      </c>
    </row>
    <row r="40" spans="6:49" x14ac:dyDescent="0.2">
      <c r="F40" t="s">
        <v>40</v>
      </c>
      <c r="G40">
        <v>6375</v>
      </c>
      <c r="H40">
        <v>3859</v>
      </c>
      <c r="I40">
        <v>297.46903342830001</v>
      </c>
      <c r="J40">
        <v>306</v>
      </c>
      <c r="K40">
        <v>485.1503267974</v>
      </c>
      <c r="L40">
        <v>2117</v>
      </c>
      <c r="M40">
        <v>802.82947567309998</v>
      </c>
      <c r="N40">
        <v>383</v>
      </c>
      <c r="O40">
        <v>377.51958224539999</v>
      </c>
      <c r="R40">
        <v>16</v>
      </c>
      <c r="S40">
        <v>438.3125</v>
      </c>
      <c r="V40" t="s">
        <v>420</v>
      </c>
      <c r="W40">
        <v>200</v>
      </c>
      <c r="X40">
        <v>87</v>
      </c>
      <c r="Y40">
        <v>282.13793103450001</v>
      </c>
      <c r="Z40">
        <v>57</v>
      </c>
      <c r="AA40">
        <v>271.98245614040002</v>
      </c>
      <c r="AB40">
        <v>70</v>
      </c>
      <c r="AC40">
        <v>321.89999999999998</v>
      </c>
      <c r="AD40">
        <v>17</v>
      </c>
      <c r="AE40">
        <v>341.4705882353</v>
      </c>
      <c r="AF40">
        <v>25</v>
      </c>
      <c r="AG40">
        <v>181.6</v>
      </c>
      <c r="AH40">
        <v>1</v>
      </c>
      <c r="AI40">
        <v>537</v>
      </c>
      <c r="AL40" t="s">
        <v>420</v>
      </c>
      <c r="AM40">
        <v>3</v>
      </c>
      <c r="AN40">
        <v>1</v>
      </c>
      <c r="AO40">
        <v>58</v>
      </c>
      <c r="AP40">
        <v>2</v>
      </c>
      <c r="AQ40">
        <v>467</v>
      </c>
      <c r="AR40">
        <v>2</v>
      </c>
      <c r="AS40">
        <v>376</v>
      </c>
    </row>
    <row r="41" spans="6:49" x14ac:dyDescent="0.2">
      <c r="F41" t="s">
        <v>46</v>
      </c>
      <c r="G41">
        <v>19578</v>
      </c>
      <c r="H41">
        <v>13374</v>
      </c>
      <c r="I41">
        <v>533.88506692589999</v>
      </c>
      <c r="J41">
        <v>1172</v>
      </c>
      <c r="K41">
        <v>669.99658703069997</v>
      </c>
      <c r="L41">
        <v>5001</v>
      </c>
      <c r="M41">
        <v>708.40971805640004</v>
      </c>
      <c r="N41">
        <v>1187</v>
      </c>
      <c r="O41">
        <v>643.77234401349995</v>
      </c>
      <c r="R41">
        <v>16</v>
      </c>
      <c r="S41">
        <v>824.25</v>
      </c>
      <c r="V41" t="s">
        <v>410</v>
      </c>
      <c r="W41">
        <v>5337</v>
      </c>
      <c r="X41">
        <v>4112</v>
      </c>
      <c r="Y41">
        <v>461.1945525292</v>
      </c>
      <c r="Z41">
        <v>288</v>
      </c>
      <c r="AA41">
        <v>897.85763888890006</v>
      </c>
      <c r="AB41">
        <v>573</v>
      </c>
      <c r="AC41">
        <v>263.59162303660003</v>
      </c>
      <c r="AD41">
        <v>443</v>
      </c>
      <c r="AE41">
        <v>583.13995485329997</v>
      </c>
      <c r="AF41">
        <v>205</v>
      </c>
      <c r="AG41">
        <v>196.03414634149999</v>
      </c>
      <c r="AH41">
        <v>4</v>
      </c>
      <c r="AI41">
        <v>324.5</v>
      </c>
      <c r="AL41" t="s">
        <v>410</v>
      </c>
      <c r="AM41">
        <v>142</v>
      </c>
      <c r="AN41">
        <v>95</v>
      </c>
      <c r="AO41">
        <v>348.18947368419998</v>
      </c>
      <c r="AP41">
        <v>15</v>
      </c>
      <c r="AQ41">
        <v>574.6</v>
      </c>
      <c r="AR41">
        <v>46</v>
      </c>
      <c r="AS41">
        <v>252.69565217389999</v>
      </c>
      <c r="AT41">
        <v>1</v>
      </c>
      <c r="AU41">
        <v>31</v>
      </c>
    </row>
    <row r="42" spans="6:49" x14ac:dyDescent="0.2">
      <c r="F42" t="s">
        <v>49</v>
      </c>
      <c r="G42">
        <v>4607</v>
      </c>
      <c r="H42">
        <v>2975</v>
      </c>
      <c r="I42">
        <v>331.0154621849</v>
      </c>
      <c r="J42">
        <v>401</v>
      </c>
      <c r="K42">
        <v>513.82543640899996</v>
      </c>
      <c r="L42">
        <v>1172</v>
      </c>
      <c r="M42">
        <v>354.68259385670001</v>
      </c>
      <c r="N42">
        <v>457</v>
      </c>
      <c r="O42">
        <v>532.79868708970002</v>
      </c>
      <c r="R42">
        <v>3</v>
      </c>
      <c r="S42">
        <v>986.33333333329995</v>
      </c>
      <c r="V42" t="s">
        <v>402</v>
      </c>
      <c r="W42">
        <v>6660</v>
      </c>
      <c r="X42">
        <v>4013</v>
      </c>
      <c r="Y42">
        <v>312.20483428860001</v>
      </c>
      <c r="Z42">
        <v>350</v>
      </c>
      <c r="AA42">
        <v>486.01142857140002</v>
      </c>
      <c r="AB42">
        <v>2033</v>
      </c>
      <c r="AC42">
        <v>784.14117068370001</v>
      </c>
      <c r="AD42">
        <v>371</v>
      </c>
      <c r="AE42">
        <v>400.7008086253</v>
      </c>
      <c r="AF42">
        <v>228</v>
      </c>
      <c r="AG42">
        <v>190.30263157889999</v>
      </c>
      <c r="AH42">
        <v>15</v>
      </c>
      <c r="AI42">
        <v>431.73333333329998</v>
      </c>
      <c r="AL42" t="s">
        <v>402</v>
      </c>
      <c r="AM42">
        <v>54</v>
      </c>
      <c r="AN42">
        <v>37</v>
      </c>
      <c r="AO42">
        <v>204.1081081081</v>
      </c>
      <c r="AP42">
        <v>32</v>
      </c>
      <c r="AQ42">
        <v>239.28125</v>
      </c>
      <c r="AR42">
        <v>15</v>
      </c>
      <c r="AS42">
        <v>128.80000000000001</v>
      </c>
      <c r="AT42">
        <v>2</v>
      </c>
      <c r="AU42">
        <v>516.5</v>
      </c>
    </row>
    <row r="43" spans="6:49" x14ac:dyDescent="0.2">
      <c r="F43" t="s">
        <v>36</v>
      </c>
      <c r="G43">
        <v>304</v>
      </c>
      <c r="H43">
        <v>222</v>
      </c>
      <c r="I43">
        <v>468.27477477479999</v>
      </c>
      <c r="J43">
        <v>116</v>
      </c>
      <c r="K43">
        <v>401.4827586207</v>
      </c>
      <c r="L43">
        <v>63</v>
      </c>
      <c r="M43">
        <v>215.1428571429</v>
      </c>
      <c r="N43">
        <v>19</v>
      </c>
      <c r="O43">
        <v>335.63157894739999</v>
      </c>
      <c r="V43" t="s">
        <v>411</v>
      </c>
      <c r="W43">
        <v>4105</v>
      </c>
      <c r="X43">
        <v>2642</v>
      </c>
      <c r="Y43">
        <v>218.1514004542</v>
      </c>
      <c r="Z43">
        <v>975</v>
      </c>
      <c r="AA43">
        <v>302.14769230770003</v>
      </c>
      <c r="AB43">
        <v>821</v>
      </c>
      <c r="AC43">
        <v>232.72228989039999</v>
      </c>
      <c r="AD43">
        <v>392</v>
      </c>
      <c r="AE43">
        <v>285.48469387760002</v>
      </c>
      <c r="AF43">
        <v>243</v>
      </c>
      <c r="AG43">
        <v>179.42798353910001</v>
      </c>
      <c r="AH43">
        <v>7</v>
      </c>
      <c r="AI43">
        <v>255.57142857139999</v>
      </c>
      <c r="AL43" t="s">
        <v>411</v>
      </c>
      <c r="AM43">
        <v>71</v>
      </c>
      <c r="AN43">
        <v>51</v>
      </c>
      <c r="AO43">
        <v>165.3333333333</v>
      </c>
      <c r="AP43">
        <v>38</v>
      </c>
      <c r="AQ43">
        <v>235.8947368421</v>
      </c>
      <c r="AR43">
        <v>16</v>
      </c>
      <c r="AS43">
        <v>96.9375</v>
      </c>
      <c r="AT43">
        <v>4</v>
      </c>
      <c r="AU43">
        <v>335.25</v>
      </c>
    </row>
    <row r="44" spans="6:49" x14ac:dyDescent="0.2">
      <c r="F44" t="s">
        <v>27</v>
      </c>
      <c r="G44">
        <v>3747</v>
      </c>
      <c r="H44">
        <v>2555</v>
      </c>
      <c r="I44">
        <v>204.5487279843</v>
      </c>
      <c r="J44">
        <v>989</v>
      </c>
      <c r="K44">
        <v>302.24873609709999</v>
      </c>
      <c r="L44">
        <v>784</v>
      </c>
      <c r="M44">
        <v>212.39030612240001</v>
      </c>
      <c r="N44">
        <v>401</v>
      </c>
      <c r="O44">
        <v>285.59102244389999</v>
      </c>
      <c r="R44">
        <v>7</v>
      </c>
      <c r="S44">
        <v>255.57142857139999</v>
      </c>
      <c r="V44" t="s">
        <v>386</v>
      </c>
      <c r="W44">
        <v>6055</v>
      </c>
      <c r="X44">
        <v>5004</v>
      </c>
      <c r="Y44">
        <v>457.90387689850002</v>
      </c>
      <c r="Z44">
        <v>464</v>
      </c>
      <c r="AA44">
        <v>686.79310344830003</v>
      </c>
      <c r="AB44">
        <v>569</v>
      </c>
      <c r="AC44">
        <v>367.5096660808</v>
      </c>
      <c r="AD44">
        <v>291</v>
      </c>
      <c r="AE44">
        <v>461.06185567009999</v>
      </c>
      <c r="AF44">
        <v>177</v>
      </c>
      <c r="AG44">
        <v>211.186440678</v>
      </c>
      <c r="AH44">
        <v>14</v>
      </c>
      <c r="AI44">
        <v>475.35714285709997</v>
      </c>
      <c r="AL44" t="s">
        <v>386</v>
      </c>
      <c r="AM44">
        <v>159</v>
      </c>
      <c r="AN44">
        <v>115</v>
      </c>
      <c r="AO44">
        <v>331.97391304349998</v>
      </c>
      <c r="AP44">
        <v>25</v>
      </c>
      <c r="AQ44">
        <v>741.84</v>
      </c>
      <c r="AR44">
        <v>41</v>
      </c>
      <c r="AS44">
        <v>368.43902439020002</v>
      </c>
      <c r="AT44">
        <v>3</v>
      </c>
      <c r="AU44">
        <v>549</v>
      </c>
    </row>
    <row r="45" spans="6:49" x14ac:dyDescent="0.2">
      <c r="F45" t="s">
        <v>51</v>
      </c>
      <c r="G45">
        <v>5297</v>
      </c>
      <c r="H45">
        <v>4268</v>
      </c>
      <c r="I45">
        <v>464.21180880970002</v>
      </c>
      <c r="J45">
        <v>280</v>
      </c>
      <c r="K45">
        <v>908.92499999999995</v>
      </c>
      <c r="L45">
        <v>570</v>
      </c>
      <c r="M45">
        <v>247.88771929820001</v>
      </c>
      <c r="N45">
        <v>454</v>
      </c>
      <c r="O45">
        <v>590.44713656390002</v>
      </c>
      <c r="R45">
        <v>5</v>
      </c>
      <c r="S45">
        <v>429.4</v>
      </c>
      <c r="V45" t="s">
        <v>388</v>
      </c>
      <c r="W45">
        <v>4896</v>
      </c>
      <c r="X45">
        <v>3026</v>
      </c>
      <c r="Y45">
        <v>338.33740912100001</v>
      </c>
      <c r="Z45">
        <v>410</v>
      </c>
      <c r="AA45">
        <v>518.09268292679997</v>
      </c>
      <c r="AB45">
        <v>1192</v>
      </c>
      <c r="AC45">
        <v>363.16946308719997</v>
      </c>
      <c r="AD45">
        <v>462</v>
      </c>
      <c r="AE45">
        <v>530.75324675319996</v>
      </c>
      <c r="AF45">
        <v>212</v>
      </c>
      <c r="AG45">
        <v>211.641509434</v>
      </c>
      <c r="AH45">
        <v>4</v>
      </c>
      <c r="AI45">
        <v>836.75</v>
      </c>
      <c r="AL45" t="s">
        <v>388</v>
      </c>
      <c r="AM45">
        <v>138</v>
      </c>
      <c r="AN45">
        <v>96</v>
      </c>
      <c r="AO45">
        <v>321.9895833333</v>
      </c>
      <c r="AP45">
        <v>14</v>
      </c>
      <c r="AQ45">
        <v>592.64285714289997</v>
      </c>
      <c r="AR45">
        <v>41</v>
      </c>
      <c r="AS45">
        <v>358.75609756099999</v>
      </c>
      <c r="AT45">
        <v>1</v>
      </c>
      <c r="AU45">
        <v>492</v>
      </c>
    </row>
    <row r="46" spans="6:49" x14ac:dyDescent="0.2">
      <c r="F46" t="s">
        <v>59</v>
      </c>
      <c r="G46">
        <v>5871</v>
      </c>
      <c r="H46">
        <v>4996</v>
      </c>
      <c r="I46">
        <v>462.15552441950001</v>
      </c>
      <c r="J46">
        <v>453</v>
      </c>
      <c r="K46">
        <v>692.78366445920005</v>
      </c>
      <c r="L46">
        <v>565</v>
      </c>
      <c r="M46">
        <v>373.5610619469</v>
      </c>
      <c r="N46">
        <v>294</v>
      </c>
      <c r="O46">
        <v>462.5442176871</v>
      </c>
      <c r="R46">
        <v>16</v>
      </c>
      <c r="S46">
        <v>450.3125</v>
      </c>
      <c r="V46" t="s">
        <v>384</v>
      </c>
      <c r="W46">
        <v>69962</v>
      </c>
      <c r="X46">
        <v>49077</v>
      </c>
      <c r="Y46">
        <v>428.01935733639999</v>
      </c>
      <c r="Z46">
        <v>5878</v>
      </c>
      <c r="AA46">
        <v>573.33327662470003</v>
      </c>
      <c r="AB46">
        <v>14270</v>
      </c>
      <c r="AC46">
        <v>603.06608269100002</v>
      </c>
      <c r="AD46">
        <v>4112</v>
      </c>
      <c r="AE46">
        <v>490.39357820480001</v>
      </c>
      <c r="AF46">
        <v>2397</v>
      </c>
      <c r="AG46">
        <v>195.488944514</v>
      </c>
      <c r="AH46">
        <v>106</v>
      </c>
      <c r="AI46">
        <v>476.72641509430002</v>
      </c>
      <c r="AL46" t="s">
        <v>384</v>
      </c>
      <c r="AM46">
        <v>836</v>
      </c>
      <c r="AN46">
        <v>583</v>
      </c>
      <c r="AO46">
        <v>271.68439108059999</v>
      </c>
      <c r="AP46">
        <v>277</v>
      </c>
      <c r="AQ46">
        <v>353.16245487359998</v>
      </c>
      <c r="AR46">
        <v>231</v>
      </c>
      <c r="AS46">
        <v>266.57575757580003</v>
      </c>
      <c r="AT46">
        <v>22</v>
      </c>
      <c r="AU46">
        <v>304.5</v>
      </c>
    </row>
    <row r="47" spans="6:49" x14ac:dyDescent="0.2">
      <c r="F47" t="s">
        <v>181</v>
      </c>
      <c r="G47">
        <v>461</v>
      </c>
      <c r="H47">
        <v>343</v>
      </c>
      <c r="I47">
        <v>336.15160349849998</v>
      </c>
      <c r="J47">
        <v>196</v>
      </c>
      <c r="K47">
        <v>329.95408163270002</v>
      </c>
      <c r="L47">
        <v>76</v>
      </c>
      <c r="M47">
        <v>162.55263157889999</v>
      </c>
      <c r="N47">
        <v>40</v>
      </c>
      <c r="O47">
        <v>356.97500000000002</v>
      </c>
      <c r="R47">
        <v>2</v>
      </c>
      <c r="S47">
        <v>501</v>
      </c>
      <c r="V47" t="s">
        <v>415</v>
      </c>
      <c r="W47">
        <v>505</v>
      </c>
      <c r="X47">
        <v>388</v>
      </c>
      <c r="Y47">
        <v>257.21391752580001</v>
      </c>
      <c r="Z47">
        <v>32</v>
      </c>
      <c r="AA47">
        <v>545.96875</v>
      </c>
      <c r="AB47">
        <v>33</v>
      </c>
      <c r="AC47">
        <v>491.27272727270002</v>
      </c>
      <c r="AD47">
        <v>64</v>
      </c>
      <c r="AE47">
        <v>305.3125</v>
      </c>
      <c r="AF47">
        <v>13</v>
      </c>
      <c r="AG47">
        <v>300.07692307690002</v>
      </c>
      <c r="AH47">
        <v>7</v>
      </c>
      <c r="AI47">
        <v>319.71428571429999</v>
      </c>
      <c r="AL47" t="s">
        <v>415</v>
      </c>
      <c r="AM47">
        <v>22</v>
      </c>
      <c r="AN47">
        <v>16</v>
      </c>
      <c r="AO47">
        <v>164.625</v>
      </c>
      <c r="AP47">
        <v>6</v>
      </c>
      <c r="AQ47">
        <v>262.1666666667</v>
      </c>
      <c r="AR47">
        <v>6</v>
      </c>
      <c r="AS47">
        <v>87</v>
      </c>
    </row>
    <row r="48" spans="6:49" x14ac:dyDescent="0.2">
      <c r="F48" t="s">
        <v>70</v>
      </c>
      <c r="G48">
        <v>948</v>
      </c>
      <c r="H48">
        <v>762</v>
      </c>
      <c r="I48">
        <v>332.37270341210001</v>
      </c>
      <c r="J48">
        <v>608</v>
      </c>
      <c r="K48">
        <v>400.2269736842</v>
      </c>
      <c r="L48">
        <v>99</v>
      </c>
      <c r="M48">
        <v>159.3333333333</v>
      </c>
      <c r="N48">
        <v>78</v>
      </c>
      <c r="O48">
        <v>213.44871794869999</v>
      </c>
      <c r="R48">
        <v>9</v>
      </c>
      <c r="S48">
        <v>267.2222222222</v>
      </c>
      <c r="V48" t="s">
        <v>416</v>
      </c>
      <c r="W48">
        <v>113</v>
      </c>
      <c r="X48">
        <v>79</v>
      </c>
      <c r="Y48">
        <v>192.417721519</v>
      </c>
      <c r="Z48">
        <v>35</v>
      </c>
      <c r="AA48">
        <v>203.31428571430001</v>
      </c>
      <c r="AB48">
        <v>8</v>
      </c>
      <c r="AC48">
        <v>225.875</v>
      </c>
      <c r="AD48">
        <v>17</v>
      </c>
      <c r="AE48">
        <v>390.5294117647</v>
      </c>
      <c r="AF48">
        <v>6</v>
      </c>
      <c r="AG48">
        <v>98.333333333300004</v>
      </c>
      <c r="AH48">
        <v>3</v>
      </c>
      <c r="AI48">
        <v>213.6666666667</v>
      </c>
      <c r="AL48" t="s">
        <v>416</v>
      </c>
      <c r="AM48">
        <v>8</v>
      </c>
      <c r="AN48">
        <v>6</v>
      </c>
      <c r="AO48">
        <v>192</v>
      </c>
      <c r="AP48">
        <v>4</v>
      </c>
      <c r="AQ48">
        <v>235.25</v>
      </c>
      <c r="AR48">
        <v>1</v>
      </c>
      <c r="AS48">
        <v>137</v>
      </c>
      <c r="AT48">
        <v>1</v>
      </c>
      <c r="AU48">
        <v>807</v>
      </c>
    </row>
    <row r="49" spans="6:51" x14ac:dyDescent="0.2">
      <c r="F49" t="s">
        <v>384</v>
      </c>
      <c r="G49">
        <v>67395</v>
      </c>
      <c r="H49">
        <v>48977</v>
      </c>
      <c r="I49">
        <v>428.76188337140002</v>
      </c>
      <c r="J49">
        <v>5762</v>
      </c>
      <c r="K49">
        <v>574.21502950360002</v>
      </c>
      <c r="L49">
        <v>14205</v>
      </c>
      <c r="M49">
        <v>610.16254839850001</v>
      </c>
      <c r="N49">
        <v>4111</v>
      </c>
      <c r="O49">
        <v>493.91995133820001</v>
      </c>
      <c r="R49">
        <v>102</v>
      </c>
      <c r="S49">
        <v>472.1764705882</v>
      </c>
      <c r="V49" t="s">
        <v>422</v>
      </c>
      <c r="W49">
        <v>629</v>
      </c>
      <c r="X49">
        <v>382</v>
      </c>
      <c r="Y49">
        <v>362.8979057592</v>
      </c>
      <c r="Z49">
        <v>56</v>
      </c>
      <c r="AA49">
        <v>584</v>
      </c>
      <c r="AB49">
        <v>146</v>
      </c>
      <c r="AC49">
        <v>476.41095890410003</v>
      </c>
      <c r="AD49">
        <v>76</v>
      </c>
      <c r="AE49">
        <v>672.26315789470004</v>
      </c>
      <c r="AF49">
        <v>20</v>
      </c>
      <c r="AG49">
        <v>223.25</v>
      </c>
      <c r="AH49">
        <v>5</v>
      </c>
      <c r="AI49">
        <v>523.4</v>
      </c>
      <c r="AL49" t="s">
        <v>422</v>
      </c>
      <c r="AM49">
        <v>7</v>
      </c>
      <c r="AN49">
        <v>7</v>
      </c>
      <c r="AO49">
        <v>187.28571428570001</v>
      </c>
      <c r="AP49">
        <v>6</v>
      </c>
      <c r="AQ49">
        <v>387.1666666667</v>
      </c>
    </row>
    <row r="50" spans="6:51" x14ac:dyDescent="0.2">
      <c r="F50" t="s">
        <v>212</v>
      </c>
      <c r="G50">
        <v>953</v>
      </c>
      <c r="H50">
        <v>681</v>
      </c>
      <c r="I50">
        <v>174.64610866370001</v>
      </c>
      <c r="J50">
        <v>523</v>
      </c>
      <c r="K50">
        <v>256.65200764820003</v>
      </c>
      <c r="L50">
        <v>227</v>
      </c>
      <c r="M50">
        <v>154.55947136559999</v>
      </c>
      <c r="N50">
        <v>45</v>
      </c>
      <c r="O50">
        <v>220.64444444439999</v>
      </c>
      <c r="V50" t="s">
        <v>375</v>
      </c>
      <c r="W50">
        <v>5584</v>
      </c>
      <c r="X50">
        <v>4602</v>
      </c>
      <c r="Y50">
        <v>549.48587570619998</v>
      </c>
      <c r="Z50">
        <v>445</v>
      </c>
      <c r="AA50">
        <v>899.48988764039996</v>
      </c>
      <c r="AB50">
        <v>519</v>
      </c>
      <c r="AC50">
        <v>628.65510597299999</v>
      </c>
      <c r="AD50">
        <v>315</v>
      </c>
      <c r="AE50">
        <v>646.08888888889999</v>
      </c>
      <c r="AF50">
        <v>137</v>
      </c>
      <c r="AG50">
        <v>128.32116788319999</v>
      </c>
      <c r="AH50">
        <v>11</v>
      </c>
      <c r="AI50">
        <v>562.90909090909997</v>
      </c>
      <c r="AL50" t="s">
        <v>375</v>
      </c>
      <c r="AM50">
        <v>49</v>
      </c>
      <c r="AN50">
        <v>37</v>
      </c>
      <c r="AO50">
        <v>156.027027027</v>
      </c>
      <c r="AP50">
        <v>20</v>
      </c>
      <c r="AQ50">
        <v>356.35</v>
      </c>
      <c r="AR50">
        <v>7</v>
      </c>
      <c r="AS50">
        <v>119.42857142859999</v>
      </c>
      <c r="AT50">
        <v>5</v>
      </c>
      <c r="AU50">
        <v>351.2</v>
      </c>
    </row>
    <row r="51" spans="6:51" x14ac:dyDescent="0.2">
      <c r="F51" t="s">
        <v>209</v>
      </c>
      <c r="G51">
        <v>2288</v>
      </c>
      <c r="H51">
        <v>1604</v>
      </c>
      <c r="I51">
        <v>347.46134663340001</v>
      </c>
      <c r="J51">
        <v>248</v>
      </c>
      <c r="K51">
        <v>639.10483870969995</v>
      </c>
      <c r="L51">
        <v>632</v>
      </c>
      <c r="M51">
        <v>329.90822784810001</v>
      </c>
      <c r="N51">
        <v>52</v>
      </c>
      <c r="O51">
        <v>339.82692307690002</v>
      </c>
      <c r="V51" t="s">
        <v>60</v>
      </c>
      <c r="W51">
        <v>5502</v>
      </c>
      <c r="X51">
        <v>3855</v>
      </c>
      <c r="Y51">
        <v>258.37821011670002</v>
      </c>
      <c r="Z51">
        <v>482</v>
      </c>
      <c r="AA51">
        <v>403.43153526970002</v>
      </c>
      <c r="AB51">
        <v>884</v>
      </c>
      <c r="AC51">
        <v>311.57579185520001</v>
      </c>
      <c r="AD51">
        <v>474</v>
      </c>
      <c r="AE51">
        <v>614.46835443040004</v>
      </c>
      <c r="AF51">
        <v>274</v>
      </c>
      <c r="AG51">
        <v>198.0875912409</v>
      </c>
      <c r="AH51">
        <v>15</v>
      </c>
      <c r="AI51">
        <v>539.53333333329999</v>
      </c>
      <c r="AL51" t="s">
        <v>60</v>
      </c>
      <c r="AM51">
        <v>133</v>
      </c>
      <c r="AN51">
        <v>97</v>
      </c>
      <c r="AO51">
        <v>178.0412371134</v>
      </c>
      <c r="AP51">
        <v>47</v>
      </c>
      <c r="AQ51">
        <v>355.6595744681</v>
      </c>
      <c r="AR51">
        <v>27</v>
      </c>
      <c r="AS51">
        <v>155.0740740741</v>
      </c>
      <c r="AT51">
        <v>9</v>
      </c>
      <c r="AU51">
        <v>322.44444444440001</v>
      </c>
    </row>
    <row r="52" spans="6:51" x14ac:dyDescent="0.2">
      <c r="F52" t="s">
        <v>210</v>
      </c>
      <c r="G52">
        <v>1582</v>
      </c>
      <c r="H52">
        <v>1085</v>
      </c>
      <c r="I52">
        <v>179.39815668200001</v>
      </c>
      <c r="J52">
        <v>719</v>
      </c>
      <c r="K52">
        <v>372.7273991655</v>
      </c>
      <c r="L52">
        <v>392</v>
      </c>
      <c r="M52">
        <v>150.94132653060001</v>
      </c>
      <c r="N52">
        <v>104</v>
      </c>
      <c r="O52">
        <v>343.83653846150003</v>
      </c>
      <c r="R52">
        <v>1</v>
      </c>
      <c r="S52">
        <v>369</v>
      </c>
      <c r="V52" t="s">
        <v>377</v>
      </c>
      <c r="W52">
        <v>15215</v>
      </c>
      <c r="X52">
        <v>10933</v>
      </c>
      <c r="Y52">
        <v>392.932497942</v>
      </c>
      <c r="Z52">
        <v>732</v>
      </c>
      <c r="AA52">
        <v>766.92896174860005</v>
      </c>
      <c r="AB52">
        <v>3246</v>
      </c>
      <c r="AC52">
        <v>691.37707948239995</v>
      </c>
      <c r="AD52">
        <v>620</v>
      </c>
      <c r="AE52">
        <v>475.61451612899998</v>
      </c>
      <c r="AF52">
        <v>416</v>
      </c>
      <c r="AG52">
        <v>149.4302884615</v>
      </c>
      <c r="AL52" t="s">
        <v>377</v>
      </c>
      <c r="AM52">
        <v>89</v>
      </c>
      <c r="AN52">
        <v>65</v>
      </c>
      <c r="AO52">
        <v>159.55384615380001</v>
      </c>
      <c r="AP52">
        <v>53</v>
      </c>
      <c r="AQ52">
        <v>359.86792452830002</v>
      </c>
      <c r="AR52">
        <v>17</v>
      </c>
      <c r="AS52">
        <v>115.1764705882</v>
      </c>
      <c r="AT52">
        <v>7</v>
      </c>
      <c r="AU52">
        <v>256.57142857140002</v>
      </c>
    </row>
    <row r="53" spans="6:51" x14ac:dyDescent="0.2">
      <c r="F53" t="s">
        <v>461</v>
      </c>
      <c r="G53">
        <v>4823</v>
      </c>
      <c r="H53">
        <v>3370</v>
      </c>
      <c r="I53">
        <v>258.4299703264</v>
      </c>
      <c r="J53">
        <v>1490</v>
      </c>
      <c r="K53">
        <v>376.32080536910001</v>
      </c>
      <c r="L53">
        <v>1251</v>
      </c>
      <c r="M53">
        <v>242.01119104719999</v>
      </c>
      <c r="N53">
        <v>201</v>
      </c>
      <c r="O53">
        <v>315.2189054726</v>
      </c>
      <c r="R53">
        <v>1</v>
      </c>
      <c r="S53">
        <v>369</v>
      </c>
      <c r="V53" t="s">
        <v>373</v>
      </c>
      <c r="W53">
        <v>3815</v>
      </c>
      <c r="X53">
        <v>2488</v>
      </c>
      <c r="Y53">
        <v>343.75844051450002</v>
      </c>
      <c r="Z53">
        <v>409</v>
      </c>
      <c r="AA53">
        <v>432.91442542790003</v>
      </c>
      <c r="AB53">
        <v>584</v>
      </c>
      <c r="AC53">
        <v>251.80650684930001</v>
      </c>
      <c r="AD53">
        <v>571</v>
      </c>
      <c r="AE53">
        <v>579.47460595450002</v>
      </c>
      <c r="AF53">
        <v>152</v>
      </c>
      <c r="AG53">
        <v>202.3355263158</v>
      </c>
      <c r="AH53">
        <v>20</v>
      </c>
      <c r="AI53">
        <v>562.85</v>
      </c>
      <c r="AL53" t="s">
        <v>373</v>
      </c>
      <c r="AM53">
        <v>113</v>
      </c>
      <c r="AN53">
        <v>77</v>
      </c>
      <c r="AO53">
        <v>161.1168831169</v>
      </c>
      <c r="AP53">
        <v>52</v>
      </c>
      <c r="AQ53">
        <v>340.57692307690002</v>
      </c>
      <c r="AR53">
        <v>27</v>
      </c>
      <c r="AS53">
        <v>150.1111111111</v>
      </c>
      <c r="AT53">
        <v>8</v>
      </c>
      <c r="AU53">
        <v>276</v>
      </c>
      <c r="AX53">
        <v>1</v>
      </c>
      <c r="AY53">
        <v>369</v>
      </c>
    </row>
    <row r="54" spans="6:51" x14ac:dyDescent="0.2">
      <c r="F54" t="s">
        <v>78</v>
      </c>
      <c r="G54">
        <v>946</v>
      </c>
      <c r="H54">
        <v>768</v>
      </c>
      <c r="I54">
        <v>435.1419270833</v>
      </c>
      <c r="J54">
        <v>113</v>
      </c>
      <c r="K54">
        <v>782.78761061950001</v>
      </c>
      <c r="L54">
        <v>24</v>
      </c>
      <c r="M54">
        <v>327.6666666667</v>
      </c>
      <c r="N54">
        <v>147</v>
      </c>
      <c r="O54">
        <v>463.70068027209999</v>
      </c>
      <c r="R54">
        <v>7</v>
      </c>
      <c r="S54">
        <v>319.71428571429999</v>
      </c>
      <c r="V54" t="s">
        <v>372</v>
      </c>
      <c r="W54">
        <v>1358</v>
      </c>
      <c r="X54">
        <v>904</v>
      </c>
      <c r="Y54">
        <v>228.3506637168</v>
      </c>
      <c r="Z54">
        <v>130</v>
      </c>
      <c r="AA54">
        <v>322.04615384620001</v>
      </c>
      <c r="AB54">
        <v>234</v>
      </c>
      <c r="AC54">
        <v>248.68803418799999</v>
      </c>
      <c r="AD54">
        <v>146</v>
      </c>
      <c r="AE54">
        <v>299.62328767119999</v>
      </c>
      <c r="AF54">
        <v>71</v>
      </c>
      <c r="AG54">
        <v>163.19718309859999</v>
      </c>
      <c r="AH54">
        <v>3</v>
      </c>
      <c r="AI54">
        <v>252.6666666667</v>
      </c>
      <c r="AL54" t="s">
        <v>372</v>
      </c>
      <c r="AM54">
        <v>31</v>
      </c>
      <c r="AN54">
        <v>18</v>
      </c>
      <c r="AO54">
        <v>175.8888888889</v>
      </c>
      <c r="AP54">
        <v>11</v>
      </c>
      <c r="AQ54">
        <v>276.45454545450002</v>
      </c>
      <c r="AR54">
        <v>12</v>
      </c>
      <c r="AS54">
        <v>145.4166666667</v>
      </c>
      <c r="AT54">
        <v>1</v>
      </c>
      <c r="AU54">
        <v>270</v>
      </c>
    </row>
    <row r="55" spans="6:51" x14ac:dyDescent="0.2">
      <c r="F55" t="s">
        <v>35</v>
      </c>
      <c r="G55">
        <v>3152</v>
      </c>
      <c r="H55">
        <v>1938</v>
      </c>
      <c r="I55">
        <v>467.1548786784</v>
      </c>
      <c r="J55">
        <v>252</v>
      </c>
      <c r="K55">
        <v>423.93253968250002</v>
      </c>
      <c r="L55">
        <v>901</v>
      </c>
      <c r="M55">
        <v>478.4783573807</v>
      </c>
      <c r="N55">
        <v>303</v>
      </c>
      <c r="O55">
        <v>590.89438943890002</v>
      </c>
      <c r="R55">
        <v>10</v>
      </c>
      <c r="S55">
        <v>425.4</v>
      </c>
      <c r="V55" t="s">
        <v>374</v>
      </c>
      <c r="W55">
        <v>7249</v>
      </c>
      <c r="X55">
        <v>5084</v>
      </c>
      <c r="Y55">
        <v>396.17643587729998</v>
      </c>
      <c r="Z55">
        <v>676</v>
      </c>
      <c r="AA55">
        <v>603.25739644969997</v>
      </c>
      <c r="AB55">
        <v>954</v>
      </c>
      <c r="AC55">
        <v>392.141509434</v>
      </c>
      <c r="AD55">
        <v>896</v>
      </c>
      <c r="AE55">
        <v>717.27901785710003</v>
      </c>
      <c r="AF55">
        <v>278</v>
      </c>
      <c r="AG55">
        <v>193.08992805759999</v>
      </c>
      <c r="AH55">
        <v>37</v>
      </c>
      <c r="AI55">
        <v>480.51351351350002</v>
      </c>
      <c r="AL55" t="s">
        <v>374</v>
      </c>
      <c r="AM55">
        <v>143</v>
      </c>
      <c r="AN55">
        <v>94</v>
      </c>
      <c r="AO55">
        <v>164.81914893620001</v>
      </c>
      <c r="AP55">
        <v>69</v>
      </c>
      <c r="AQ55">
        <v>404.37681159419998</v>
      </c>
      <c r="AR55">
        <v>34</v>
      </c>
      <c r="AS55">
        <v>137.4705882353</v>
      </c>
      <c r="AT55">
        <v>14</v>
      </c>
      <c r="AU55">
        <v>454.85714285709997</v>
      </c>
      <c r="AV55">
        <v>1</v>
      </c>
      <c r="AW55">
        <v>5448</v>
      </c>
    </row>
    <row r="56" spans="6:51" x14ac:dyDescent="0.2">
      <c r="F56" t="s">
        <v>61</v>
      </c>
      <c r="G56">
        <v>2442</v>
      </c>
      <c r="H56">
        <v>1766</v>
      </c>
      <c r="I56">
        <v>374.69195922990002</v>
      </c>
      <c r="J56">
        <v>332</v>
      </c>
      <c r="K56">
        <v>444.10843373490002</v>
      </c>
      <c r="L56">
        <v>261</v>
      </c>
      <c r="M56">
        <v>69.750957854399999</v>
      </c>
      <c r="N56">
        <v>403</v>
      </c>
      <c r="O56">
        <v>528.09677419349998</v>
      </c>
      <c r="R56">
        <v>12</v>
      </c>
      <c r="S56">
        <v>485.8333333333</v>
      </c>
      <c r="V56" t="s">
        <v>371</v>
      </c>
      <c r="W56">
        <v>309</v>
      </c>
      <c r="X56">
        <v>157</v>
      </c>
      <c r="Y56">
        <v>169.4012738854</v>
      </c>
      <c r="Z56">
        <v>89</v>
      </c>
      <c r="AA56">
        <v>203.71910112360001</v>
      </c>
      <c r="AB56">
        <v>80</v>
      </c>
      <c r="AC56">
        <v>146.1875</v>
      </c>
      <c r="AD56">
        <v>29</v>
      </c>
      <c r="AE56">
        <v>212.5172413793</v>
      </c>
      <c r="AF56">
        <v>41</v>
      </c>
      <c r="AG56">
        <v>181</v>
      </c>
      <c r="AH56">
        <v>2</v>
      </c>
      <c r="AI56">
        <v>188.5</v>
      </c>
      <c r="AL56" t="s">
        <v>371</v>
      </c>
      <c r="AM56">
        <v>19</v>
      </c>
      <c r="AN56">
        <v>15</v>
      </c>
      <c r="AO56">
        <v>120.4</v>
      </c>
      <c r="AP56">
        <v>2</v>
      </c>
      <c r="AQ56">
        <v>350</v>
      </c>
      <c r="AR56">
        <v>3</v>
      </c>
      <c r="AS56">
        <v>219</v>
      </c>
      <c r="AT56">
        <v>1</v>
      </c>
      <c r="AU56">
        <v>256</v>
      </c>
    </row>
    <row r="57" spans="6:51" x14ac:dyDescent="0.2">
      <c r="F57" t="s">
        <v>24</v>
      </c>
      <c r="G57">
        <v>2138</v>
      </c>
      <c r="H57">
        <v>1317</v>
      </c>
      <c r="I57">
        <v>260.70159453299999</v>
      </c>
      <c r="J57">
        <v>346</v>
      </c>
      <c r="K57">
        <v>317.27745664740002</v>
      </c>
      <c r="L57">
        <v>605</v>
      </c>
      <c r="M57">
        <v>336.11570247930001</v>
      </c>
      <c r="N57">
        <v>199</v>
      </c>
      <c r="O57">
        <v>558.20603015079996</v>
      </c>
      <c r="R57">
        <v>17</v>
      </c>
      <c r="S57">
        <v>560.35294117650005</v>
      </c>
      <c r="V57" t="s">
        <v>370</v>
      </c>
      <c r="W57">
        <v>3323</v>
      </c>
      <c r="X57">
        <v>1919</v>
      </c>
      <c r="Y57">
        <v>437.23514077160002</v>
      </c>
      <c r="Z57">
        <v>343</v>
      </c>
      <c r="AA57">
        <v>414.57725947519998</v>
      </c>
      <c r="AB57">
        <v>932</v>
      </c>
      <c r="AC57">
        <v>453.12553648070002</v>
      </c>
      <c r="AD57">
        <v>314</v>
      </c>
      <c r="AE57">
        <v>564.10191082799997</v>
      </c>
      <c r="AF57">
        <v>148</v>
      </c>
      <c r="AG57">
        <v>178.7432432432</v>
      </c>
      <c r="AH57">
        <v>10</v>
      </c>
      <c r="AI57">
        <v>425.4</v>
      </c>
      <c r="AL57" t="s">
        <v>370</v>
      </c>
      <c r="AM57">
        <v>76</v>
      </c>
      <c r="AN57">
        <v>57</v>
      </c>
      <c r="AO57">
        <v>175.59649122810001</v>
      </c>
      <c r="AP57">
        <v>22</v>
      </c>
      <c r="AQ57">
        <v>348.90909090909997</v>
      </c>
      <c r="AR57">
        <v>18</v>
      </c>
      <c r="AS57">
        <v>177.1111111111</v>
      </c>
      <c r="AT57">
        <v>1</v>
      </c>
      <c r="AU57">
        <v>584</v>
      </c>
    </row>
    <row r="58" spans="6:51" x14ac:dyDescent="0.2">
      <c r="F58" t="s">
        <v>69</v>
      </c>
      <c r="G58">
        <v>14802</v>
      </c>
      <c r="H58">
        <v>11068</v>
      </c>
      <c r="I58">
        <v>380.27132273220002</v>
      </c>
      <c r="J58">
        <v>671</v>
      </c>
      <c r="K58">
        <v>752.36959761549997</v>
      </c>
      <c r="L58">
        <v>3202</v>
      </c>
      <c r="M58">
        <v>645.65584009990005</v>
      </c>
      <c r="N58">
        <v>532</v>
      </c>
      <c r="O58">
        <v>404.42669172929999</v>
      </c>
      <c r="V58" t="s">
        <v>414</v>
      </c>
      <c r="W58">
        <v>609</v>
      </c>
      <c r="X58">
        <v>487</v>
      </c>
      <c r="Y58">
        <v>241.75975359340001</v>
      </c>
      <c r="Z58">
        <v>56</v>
      </c>
      <c r="AA58">
        <v>422.51785714290003</v>
      </c>
      <c r="AB58">
        <v>47</v>
      </c>
      <c r="AC58">
        <v>220.2978723404</v>
      </c>
      <c r="AD58">
        <v>35</v>
      </c>
      <c r="AE58">
        <v>257.14285714290003</v>
      </c>
      <c r="AF58">
        <v>39</v>
      </c>
      <c r="AG58">
        <v>163.58974358969999</v>
      </c>
      <c r="AH58">
        <v>1</v>
      </c>
      <c r="AI58">
        <v>572</v>
      </c>
      <c r="AL58" t="s">
        <v>414</v>
      </c>
      <c r="AM58">
        <v>5</v>
      </c>
      <c r="AN58">
        <v>3</v>
      </c>
      <c r="AO58">
        <v>85</v>
      </c>
      <c r="AP58">
        <v>3</v>
      </c>
      <c r="AQ58">
        <v>245</v>
      </c>
      <c r="AR58">
        <v>1</v>
      </c>
      <c r="AS58">
        <v>110</v>
      </c>
      <c r="AT58">
        <v>1</v>
      </c>
      <c r="AU58">
        <v>172</v>
      </c>
    </row>
    <row r="59" spans="6:51" x14ac:dyDescent="0.2">
      <c r="F59" t="s">
        <v>44</v>
      </c>
      <c r="G59">
        <v>1372</v>
      </c>
      <c r="H59">
        <v>963</v>
      </c>
      <c r="I59">
        <v>266.69678089299998</v>
      </c>
      <c r="J59">
        <v>151</v>
      </c>
      <c r="K59">
        <v>461.54966887419999</v>
      </c>
      <c r="L59">
        <v>265</v>
      </c>
      <c r="M59">
        <v>248.49811320750001</v>
      </c>
      <c r="N59">
        <v>141</v>
      </c>
      <c r="O59">
        <v>297.71631205670002</v>
      </c>
      <c r="R59">
        <v>3</v>
      </c>
      <c r="S59">
        <v>252.6666666667</v>
      </c>
      <c r="V59" t="s">
        <v>378</v>
      </c>
      <c r="W59">
        <v>2421</v>
      </c>
      <c r="X59">
        <v>1665</v>
      </c>
      <c r="Y59">
        <v>345.58258258260003</v>
      </c>
      <c r="Z59">
        <v>281</v>
      </c>
      <c r="AA59">
        <v>403.6619217082</v>
      </c>
      <c r="AB59">
        <v>139</v>
      </c>
      <c r="AC59">
        <v>248.3525179856</v>
      </c>
      <c r="AD59">
        <v>501</v>
      </c>
      <c r="AE59">
        <v>564.64200000000005</v>
      </c>
      <c r="AF59">
        <v>110</v>
      </c>
      <c r="AG59">
        <v>203.2545454545</v>
      </c>
      <c r="AH59">
        <v>6</v>
      </c>
      <c r="AI59">
        <v>523.16666666670005</v>
      </c>
      <c r="AL59" t="s">
        <v>378</v>
      </c>
      <c r="AM59">
        <v>31</v>
      </c>
      <c r="AN59">
        <v>23</v>
      </c>
      <c r="AO59">
        <v>197.78260869569999</v>
      </c>
      <c r="AP59">
        <v>20</v>
      </c>
      <c r="AQ59">
        <v>358.4</v>
      </c>
      <c r="AR59">
        <v>7</v>
      </c>
      <c r="AS59">
        <v>132.42857142860001</v>
      </c>
      <c r="AV59">
        <v>1</v>
      </c>
      <c r="AW59">
        <v>341</v>
      </c>
    </row>
    <row r="60" spans="6:51" x14ac:dyDescent="0.2">
      <c r="F60" t="s">
        <v>60</v>
      </c>
      <c r="G60">
        <v>3307</v>
      </c>
      <c r="H60">
        <v>2685</v>
      </c>
      <c r="I60">
        <v>269.86145251400001</v>
      </c>
      <c r="J60">
        <v>282</v>
      </c>
      <c r="K60">
        <v>650.36524822700005</v>
      </c>
      <c r="L60">
        <v>336</v>
      </c>
      <c r="M60">
        <v>188.9613095238</v>
      </c>
      <c r="N60">
        <v>286</v>
      </c>
      <c r="O60">
        <v>655.72377622379997</v>
      </c>
      <c r="V60" t="s">
        <v>381</v>
      </c>
      <c r="W60">
        <v>9317</v>
      </c>
      <c r="X60">
        <v>6743</v>
      </c>
      <c r="Y60">
        <v>256.79919916950001</v>
      </c>
      <c r="Z60">
        <v>1120</v>
      </c>
      <c r="AA60">
        <v>444.56964285710001</v>
      </c>
      <c r="AB60">
        <v>1203</v>
      </c>
      <c r="AC60">
        <v>194.19950124690001</v>
      </c>
      <c r="AD60">
        <v>808</v>
      </c>
      <c r="AE60">
        <v>347.50618811880003</v>
      </c>
      <c r="AF60">
        <v>539</v>
      </c>
      <c r="AG60">
        <v>182.3135435993</v>
      </c>
      <c r="AH60">
        <v>24</v>
      </c>
      <c r="AI60">
        <v>268.2083333333</v>
      </c>
      <c r="AL60" t="s">
        <v>381</v>
      </c>
      <c r="AM60">
        <v>140</v>
      </c>
      <c r="AN60">
        <v>96</v>
      </c>
      <c r="AO60">
        <v>180.5729166667</v>
      </c>
      <c r="AP60">
        <v>69</v>
      </c>
      <c r="AQ60">
        <v>365.3333333333</v>
      </c>
      <c r="AR60">
        <v>33</v>
      </c>
      <c r="AS60">
        <v>146.39393939390001</v>
      </c>
      <c r="AT60">
        <v>11</v>
      </c>
      <c r="AU60">
        <v>298.72727272729998</v>
      </c>
    </row>
    <row r="61" spans="6:51" x14ac:dyDescent="0.2">
      <c r="F61" t="s">
        <v>33</v>
      </c>
      <c r="G61">
        <v>4781</v>
      </c>
      <c r="H61">
        <v>4106</v>
      </c>
      <c r="I61">
        <v>564</v>
      </c>
      <c r="J61">
        <v>319</v>
      </c>
      <c r="K61">
        <v>944.01880877739995</v>
      </c>
      <c r="L61">
        <v>331</v>
      </c>
      <c r="M61">
        <v>612.90030211479996</v>
      </c>
      <c r="N61">
        <v>333</v>
      </c>
      <c r="O61">
        <v>661.19819819819998</v>
      </c>
      <c r="R61">
        <v>11</v>
      </c>
      <c r="S61">
        <v>542.18181818180005</v>
      </c>
      <c r="V61" t="s">
        <v>413</v>
      </c>
      <c r="W61">
        <v>600</v>
      </c>
      <c r="X61">
        <v>415</v>
      </c>
      <c r="Y61">
        <v>441.46746987950002</v>
      </c>
      <c r="Z61">
        <v>33</v>
      </c>
      <c r="AA61">
        <v>736.24242424240003</v>
      </c>
      <c r="AB61">
        <v>124</v>
      </c>
      <c r="AC61">
        <v>699.47580645159996</v>
      </c>
      <c r="AD61">
        <v>37</v>
      </c>
      <c r="AE61">
        <v>504.40540540540002</v>
      </c>
      <c r="AF61">
        <v>24</v>
      </c>
      <c r="AG61">
        <v>140.7916666667</v>
      </c>
      <c r="AL61" t="s">
        <v>413</v>
      </c>
      <c r="AM61">
        <v>7</v>
      </c>
      <c r="AN61">
        <v>4</v>
      </c>
      <c r="AO61">
        <v>199</v>
      </c>
      <c r="AP61">
        <v>7</v>
      </c>
      <c r="AQ61">
        <v>331.71428571429999</v>
      </c>
      <c r="AR61">
        <v>2</v>
      </c>
      <c r="AS61">
        <v>210.5</v>
      </c>
      <c r="AT61">
        <v>1</v>
      </c>
      <c r="AU61">
        <v>249</v>
      </c>
    </row>
    <row r="62" spans="6:51" x14ac:dyDescent="0.2">
      <c r="F62" t="s">
        <v>47</v>
      </c>
      <c r="G62">
        <v>2541</v>
      </c>
      <c r="H62">
        <v>1794</v>
      </c>
      <c r="I62">
        <v>361.82608695649998</v>
      </c>
      <c r="J62">
        <v>299</v>
      </c>
      <c r="K62">
        <v>397.38127090299997</v>
      </c>
      <c r="L62">
        <v>241</v>
      </c>
      <c r="M62">
        <v>517.45228215769998</v>
      </c>
      <c r="N62">
        <v>499</v>
      </c>
      <c r="O62">
        <v>560.07831325300003</v>
      </c>
      <c r="R62">
        <v>7</v>
      </c>
      <c r="S62">
        <v>469.14285714290003</v>
      </c>
      <c r="V62" t="s">
        <v>368</v>
      </c>
      <c r="W62">
        <v>56549</v>
      </c>
      <c r="X62">
        <v>40101</v>
      </c>
      <c r="Y62">
        <v>364.67211970070002</v>
      </c>
      <c r="Z62">
        <v>4919</v>
      </c>
      <c r="AA62">
        <v>540.71457613339999</v>
      </c>
      <c r="AB62">
        <v>9133</v>
      </c>
      <c r="AC62">
        <v>472.1428884266</v>
      </c>
      <c r="AD62">
        <v>4903</v>
      </c>
      <c r="AE62">
        <v>542.2878416973</v>
      </c>
      <c r="AF62">
        <v>2268</v>
      </c>
      <c r="AG62">
        <v>177.8020282187</v>
      </c>
      <c r="AH62">
        <v>144</v>
      </c>
      <c r="AI62">
        <v>446.9027777778</v>
      </c>
      <c r="AL62" t="s">
        <v>368</v>
      </c>
      <c r="AM62">
        <v>873</v>
      </c>
      <c r="AN62">
        <v>615</v>
      </c>
      <c r="AO62">
        <v>169.63577235770001</v>
      </c>
      <c r="AP62">
        <v>391</v>
      </c>
      <c r="AQ62">
        <v>358.6061381074</v>
      </c>
      <c r="AR62">
        <v>195</v>
      </c>
      <c r="AS62">
        <v>144.85128205129999</v>
      </c>
      <c r="AT62">
        <v>60</v>
      </c>
      <c r="AU62">
        <v>344.23333333329998</v>
      </c>
      <c r="AV62">
        <v>2</v>
      </c>
      <c r="AW62">
        <v>2894.5</v>
      </c>
      <c r="AX62">
        <v>1</v>
      </c>
      <c r="AY62">
        <v>369</v>
      </c>
    </row>
    <row r="63" spans="6:51" x14ac:dyDescent="0.2">
      <c r="F63" t="s">
        <v>54</v>
      </c>
      <c r="G63">
        <v>573</v>
      </c>
      <c r="H63">
        <v>488</v>
      </c>
      <c r="I63">
        <v>238.31557377050001</v>
      </c>
      <c r="J63">
        <v>72</v>
      </c>
      <c r="K63">
        <v>452.6388888889</v>
      </c>
      <c r="L63">
        <v>43</v>
      </c>
      <c r="M63">
        <v>60.604651162800003</v>
      </c>
      <c r="N63">
        <v>41</v>
      </c>
      <c r="O63">
        <v>218.0975609756</v>
      </c>
      <c r="R63">
        <v>1</v>
      </c>
      <c r="S63">
        <v>572</v>
      </c>
      <c r="V63" t="s">
        <v>697</v>
      </c>
      <c r="W63">
        <v>310002</v>
      </c>
      <c r="X63">
        <v>226734</v>
      </c>
      <c r="Y63">
        <v>413.12397288369999</v>
      </c>
      <c r="Z63">
        <v>27999</v>
      </c>
      <c r="AA63">
        <v>562.43297974929999</v>
      </c>
      <c r="AB63">
        <v>49554</v>
      </c>
      <c r="AC63">
        <v>530.43830972269996</v>
      </c>
      <c r="AD63">
        <v>21903</v>
      </c>
      <c r="AE63">
        <v>509.48627665890001</v>
      </c>
      <c r="AF63">
        <v>11253</v>
      </c>
      <c r="AG63">
        <v>182.90108425170001</v>
      </c>
      <c r="AH63">
        <v>558</v>
      </c>
      <c r="AI63">
        <v>438.54121863799998</v>
      </c>
      <c r="AL63" t="s">
        <v>697</v>
      </c>
      <c r="AM63">
        <v>4828</v>
      </c>
      <c r="AN63">
        <v>3370</v>
      </c>
      <c r="AO63">
        <v>258.4299703264</v>
      </c>
      <c r="AP63">
        <v>1490</v>
      </c>
      <c r="AQ63">
        <v>376.32080536910001</v>
      </c>
      <c r="AR63">
        <v>1251</v>
      </c>
      <c r="AS63">
        <v>242.01119104719999</v>
      </c>
      <c r="AT63">
        <v>201</v>
      </c>
      <c r="AU63">
        <v>315.2189054726</v>
      </c>
      <c r="AV63">
        <v>5</v>
      </c>
      <c r="AW63">
        <v>2061</v>
      </c>
      <c r="AX63">
        <v>1</v>
      </c>
      <c r="AY63">
        <v>369</v>
      </c>
    </row>
    <row r="64" spans="6:51" x14ac:dyDescent="0.2">
      <c r="F64" t="s">
        <v>65</v>
      </c>
      <c r="G64">
        <v>4875</v>
      </c>
      <c r="H64">
        <v>3998</v>
      </c>
      <c r="I64">
        <v>552.18334167080002</v>
      </c>
      <c r="J64">
        <v>255</v>
      </c>
      <c r="K64">
        <v>1099.4941176471</v>
      </c>
      <c r="L64">
        <v>106</v>
      </c>
      <c r="M64">
        <v>746.24528301889995</v>
      </c>
      <c r="N64">
        <v>758</v>
      </c>
      <c r="O64">
        <v>916.60158311350006</v>
      </c>
      <c r="R64">
        <v>13</v>
      </c>
      <c r="S64">
        <v>651.69230769230001</v>
      </c>
    </row>
    <row r="65" spans="6:19" x14ac:dyDescent="0.2">
      <c r="F65" t="s">
        <v>67</v>
      </c>
      <c r="G65">
        <v>1078</v>
      </c>
      <c r="H65">
        <v>581</v>
      </c>
      <c r="I65">
        <v>469.97246127369999</v>
      </c>
      <c r="J65">
        <v>294</v>
      </c>
      <c r="K65">
        <v>516.12585034009999</v>
      </c>
      <c r="L65">
        <v>356</v>
      </c>
      <c r="M65">
        <v>982.66292134829996</v>
      </c>
      <c r="N65">
        <v>139</v>
      </c>
      <c r="O65">
        <v>698.7913669065</v>
      </c>
      <c r="R65">
        <v>2</v>
      </c>
      <c r="S65">
        <v>188.5</v>
      </c>
    </row>
    <row r="66" spans="6:19" x14ac:dyDescent="0.2">
      <c r="F66" t="s">
        <v>82</v>
      </c>
      <c r="G66">
        <v>147</v>
      </c>
      <c r="H66">
        <v>29</v>
      </c>
      <c r="I66">
        <v>1063.4137931033999</v>
      </c>
      <c r="J66">
        <v>12</v>
      </c>
      <c r="K66">
        <v>1219.25</v>
      </c>
      <c r="L66">
        <v>53</v>
      </c>
      <c r="M66">
        <v>804.16981132080002</v>
      </c>
      <c r="N66">
        <v>62</v>
      </c>
      <c r="O66">
        <v>647.32258064519999</v>
      </c>
      <c r="R66">
        <v>3</v>
      </c>
      <c r="S66">
        <v>552.33333333329995</v>
      </c>
    </row>
    <row r="67" spans="6:19" x14ac:dyDescent="0.2">
      <c r="F67" t="s">
        <v>63</v>
      </c>
      <c r="G67">
        <v>5950</v>
      </c>
      <c r="H67">
        <v>3952</v>
      </c>
      <c r="I67">
        <v>302.1553643725</v>
      </c>
      <c r="J67">
        <v>619</v>
      </c>
      <c r="K67">
        <v>402.2455573506</v>
      </c>
      <c r="L67">
        <v>1308</v>
      </c>
      <c r="M67">
        <v>358.02293577979998</v>
      </c>
      <c r="N67">
        <v>655</v>
      </c>
      <c r="O67">
        <v>630.36030534350004</v>
      </c>
      <c r="R67">
        <v>35</v>
      </c>
      <c r="S67">
        <v>456.5142857143</v>
      </c>
    </row>
    <row r="68" spans="6:19" x14ac:dyDescent="0.2">
      <c r="F68" t="s">
        <v>429</v>
      </c>
      <c r="G68">
        <v>35</v>
      </c>
      <c r="H68">
        <v>14</v>
      </c>
      <c r="I68">
        <v>533.92857142859998</v>
      </c>
      <c r="J68">
        <v>2</v>
      </c>
      <c r="K68">
        <v>667.5</v>
      </c>
      <c r="L68">
        <v>6</v>
      </c>
      <c r="M68">
        <v>1001.6666666667001</v>
      </c>
      <c r="N68">
        <v>12</v>
      </c>
      <c r="O68">
        <v>342.6666666667</v>
      </c>
      <c r="R68">
        <v>3</v>
      </c>
      <c r="S68">
        <v>450</v>
      </c>
    </row>
    <row r="69" spans="6:19" x14ac:dyDescent="0.2">
      <c r="F69" t="s">
        <v>83</v>
      </c>
      <c r="G69">
        <v>8469</v>
      </c>
      <c r="H69">
        <v>6547</v>
      </c>
      <c r="I69">
        <v>239.8310676646</v>
      </c>
      <c r="J69">
        <v>1082</v>
      </c>
      <c r="K69">
        <v>430.22828096120003</v>
      </c>
      <c r="L69">
        <v>1108</v>
      </c>
      <c r="M69">
        <v>132.31678700360001</v>
      </c>
      <c r="N69">
        <v>792</v>
      </c>
      <c r="O69">
        <v>335.85858585860001</v>
      </c>
      <c r="R69">
        <v>22</v>
      </c>
      <c r="S69">
        <v>268.77272727270002</v>
      </c>
    </row>
    <row r="70" spans="6:19" x14ac:dyDescent="0.2">
      <c r="F70" t="s">
        <v>135</v>
      </c>
      <c r="G70">
        <v>199</v>
      </c>
      <c r="H70">
        <v>149</v>
      </c>
      <c r="I70">
        <v>432.12080536910003</v>
      </c>
      <c r="J70">
        <v>82</v>
      </c>
      <c r="K70">
        <v>621.5</v>
      </c>
      <c r="L70">
        <v>28</v>
      </c>
      <c r="M70">
        <v>401.17857142859998</v>
      </c>
      <c r="N70">
        <v>19</v>
      </c>
      <c r="O70">
        <v>448.84210526319998</v>
      </c>
      <c r="R70">
        <v>3</v>
      </c>
      <c r="S70">
        <v>213.6666666667</v>
      </c>
    </row>
    <row r="71" spans="6:19" x14ac:dyDescent="0.2">
      <c r="F71" t="s">
        <v>368</v>
      </c>
      <c r="G71">
        <v>56807</v>
      </c>
      <c r="H71">
        <v>42163</v>
      </c>
      <c r="I71">
        <v>376.24498363459998</v>
      </c>
      <c r="J71">
        <v>5183</v>
      </c>
      <c r="K71">
        <v>554.99363303109999</v>
      </c>
      <c r="L71">
        <v>9174</v>
      </c>
      <c r="M71">
        <v>467.74994549809998</v>
      </c>
      <c r="N71">
        <v>5321</v>
      </c>
      <c r="O71">
        <v>572.81898496240001</v>
      </c>
      <c r="R71">
        <v>149</v>
      </c>
      <c r="S71">
        <v>448.41610738259999</v>
      </c>
    </row>
    <row r="72" spans="6:19" x14ac:dyDescent="0.2">
      <c r="F72" t="s">
        <v>697</v>
      </c>
      <c r="G72">
        <v>314830</v>
      </c>
      <c r="H72">
        <v>230104</v>
      </c>
      <c r="I72">
        <v>410.85832496730001</v>
      </c>
      <c r="J72">
        <v>29489</v>
      </c>
      <c r="K72">
        <v>553.02923123879998</v>
      </c>
      <c r="L72">
        <v>50805</v>
      </c>
      <c r="M72">
        <v>523.33620706620002</v>
      </c>
      <c r="N72">
        <v>22104</v>
      </c>
      <c r="O72">
        <v>507.71925061090002</v>
      </c>
      <c r="P72">
        <v>11258</v>
      </c>
      <c r="Q72">
        <v>183.73527582840001</v>
      </c>
      <c r="R72">
        <v>559</v>
      </c>
      <c r="S72">
        <v>438.41681574239999</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493</v>
      </c>
      <c r="B1" t="s">
        <v>365</v>
      </c>
      <c r="C1" t="s">
        <v>492</v>
      </c>
      <c r="D1" t="s">
        <v>494</v>
      </c>
      <c r="E1" t="s">
        <v>495</v>
      </c>
      <c r="F1" t="s">
        <v>496</v>
      </c>
      <c r="G1" t="s">
        <v>497</v>
      </c>
      <c r="H1" t="s">
        <v>498</v>
      </c>
      <c r="I1" t="s">
        <v>499</v>
      </c>
      <c r="J1" t="s">
        <v>500</v>
      </c>
      <c r="K1" t="s">
        <v>501</v>
      </c>
      <c r="L1" t="s">
        <v>366</v>
      </c>
      <c r="M1" t="s">
        <v>502</v>
      </c>
      <c r="N1" t="s">
        <v>503</v>
      </c>
      <c r="O1" t="s">
        <v>504</v>
      </c>
      <c r="P1" t="s">
        <v>505</v>
      </c>
      <c r="Q1" t="s">
        <v>506</v>
      </c>
      <c r="R1" t="s">
        <v>677</v>
      </c>
    </row>
    <row r="2" spans="1:18" x14ac:dyDescent="0.2">
      <c r="A2">
        <v>1</v>
      </c>
      <c r="B2">
        <v>-99</v>
      </c>
      <c r="C2" t="s">
        <v>436</v>
      </c>
      <c r="D2" t="s">
        <v>697</v>
      </c>
      <c r="E2" t="s">
        <v>436</v>
      </c>
      <c r="F2" t="s">
        <v>697</v>
      </c>
      <c r="G2" t="s">
        <v>436</v>
      </c>
      <c r="H2" t="s">
        <v>6</v>
      </c>
      <c r="I2">
        <v>-99</v>
      </c>
      <c r="J2">
        <v>1</v>
      </c>
      <c r="K2" t="s">
        <v>6</v>
      </c>
      <c r="L2">
        <v>-99</v>
      </c>
      <c r="M2" t="s">
        <v>653</v>
      </c>
      <c r="N2" t="s">
        <v>653</v>
      </c>
      <c r="O2">
        <v>-99</v>
      </c>
      <c r="P2">
        <v>-99</v>
      </c>
      <c r="Q2">
        <v>1</v>
      </c>
      <c r="R2" t="s">
        <v>653</v>
      </c>
    </row>
    <row r="3" spans="1:18" x14ac:dyDescent="0.2">
      <c r="A3">
        <v>2</v>
      </c>
      <c r="B3">
        <v>-99</v>
      </c>
      <c r="C3" t="s">
        <v>437</v>
      </c>
      <c r="D3" t="s">
        <v>6</v>
      </c>
      <c r="E3" t="s">
        <v>437</v>
      </c>
      <c r="F3" t="s">
        <v>1034</v>
      </c>
      <c r="G3" t="s">
        <v>436</v>
      </c>
      <c r="H3" t="s">
        <v>6</v>
      </c>
      <c r="I3">
        <v>-99</v>
      </c>
      <c r="J3">
        <v>1</v>
      </c>
      <c r="K3" t="s">
        <v>6</v>
      </c>
      <c r="L3">
        <v>-99</v>
      </c>
      <c r="M3" t="s">
        <v>653</v>
      </c>
      <c r="N3" t="s">
        <v>653</v>
      </c>
      <c r="O3">
        <v>-99</v>
      </c>
      <c r="P3">
        <v>-99</v>
      </c>
      <c r="Q3">
        <v>1</v>
      </c>
      <c r="R3" t="s">
        <v>653</v>
      </c>
    </row>
    <row r="4" spans="1:18" x14ac:dyDescent="0.2">
      <c r="A4">
        <v>3</v>
      </c>
      <c r="B4">
        <v>-99</v>
      </c>
      <c r="C4" t="s">
        <v>654</v>
      </c>
      <c r="D4" t="s">
        <v>6</v>
      </c>
      <c r="E4" t="s">
        <v>654</v>
      </c>
      <c r="F4" t="s">
        <v>1036</v>
      </c>
      <c r="G4" t="s">
        <v>436</v>
      </c>
      <c r="H4" t="s">
        <v>6</v>
      </c>
      <c r="I4">
        <v>-99</v>
      </c>
      <c r="J4">
        <v>1</v>
      </c>
      <c r="K4" t="s">
        <v>6</v>
      </c>
      <c r="L4">
        <v>-99</v>
      </c>
      <c r="M4" t="s">
        <v>653</v>
      </c>
      <c r="N4" t="s">
        <v>653</v>
      </c>
      <c r="O4">
        <v>-99</v>
      </c>
      <c r="P4">
        <v>-99</v>
      </c>
      <c r="Q4">
        <v>1</v>
      </c>
      <c r="R4" t="s">
        <v>208</v>
      </c>
    </row>
    <row r="5" spans="1:18" x14ac:dyDescent="0.2">
      <c r="A5">
        <v>4</v>
      </c>
      <c r="B5">
        <v>-99</v>
      </c>
      <c r="C5" t="s">
        <v>438</v>
      </c>
      <c r="D5" t="s">
        <v>6</v>
      </c>
      <c r="E5" t="s">
        <v>438</v>
      </c>
      <c r="F5" t="s">
        <v>1042</v>
      </c>
      <c r="G5" t="s">
        <v>436</v>
      </c>
      <c r="H5" t="s">
        <v>6</v>
      </c>
      <c r="I5">
        <v>-99</v>
      </c>
      <c r="J5">
        <v>1</v>
      </c>
      <c r="K5" t="s">
        <v>6</v>
      </c>
      <c r="L5">
        <v>-99</v>
      </c>
      <c r="M5" t="s">
        <v>653</v>
      </c>
      <c r="N5" t="s">
        <v>653</v>
      </c>
      <c r="O5">
        <v>-99</v>
      </c>
      <c r="P5">
        <v>-99</v>
      </c>
      <c r="Q5">
        <v>1</v>
      </c>
      <c r="R5" t="s">
        <v>682</v>
      </c>
    </row>
    <row r="6" spans="1:18" x14ac:dyDescent="0.2">
      <c r="A6">
        <v>5</v>
      </c>
      <c r="B6">
        <v>-99</v>
      </c>
      <c r="C6" t="s">
        <v>439</v>
      </c>
      <c r="D6" t="s">
        <v>6</v>
      </c>
      <c r="E6" t="s">
        <v>439</v>
      </c>
      <c r="F6" t="s">
        <v>694</v>
      </c>
      <c r="G6" t="s">
        <v>436</v>
      </c>
      <c r="H6" t="s">
        <v>6</v>
      </c>
      <c r="I6">
        <v>-99</v>
      </c>
      <c r="J6">
        <v>1</v>
      </c>
      <c r="K6" t="s">
        <v>6</v>
      </c>
      <c r="L6">
        <v>-99</v>
      </c>
      <c r="M6" t="s">
        <v>653</v>
      </c>
      <c r="N6" t="s">
        <v>653</v>
      </c>
      <c r="O6">
        <v>-99</v>
      </c>
      <c r="P6">
        <v>-99</v>
      </c>
      <c r="Q6">
        <v>1</v>
      </c>
      <c r="R6" t="s">
        <v>678</v>
      </c>
    </row>
    <row r="7" spans="1:18" x14ac:dyDescent="0.2">
      <c r="A7">
        <v>6</v>
      </c>
      <c r="B7">
        <v>-99</v>
      </c>
      <c r="C7" t="s">
        <v>440</v>
      </c>
      <c r="D7" t="s">
        <v>6</v>
      </c>
      <c r="E7" t="s">
        <v>440</v>
      </c>
      <c r="F7" t="s">
        <v>1037</v>
      </c>
      <c r="G7" t="s">
        <v>436</v>
      </c>
      <c r="H7" t="s">
        <v>6</v>
      </c>
      <c r="I7">
        <v>-99</v>
      </c>
      <c r="J7">
        <v>1</v>
      </c>
      <c r="K7" t="s">
        <v>6</v>
      </c>
      <c r="L7">
        <v>-99</v>
      </c>
      <c r="M7" t="s">
        <v>653</v>
      </c>
      <c r="N7" t="s">
        <v>653</v>
      </c>
      <c r="O7">
        <v>-99</v>
      </c>
      <c r="P7">
        <v>-99</v>
      </c>
      <c r="Q7">
        <v>1</v>
      </c>
      <c r="R7" t="s">
        <v>679</v>
      </c>
    </row>
    <row r="8" spans="1:18" x14ac:dyDescent="0.2">
      <c r="A8">
        <v>7</v>
      </c>
      <c r="B8">
        <v>-99</v>
      </c>
      <c r="C8" t="s">
        <v>441</v>
      </c>
      <c r="D8" t="s">
        <v>6</v>
      </c>
      <c r="E8" t="s">
        <v>441</v>
      </c>
      <c r="F8" t="s">
        <v>1043</v>
      </c>
      <c r="G8" t="s">
        <v>436</v>
      </c>
      <c r="H8" t="s">
        <v>6</v>
      </c>
      <c r="I8">
        <v>-99</v>
      </c>
      <c r="J8">
        <v>1</v>
      </c>
      <c r="K8" t="s">
        <v>6</v>
      </c>
      <c r="L8">
        <v>-99</v>
      </c>
      <c r="M8" t="s">
        <v>653</v>
      </c>
      <c r="N8" t="s">
        <v>653</v>
      </c>
      <c r="O8">
        <v>-99</v>
      </c>
      <c r="P8">
        <v>-99</v>
      </c>
      <c r="Q8">
        <v>1</v>
      </c>
      <c r="R8" t="s">
        <v>680</v>
      </c>
    </row>
    <row r="9" spans="1:18" x14ac:dyDescent="0.2">
      <c r="A9">
        <v>8</v>
      </c>
      <c r="B9">
        <v>-99</v>
      </c>
      <c r="C9" t="s">
        <v>442</v>
      </c>
      <c r="D9" t="s">
        <v>6</v>
      </c>
      <c r="E9" t="s">
        <v>442</v>
      </c>
      <c r="F9" t="s">
        <v>1044</v>
      </c>
      <c r="G9" t="s">
        <v>436</v>
      </c>
      <c r="H9" t="s">
        <v>6</v>
      </c>
      <c r="I9">
        <v>-99</v>
      </c>
      <c r="J9">
        <v>1</v>
      </c>
      <c r="K9" t="s">
        <v>6</v>
      </c>
      <c r="L9">
        <v>-99</v>
      </c>
      <c r="M9" t="s">
        <v>653</v>
      </c>
      <c r="N9" t="s">
        <v>653</v>
      </c>
      <c r="O9">
        <v>-99</v>
      </c>
      <c r="P9">
        <v>-99</v>
      </c>
      <c r="Q9">
        <v>1</v>
      </c>
      <c r="R9" t="s">
        <v>397</v>
      </c>
    </row>
    <row r="10" spans="1:18" x14ac:dyDescent="0.2">
      <c r="A10">
        <v>9</v>
      </c>
      <c r="B10">
        <v>-99</v>
      </c>
      <c r="C10" t="s">
        <v>443</v>
      </c>
      <c r="D10" t="s">
        <v>6</v>
      </c>
      <c r="E10" t="s">
        <v>443</v>
      </c>
      <c r="F10" t="s">
        <v>1045</v>
      </c>
      <c r="G10" t="s">
        <v>436</v>
      </c>
      <c r="H10" t="s">
        <v>6</v>
      </c>
      <c r="I10">
        <v>-99</v>
      </c>
      <c r="J10">
        <v>1</v>
      </c>
      <c r="K10" t="s">
        <v>6</v>
      </c>
      <c r="L10">
        <v>-99</v>
      </c>
      <c r="M10" t="s">
        <v>653</v>
      </c>
      <c r="N10" t="s">
        <v>653</v>
      </c>
      <c r="O10">
        <v>-99</v>
      </c>
      <c r="P10">
        <v>-99</v>
      </c>
      <c r="Q10">
        <v>1</v>
      </c>
      <c r="R10" t="s">
        <v>683</v>
      </c>
    </row>
    <row r="11" spans="1:18" x14ac:dyDescent="0.2">
      <c r="A11">
        <v>10</v>
      </c>
      <c r="B11">
        <v>-99</v>
      </c>
      <c r="C11" t="s">
        <v>444</v>
      </c>
      <c r="D11" t="s">
        <v>6</v>
      </c>
      <c r="E11" t="s">
        <v>444</v>
      </c>
      <c r="F11" t="s">
        <v>1046</v>
      </c>
      <c r="G11" t="s">
        <v>436</v>
      </c>
      <c r="H11" t="s">
        <v>6</v>
      </c>
      <c r="I11">
        <v>-99</v>
      </c>
      <c r="J11">
        <v>1</v>
      </c>
      <c r="K11" t="s">
        <v>6</v>
      </c>
      <c r="L11">
        <v>-99</v>
      </c>
      <c r="M11" t="s">
        <v>653</v>
      </c>
      <c r="N11" t="s">
        <v>653</v>
      </c>
      <c r="O11">
        <v>-99</v>
      </c>
      <c r="P11">
        <v>-99</v>
      </c>
      <c r="Q11">
        <v>1</v>
      </c>
      <c r="R11" t="s">
        <v>653</v>
      </c>
    </row>
    <row r="12" spans="1:18" x14ac:dyDescent="0.2">
      <c r="A12">
        <v>11</v>
      </c>
      <c r="B12">
        <v>-99</v>
      </c>
      <c r="C12" t="s">
        <v>446</v>
      </c>
      <c r="D12" t="s">
        <v>507</v>
      </c>
      <c r="E12" t="s">
        <v>655</v>
      </c>
      <c r="F12" t="s">
        <v>129</v>
      </c>
      <c r="G12" t="s">
        <v>655</v>
      </c>
      <c r="H12" t="s">
        <v>369</v>
      </c>
      <c r="I12">
        <v>-99</v>
      </c>
      <c r="J12">
        <v>-99</v>
      </c>
      <c r="K12" t="s">
        <v>653</v>
      </c>
      <c r="L12">
        <v>-99</v>
      </c>
      <c r="M12" t="s">
        <v>653</v>
      </c>
      <c r="N12" t="s">
        <v>653</v>
      </c>
      <c r="O12">
        <v>-99</v>
      </c>
      <c r="P12">
        <v>-99</v>
      </c>
      <c r="Q12">
        <v>2</v>
      </c>
      <c r="R12" t="s">
        <v>653</v>
      </c>
    </row>
    <row r="13" spans="1:18" x14ac:dyDescent="0.2">
      <c r="A13">
        <v>12</v>
      </c>
      <c r="B13">
        <v>-99</v>
      </c>
      <c r="C13" t="s">
        <v>448</v>
      </c>
      <c r="D13" t="s">
        <v>507</v>
      </c>
      <c r="E13" t="s">
        <v>656</v>
      </c>
      <c r="F13" t="s">
        <v>130</v>
      </c>
      <c r="G13" t="s">
        <v>656</v>
      </c>
      <c r="H13" t="s">
        <v>376</v>
      </c>
      <c r="I13">
        <v>-99</v>
      </c>
      <c r="J13">
        <v>-99</v>
      </c>
      <c r="K13" t="s">
        <v>653</v>
      </c>
      <c r="L13">
        <v>-99</v>
      </c>
      <c r="M13" t="s">
        <v>653</v>
      </c>
      <c r="N13" t="s">
        <v>653</v>
      </c>
      <c r="O13">
        <v>-99</v>
      </c>
      <c r="P13">
        <v>-99</v>
      </c>
      <c r="Q13">
        <v>2</v>
      </c>
      <c r="R13" t="s">
        <v>653</v>
      </c>
    </row>
    <row r="14" spans="1:18" x14ac:dyDescent="0.2">
      <c r="A14">
        <v>13</v>
      </c>
      <c r="B14">
        <v>-99</v>
      </c>
      <c r="C14" t="s">
        <v>451</v>
      </c>
      <c r="D14" t="s">
        <v>507</v>
      </c>
      <c r="E14" t="s">
        <v>657</v>
      </c>
      <c r="F14" t="s">
        <v>131</v>
      </c>
      <c r="G14" t="s">
        <v>657</v>
      </c>
      <c r="H14" t="s">
        <v>385</v>
      </c>
      <c r="I14">
        <v>-99</v>
      </c>
      <c r="J14">
        <v>-99</v>
      </c>
      <c r="K14" t="s">
        <v>653</v>
      </c>
      <c r="L14">
        <v>-99</v>
      </c>
      <c r="M14" t="s">
        <v>653</v>
      </c>
      <c r="N14" t="s">
        <v>653</v>
      </c>
      <c r="O14">
        <v>-99</v>
      </c>
      <c r="P14">
        <v>-99</v>
      </c>
      <c r="Q14">
        <v>2</v>
      </c>
      <c r="R14" t="s">
        <v>653</v>
      </c>
    </row>
    <row r="15" spans="1:18" x14ac:dyDescent="0.2">
      <c r="A15">
        <v>14</v>
      </c>
      <c r="B15">
        <v>-99</v>
      </c>
      <c r="C15" t="s">
        <v>658</v>
      </c>
      <c r="D15" t="s">
        <v>507</v>
      </c>
      <c r="E15" t="s">
        <v>659</v>
      </c>
      <c r="F15" t="s">
        <v>132</v>
      </c>
      <c r="G15" t="s">
        <v>659</v>
      </c>
      <c r="H15" t="s">
        <v>401</v>
      </c>
      <c r="I15">
        <v>-99</v>
      </c>
      <c r="J15">
        <v>-99</v>
      </c>
      <c r="K15" t="s">
        <v>653</v>
      </c>
      <c r="L15">
        <v>-99</v>
      </c>
      <c r="M15" t="s">
        <v>653</v>
      </c>
      <c r="N15" t="s">
        <v>653</v>
      </c>
      <c r="O15">
        <v>-99</v>
      </c>
      <c r="P15">
        <v>-99</v>
      </c>
      <c r="Q15">
        <v>2</v>
      </c>
      <c r="R15" t="s">
        <v>653</v>
      </c>
    </row>
    <row r="16" spans="1:18" x14ac:dyDescent="0.2">
      <c r="A16">
        <v>15</v>
      </c>
      <c r="B16">
        <v>-99</v>
      </c>
      <c r="C16" t="s">
        <v>661</v>
      </c>
      <c r="D16" t="s">
        <v>428</v>
      </c>
      <c r="E16" t="s">
        <v>661</v>
      </c>
      <c r="F16" t="s">
        <v>428</v>
      </c>
      <c r="G16" t="s">
        <v>653</v>
      </c>
      <c r="H16" t="s">
        <v>653</v>
      </c>
      <c r="I16">
        <v>-99</v>
      </c>
      <c r="J16">
        <v>30</v>
      </c>
      <c r="K16" t="s">
        <v>368</v>
      </c>
      <c r="L16">
        <v>-99</v>
      </c>
      <c r="M16" t="s">
        <v>653</v>
      </c>
      <c r="N16" t="s">
        <v>653</v>
      </c>
      <c r="O16">
        <v>-99</v>
      </c>
      <c r="P16">
        <v>-99</v>
      </c>
      <c r="Q16">
        <v>3</v>
      </c>
      <c r="R16" t="s">
        <v>653</v>
      </c>
    </row>
    <row r="17" spans="1:18" x14ac:dyDescent="0.2">
      <c r="A17">
        <v>16</v>
      </c>
      <c r="B17">
        <v>-99</v>
      </c>
      <c r="C17" t="s">
        <v>660</v>
      </c>
      <c r="D17" t="s">
        <v>434</v>
      </c>
      <c r="E17" t="s">
        <v>660</v>
      </c>
      <c r="F17" t="s">
        <v>434</v>
      </c>
      <c r="G17" t="s">
        <v>653</v>
      </c>
      <c r="H17" t="s">
        <v>653</v>
      </c>
      <c r="I17">
        <v>-99</v>
      </c>
      <c r="J17">
        <v>31</v>
      </c>
      <c r="K17" t="s">
        <v>379</v>
      </c>
      <c r="L17">
        <v>-99</v>
      </c>
      <c r="M17" t="s">
        <v>653</v>
      </c>
      <c r="N17" t="s">
        <v>653</v>
      </c>
      <c r="O17">
        <v>-99</v>
      </c>
      <c r="P17">
        <v>-99</v>
      </c>
      <c r="Q17">
        <v>3</v>
      </c>
      <c r="R17" t="s">
        <v>653</v>
      </c>
    </row>
    <row r="18" spans="1:18" x14ac:dyDescent="0.2">
      <c r="A18">
        <v>17</v>
      </c>
      <c r="B18">
        <v>-99</v>
      </c>
      <c r="C18" t="s">
        <v>662</v>
      </c>
      <c r="D18" t="s">
        <v>432</v>
      </c>
      <c r="E18" t="s">
        <v>662</v>
      </c>
      <c r="F18" t="s">
        <v>432</v>
      </c>
      <c r="G18" t="s">
        <v>653</v>
      </c>
      <c r="H18" t="s">
        <v>653</v>
      </c>
      <c r="I18">
        <v>-99</v>
      </c>
      <c r="J18">
        <v>32</v>
      </c>
      <c r="K18" t="s">
        <v>389</v>
      </c>
      <c r="L18">
        <v>-99</v>
      </c>
      <c r="M18" t="s">
        <v>653</v>
      </c>
      <c r="N18" t="s">
        <v>653</v>
      </c>
      <c r="O18">
        <v>-99</v>
      </c>
      <c r="P18">
        <v>-99</v>
      </c>
      <c r="Q18">
        <v>3</v>
      </c>
      <c r="R18" t="s">
        <v>653</v>
      </c>
    </row>
    <row r="19" spans="1:18" x14ac:dyDescent="0.2">
      <c r="A19">
        <v>18</v>
      </c>
      <c r="B19">
        <v>-99</v>
      </c>
      <c r="C19" t="s">
        <v>663</v>
      </c>
      <c r="D19" t="s">
        <v>431</v>
      </c>
      <c r="E19" t="s">
        <v>663</v>
      </c>
      <c r="F19" t="s">
        <v>431</v>
      </c>
      <c r="G19" t="s">
        <v>653</v>
      </c>
      <c r="H19" t="s">
        <v>653</v>
      </c>
      <c r="I19">
        <v>-99</v>
      </c>
      <c r="J19">
        <v>33</v>
      </c>
      <c r="K19" t="s">
        <v>384</v>
      </c>
      <c r="L19">
        <v>-99</v>
      </c>
      <c r="M19" t="s">
        <v>653</v>
      </c>
      <c r="N19" t="s">
        <v>653</v>
      </c>
      <c r="O19">
        <v>-99</v>
      </c>
      <c r="P19">
        <v>-99</v>
      </c>
      <c r="Q19">
        <v>3</v>
      </c>
      <c r="R19" t="s">
        <v>653</v>
      </c>
    </row>
    <row r="20" spans="1:18" x14ac:dyDescent="0.2">
      <c r="A20">
        <v>19</v>
      </c>
      <c r="B20">
        <v>-99</v>
      </c>
      <c r="C20" t="s">
        <v>664</v>
      </c>
      <c r="D20" t="s">
        <v>433</v>
      </c>
      <c r="E20" t="s">
        <v>664</v>
      </c>
      <c r="F20" t="s">
        <v>433</v>
      </c>
      <c r="G20" t="s">
        <v>653</v>
      </c>
      <c r="H20" t="s">
        <v>653</v>
      </c>
      <c r="I20">
        <v>-99</v>
      </c>
      <c r="J20">
        <v>34</v>
      </c>
      <c r="K20" t="s">
        <v>403</v>
      </c>
      <c r="L20">
        <v>-99</v>
      </c>
      <c r="M20" t="s">
        <v>653</v>
      </c>
      <c r="N20" t="s">
        <v>653</v>
      </c>
      <c r="O20">
        <v>-99</v>
      </c>
      <c r="P20">
        <v>-99</v>
      </c>
      <c r="Q20">
        <v>3</v>
      </c>
      <c r="R20" t="s">
        <v>653</v>
      </c>
    </row>
    <row r="21" spans="1:18" x14ac:dyDescent="0.2">
      <c r="A21">
        <v>20</v>
      </c>
      <c r="B21">
        <v>1</v>
      </c>
      <c r="C21" t="s">
        <v>666</v>
      </c>
      <c r="D21" t="s">
        <v>367</v>
      </c>
      <c r="E21" t="s">
        <v>666</v>
      </c>
      <c r="F21" t="s">
        <v>508</v>
      </c>
      <c r="G21" t="s">
        <v>667</v>
      </c>
      <c r="H21" t="s">
        <v>8</v>
      </c>
      <c r="I21">
        <v>-99</v>
      </c>
      <c r="J21">
        <v>35</v>
      </c>
      <c r="K21" t="s">
        <v>8</v>
      </c>
      <c r="L21">
        <v>8240</v>
      </c>
      <c r="M21" t="s">
        <v>509</v>
      </c>
      <c r="N21" t="s">
        <v>653</v>
      </c>
      <c r="O21">
        <v>1</v>
      </c>
      <c r="P21">
        <v>2</v>
      </c>
      <c r="Q21">
        <v>-99</v>
      </c>
      <c r="R21" t="s">
        <v>653</v>
      </c>
    </row>
    <row r="22" spans="1:18" x14ac:dyDescent="0.2">
      <c r="A22">
        <v>21</v>
      </c>
      <c r="B22">
        <v>8</v>
      </c>
      <c r="C22" t="s">
        <v>136</v>
      </c>
      <c r="D22" t="s">
        <v>35</v>
      </c>
      <c r="E22" t="s">
        <v>510</v>
      </c>
      <c r="F22" t="s">
        <v>511</v>
      </c>
      <c r="G22" t="s">
        <v>655</v>
      </c>
      <c r="H22" t="s">
        <v>369</v>
      </c>
      <c r="I22">
        <v>380</v>
      </c>
      <c r="J22">
        <v>30</v>
      </c>
      <c r="K22" t="s">
        <v>368</v>
      </c>
      <c r="L22">
        <v>8233</v>
      </c>
      <c r="M22" t="s">
        <v>324</v>
      </c>
      <c r="N22" t="s">
        <v>370</v>
      </c>
      <c r="O22">
        <v>1</v>
      </c>
      <c r="P22">
        <v>2</v>
      </c>
      <c r="Q22">
        <v>-99</v>
      </c>
      <c r="R22" t="s">
        <v>681</v>
      </c>
    </row>
    <row r="23" spans="1:18" x14ac:dyDescent="0.2">
      <c r="A23">
        <v>22</v>
      </c>
      <c r="B23">
        <v>9</v>
      </c>
      <c r="C23" t="s">
        <v>137</v>
      </c>
      <c r="D23" t="s">
        <v>67</v>
      </c>
      <c r="E23" t="s">
        <v>512</v>
      </c>
      <c r="F23" t="s">
        <v>513</v>
      </c>
      <c r="G23" t="s">
        <v>655</v>
      </c>
      <c r="H23" t="s">
        <v>369</v>
      </c>
      <c r="I23">
        <v>380</v>
      </c>
      <c r="J23">
        <v>30</v>
      </c>
      <c r="K23" t="s">
        <v>368</v>
      </c>
      <c r="L23">
        <v>8235</v>
      </c>
      <c r="M23" t="s">
        <v>359</v>
      </c>
      <c r="N23" t="s">
        <v>371</v>
      </c>
      <c r="O23">
        <v>1</v>
      </c>
      <c r="P23">
        <v>1</v>
      </c>
      <c r="Q23">
        <v>-99</v>
      </c>
      <c r="R23" t="s">
        <v>681</v>
      </c>
    </row>
    <row r="24" spans="1:18" x14ac:dyDescent="0.2">
      <c r="A24">
        <v>23</v>
      </c>
      <c r="B24">
        <v>-99</v>
      </c>
      <c r="C24" t="s">
        <v>137</v>
      </c>
      <c r="D24" t="s">
        <v>67</v>
      </c>
      <c r="E24" t="s">
        <v>514</v>
      </c>
      <c r="F24" t="s">
        <v>515</v>
      </c>
      <c r="G24" t="s">
        <v>655</v>
      </c>
      <c r="H24" t="s">
        <v>369</v>
      </c>
      <c r="I24">
        <v>380</v>
      </c>
      <c r="J24">
        <v>30</v>
      </c>
      <c r="K24" t="s">
        <v>368</v>
      </c>
      <c r="L24">
        <v>8235</v>
      </c>
      <c r="M24" t="s">
        <v>359</v>
      </c>
      <c r="N24" t="s">
        <v>371</v>
      </c>
      <c r="O24">
        <v>-99</v>
      </c>
      <c r="P24">
        <v>1</v>
      </c>
      <c r="Q24">
        <v>-99</v>
      </c>
      <c r="R24" t="s">
        <v>397</v>
      </c>
    </row>
    <row r="25" spans="1:18" x14ac:dyDescent="0.2">
      <c r="A25">
        <v>24</v>
      </c>
      <c r="B25">
        <v>10</v>
      </c>
      <c r="C25" t="s">
        <v>138</v>
      </c>
      <c r="D25" t="s">
        <v>60</v>
      </c>
      <c r="E25" t="s">
        <v>516</v>
      </c>
      <c r="F25" t="s">
        <v>517</v>
      </c>
      <c r="G25" t="s">
        <v>655</v>
      </c>
      <c r="H25" t="s">
        <v>369</v>
      </c>
      <c r="I25">
        <v>380</v>
      </c>
      <c r="J25">
        <v>30</v>
      </c>
      <c r="K25" t="s">
        <v>368</v>
      </c>
      <c r="L25">
        <v>8237</v>
      </c>
      <c r="M25" t="s">
        <v>334</v>
      </c>
      <c r="N25" t="s">
        <v>60</v>
      </c>
      <c r="O25">
        <v>1</v>
      </c>
      <c r="P25">
        <v>2</v>
      </c>
      <c r="Q25">
        <v>-99</v>
      </c>
      <c r="R25" t="s">
        <v>681</v>
      </c>
    </row>
    <row r="26" spans="1:18" x14ac:dyDescent="0.2">
      <c r="A26">
        <v>25</v>
      </c>
      <c r="B26">
        <v>11</v>
      </c>
      <c r="C26" t="s">
        <v>139</v>
      </c>
      <c r="D26" t="s">
        <v>24</v>
      </c>
      <c r="E26" t="s">
        <v>518</v>
      </c>
      <c r="F26" t="s">
        <v>519</v>
      </c>
      <c r="G26" t="s">
        <v>655</v>
      </c>
      <c r="H26" t="s">
        <v>369</v>
      </c>
      <c r="I26">
        <v>380</v>
      </c>
      <c r="J26">
        <v>30</v>
      </c>
      <c r="K26" t="s">
        <v>368</v>
      </c>
      <c r="L26">
        <v>8238</v>
      </c>
      <c r="M26" t="s">
        <v>334</v>
      </c>
      <c r="N26" t="s">
        <v>60</v>
      </c>
      <c r="O26">
        <v>1</v>
      </c>
      <c r="P26">
        <v>2</v>
      </c>
      <c r="Q26">
        <v>-99</v>
      </c>
      <c r="R26" t="s">
        <v>681</v>
      </c>
    </row>
    <row r="27" spans="1:18" x14ac:dyDescent="0.2">
      <c r="A27">
        <v>26</v>
      </c>
      <c r="B27">
        <v>12</v>
      </c>
      <c r="C27" t="s">
        <v>140</v>
      </c>
      <c r="D27" t="s">
        <v>44</v>
      </c>
      <c r="E27" t="s">
        <v>520</v>
      </c>
      <c r="F27" t="s">
        <v>521</v>
      </c>
      <c r="G27" t="s">
        <v>655</v>
      </c>
      <c r="H27" t="s">
        <v>369</v>
      </c>
      <c r="I27">
        <v>380</v>
      </c>
      <c r="J27">
        <v>30</v>
      </c>
      <c r="K27" t="s">
        <v>368</v>
      </c>
      <c r="L27">
        <v>8239</v>
      </c>
      <c r="M27" t="s">
        <v>352</v>
      </c>
      <c r="N27" t="s">
        <v>372</v>
      </c>
      <c r="O27">
        <v>1</v>
      </c>
      <c r="P27">
        <v>2</v>
      </c>
      <c r="Q27">
        <v>-99</v>
      </c>
      <c r="R27" t="s">
        <v>681</v>
      </c>
    </row>
    <row r="28" spans="1:18" x14ac:dyDescent="0.2">
      <c r="A28">
        <v>27</v>
      </c>
      <c r="B28">
        <v>13</v>
      </c>
      <c r="C28" t="s">
        <v>141</v>
      </c>
      <c r="D28" t="s">
        <v>61</v>
      </c>
      <c r="E28" t="s">
        <v>522</v>
      </c>
      <c r="F28" t="s">
        <v>523</v>
      </c>
      <c r="G28" t="s">
        <v>655</v>
      </c>
      <c r="H28" t="s">
        <v>369</v>
      </c>
      <c r="I28">
        <v>380</v>
      </c>
      <c r="J28">
        <v>30</v>
      </c>
      <c r="K28" t="s">
        <v>368</v>
      </c>
      <c r="L28">
        <v>8241</v>
      </c>
      <c r="M28" t="s">
        <v>356</v>
      </c>
      <c r="N28" t="s">
        <v>373</v>
      </c>
      <c r="O28">
        <v>1</v>
      </c>
      <c r="P28">
        <v>2</v>
      </c>
      <c r="Q28">
        <v>-99</v>
      </c>
      <c r="R28" t="s">
        <v>681</v>
      </c>
    </row>
    <row r="29" spans="1:18" x14ac:dyDescent="0.2">
      <c r="A29">
        <v>28</v>
      </c>
      <c r="B29">
        <v>14</v>
      </c>
      <c r="C29" t="s">
        <v>99</v>
      </c>
      <c r="D29" t="s">
        <v>63</v>
      </c>
      <c r="E29" t="s">
        <v>524</v>
      </c>
      <c r="F29" t="s">
        <v>525</v>
      </c>
      <c r="G29" t="s">
        <v>655</v>
      </c>
      <c r="H29" t="s">
        <v>369</v>
      </c>
      <c r="I29">
        <v>380</v>
      </c>
      <c r="J29">
        <v>30</v>
      </c>
      <c r="K29" t="s">
        <v>368</v>
      </c>
      <c r="L29">
        <v>8242</v>
      </c>
      <c r="M29" t="s">
        <v>346</v>
      </c>
      <c r="N29" t="s">
        <v>374</v>
      </c>
      <c r="O29">
        <v>1</v>
      </c>
      <c r="P29">
        <v>1</v>
      </c>
      <c r="Q29">
        <v>-99</v>
      </c>
      <c r="R29" t="s">
        <v>681</v>
      </c>
    </row>
    <row r="30" spans="1:18" x14ac:dyDescent="0.2">
      <c r="A30">
        <v>29</v>
      </c>
      <c r="B30">
        <v>-99</v>
      </c>
      <c r="C30" t="s">
        <v>99</v>
      </c>
      <c r="D30" t="s">
        <v>63</v>
      </c>
      <c r="E30" t="s">
        <v>526</v>
      </c>
      <c r="F30" t="s">
        <v>210</v>
      </c>
      <c r="G30" t="s">
        <v>655</v>
      </c>
      <c r="H30" t="s">
        <v>369</v>
      </c>
      <c r="I30">
        <v>380</v>
      </c>
      <c r="J30">
        <v>30</v>
      </c>
      <c r="K30" t="s">
        <v>368</v>
      </c>
      <c r="L30">
        <v>8242</v>
      </c>
      <c r="M30" t="s">
        <v>346</v>
      </c>
      <c r="N30" t="s">
        <v>374</v>
      </c>
      <c r="O30">
        <v>-99</v>
      </c>
      <c r="P30">
        <v>1</v>
      </c>
      <c r="Q30">
        <v>-99</v>
      </c>
      <c r="R30" t="s">
        <v>208</v>
      </c>
    </row>
    <row r="31" spans="1:18" x14ac:dyDescent="0.2">
      <c r="A31">
        <v>30</v>
      </c>
      <c r="B31">
        <v>15</v>
      </c>
      <c r="C31" t="s">
        <v>142</v>
      </c>
      <c r="D31" t="s">
        <v>65</v>
      </c>
      <c r="E31" t="s">
        <v>527</v>
      </c>
      <c r="F31" t="s">
        <v>528</v>
      </c>
      <c r="G31" t="s">
        <v>655</v>
      </c>
      <c r="H31" t="s">
        <v>369</v>
      </c>
      <c r="I31">
        <v>380</v>
      </c>
      <c r="J31">
        <v>30</v>
      </c>
      <c r="K31" t="s">
        <v>368</v>
      </c>
      <c r="L31">
        <v>8243</v>
      </c>
      <c r="M31" t="s">
        <v>346</v>
      </c>
      <c r="N31" t="s">
        <v>374</v>
      </c>
      <c r="O31">
        <v>1</v>
      </c>
      <c r="P31">
        <v>1</v>
      </c>
      <c r="Q31">
        <v>-99</v>
      </c>
      <c r="R31" t="s">
        <v>681</v>
      </c>
    </row>
    <row r="32" spans="1:18" x14ac:dyDescent="0.2">
      <c r="A32">
        <v>31</v>
      </c>
      <c r="B32">
        <v>-99</v>
      </c>
      <c r="C32" t="s">
        <v>142</v>
      </c>
      <c r="D32" t="s">
        <v>65</v>
      </c>
      <c r="E32" t="s">
        <v>529</v>
      </c>
      <c r="F32" t="s">
        <v>530</v>
      </c>
      <c r="G32" t="s">
        <v>655</v>
      </c>
      <c r="H32" t="s">
        <v>369</v>
      </c>
      <c r="I32">
        <v>380</v>
      </c>
      <c r="J32">
        <v>30</v>
      </c>
      <c r="K32" t="s">
        <v>368</v>
      </c>
      <c r="L32">
        <v>8243</v>
      </c>
      <c r="M32" t="s">
        <v>346</v>
      </c>
      <c r="N32" t="s">
        <v>374</v>
      </c>
      <c r="O32">
        <v>-99</v>
      </c>
      <c r="P32">
        <v>1</v>
      </c>
      <c r="Q32">
        <v>-99</v>
      </c>
      <c r="R32" t="s">
        <v>680</v>
      </c>
    </row>
    <row r="33" spans="1:18" x14ac:dyDescent="0.2">
      <c r="A33">
        <v>32</v>
      </c>
      <c r="B33">
        <v>16</v>
      </c>
      <c r="C33" t="s">
        <v>143</v>
      </c>
      <c r="D33" t="s">
        <v>33</v>
      </c>
      <c r="E33" t="s">
        <v>531</v>
      </c>
      <c r="F33" t="s">
        <v>532</v>
      </c>
      <c r="G33" t="s">
        <v>655</v>
      </c>
      <c r="H33" t="s">
        <v>369</v>
      </c>
      <c r="I33">
        <v>380</v>
      </c>
      <c r="J33">
        <v>30</v>
      </c>
      <c r="K33" t="s">
        <v>368</v>
      </c>
      <c r="L33">
        <v>8244</v>
      </c>
      <c r="M33" t="s">
        <v>341</v>
      </c>
      <c r="N33" t="s">
        <v>375</v>
      </c>
      <c r="O33">
        <v>1</v>
      </c>
      <c r="P33">
        <v>2</v>
      </c>
      <c r="Q33">
        <v>-99</v>
      </c>
      <c r="R33" t="s">
        <v>681</v>
      </c>
    </row>
    <row r="34" spans="1:18" x14ac:dyDescent="0.2">
      <c r="A34">
        <v>33</v>
      </c>
      <c r="B34">
        <v>23</v>
      </c>
      <c r="C34" t="s">
        <v>103</v>
      </c>
      <c r="D34" t="s">
        <v>69</v>
      </c>
      <c r="E34" t="s">
        <v>533</v>
      </c>
      <c r="F34" t="s">
        <v>534</v>
      </c>
      <c r="G34" t="s">
        <v>656</v>
      </c>
      <c r="H34" t="s">
        <v>376</v>
      </c>
      <c r="I34">
        <v>381</v>
      </c>
      <c r="J34">
        <v>30</v>
      </c>
      <c r="K34" t="s">
        <v>368</v>
      </c>
      <c r="L34">
        <v>8245</v>
      </c>
      <c r="M34" t="s">
        <v>320</v>
      </c>
      <c r="N34" t="s">
        <v>377</v>
      </c>
      <c r="O34">
        <v>1</v>
      </c>
      <c r="P34">
        <v>2</v>
      </c>
      <c r="Q34">
        <v>-99</v>
      </c>
      <c r="R34" t="s">
        <v>681</v>
      </c>
    </row>
    <row r="35" spans="1:18" x14ac:dyDescent="0.2">
      <c r="A35">
        <v>34</v>
      </c>
      <c r="B35">
        <v>24</v>
      </c>
      <c r="C35" t="s">
        <v>144</v>
      </c>
      <c r="D35" t="s">
        <v>47</v>
      </c>
      <c r="E35" t="s">
        <v>535</v>
      </c>
      <c r="F35" t="s">
        <v>536</v>
      </c>
      <c r="G35" t="s">
        <v>656</v>
      </c>
      <c r="H35" t="s">
        <v>376</v>
      </c>
      <c r="I35">
        <v>381</v>
      </c>
      <c r="J35">
        <v>30</v>
      </c>
      <c r="K35" t="s">
        <v>368</v>
      </c>
      <c r="L35">
        <v>8246</v>
      </c>
      <c r="M35" t="s">
        <v>336</v>
      </c>
      <c r="N35" t="s">
        <v>378</v>
      </c>
      <c r="O35">
        <v>1</v>
      </c>
      <c r="P35">
        <v>2</v>
      </c>
      <c r="Q35">
        <v>-99</v>
      </c>
      <c r="R35" t="s">
        <v>681</v>
      </c>
    </row>
    <row r="36" spans="1:18" x14ac:dyDescent="0.2">
      <c r="A36">
        <v>35</v>
      </c>
      <c r="B36">
        <v>30</v>
      </c>
      <c r="C36" t="s">
        <v>145</v>
      </c>
      <c r="D36" t="s">
        <v>25</v>
      </c>
      <c r="E36" t="s">
        <v>537</v>
      </c>
      <c r="F36" t="s">
        <v>538</v>
      </c>
      <c r="G36" t="s">
        <v>656</v>
      </c>
      <c r="H36" t="s">
        <v>376</v>
      </c>
      <c r="I36">
        <v>381</v>
      </c>
      <c r="J36">
        <v>31</v>
      </c>
      <c r="K36" t="s">
        <v>379</v>
      </c>
      <c r="L36">
        <v>8247</v>
      </c>
      <c r="M36" t="s">
        <v>361</v>
      </c>
      <c r="N36" t="s">
        <v>380</v>
      </c>
      <c r="O36">
        <v>1</v>
      </c>
      <c r="P36">
        <v>2</v>
      </c>
      <c r="Q36">
        <v>-99</v>
      </c>
      <c r="R36" t="s">
        <v>681</v>
      </c>
    </row>
    <row r="37" spans="1:18" x14ac:dyDescent="0.2">
      <c r="A37">
        <v>36</v>
      </c>
      <c r="B37">
        <v>194</v>
      </c>
      <c r="C37" t="s">
        <v>146</v>
      </c>
      <c r="D37" t="s">
        <v>77</v>
      </c>
      <c r="E37" t="s">
        <v>539</v>
      </c>
      <c r="F37" t="s">
        <v>540</v>
      </c>
      <c r="G37" t="s">
        <v>656</v>
      </c>
      <c r="H37" t="s">
        <v>376</v>
      </c>
      <c r="I37">
        <v>381</v>
      </c>
      <c r="J37">
        <v>31</v>
      </c>
      <c r="K37" t="s">
        <v>379</v>
      </c>
      <c r="L37">
        <v>8248</v>
      </c>
      <c r="M37" t="s">
        <v>316</v>
      </c>
      <c r="N37" t="s">
        <v>424</v>
      </c>
      <c r="O37">
        <v>1</v>
      </c>
      <c r="P37">
        <v>2</v>
      </c>
      <c r="Q37">
        <v>-99</v>
      </c>
      <c r="R37" t="s">
        <v>681</v>
      </c>
    </row>
    <row r="38" spans="1:18" x14ac:dyDescent="0.2">
      <c r="A38">
        <v>37</v>
      </c>
      <c r="B38">
        <v>34</v>
      </c>
      <c r="C38" t="s">
        <v>147</v>
      </c>
      <c r="D38" t="s">
        <v>83</v>
      </c>
      <c r="E38" t="s">
        <v>541</v>
      </c>
      <c r="F38" t="s">
        <v>542</v>
      </c>
      <c r="G38" t="s">
        <v>656</v>
      </c>
      <c r="H38" t="s">
        <v>376</v>
      </c>
      <c r="I38">
        <v>381</v>
      </c>
      <c r="J38">
        <v>30</v>
      </c>
      <c r="K38" t="s">
        <v>368</v>
      </c>
      <c r="L38">
        <v>8249</v>
      </c>
      <c r="M38" t="s">
        <v>347</v>
      </c>
      <c r="N38" t="s">
        <v>381</v>
      </c>
      <c r="O38">
        <v>1</v>
      </c>
      <c r="P38">
        <v>1</v>
      </c>
      <c r="Q38">
        <v>-99</v>
      </c>
      <c r="R38" t="s">
        <v>681</v>
      </c>
    </row>
    <row r="39" spans="1:18" x14ac:dyDescent="0.2">
      <c r="A39">
        <v>38</v>
      </c>
      <c r="B39">
        <v>-99</v>
      </c>
      <c r="C39" t="s">
        <v>147</v>
      </c>
      <c r="D39" t="s">
        <v>83</v>
      </c>
      <c r="E39" t="s">
        <v>543</v>
      </c>
      <c r="F39" t="s">
        <v>213</v>
      </c>
      <c r="G39" t="s">
        <v>656</v>
      </c>
      <c r="H39" t="s">
        <v>376</v>
      </c>
      <c r="I39">
        <v>381</v>
      </c>
      <c r="J39">
        <v>30</v>
      </c>
      <c r="K39" t="s">
        <v>368</v>
      </c>
      <c r="L39">
        <v>8249</v>
      </c>
      <c r="M39" t="s">
        <v>347</v>
      </c>
      <c r="N39" t="s">
        <v>381</v>
      </c>
      <c r="O39">
        <v>-99</v>
      </c>
      <c r="P39">
        <v>1</v>
      </c>
      <c r="Q39">
        <v>-99</v>
      </c>
      <c r="R39" t="s">
        <v>678</v>
      </c>
    </row>
    <row r="40" spans="1:18" x14ac:dyDescent="0.2">
      <c r="A40">
        <v>39</v>
      </c>
      <c r="B40">
        <v>-99</v>
      </c>
      <c r="C40" t="s">
        <v>147</v>
      </c>
      <c r="D40" t="s">
        <v>83</v>
      </c>
      <c r="E40" t="s">
        <v>544</v>
      </c>
      <c r="F40" t="s">
        <v>956</v>
      </c>
      <c r="G40" t="s">
        <v>656</v>
      </c>
      <c r="H40" t="s">
        <v>376</v>
      </c>
      <c r="I40">
        <v>381</v>
      </c>
      <c r="J40">
        <v>30</v>
      </c>
      <c r="K40" t="s">
        <v>368</v>
      </c>
      <c r="L40">
        <v>8249</v>
      </c>
      <c r="M40" t="s">
        <v>347</v>
      </c>
      <c r="N40" t="s">
        <v>381</v>
      </c>
      <c r="O40">
        <v>-99</v>
      </c>
      <c r="P40">
        <v>1</v>
      </c>
      <c r="Q40">
        <v>-99</v>
      </c>
      <c r="R40" t="s">
        <v>679</v>
      </c>
    </row>
    <row r="41" spans="1:18" x14ac:dyDescent="0.2">
      <c r="A41">
        <v>40</v>
      </c>
      <c r="B41">
        <v>35</v>
      </c>
      <c r="C41" t="s">
        <v>148</v>
      </c>
      <c r="D41" t="s">
        <v>39</v>
      </c>
      <c r="E41" t="s">
        <v>545</v>
      </c>
      <c r="F41" t="s">
        <v>546</v>
      </c>
      <c r="G41" t="s">
        <v>656</v>
      </c>
      <c r="H41" t="s">
        <v>376</v>
      </c>
      <c r="I41">
        <v>381</v>
      </c>
      <c r="J41">
        <v>31</v>
      </c>
      <c r="K41" t="s">
        <v>379</v>
      </c>
      <c r="L41">
        <v>8250</v>
      </c>
      <c r="M41" t="s">
        <v>339</v>
      </c>
      <c r="N41" t="s">
        <v>382</v>
      </c>
      <c r="O41">
        <v>1</v>
      </c>
      <c r="P41">
        <v>2</v>
      </c>
      <c r="Q41">
        <v>-99</v>
      </c>
      <c r="R41" t="s">
        <v>681</v>
      </c>
    </row>
    <row r="42" spans="1:18" x14ac:dyDescent="0.2">
      <c r="A42">
        <v>41</v>
      </c>
      <c r="B42">
        <v>36</v>
      </c>
      <c r="C42" t="s">
        <v>91</v>
      </c>
      <c r="D42" t="s">
        <v>58</v>
      </c>
      <c r="E42" t="s">
        <v>547</v>
      </c>
      <c r="F42" t="s">
        <v>548</v>
      </c>
      <c r="G42" t="s">
        <v>656</v>
      </c>
      <c r="H42" t="s">
        <v>376</v>
      </c>
      <c r="I42">
        <v>381</v>
      </c>
      <c r="J42">
        <v>31</v>
      </c>
      <c r="K42" t="s">
        <v>379</v>
      </c>
      <c r="L42">
        <v>8251</v>
      </c>
      <c r="M42" t="s">
        <v>342</v>
      </c>
      <c r="N42" t="s">
        <v>383</v>
      </c>
      <c r="O42">
        <v>1</v>
      </c>
      <c r="P42">
        <v>2</v>
      </c>
      <c r="Q42">
        <v>-99</v>
      </c>
      <c r="R42" t="s">
        <v>681</v>
      </c>
    </row>
    <row r="43" spans="1:18" x14ac:dyDescent="0.2">
      <c r="A43">
        <v>42</v>
      </c>
      <c r="B43">
        <v>37</v>
      </c>
      <c r="C43" t="s">
        <v>149</v>
      </c>
      <c r="D43" t="s">
        <v>59</v>
      </c>
      <c r="E43" t="s">
        <v>549</v>
      </c>
      <c r="F43" t="s">
        <v>550</v>
      </c>
      <c r="G43" t="s">
        <v>657</v>
      </c>
      <c r="H43" t="s">
        <v>385</v>
      </c>
      <c r="I43">
        <v>382</v>
      </c>
      <c r="J43">
        <v>33</v>
      </c>
      <c r="K43" t="s">
        <v>384</v>
      </c>
      <c r="L43">
        <v>8252</v>
      </c>
      <c r="M43" t="s">
        <v>319</v>
      </c>
      <c r="N43" t="s">
        <v>386</v>
      </c>
      <c r="O43">
        <v>1</v>
      </c>
      <c r="P43">
        <v>2</v>
      </c>
      <c r="Q43">
        <v>-99</v>
      </c>
      <c r="R43" t="s">
        <v>681</v>
      </c>
    </row>
    <row r="44" spans="1:18" x14ac:dyDescent="0.2">
      <c r="A44">
        <v>43</v>
      </c>
      <c r="B44">
        <v>38</v>
      </c>
      <c r="C44" t="s">
        <v>150</v>
      </c>
      <c r="D44" t="s">
        <v>57</v>
      </c>
      <c r="E44" t="s">
        <v>551</v>
      </c>
      <c r="F44" t="s">
        <v>552</v>
      </c>
      <c r="G44" t="s">
        <v>656</v>
      </c>
      <c r="H44" t="s">
        <v>376</v>
      </c>
      <c r="I44">
        <v>381</v>
      </c>
      <c r="J44">
        <v>31</v>
      </c>
      <c r="K44" t="s">
        <v>379</v>
      </c>
      <c r="L44">
        <v>8253</v>
      </c>
      <c r="M44" t="s">
        <v>353</v>
      </c>
      <c r="N44" t="s">
        <v>387</v>
      </c>
      <c r="O44">
        <v>1</v>
      </c>
      <c r="P44">
        <v>2</v>
      </c>
      <c r="Q44">
        <v>-99</v>
      </c>
      <c r="R44" t="s">
        <v>681</v>
      </c>
    </row>
    <row r="45" spans="1:18" x14ac:dyDescent="0.2">
      <c r="A45">
        <v>44</v>
      </c>
      <c r="B45">
        <v>39</v>
      </c>
      <c r="C45" t="s">
        <v>151</v>
      </c>
      <c r="D45" t="s">
        <v>49</v>
      </c>
      <c r="E45" t="s">
        <v>553</v>
      </c>
      <c r="F45" t="s">
        <v>554</v>
      </c>
      <c r="G45" t="s">
        <v>656</v>
      </c>
      <c r="H45" t="s">
        <v>376</v>
      </c>
      <c r="I45">
        <v>381</v>
      </c>
      <c r="J45">
        <v>33</v>
      </c>
      <c r="K45" t="s">
        <v>384</v>
      </c>
      <c r="L45">
        <v>8254</v>
      </c>
      <c r="M45" t="s">
        <v>354</v>
      </c>
      <c r="N45" t="s">
        <v>388</v>
      </c>
      <c r="O45">
        <v>1</v>
      </c>
      <c r="P45">
        <v>1</v>
      </c>
      <c r="Q45">
        <v>-99</v>
      </c>
      <c r="R45" t="s">
        <v>681</v>
      </c>
    </row>
    <row r="46" spans="1:18" x14ac:dyDescent="0.2">
      <c r="A46">
        <v>45</v>
      </c>
      <c r="B46">
        <v>-99</v>
      </c>
      <c r="C46" t="s">
        <v>151</v>
      </c>
      <c r="D46" t="s">
        <v>49</v>
      </c>
      <c r="E46" t="s">
        <v>555</v>
      </c>
      <c r="F46" t="s">
        <v>556</v>
      </c>
      <c r="G46" t="s">
        <v>656</v>
      </c>
      <c r="H46" t="s">
        <v>376</v>
      </c>
      <c r="I46">
        <v>381</v>
      </c>
      <c r="J46">
        <v>33</v>
      </c>
      <c r="K46" t="s">
        <v>384</v>
      </c>
      <c r="L46">
        <v>8254</v>
      </c>
      <c r="M46" t="s">
        <v>354</v>
      </c>
      <c r="N46" t="s">
        <v>388</v>
      </c>
      <c r="O46">
        <v>-99</v>
      </c>
      <c r="P46">
        <v>1</v>
      </c>
      <c r="Q46">
        <v>-99</v>
      </c>
      <c r="R46" t="s">
        <v>682</v>
      </c>
    </row>
    <row r="47" spans="1:18" x14ac:dyDescent="0.2">
      <c r="A47">
        <v>46</v>
      </c>
      <c r="B47">
        <v>52</v>
      </c>
      <c r="C47" t="s">
        <v>152</v>
      </c>
      <c r="D47" t="s">
        <v>38</v>
      </c>
      <c r="E47" t="s">
        <v>557</v>
      </c>
      <c r="F47" t="s">
        <v>558</v>
      </c>
      <c r="G47" t="s">
        <v>655</v>
      </c>
      <c r="H47" t="s">
        <v>369</v>
      </c>
      <c r="I47">
        <v>380</v>
      </c>
      <c r="J47">
        <v>32</v>
      </c>
      <c r="K47" t="s">
        <v>389</v>
      </c>
      <c r="L47">
        <v>8255</v>
      </c>
      <c r="M47" t="s">
        <v>355</v>
      </c>
      <c r="N47" t="s">
        <v>390</v>
      </c>
      <c r="O47">
        <v>1</v>
      </c>
      <c r="P47">
        <v>2</v>
      </c>
      <c r="Q47">
        <v>-99</v>
      </c>
      <c r="R47" t="s">
        <v>681</v>
      </c>
    </row>
    <row r="48" spans="1:18" x14ac:dyDescent="0.2">
      <c r="A48">
        <v>47</v>
      </c>
      <c r="B48">
        <v>53</v>
      </c>
      <c r="C48" t="s">
        <v>153</v>
      </c>
      <c r="D48" t="s">
        <v>48</v>
      </c>
      <c r="E48" t="s">
        <v>559</v>
      </c>
      <c r="F48" t="s">
        <v>560</v>
      </c>
      <c r="G48" t="s">
        <v>655</v>
      </c>
      <c r="H48" t="s">
        <v>369</v>
      </c>
      <c r="I48">
        <v>380</v>
      </c>
      <c r="J48">
        <v>32</v>
      </c>
      <c r="K48" t="s">
        <v>389</v>
      </c>
      <c r="L48">
        <v>8256</v>
      </c>
      <c r="M48" t="s">
        <v>329</v>
      </c>
      <c r="N48" t="s">
        <v>391</v>
      </c>
      <c r="O48">
        <v>1</v>
      </c>
      <c r="P48">
        <v>2</v>
      </c>
      <c r="Q48">
        <v>-99</v>
      </c>
      <c r="R48" t="s">
        <v>681</v>
      </c>
    </row>
    <row r="49" spans="1:18" x14ac:dyDescent="0.2">
      <c r="A49">
        <v>48</v>
      </c>
      <c r="B49">
        <v>54</v>
      </c>
      <c r="C49" t="s">
        <v>154</v>
      </c>
      <c r="D49" t="s">
        <v>53</v>
      </c>
      <c r="E49" t="s">
        <v>561</v>
      </c>
      <c r="F49" t="s">
        <v>562</v>
      </c>
      <c r="G49" t="s">
        <v>656</v>
      </c>
      <c r="H49" t="s">
        <v>376</v>
      </c>
      <c r="I49">
        <v>381</v>
      </c>
      <c r="J49">
        <v>31</v>
      </c>
      <c r="K49" t="s">
        <v>379</v>
      </c>
      <c r="L49">
        <v>8257</v>
      </c>
      <c r="M49" t="s">
        <v>335</v>
      </c>
      <c r="N49" t="s">
        <v>392</v>
      </c>
      <c r="O49">
        <v>1</v>
      </c>
      <c r="P49">
        <v>1</v>
      </c>
      <c r="Q49">
        <v>-99</v>
      </c>
      <c r="R49" t="s">
        <v>681</v>
      </c>
    </row>
    <row r="50" spans="1:18" x14ac:dyDescent="0.2">
      <c r="A50">
        <v>49</v>
      </c>
      <c r="B50">
        <v>-99</v>
      </c>
      <c r="C50" t="s">
        <v>154</v>
      </c>
      <c r="D50" t="s">
        <v>53</v>
      </c>
      <c r="E50" t="s">
        <v>563</v>
      </c>
      <c r="F50" t="s">
        <v>564</v>
      </c>
      <c r="G50" t="s">
        <v>656</v>
      </c>
      <c r="H50" t="s">
        <v>376</v>
      </c>
      <c r="I50">
        <v>381</v>
      </c>
      <c r="J50">
        <v>31</v>
      </c>
      <c r="K50" t="s">
        <v>379</v>
      </c>
      <c r="L50">
        <v>8257</v>
      </c>
      <c r="M50" t="s">
        <v>335</v>
      </c>
      <c r="N50" t="s">
        <v>392</v>
      </c>
      <c r="O50">
        <v>-99</v>
      </c>
      <c r="P50">
        <v>1</v>
      </c>
      <c r="Q50">
        <v>-99</v>
      </c>
      <c r="R50" t="s">
        <v>683</v>
      </c>
    </row>
    <row r="51" spans="1:18" x14ac:dyDescent="0.2">
      <c r="A51">
        <v>50</v>
      </c>
      <c r="B51">
        <v>55</v>
      </c>
      <c r="C51" t="s">
        <v>155</v>
      </c>
      <c r="D51" t="s">
        <v>37</v>
      </c>
      <c r="E51" t="s">
        <v>565</v>
      </c>
      <c r="F51" t="s">
        <v>566</v>
      </c>
      <c r="G51" t="s">
        <v>657</v>
      </c>
      <c r="H51" t="s">
        <v>385</v>
      </c>
      <c r="I51">
        <v>382</v>
      </c>
      <c r="J51">
        <v>32</v>
      </c>
      <c r="K51" t="s">
        <v>389</v>
      </c>
      <c r="L51">
        <v>8258</v>
      </c>
      <c r="M51" t="s">
        <v>348</v>
      </c>
      <c r="N51" t="s">
        <v>393</v>
      </c>
      <c r="O51">
        <v>1</v>
      </c>
      <c r="P51">
        <v>2</v>
      </c>
      <c r="Q51">
        <v>-99</v>
      </c>
      <c r="R51" t="s">
        <v>681</v>
      </c>
    </row>
    <row r="52" spans="1:18" x14ac:dyDescent="0.2">
      <c r="A52">
        <v>51</v>
      </c>
      <c r="B52">
        <v>56</v>
      </c>
      <c r="C52" t="s">
        <v>156</v>
      </c>
      <c r="D52" t="s">
        <v>42</v>
      </c>
      <c r="E52" t="s">
        <v>567</v>
      </c>
      <c r="F52" t="s">
        <v>568</v>
      </c>
      <c r="G52" t="s">
        <v>655</v>
      </c>
      <c r="H52" t="s">
        <v>369</v>
      </c>
      <c r="I52">
        <v>380</v>
      </c>
      <c r="J52">
        <v>32</v>
      </c>
      <c r="K52" t="s">
        <v>389</v>
      </c>
      <c r="L52">
        <v>8259</v>
      </c>
      <c r="M52" t="s">
        <v>325</v>
      </c>
      <c r="N52" t="s">
        <v>394</v>
      </c>
      <c r="O52">
        <v>1</v>
      </c>
      <c r="P52">
        <v>2</v>
      </c>
      <c r="Q52">
        <v>-99</v>
      </c>
      <c r="R52" t="s">
        <v>681</v>
      </c>
    </row>
    <row r="53" spans="1:18" x14ac:dyDescent="0.2">
      <c r="A53">
        <v>52</v>
      </c>
      <c r="B53">
        <v>57</v>
      </c>
      <c r="C53" t="s">
        <v>157</v>
      </c>
      <c r="D53" t="s">
        <v>56</v>
      </c>
      <c r="E53" t="s">
        <v>569</v>
      </c>
      <c r="F53" t="s">
        <v>570</v>
      </c>
      <c r="G53" t="s">
        <v>657</v>
      </c>
      <c r="H53" t="s">
        <v>385</v>
      </c>
      <c r="I53">
        <v>382</v>
      </c>
      <c r="J53">
        <v>32</v>
      </c>
      <c r="K53" t="s">
        <v>389</v>
      </c>
      <c r="L53">
        <v>8260</v>
      </c>
      <c r="M53" t="s">
        <v>315</v>
      </c>
      <c r="N53" t="s">
        <v>395</v>
      </c>
      <c r="O53">
        <v>1</v>
      </c>
      <c r="P53">
        <v>1</v>
      </c>
      <c r="Q53">
        <v>-99</v>
      </c>
      <c r="R53" t="s">
        <v>681</v>
      </c>
    </row>
    <row r="54" spans="1:18" x14ac:dyDescent="0.2">
      <c r="A54">
        <v>53</v>
      </c>
      <c r="B54">
        <v>-99</v>
      </c>
      <c r="C54" t="s">
        <v>157</v>
      </c>
      <c r="D54" t="s">
        <v>56</v>
      </c>
      <c r="E54" t="s">
        <v>571</v>
      </c>
      <c r="F54" t="s">
        <v>209</v>
      </c>
      <c r="G54" t="s">
        <v>657</v>
      </c>
      <c r="H54" t="s">
        <v>385</v>
      </c>
      <c r="I54">
        <v>382</v>
      </c>
      <c r="J54">
        <v>32</v>
      </c>
      <c r="K54" t="s">
        <v>389</v>
      </c>
      <c r="L54">
        <v>8260</v>
      </c>
      <c r="M54" t="s">
        <v>315</v>
      </c>
      <c r="N54" t="s">
        <v>395</v>
      </c>
      <c r="O54">
        <v>-99</v>
      </c>
      <c r="P54">
        <v>1</v>
      </c>
      <c r="Q54">
        <v>-99</v>
      </c>
      <c r="R54" t="s">
        <v>208</v>
      </c>
    </row>
    <row r="55" spans="1:18" x14ac:dyDescent="0.2">
      <c r="A55">
        <v>54</v>
      </c>
      <c r="B55">
        <v>58</v>
      </c>
      <c r="C55" t="s">
        <v>158</v>
      </c>
      <c r="D55" t="s">
        <v>75</v>
      </c>
      <c r="E55" t="s">
        <v>572</v>
      </c>
      <c r="F55" t="s">
        <v>573</v>
      </c>
      <c r="G55" t="s">
        <v>657</v>
      </c>
      <c r="H55" t="s">
        <v>385</v>
      </c>
      <c r="I55">
        <v>382</v>
      </c>
      <c r="J55">
        <v>32</v>
      </c>
      <c r="K55" t="s">
        <v>389</v>
      </c>
      <c r="L55">
        <v>8261</v>
      </c>
      <c r="M55" t="s">
        <v>338</v>
      </c>
      <c r="N55" t="s">
        <v>396</v>
      </c>
      <c r="O55">
        <v>1</v>
      </c>
      <c r="P55">
        <v>2</v>
      </c>
      <c r="Q55">
        <v>-99</v>
      </c>
      <c r="R55" t="s">
        <v>681</v>
      </c>
    </row>
    <row r="56" spans="1:18" x14ac:dyDescent="0.2">
      <c r="A56">
        <v>55</v>
      </c>
      <c r="B56">
        <v>59</v>
      </c>
      <c r="C56" t="s">
        <v>159</v>
      </c>
      <c r="D56" t="s">
        <v>41</v>
      </c>
      <c r="E56" t="s">
        <v>574</v>
      </c>
      <c r="F56" t="s">
        <v>575</v>
      </c>
      <c r="G56" t="s">
        <v>657</v>
      </c>
      <c r="H56" t="s">
        <v>385</v>
      </c>
      <c r="I56">
        <v>382</v>
      </c>
      <c r="J56">
        <v>32</v>
      </c>
      <c r="K56" t="s">
        <v>389</v>
      </c>
      <c r="L56">
        <v>8262</v>
      </c>
      <c r="M56" t="s">
        <v>362</v>
      </c>
      <c r="N56" t="s">
        <v>398</v>
      </c>
      <c r="O56">
        <v>1</v>
      </c>
      <c r="P56">
        <v>2</v>
      </c>
      <c r="Q56">
        <v>-99</v>
      </c>
      <c r="R56" t="s">
        <v>681</v>
      </c>
    </row>
    <row r="57" spans="1:18" x14ac:dyDescent="0.2">
      <c r="A57">
        <v>56</v>
      </c>
      <c r="B57">
        <v>60</v>
      </c>
      <c r="C57" t="s">
        <v>160</v>
      </c>
      <c r="D57" t="s">
        <v>50</v>
      </c>
      <c r="E57" t="s">
        <v>576</v>
      </c>
      <c r="F57" t="s">
        <v>577</v>
      </c>
      <c r="G57" t="s">
        <v>657</v>
      </c>
      <c r="H57" t="s">
        <v>385</v>
      </c>
      <c r="I57">
        <v>382</v>
      </c>
      <c r="J57">
        <v>32</v>
      </c>
      <c r="K57" t="s">
        <v>389</v>
      </c>
      <c r="L57">
        <v>8263</v>
      </c>
      <c r="M57" t="s">
        <v>321</v>
      </c>
      <c r="N57" t="s">
        <v>399</v>
      </c>
      <c r="O57">
        <v>1</v>
      </c>
      <c r="P57">
        <v>2</v>
      </c>
      <c r="Q57">
        <v>-99</v>
      </c>
      <c r="R57" t="s">
        <v>681</v>
      </c>
    </row>
    <row r="58" spans="1:18" x14ac:dyDescent="0.2">
      <c r="A58">
        <v>57</v>
      </c>
      <c r="B58">
        <v>84</v>
      </c>
      <c r="C58" t="s">
        <v>161</v>
      </c>
      <c r="D58" t="s">
        <v>76</v>
      </c>
      <c r="E58" t="s">
        <v>578</v>
      </c>
      <c r="F58" t="s">
        <v>579</v>
      </c>
      <c r="G58" t="s">
        <v>657</v>
      </c>
      <c r="H58" t="s">
        <v>385</v>
      </c>
      <c r="I58">
        <v>382</v>
      </c>
      <c r="J58">
        <v>32</v>
      </c>
      <c r="K58" t="s">
        <v>389</v>
      </c>
      <c r="L58">
        <v>8264</v>
      </c>
      <c r="M58" t="s">
        <v>332</v>
      </c>
      <c r="N58" t="s">
        <v>400</v>
      </c>
      <c r="O58">
        <v>1</v>
      </c>
      <c r="P58">
        <v>1</v>
      </c>
      <c r="Q58">
        <v>-99</v>
      </c>
      <c r="R58" t="s">
        <v>681</v>
      </c>
    </row>
    <row r="59" spans="1:18" x14ac:dyDescent="0.2">
      <c r="A59">
        <v>58</v>
      </c>
      <c r="B59">
        <v>-99</v>
      </c>
      <c r="C59" t="s">
        <v>161</v>
      </c>
      <c r="D59" t="s">
        <v>76</v>
      </c>
      <c r="E59" t="s">
        <v>580</v>
      </c>
      <c r="F59" t="s">
        <v>490</v>
      </c>
      <c r="G59" t="s">
        <v>657</v>
      </c>
      <c r="H59" t="s">
        <v>385</v>
      </c>
      <c r="I59">
        <v>382</v>
      </c>
      <c r="J59">
        <v>32</v>
      </c>
      <c r="K59" t="s">
        <v>389</v>
      </c>
      <c r="L59">
        <v>8264</v>
      </c>
      <c r="M59" t="s">
        <v>332</v>
      </c>
      <c r="N59" t="s">
        <v>400</v>
      </c>
      <c r="O59">
        <v>-99</v>
      </c>
      <c r="P59">
        <v>1</v>
      </c>
      <c r="Q59">
        <v>-99</v>
      </c>
      <c r="R59" t="s">
        <v>653</v>
      </c>
    </row>
    <row r="60" spans="1:18" x14ac:dyDescent="0.2">
      <c r="A60">
        <v>59</v>
      </c>
      <c r="B60">
        <v>-99</v>
      </c>
      <c r="C60" t="s">
        <v>161</v>
      </c>
      <c r="D60" t="s">
        <v>76</v>
      </c>
      <c r="E60" t="s">
        <v>581</v>
      </c>
      <c r="F60" t="s">
        <v>212</v>
      </c>
      <c r="G60" t="s">
        <v>657</v>
      </c>
      <c r="H60" t="s">
        <v>385</v>
      </c>
      <c r="I60">
        <v>382</v>
      </c>
      <c r="J60">
        <v>32</v>
      </c>
      <c r="K60" t="s">
        <v>389</v>
      </c>
      <c r="L60">
        <v>8264</v>
      </c>
      <c r="M60" t="s">
        <v>332</v>
      </c>
      <c r="N60" t="s">
        <v>400</v>
      </c>
      <c r="O60">
        <v>-99</v>
      </c>
      <c r="P60">
        <v>1</v>
      </c>
      <c r="Q60">
        <v>-99</v>
      </c>
      <c r="R60" t="s">
        <v>208</v>
      </c>
    </row>
    <row r="61" spans="1:18" x14ac:dyDescent="0.2">
      <c r="A61">
        <v>60</v>
      </c>
      <c r="B61">
        <v>100</v>
      </c>
      <c r="C61" t="s">
        <v>162</v>
      </c>
      <c r="D61" t="s">
        <v>40</v>
      </c>
      <c r="E61" t="s">
        <v>582</v>
      </c>
      <c r="F61" t="s">
        <v>583</v>
      </c>
      <c r="G61" t="s">
        <v>659</v>
      </c>
      <c r="H61" t="s">
        <v>401</v>
      </c>
      <c r="I61">
        <v>383</v>
      </c>
      <c r="J61">
        <v>33</v>
      </c>
      <c r="K61" t="s">
        <v>384</v>
      </c>
      <c r="L61">
        <v>8268</v>
      </c>
      <c r="M61" t="s">
        <v>349</v>
      </c>
      <c r="N61" t="s">
        <v>402</v>
      </c>
      <c r="O61">
        <v>1</v>
      </c>
      <c r="P61">
        <v>2</v>
      </c>
      <c r="Q61">
        <v>-99</v>
      </c>
      <c r="R61" t="s">
        <v>681</v>
      </c>
    </row>
    <row r="62" spans="1:18" x14ac:dyDescent="0.2">
      <c r="A62">
        <v>61</v>
      </c>
      <c r="B62">
        <v>101</v>
      </c>
      <c r="C62" t="s">
        <v>163</v>
      </c>
      <c r="D62" t="s">
        <v>31</v>
      </c>
      <c r="E62" t="s">
        <v>584</v>
      </c>
      <c r="F62" t="s">
        <v>585</v>
      </c>
      <c r="G62" t="s">
        <v>659</v>
      </c>
      <c r="H62" t="s">
        <v>401</v>
      </c>
      <c r="I62">
        <v>383</v>
      </c>
      <c r="J62">
        <v>34</v>
      </c>
      <c r="K62" t="s">
        <v>403</v>
      </c>
      <c r="L62">
        <v>8269</v>
      </c>
      <c r="M62" t="s">
        <v>317</v>
      </c>
      <c r="N62" t="s">
        <v>404</v>
      </c>
      <c r="O62">
        <v>1</v>
      </c>
      <c r="P62">
        <v>2</v>
      </c>
      <c r="Q62">
        <v>-99</v>
      </c>
      <c r="R62" t="s">
        <v>681</v>
      </c>
    </row>
    <row r="63" spans="1:18" x14ac:dyDescent="0.2">
      <c r="A63">
        <v>62</v>
      </c>
      <c r="B63">
        <v>102</v>
      </c>
      <c r="C63" t="s">
        <v>164</v>
      </c>
      <c r="D63" t="s">
        <v>70</v>
      </c>
      <c r="E63" t="s">
        <v>586</v>
      </c>
      <c r="F63" t="s">
        <v>587</v>
      </c>
      <c r="G63" t="s">
        <v>659</v>
      </c>
      <c r="H63" t="s">
        <v>401</v>
      </c>
      <c r="I63">
        <v>383</v>
      </c>
      <c r="J63">
        <v>33</v>
      </c>
      <c r="K63" t="s">
        <v>384</v>
      </c>
      <c r="L63">
        <v>8270</v>
      </c>
      <c r="M63" t="s">
        <v>343</v>
      </c>
      <c r="N63" t="s">
        <v>405</v>
      </c>
      <c r="O63">
        <v>1</v>
      </c>
      <c r="P63">
        <v>1</v>
      </c>
      <c r="Q63">
        <v>-99</v>
      </c>
      <c r="R63" t="s">
        <v>681</v>
      </c>
    </row>
    <row r="64" spans="1:18" x14ac:dyDescent="0.2">
      <c r="A64">
        <v>63</v>
      </c>
      <c r="B64">
        <v>-99</v>
      </c>
      <c r="C64" t="s">
        <v>164</v>
      </c>
      <c r="D64" t="s">
        <v>70</v>
      </c>
      <c r="E64" t="s">
        <v>588</v>
      </c>
      <c r="F64" t="s">
        <v>211</v>
      </c>
      <c r="G64" t="s">
        <v>659</v>
      </c>
      <c r="H64" t="s">
        <v>401</v>
      </c>
      <c r="I64">
        <v>383</v>
      </c>
      <c r="J64">
        <v>33</v>
      </c>
      <c r="K64" t="s">
        <v>384</v>
      </c>
      <c r="L64">
        <v>8270</v>
      </c>
      <c r="M64" t="s">
        <v>343</v>
      </c>
      <c r="N64" t="s">
        <v>405</v>
      </c>
      <c r="O64">
        <v>-99</v>
      </c>
      <c r="P64">
        <v>1</v>
      </c>
      <c r="Q64">
        <v>-99</v>
      </c>
      <c r="R64" t="s">
        <v>678</v>
      </c>
    </row>
    <row r="65" spans="1:18" x14ac:dyDescent="0.2">
      <c r="A65">
        <v>64</v>
      </c>
      <c r="B65">
        <v>103</v>
      </c>
      <c r="C65" t="s">
        <v>165</v>
      </c>
      <c r="D65" t="s">
        <v>62</v>
      </c>
      <c r="E65" t="s">
        <v>589</v>
      </c>
      <c r="F65" t="s">
        <v>590</v>
      </c>
      <c r="G65" t="s">
        <v>659</v>
      </c>
      <c r="H65" t="s">
        <v>401</v>
      </c>
      <c r="I65">
        <v>383</v>
      </c>
      <c r="J65">
        <v>34</v>
      </c>
      <c r="K65" t="s">
        <v>403</v>
      </c>
      <c r="L65">
        <v>8272</v>
      </c>
      <c r="M65" t="s">
        <v>331</v>
      </c>
      <c r="N65" t="s">
        <v>406</v>
      </c>
      <c r="O65">
        <v>1</v>
      </c>
      <c r="P65">
        <v>2</v>
      </c>
      <c r="Q65">
        <v>-99</v>
      </c>
      <c r="R65" t="s">
        <v>681</v>
      </c>
    </row>
    <row r="66" spans="1:18" x14ac:dyDescent="0.2">
      <c r="A66">
        <v>65</v>
      </c>
      <c r="B66">
        <v>104</v>
      </c>
      <c r="C66" t="s">
        <v>166</v>
      </c>
      <c r="D66" t="s">
        <v>52</v>
      </c>
      <c r="E66" t="s">
        <v>591</v>
      </c>
      <c r="F66" t="s">
        <v>592</v>
      </c>
      <c r="G66" t="s">
        <v>659</v>
      </c>
      <c r="H66" t="s">
        <v>401</v>
      </c>
      <c r="I66">
        <v>383</v>
      </c>
      <c r="J66">
        <v>34</v>
      </c>
      <c r="K66" t="s">
        <v>403</v>
      </c>
      <c r="L66">
        <v>8221</v>
      </c>
      <c r="M66" t="s">
        <v>331</v>
      </c>
      <c r="N66" t="s">
        <v>406</v>
      </c>
      <c r="O66">
        <v>1</v>
      </c>
      <c r="P66">
        <v>2</v>
      </c>
      <c r="Q66">
        <v>-99</v>
      </c>
      <c r="R66" t="s">
        <v>681</v>
      </c>
    </row>
    <row r="67" spans="1:18" x14ac:dyDescent="0.2">
      <c r="A67">
        <v>66</v>
      </c>
      <c r="B67">
        <v>196</v>
      </c>
      <c r="C67" t="s">
        <v>167</v>
      </c>
      <c r="D67" t="s">
        <v>64</v>
      </c>
      <c r="E67" t="s">
        <v>593</v>
      </c>
      <c r="F67" t="s">
        <v>594</v>
      </c>
      <c r="G67" t="s">
        <v>659</v>
      </c>
      <c r="H67" t="s">
        <v>401</v>
      </c>
      <c r="I67">
        <v>383</v>
      </c>
      <c r="J67">
        <v>34</v>
      </c>
      <c r="K67" t="s">
        <v>403</v>
      </c>
      <c r="L67">
        <v>8202</v>
      </c>
      <c r="M67" t="s">
        <v>344</v>
      </c>
      <c r="N67" t="s">
        <v>425</v>
      </c>
      <c r="O67">
        <v>1</v>
      </c>
      <c r="P67">
        <v>2</v>
      </c>
      <c r="Q67">
        <v>-99</v>
      </c>
      <c r="R67" t="s">
        <v>681</v>
      </c>
    </row>
    <row r="68" spans="1:18" x14ac:dyDescent="0.2">
      <c r="A68">
        <v>67</v>
      </c>
      <c r="B68">
        <v>110</v>
      </c>
      <c r="C68" t="s">
        <v>168</v>
      </c>
      <c r="D68" t="s">
        <v>73</v>
      </c>
      <c r="E68" t="s">
        <v>595</v>
      </c>
      <c r="F68" t="s">
        <v>596</v>
      </c>
      <c r="G68" t="s">
        <v>659</v>
      </c>
      <c r="H68" t="s">
        <v>401</v>
      </c>
      <c r="I68">
        <v>383</v>
      </c>
      <c r="J68">
        <v>34</v>
      </c>
      <c r="K68" t="s">
        <v>403</v>
      </c>
      <c r="L68">
        <v>8203</v>
      </c>
      <c r="M68" t="s">
        <v>328</v>
      </c>
      <c r="N68" t="s">
        <v>80</v>
      </c>
      <c r="O68">
        <v>1</v>
      </c>
      <c r="P68">
        <v>1</v>
      </c>
      <c r="Q68">
        <v>-99</v>
      </c>
      <c r="R68" t="s">
        <v>681</v>
      </c>
    </row>
    <row r="69" spans="1:18" x14ac:dyDescent="0.2">
      <c r="A69">
        <v>68</v>
      </c>
      <c r="B69">
        <v>-99</v>
      </c>
      <c r="C69" t="s">
        <v>168</v>
      </c>
      <c r="D69" t="s">
        <v>73</v>
      </c>
      <c r="E69" t="s">
        <v>597</v>
      </c>
      <c r="F69" t="s">
        <v>598</v>
      </c>
      <c r="G69" t="s">
        <v>659</v>
      </c>
      <c r="H69" t="s">
        <v>401</v>
      </c>
      <c r="I69">
        <v>383</v>
      </c>
      <c r="J69">
        <v>34</v>
      </c>
      <c r="K69" t="s">
        <v>403</v>
      </c>
      <c r="L69">
        <v>8203</v>
      </c>
      <c r="M69" t="s">
        <v>328</v>
      </c>
      <c r="N69" t="s">
        <v>80</v>
      </c>
      <c r="O69">
        <v>-99</v>
      </c>
      <c r="P69">
        <v>1</v>
      </c>
      <c r="Q69">
        <v>-99</v>
      </c>
      <c r="R69" t="s">
        <v>397</v>
      </c>
    </row>
    <row r="70" spans="1:18" x14ac:dyDescent="0.2">
      <c r="A70">
        <v>69</v>
      </c>
      <c r="B70">
        <v>111</v>
      </c>
      <c r="C70" t="s">
        <v>169</v>
      </c>
      <c r="D70" t="s">
        <v>34</v>
      </c>
      <c r="E70" t="s">
        <v>599</v>
      </c>
      <c r="F70" t="s">
        <v>600</v>
      </c>
      <c r="G70" t="s">
        <v>659</v>
      </c>
      <c r="H70" t="s">
        <v>401</v>
      </c>
      <c r="I70">
        <v>383</v>
      </c>
      <c r="J70">
        <v>34</v>
      </c>
      <c r="K70" t="s">
        <v>403</v>
      </c>
      <c r="L70">
        <v>8204</v>
      </c>
      <c r="M70" t="s">
        <v>333</v>
      </c>
      <c r="N70" t="s">
        <v>407</v>
      </c>
      <c r="O70">
        <v>1</v>
      </c>
      <c r="P70">
        <v>2</v>
      </c>
      <c r="Q70">
        <v>-99</v>
      </c>
      <c r="R70" t="s">
        <v>681</v>
      </c>
    </row>
    <row r="71" spans="1:18" x14ac:dyDescent="0.2">
      <c r="A71">
        <v>70</v>
      </c>
      <c r="B71">
        <v>112</v>
      </c>
      <c r="C71" t="s">
        <v>170</v>
      </c>
      <c r="D71" t="s">
        <v>66</v>
      </c>
      <c r="E71" t="s">
        <v>601</v>
      </c>
      <c r="F71" t="s">
        <v>602</v>
      </c>
      <c r="G71" t="s">
        <v>659</v>
      </c>
      <c r="H71" t="s">
        <v>401</v>
      </c>
      <c r="I71">
        <v>383</v>
      </c>
      <c r="J71">
        <v>34</v>
      </c>
      <c r="K71" t="s">
        <v>403</v>
      </c>
      <c r="L71">
        <v>8205</v>
      </c>
      <c r="M71" t="s">
        <v>350</v>
      </c>
      <c r="N71" t="s">
        <v>408</v>
      </c>
      <c r="O71">
        <v>1</v>
      </c>
      <c r="P71">
        <v>2</v>
      </c>
      <c r="Q71">
        <v>-99</v>
      </c>
      <c r="R71" t="s">
        <v>681</v>
      </c>
    </row>
    <row r="72" spans="1:18" x14ac:dyDescent="0.2">
      <c r="A72">
        <v>71</v>
      </c>
      <c r="B72">
        <v>113</v>
      </c>
      <c r="C72" t="s">
        <v>171</v>
      </c>
      <c r="D72" t="s">
        <v>79</v>
      </c>
      <c r="E72" t="s">
        <v>603</v>
      </c>
      <c r="F72" t="s">
        <v>604</v>
      </c>
      <c r="G72" t="s">
        <v>657</v>
      </c>
      <c r="H72" t="s">
        <v>385</v>
      </c>
      <c r="I72">
        <v>382</v>
      </c>
      <c r="J72">
        <v>33</v>
      </c>
      <c r="K72" t="s">
        <v>384</v>
      </c>
      <c r="L72">
        <v>8206</v>
      </c>
      <c r="M72" t="s">
        <v>326</v>
      </c>
      <c r="N72" t="s">
        <v>409</v>
      </c>
      <c r="O72">
        <v>1</v>
      </c>
      <c r="P72">
        <v>2</v>
      </c>
      <c r="Q72">
        <v>-99</v>
      </c>
      <c r="R72" t="s">
        <v>681</v>
      </c>
    </row>
    <row r="73" spans="1:18" x14ac:dyDescent="0.2">
      <c r="A73">
        <v>72</v>
      </c>
      <c r="B73">
        <v>114</v>
      </c>
      <c r="C73" t="s">
        <v>172</v>
      </c>
      <c r="D73" t="s">
        <v>51</v>
      </c>
      <c r="E73" t="s">
        <v>605</v>
      </c>
      <c r="F73" t="s">
        <v>606</v>
      </c>
      <c r="G73" t="s">
        <v>657</v>
      </c>
      <c r="H73" t="s">
        <v>385</v>
      </c>
      <c r="I73">
        <v>382</v>
      </c>
      <c r="J73">
        <v>33</v>
      </c>
      <c r="K73" t="s">
        <v>384</v>
      </c>
      <c r="L73">
        <v>8207</v>
      </c>
      <c r="M73" t="s">
        <v>314</v>
      </c>
      <c r="N73" t="s">
        <v>410</v>
      </c>
      <c r="O73">
        <v>1</v>
      </c>
      <c r="P73">
        <v>2</v>
      </c>
      <c r="Q73">
        <v>-99</v>
      </c>
      <c r="R73" t="s">
        <v>681</v>
      </c>
    </row>
    <row r="74" spans="1:18" x14ac:dyDescent="0.2">
      <c r="A74">
        <v>73</v>
      </c>
      <c r="B74">
        <v>115</v>
      </c>
      <c r="C74" t="s">
        <v>173</v>
      </c>
      <c r="D74" t="s">
        <v>27</v>
      </c>
      <c r="E74" t="s">
        <v>607</v>
      </c>
      <c r="F74" t="s">
        <v>608</v>
      </c>
      <c r="G74" t="s">
        <v>657</v>
      </c>
      <c r="H74" t="s">
        <v>385</v>
      </c>
      <c r="I74">
        <v>382</v>
      </c>
      <c r="J74">
        <v>33</v>
      </c>
      <c r="K74" t="s">
        <v>384</v>
      </c>
      <c r="L74">
        <v>8208</v>
      </c>
      <c r="M74" t="s">
        <v>337</v>
      </c>
      <c r="N74" t="s">
        <v>411</v>
      </c>
      <c r="O74">
        <v>1</v>
      </c>
      <c r="P74">
        <v>2</v>
      </c>
      <c r="Q74">
        <v>-99</v>
      </c>
      <c r="R74" t="s">
        <v>681</v>
      </c>
    </row>
    <row r="75" spans="1:18" x14ac:dyDescent="0.2">
      <c r="A75">
        <v>74</v>
      </c>
      <c r="B75">
        <v>116</v>
      </c>
      <c r="C75" t="s">
        <v>174</v>
      </c>
      <c r="D75" t="s">
        <v>68</v>
      </c>
      <c r="E75" t="s">
        <v>609</v>
      </c>
      <c r="F75" t="s">
        <v>610</v>
      </c>
      <c r="G75" t="s">
        <v>659</v>
      </c>
      <c r="H75" t="s">
        <v>401</v>
      </c>
      <c r="I75">
        <v>383</v>
      </c>
      <c r="J75">
        <v>34</v>
      </c>
      <c r="K75" t="s">
        <v>403</v>
      </c>
      <c r="L75">
        <v>8210</v>
      </c>
      <c r="M75" t="s">
        <v>327</v>
      </c>
      <c r="N75" t="s">
        <v>412</v>
      </c>
      <c r="O75">
        <v>1</v>
      </c>
      <c r="P75">
        <v>2</v>
      </c>
      <c r="Q75">
        <v>-99</v>
      </c>
      <c r="R75" t="s">
        <v>681</v>
      </c>
    </row>
    <row r="76" spans="1:18" x14ac:dyDescent="0.2">
      <c r="A76">
        <v>75</v>
      </c>
      <c r="B76">
        <v>197</v>
      </c>
      <c r="C76" t="s">
        <v>175</v>
      </c>
      <c r="D76" t="s">
        <v>72</v>
      </c>
      <c r="E76" t="s">
        <v>611</v>
      </c>
      <c r="F76" t="s">
        <v>612</v>
      </c>
      <c r="G76" t="s">
        <v>656</v>
      </c>
      <c r="H76" t="s">
        <v>376</v>
      </c>
      <c r="I76">
        <v>381</v>
      </c>
      <c r="J76">
        <v>31</v>
      </c>
      <c r="K76" t="s">
        <v>379</v>
      </c>
      <c r="L76">
        <v>8211</v>
      </c>
      <c r="M76" t="s">
        <v>330</v>
      </c>
      <c r="N76" t="s">
        <v>426</v>
      </c>
      <c r="O76">
        <v>1</v>
      </c>
      <c r="P76">
        <v>2</v>
      </c>
      <c r="Q76">
        <v>-99</v>
      </c>
      <c r="R76" t="s">
        <v>681</v>
      </c>
    </row>
    <row r="77" spans="1:18" x14ac:dyDescent="0.2">
      <c r="A77">
        <v>76</v>
      </c>
      <c r="B77">
        <v>119</v>
      </c>
      <c r="C77" t="s">
        <v>176</v>
      </c>
      <c r="D77" t="s">
        <v>55</v>
      </c>
      <c r="E77" t="s">
        <v>613</v>
      </c>
      <c r="F77" t="s">
        <v>614</v>
      </c>
      <c r="G77" t="s">
        <v>659</v>
      </c>
      <c r="H77" t="s">
        <v>401</v>
      </c>
      <c r="I77">
        <v>383</v>
      </c>
      <c r="J77">
        <v>34</v>
      </c>
      <c r="K77" t="s">
        <v>403</v>
      </c>
      <c r="L77">
        <v>8223</v>
      </c>
      <c r="M77" t="s">
        <v>615</v>
      </c>
      <c r="N77" t="s">
        <v>616</v>
      </c>
      <c r="O77">
        <v>1</v>
      </c>
      <c r="P77">
        <v>2</v>
      </c>
      <c r="Q77">
        <v>-99</v>
      </c>
      <c r="R77" t="s">
        <v>681</v>
      </c>
    </row>
    <row r="78" spans="1:18" x14ac:dyDescent="0.2">
      <c r="A78">
        <v>77</v>
      </c>
      <c r="B78">
        <v>131</v>
      </c>
      <c r="C78" t="s">
        <v>177</v>
      </c>
      <c r="D78" t="s">
        <v>46</v>
      </c>
      <c r="E78" t="s">
        <v>617</v>
      </c>
      <c r="F78" t="s">
        <v>618</v>
      </c>
      <c r="G78" t="s">
        <v>657</v>
      </c>
      <c r="H78" t="s">
        <v>385</v>
      </c>
      <c r="I78">
        <v>382</v>
      </c>
      <c r="J78">
        <v>33</v>
      </c>
      <c r="K78" t="s">
        <v>384</v>
      </c>
      <c r="L78">
        <v>8226</v>
      </c>
      <c r="M78" t="s">
        <v>326</v>
      </c>
      <c r="N78" t="s">
        <v>409</v>
      </c>
      <c r="O78">
        <v>1</v>
      </c>
      <c r="P78">
        <v>2</v>
      </c>
      <c r="Q78">
        <v>-99</v>
      </c>
      <c r="R78" t="s">
        <v>681</v>
      </c>
    </row>
    <row r="79" spans="1:18" x14ac:dyDescent="0.2">
      <c r="A79">
        <v>78</v>
      </c>
      <c r="B79">
        <v>132</v>
      </c>
      <c r="C79" t="s">
        <v>668</v>
      </c>
      <c r="D79" t="s">
        <v>429</v>
      </c>
      <c r="E79" t="s">
        <v>619</v>
      </c>
      <c r="F79" t="s">
        <v>669</v>
      </c>
      <c r="G79" t="s">
        <v>656</v>
      </c>
      <c r="H79" t="s">
        <v>376</v>
      </c>
      <c r="I79">
        <v>381</v>
      </c>
      <c r="J79">
        <v>30</v>
      </c>
      <c r="K79" t="s">
        <v>368</v>
      </c>
      <c r="L79">
        <v>8229</v>
      </c>
      <c r="M79" t="s">
        <v>345</v>
      </c>
      <c r="N79" t="s">
        <v>413</v>
      </c>
      <c r="O79">
        <v>1</v>
      </c>
      <c r="P79">
        <v>2</v>
      </c>
      <c r="Q79">
        <v>-99</v>
      </c>
      <c r="R79" t="s">
        <v>681</v>
      </c>
    </row>
    <row r="80" spans="1:18" x14ac:dyDescent="0.2">
      <c r="A80">
        <v>79</v>
      </c>
      <c r="B80">
        <v>143</v>
      </c>
      <c r="C80" t="s">
        <v>178</v>
      </c>
      <c r="D80" t="s">
        <v>54</v>
      </c>
      <c r="E80" t="s">
        <v>620</v>
      </c>
      <c r="F80" t="s">
        <v>621</v>
      </c>
      <c r="G80" t="s">
        <v>655</v>
      </c>
      <c r="H80" t="s">
        <v>369</v>
      </c>
      <c r="I80">
        <v>380</v>
      </c>
      <c r="J80">
        <v>30</v>
      </c>
      <c r="K80" t="s">
        <v>368</v>
      </c>
      <c r="L80">
        <v>8230</v>
      </c>
      <c r="M80" t="s">
        <v>358</v>
      </c>
      <c r="N80" t="s">
        <v>414</v>
      </c>
      <c r="O80">
        <v>1</v>
      </c>
      <c r="P80">
        <v>2</v>
      </c>
      <c r="Q80">
        <v>-99</v>
      </c>
      <c r="R80" t="s">
        <v>681</v>
      </c>
    </row>
    <row r="81" spans="1:18" x14ac:dyDescent="0.2">
      <c r="A81">
        <v>80</v>
      </c>
      <c r="B81">
        <v>144</v>
      </c>
      <c r="C81" t="s">
        <v>670</v>
      </c>
      <c r="D81" t="s">
        <v>488</v>
      </c>
      <c r="E81" t="s">
        <v>670</v>
      </c>
      <c r="F81" t="s">
        <v>488</v>
      </c>
      <c r="G81" t="s">
        <v>667</v>
      </c>
      <c r="H81" t="s">
        <v>8</v>
      </c>
      <c r="I81">
        <v>-99</v>
      </c>
      <c r="J81">
        <v>35</v>
      </c>
      <c r="K81" t="s">
        <v>8</v>
      </c>
      <c r="L81">
        <v>8215</v>
      </c>
      <c r="M81" t="s">
        <v>338</v>
      </c>
      <c r="N81" t="s">
        <v>396</v>
      </c>
      <c r="O81">
        <v>1</v>
      </c>
      <c r="P81">
        <v>2</v>
      </c>
      <c r="Q81">
        <v>-99</v>
      </c>
      <c r="R81" t="s">
        <v>653</v>
      </c>
    </row>
    <row r="82" spans="1:18" x14ac:dyDescent="0.2">
      <c r="A82">
        <v>81</v>
      </c>
      <c r="B82">
        <v>145</v>
      </c>
      <c r="C82" t="s">
        <v>179</v>
      </c>
      <c r="D82" t="s">
        <v>71</v>
      </c>
      <c r="E82" t="s">
        <v>622</v>
      </c>
      <c r="F82" t="s">
        <v>623</v>
      </c>
      <c r="G82" t="s">
        <v>659</v>
      </c>
      <c r="H82" t="s">
        <v>401</v>
      </c>
      <c r="I82">
        <v>383</v>
      </c>
      <c r="J82">
        <v>34</v>
      </c>
      <c r="K82" t="s">
        <v>403</v>
      </c>
      <c r="L82">
        <v>8231</v>
      </c>
      <c r="M82" t="s">
        <v>331</v>
      </c>
      <c r="N82" t="s">
        <v>406</v>
      </c>
      <c r="O82">
        <v>1</v>
      </c>
      <c r="P82">
        <v>1</v>
      </c>
      <c r="Q82">
        <v>-99</v>
      </c>
      <c r="R82" t="s">
        <v>681</v>
      </c>
    </row>
    <row r="83" spans="1:18" x14ac:dyDescent="0.2">
      <c r="A83">
        <v>82</v>
      </c>
      <c r="B83">
        <v>-99</v>
      </c>
      <c r="C83" t="s">
        <v>179</v>
      </c>
      <c r="D83" t="s">
        <v>71</v>
      </c>
      <c r="E83" t="s">
        <v>624</v>
      </c>
      <c r="F83" t="s">
        <v>955</v>
      </c>
      <c r="G83" t="s">
        <v>659</v>
      </c>
      <c r="H83" t="s">
        <v>401</v>
      </c>
      <c r="I83">
        <v>383</v>
      </c>
      <c r="J83">
        <v>34</v>
      </c>
      <c r="K83" t="s">
        <v>403</v>
      </c>
      <c r="L83">
        <v>8231</v>
      </c>
      <c r="M83" t="s">
        <v>331</v>
      </c>
      <c r="N83" t="s">
        <v>406</v>
      </c>
      <c r="O83">
        <v>-99</v>
      </c>
      <c r="P83">
        <v>1</v>
      </c>
      <c r="Q83">
        <v>-99</v>
      </c>
      <c r="R83" t="s">
        <v>679</v>
      </c>
    </row>
    <row r="84" spans="1:18" x14ac:dyDescent="0.2">
      <c r="A84">
        <v>83</v>
      </c>
      <c r="B84">
        <v>151</v>
      </c>
      <c r="C84" t="s">
        <v>671</v>
      </c>
      <c r="D84" t="s">
        <v>1055</v>
      </c>
      <c r="E84" t="s">
        <v>671</v>
      </c>
      <c r="F84" t="s">
        <v>489</v>
      </c>
      <c r="G84" t="s">
        <v>667</v>
      </c>
      <c r="H84" t="s">
        <v>8</v>
      </c>
      <c r="I84">
        <v>380</v>
      </c>
      <c r="J84">
        <v>35</v>
      </c>
      <c r="K84" t="s">
        <v>8</v>
      </c>
      <c r="L84">
        <v>3180155</v>
      </c>
      <c r="M84" t="s">
        <v>345</v>
      </c>
      <c r="N84" t="s">
        <v>413</v>
      </c>
      <c r="O84">
        <v>1</v>
      </c>
      <c r="P84">
        <v>2</v>
      </c>
      <c r="Q84">
        <v>-99</v>
      </c>
      <c r="R84" t="s">
        <v>653</v>
      </c>
    </row>
    <row r="85" spans="1:18" x14ac:dyDescent="0.2">
      <c r="A85">
        <v>84</v>
      </c>
      <c r="B85">
        <v>152</v>
      </c>
      <c r="C85" t="s">
        <v>180</v>
      </c>
      <c r="D85" t="s">
        <v>78</v>
      </c>
      <c r="E85" t="s">
        <v>625</v>
      </c>
      <c r="F85" t="s">
        <v>626</v>
      </c>
      <c r="G85" t="s">
        <v>655</v>
      </c>
      <c r="H85" t="s">
        <v>369</v>
      </c>
      <c r="I85">
        <v>380</v>
      </c>
      <c r="J85">
        <v>30</v>
      </c>
      <c r="K85" t="s">
        <v>368</v>
      </c>
      <c r="L85">
        <v>8234</v>
      </c>
      <c r="M85" t="s">
        <v>351</v>
      </c>
      <c r="N85" t="s">
        <v>415</v>
      </c>
      <c r="O85">
        <v>1</v>
      </c>
      <c r="P85">
        <v>2</v>
      </c>
      <c r="Q85">
        <v>-99</v>
      </c>
      <c r="R85" t="s">
        <v>681</v>
      </c>
    </row>
    <row r="86" spans="1:18" x14ac:dyDescent="0.2">
      <c r="A86">
        <v>85</v>
      </c>
      <c r="B86">
        <v>153</v>
      </c>
      <c r="C86" t="s">
        <v>89</v>
      </c>
      <c r="D86" t="s">
        <v>135</v>
      </c>
      <c r="E86" t="s">
        <v>627</v>
      </c>
      <c r="F86" t="s">
        <v>628</v>
      </c>
      <c r="G86" t="s">
        <v>655</v>
      </c>
      <c r="H86" t="s">
        <v>369</v>
      </c>
      <c r="I86">
        <v>380</v>
      </c>
      <c r="J86">
        <v>30</v>
      </c>
      <c r="K86" t="s">
        <v>368</v>
      </c>
      <c r="L86">
        <v>8236</v>
      </c>
      <c r="M86" t="s">
        <v>364</v>
      </c>
      <c r="N86" t="s">
        <v>416</v>
      </c>
      <c r="O86">
        <v>1</v>
      </c>
      <c r="P86">
        <v>2</v>
      </c>
      <c r="Q86">
        <v>-99</v>
      </c>
      <c r="R86" t="s">
        <v>681</v>
      </c>
    </row>
    <row r="87" spans="1:18" x14ac:dyDescent="0.2">
      <c r="A87">
        <v>86</v>
      </c>
      <c r="B87">
        <v>154</v>
      </c>
      <c r="C87" t="s">
        <v>182</v>
      </c>
      <c r="D87" t="s">
        <v>181</v>
      </c>
      <c r="E87" t="s">
        <v>629</v>
      </c>
      <c r="F87" t="s">
        <v>630</v>
      </c>
      <c r="G87" t="s">
        <v>659</v>
      </c>
      <c r="H87" t="s">
        <v>401</v>
      </c>
      <c r="I87">
        <v>383</v>
      </c>
      <c r="J87">
        <v>33</v>
      </c>
      <c r="K87" t="s">
        <v>384</v>
      </c>
      <c r="L87">
        <v>8265</v>
      </c>
      <c r="M87" t="s">
        <v>357</v>
      </c>
      <c r="N87" t="s">
        <v>417</v>
      </c>
      <c r="O87">
        <v>1</v>
      </c>
      <c r="P87">
        <v>2</v>
      </c>
      <c r="Q87">
        <v>-99</v>
      </c>
      <c r="R87" t="s">
        <v>681</v>
      </c>
    </row>
    <row r="88" spans="1:18" x14ac:dyDescent="0.2">
      <c r="A88">
        <v>87</v>
      </c>
      <c r="B88">
        <v>155</v>
      </c>
      <c r="C88" t="s">
        <v>183</v>
      </c>
      <c r="D88" t="s">
        <v>43</v>
      </c>
      <c r="E88" t="s">
        <v>631</v>
      </c>
      <c r="F88" t="s">
        <v>632</v>
      </c>
      <c r="G88" t="s">
        <v>657</v>
      </c>
      <c r="H88" t="s">
        <v>385</v>
      </c>
      <c r="I88">
        <v>382</v>
      </c>
      <c r="J88">
        <v>32</v>
      </c>
      <c r="K88" t="s">
        <v>389</v>
      </c>
      <c r="L88">
        <v>8266</v>
      </c>
      <c r="M88" t="s">
        <v>322</v>
      </c>
      <c r="N88" t="s">
        <v>418</v>
      </c>
      <c r="O88">
        <v>1</v>
      </c>
      <c r="P88">
        <v>2</v>
      </c>
      <c r="Q88">
        <v>-99</v>
      </c>
      <c r="R88" t="s">
        <v>681</v>
      </c>
    </row>
    <row r="89" spans="1:18" x14ac:dyDescent="0.2">
      <c r="A89">
        <v>88</v>
      </c>
      <c r="B89">
        <v>156</v>
      </c>
      <c r="C89" t="s">
        <v>184</v>
      </c>
      <c r="D89" t="s">
        <v>74</v>
      </c>
      <c r="E89" t="s">
        <v>633</v>
      </c>
      <c r="F89" t="s">
        <v>634</v>
      </c>
      <c r="G89" t="s">
        <v>657</v>
      </c>
      <c r="H89" t="s">
        <v>385</v>
      </c>
      <c r="I89">
        <v>382</v>
      </c>
      <c r="J89">
        <v>32</v>
      </c>
      <c r="K89" t="s">
        <v>389</v>
      </c>
      <c r="L89">
        <v>8267</v>
      </c>
      <c r="M89" t="s">
        <v>340</v>
      </c>
      <c r="N89" t="s">
        <v>419</v>
      </c>
      <c r="O89">
        <v>1</v>
      </c>
      <c r="P89">
        <v>2</v>
      </c>
      <c r="Q89">
        <v>-99</v>
      </c>
      <c r="R89" t="s">
        <v>681</v>
      </c>
    </row>
    <row r="90" spans="1:18" x14ac:dyDescent="0.2">
      <c r="A90">
        <v>89</v>
      </c>
      <c r="B90">
        <v>157</v>
      </c>
      <c r="C90" t="s">
        <v>672</v>
      </c>
      <c r="D90" t="s">
        <v>36</v>
      </c>
      <c r="E90" t="s">
        <v>635</v>
      </c>
      <c r="F90" t="s">
        <v>636</v>
      </c>
      <c r="G90" t="s">
        <v>659</v>
      </c>
      <c r="H90" t="s">
        <v>401</v>
      </c>
      <c r="I90">
        <v>383</v>
      </c>
      <c r="J90">
        <v>33</v>
      </c>
      <c r="K90" t="s">
        <v>384</v>
      </c>
      <c r="L90">
        <v>8271</v>
      </c>
      <c r="M90" t="s">
        <v>318</v>
      </c>
      <c r="N90" t="s">
        <v>420</v>
      </c>
      <c r="O90">
        <v>1</v>
      </c>
      <c r="P90">
        <v>2</v>
      </c>
      <c r="Q90">
        <v>-99</v>
      </c>
      <c r="R90" t="s">
        <v>681</v>
      </c>
    </row>
    <row r="91" spans="1:18" x14ac:dyDescent="0.2">
      <c r="A91">
        <v>90</v>
      </c>
      <c r="B91">
        <v>158</v>
      </c>
      <c r="C91" t="s">
        <v>185</v>
      </c>
      <c r="D91" t="s">
        <v>81</v>
      </c>
      <c r="E91" t="s">
        <v>637</v>
      </c>
      <c r="F91" t="s">
        <v>638</v>
      </c>
      <c r="G91" t="s">
        <v>657</v>
      </c>
      <c r="H91" t="s">
        <v>385</v>
      </c>
      <c r="I91">
        <v>382</v>
      </c>
      <c r="J91">
        <v>32</v>
      </c>
      <c r="K91" t="s">
        <v>389</v>
      </c>
      <c r="L91">
        <v>8209</v>
      </c>
      <c r="M91" t="s">
        <v>363</v>
      </c>
      <c r="N91" t="s">
        <v>421</v>
      </c>
      <c r="O91">
        <v>1</v>
      </c>
      <c r="P91">
        <v>2</v>
      </c>
      <c r="Q91">
        <v>-99</v>
      </c>
      <c r="R91" t="s">
        <v>681</v>
      </c>
    </row>
    <row r="92" spans="1:18" x14ac:dyDescent="0.2">
      <c r="A92">
        <v>91</v>
      </c>
      <c r="B92">
        <v>198</v>
      </c>
      <c r="C92" t="s">
        <v>186</v>
      </c>
      <c r="D92" t="s">
        <v>45</v>
      </c>
      <c r="E92" t="s">
        <v>639</v>
      </c>
      <c r="F92" t="s">
        <v>640</v>
      </c>
      <c r="G92" t="s">
        <v>659</v>
      </c>
      <c r="H92" t="s">
        <v>401</v>
      </c>
      <c r="I92">
        <v>383</v>
      </c>
      <c r="J92">
        <v>34</v>
      </c>
      <c r="K92" t="s">
        <v>403</v>
      </c>
      <c r="L92">
        <v>8224</v>
      </c>
      <c r="M92" t="s">
        <v>360</v>
      </c>
      <c r="N92" t="s">
        <v>427</v>
      </c>
      <c r="O92">
        <v>1</v>
      </c>
      <c r="P92">
        <v>2</v>
      </c>
      <c r="Q92">
        <v>-99</v>
      </c>
      <c r="R92" t="s">
        <v>681</v>
      </c>
    </row>
    <row r="93" spans="1:18" x14ac:dyDescent="0.2">
      <c r="A93">
        <v>92</v>
      </c>
      <c r="B93">
        <v>161</v>
      </c>
      <c r="C93" t="s">
        <v>187</v>
      </c>
      <c r="D93" t="s">
        <v>82</v>
      </c>
      <c r="E93" t="s">
        <v>641</v>
      </c>
      <c r="F93" t="s">
        <v>642</v>
      </c>
      <c r="G93" t="s">
        <v>655</v>
      </c>
      <c r="H93" t="s">
        <v>369</v>
      </c>
      <c r="I93">
        <v>380</v>
      </c>
      <c r="J93">
        <v>30</v>
      </c>
      <c r="K93" t="s">
        <v>368</v>
      </c>
      <c r="L93">
        <v>8225</v>
      </c>
      <c r="M93" t="s">
        <v>323</v>
      </c>
      <c r="N93" t="s">
        <v>422</v>
      </c>
      <c r="O93">
        <v>1</v>
      </c>
      <c r="P93">
        <v>2</v>
      </c>
      <c r="Q93">
        <v>-99</v>
      </c>
      <c r="R93" t="s">
        <v>681</v>
      </c>
    </row>
    <row r="94" spans="1:18" x14ac:dyDescent="0.2">
      <c r="A94">
        <v>93</v>
      </c>
      <c r="B94">
        <v>162</v>
      </c>
      <c r="C94" t="s">
        <v>188</v>
      </c>
      <c r="D94" t="s">
        <v>32</v>
      </c>
      <c r="E94" t="s">
        <v>643</v>
      </c>
      <c r="F94" t="s">
        <v>644</v>
      </c>
      <c r="G94" t="s">
        <v>659</v>
      </c>
      <c r="H94" t="s">
        <v>401</v>
      </c>
      <c r="I94">
        <v>383</v>
      </c>
      <c r="J94">
        <v>34</v>
      </c>
      <c r="K94" t="s">
        <v>403</v>
      </c>
      <c r="L94">
        <v>8227</v>
      </c>
      <c r="M94" t="s">
        <v>476</v>
      </c>
      <c r="N94" t="s">
        <v>423</v>
      </c>
      <c r="O94">
        <v>1</v>
      </c>
      <c r="P94">
        <v>2</v>
      </c>
      <c r="Q94">
        <v>-99</v>
      </c>
      <c r="R94" t="s">
        <v>681</v>
      </c>
    </row>
    <row r="95" spans="1:18" x14ac:dyDescent="0.2">
      <c r="A95">
        <v>94</v>
      </c>
      <c r="B95">
        <v>-99</v>
      </c>
      <c r="C95" t="s">
        <v>673</v>
      </c>
      <c r="D95" t="s">
        <v>8</v>
      </c>
      <c r="E95" t="s">
        <v>674</v>
      </c>
      <c r="F95" t="s">
        <v>224</v>
      </c>
      <c r="G95" t="s">
        <v>653</v>
      </c>
      <c r="H95" t="s">
        <v>8</v>
      </c>
      <c r="I95">
        <v>-99</v>
      </c>
      <c r="J95">
        <v>-99</v>
      </c>
      <c r="K95" t="s">
        <v>8</v>
      </c>
      <c r="L95">
        <v>-99</v>
      </c>
      <c r="M95" t="s">
        <v>653</v>
      </c>
      <c r="N95" t="s">
        <v>653</v>
      </c>
      <c r="O95">
        <v>-99</v>
      </c>
      <c r="P95">
        <v>-99</v>
      </c>
      <c r="Q95">
        <v>-99</v>
      </c>
      <c r="R95" t="s">
        <v>208</v>
      </c>
    </row>
    <row r="96" spans="1:18" x14ac:dyDescent="0.2">
      <c r="A96">
        <v>95</v>
      </c>
      <c r="B96">
        <v>-99</v>
      </c>
      <c r="C96" t="s">
        <v>673</v>
      </c>
      <c r="D96" t="s">
        <v>8</v>
      </c>
      <c r="E96" t="s">
        <v>675</v>
      </c>
      <c r="F96" t="s">
        <v>308</v>
      </c>
      <c r="G96" t="s">
        <v>653</v>
      </c>
      <c r="H96" t="s">
        <v>8</v>
      </c>
      <c r="I96">
        <v>-99</v>
      </c>
      <c r="J96">
        <v>-99</v>
      </c>
      <c r="K96" t="s">
        <v>8</v>
      </c>
      <c r="L96">
        <v>-99</v>
      </c>
      <c r="M96" t="s">
        <v>653</v>
      </c>
      <c r="N96" t="s">
        <v>653</v>
      </c>
      <c r="O96">
        <v>-99</v>
      </c>
      <c r="P96">
        <v>-99</v>
      </c>
      <c r="Q96">
        <v>-99</v>
      </c>
      <c r="R96" t="s">
        <v>678</v>
      </c>
    </row>
    <row r="97" spans="1:18" x14ac:dyDescent="0.2">
      <c r="A97">
        <v>96</v>
      </c>
      <c r="B97">
        <v>-99</v>
      </c>
      <c r="C97" t="s">
        <v>673</v>
      </c>
      <c r="D97" t="s">
        <v>8</v>
      </c>
      <c r="E97" t="s">
        <v>676</v>
      </c>
      <c r="F97" t="s">
        <v>307</v>
      </c>
      <c r="G97" t="s">
        <v>653</v>
      </c>
      <c r="H97" t="s">
        <v>8</v>
      </c>
      <c r="I97">
        <v>-99</v>
      </c>
      <c r="J97">
        <v>-99</v>
      </c>
      <c r="K97" t="s">
        <v>8</v>
      </c>
      <c r="L97">
        <v>-99</v>
      </c>
      <c r="M97" t="s">
        <v>653</v>
      </c>
      <c r="N97" t="s">
        <v>653</v>
      </c>
      <c r="O97">
        <v>-99</v>
      </c>
      <c r="P97">
        <v>-99</v>
      </c>
      <c r="Q97">
        <v>-99</v>
      </c>
      <c r="R97" t="s">
        <v>679</v>
      </c>
    </row>
    <row r="98" spans="1:18" x14ac:dyDescent="0.2">
      <c r="A98">
        <v>97</v>
      </c>
      <c r="B98">
        <v>-99</v>
      </c>
      <c r="C98" t="s">
        <v>665</v>
      </c>
      <c r="D98" t="s">
        <v>1054</v>
      </c>
      <c r="E98" t="s">
        <v>665</v>
      </c>
      <c r="F98" t="s">
        <v>1054</v>
      </c>
      <c r="G98" t="s">
        <v>653</v>
      </c>
      <c r="H98" t="s">
        <v>653</v>
      </c>
      <c r="I98">
        <v>-99</v>
      </c>
      <c r="J98">
        <v>35</v>
      </c>
      <c r="K98" t="s">
        <v>8</v>
      </c>
      <c r="L98">
        <v>-99</v>
      </c>
      <c r="M98" t="s">
        <v>653</v>
      </c>
      <c r="N98" t="s">
        <v>653</v>
      </c>
      <c r="O98">
        <v>-99</v>
      </c>
      <c r="P98">
        <v>-99</v>
      </c>
      <c r="Q98">
        <v>3</v>
      </c>
      <c r="R98" t="s">
        <v>653</v>
      </c>
    </row>
    <row r="99" spans="1:18" x14ac:dyDescent="0.2">
      <c r="A99">
        <v>98</v>
      </c>
      <c r="B99">
        <v>-99</v>
      </c>
      <c r="C99" t="s">
        <v>673</v>
      </c>
      <c r="D99" t="s">
        <v>8</v>
      </c>
      <c r="E99" t="s">
        <v>684</v>
      </c>
      <c r="F99" t="s">
        <v>685</v>
      </c>
      <c r="G99" t="s">
        <v>653</v>
      </c>
      <c r="H99" t="s">
        <v>8</v>
      </c>
      <c r="I99">
        <v>-99</v>
      </c>
      <c r="J99">
        <v>-99</v>
      </c>
      <c r="K99" t="s">
        <v>8</v>
      </c>
      <c r="L99">
        <v>-99</v>
      </c>
      <c r="M99" t="s">
        <v>653</v>
      </c>
      <c r="N99" t="s">
        <v>653</v>
      </c>
      <c r="O99">
        <v>-99</v>
      </c>
      <c r="P99">
        <v>-99</v>
      </c>
      <c r="Q99">
        <v>-99</v>
      </c>
      <c r="R99" t="s">
        <v>681</v>
      </c>
    </row>
    <row r="100" spans="1:18" x14ac:dyDescent="0.2">
      <c r="A100">
        <v>99</v>
      </c>
      <c r="B100">
        <v>250</v>
      </c>
      <c r="C100" t="s">
        <v>653</v>
      </c>
      <c r="D100" t="s">
        <v>32</v>
      </c>
      <c r="E100" t="s">
        <v>720</v>
      </c>
      <c r="F100" t="s">
        <v>686</v>
      </c>
      <c r="G100" t="s">
        <v>653</v>
      </c>
      <c r="H100" t="s">
        <v>401</v>
      </c>
      <c r="I100">
        <v>-99</v>
      </c>
      <c r="J100">
        <v>-99</v>
      </c>
      <c r="K100" t="s">
        <v>403</v>
      </c>
      <c r="L100">
        <v>-99</v>
      </c>
      <c r="M100" t="s">
        <v>653</v>
      </c>
      <c r="N100" t="s">
        <v>653</v>
      </c>
      <c r="O100">
        <v>-99</v>
      </c>
      <c r="P100">
        <v>-99</v>
      </c>
      <c r="Q100">
        <v>-99</v>
      </c>
      <c r="R100" t="s">
        <v>687</v>
      </c>
    </row>
    <row r="101" spans="1:18" x14ac:dyDescent="0.2">
      <c r="A101">
        <v>100</v>
      </c>
      <c r="B101">
        <v>256</v>
      </c>
      <c r="C101" t="s">
        <v>653</v>
      </c>
      <c r="D101" t="s">
        <v>212</v>
      </c>
      <c r="E101" t="s">
        <v>721</v>
      </c>
      <c r="F101" t="s">
        <v>688</v>
      </c>
      <c r="G101" t="s">
        <v>653</v>
      </c>
      <c r="H101" t="s">
        <v>385</v>
      </c>
      <c r="I101">
        <v>-99</v>
      </c>
      <c r="J101">
        <v>-99</v>
      </c>
      <c r="K101" t="s">
        <v>389</v>
      </c>
      <c r="L101">
        <v>-99</v>
      </c>
      <c r="M101" t="s">
        <v>653</v>
      </c>
      <c r="N101" t="s">
        <v>653</v>
      </c>
      <c r="O101">
        <v>-99</v>
      </c>
      <c r="P101">
        <v>-99</v>
      </c>
      <c r="Q101">
        <v>-99</v>
      </c>
      <c r="R101" t="s">
        <v>687</v>
      </c>
    </row>
    <row r="102" spans="1:18" x14ac:dyDescent="0.2">
      <c r="A102">
        <v>101</v>
      </c>
      <c r="B102">
        <v>257</v>
      </c>
      <c r="C102" t="s">
        <v>653</v>
      </c>
      <c r="D102" t="s">
        <v>209</v>
      </c>
      <c r="E102" t="s">
        <v>722</v>
      </c>
      <c r="F102" t="s">
        <v>689</v>
      </c>
      <c r="G102" t="s">
        <v>653</v>
      </c>
      <c r="H102" t="s">
        <v>385</v>
      </c>
      <c r="I102">
        <v>-99</v>
      </c>
      <c r="J102">
        <v>-99</v>
      </c>
      <c r="K102" t="s">
        <v>389</v>
      </c>
      <c r="L102">
        <v>-99</v>
      </c>
      <c r="M102" t="s">
        <v>653</v>
      </c>
      <c r="N102" t="s">
        <v>653</v>
      </c>
      <c r="O102">
        <v>-99</v>
      </c>
      <c r="P102">
        <v>-99</v>
      </c>
      <c r="Q102">
        <v>-99</v>
      </c>
      <c r="R102" t="s">
        <v>687</v>
      </c>
    </row>
    <row r="103" spans="1:18" x14ac:dyDescent="0.2">
      <c r="A103">
        <v>102</v>
      </c>
      <c r="B103">
        <v>258</v>
      </c>
      <c r="C103" t="s">
        <v>653</v>
      </c>
      <c r="D103" t="s">
        <v>210</v>
      </c>
      <c r="E103" t="s">
        <v>723</v>
      </c>
      <c r="F103" t="s">
        <v>690</v>
      </c>
      <c r="G103" t="s">
        <v>653</v>
      </c>
      <c r="H103" t="s">
        <v>369</v>
      </c>
      <c r="I103">
        <v>-99</v>
      </c>
      <c r="J103">
        <v>-99</v>
      </c>
      <c r="K103" t="s">
        <v>368</v>
      </c>
      <c r="L103">
        <v>-99</v>
      </c>
      <c r="M103" t="s">
        <v>653</v>
      </c>
      <c r="N103" t="s">
        <v>653</v>
      </c>
      <c r="O103">
        <v>-99</v>
      </c>
      <c r="P103">
        <v>-99</v>
      </c>
      <c r="Q103">
        <v>-99</v>
      </c>
      <c r="R103" t="s">
        <v>687</v>
      </c>
    </row>
    <row r="104" spans="1:18" x14ac:dyDescent="0.2">
      <c r="A104">
        <v>103</v>
      </c>
      <c r="B104">
        <v>259</v>
      </c>
      <c r="C104" t="s">
        <v>653</v>
      </c>
      <c r="D104" t="s">
        <v>135</v>
      </c>
      <c r="E104" t="s">
        <v>724</v>
      </c>
      <c r="F104" t="s">
        <v>691</v>
      </c>
      <c r="G104" t="s">
        <v>653</v>
      </c>
      <c r="H104" t="s">
        <v>369</v>
      </c>
      <c r="I104">
        <v>-99</v>
      </c>
      <c r="J104">
        <v>-99</v>
      </c>
      <c r="K104" t="s">
        <v>368</v>
      </c>
      <c r="L104">
        <v>-99</v>
      </c>
      <c r="M104" t="s">
        <v>653</v>
      </c>
      <c r="N104" t="s">
        <v>653</v>
      </c>
      <c r="O104">
        <v>-99</v>
      </c>
      <c r="P104">
        <v>-99</v>
      </c>
      <c r="Q104">
        <v>-99</v>
      </c>
      <c r="R104" t="s">
        <v>687</v>
      </c>
    </row>
    <row r="105" spans="1:18" x14ac:dyDescent="0.2">
      <c r="A105">
        <v>104</v>
      </c>
      <c r="B105">
        <v>260</v>
      </c>
      <c r="C105" t="s">
        <v>653</v>
      </c>
      <c r="D105" t="s">
        <v>46</v>
      </c>
      <c r="E105" t="s">
        <v>725</v>
      </c>
      <c r="F105" t="s">
        <v>692</v>
      </c>
      <c r="G105" t="s">
        <v>653</v>
      </c>
      <c r="H105" t="s">
        <v>385</v>
      </c>
      <c r="I105">
        <v>-99</v>
      </c>
      <c r="J105">
        <v>-99</v>
      </c>
      <c r="K105" t="s">
        <v>384</v>
      </c>
      <c r="L105">
        <v>-99</v>
      </c>
      <c r="M105" t="s">
        <v>653</v>
      </c>
      <c r="N105" t="s">
        <v>653</v>
      </c>
      <c r="O105">
        <v>-99</v>
      </c>
      <c r="P105">
        <v>-99</v>
      </c>
      <c r="Q105">
        <v>-99</v>
      </c>
      <c r="R105" t="s">
        <v>687</v>
      </c>
    </row>
    <row r="106" spans="1:18" x14ac:dyDescent="0.2">
      <c r="A106">
        <v>105</v>
      </c>
      <c r="B106">
        <v>261</v>
      </c>
      <c r="C106" t="s">
        <v>653</v>
      </c>
      <c r="D106" t="s">
        <v>65</v>
      </c>
      <c r="E106" t="s">
        <v>726</v>
      </c>
      <c r="F106" t="s">
        <v>693</v>
      </c>
      <c r="G106" t="s">
        <v>653</v>
      </c>
      <c r="H106" t="s">
        <v>369</v>
      </c>
      <c r="I106">
        <v>-99</v>
      </c>
      <c r="J106">
        <v>-99</v>
      </c>
      <c r="K106" t="s">
        <v>368</v>
      </c>
      <c r="L106">
        <v>-99</v>
      </c>
      <c r="M106" t="s">
        <v>653</v>
      </c>
      <c r="N106" t="s">
        <v>653</v>
      </c>
      <c r="O106">
        <v>-99</v>
      </c>
      <c r="P106">
        <v>-99</v>
      </c>
      <c r="Q106">
        <v>-99</v>
      </c>
      <c r="R106" t="s">
        <v>687</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462</v>
      </c>
      <c r="B1" t="s">
        <v>456</v>
      </c>
      <c r="C1" t="s">
        <v>463</v>
      </c>
      <c r="D1" t="s">
        <v>464</v>
      </c>
      <c r="E1" t="s">
        <v>491</v>
      </c>
    </row>
    <row r="2" spans="1:5" x14ac:dyDescent="0.2">
      <c r="A2" t="s">
        <v>324</v>
      </c>
      <c r="B2" t="s">
        <v>370</v>
      </c>
      <c r="C2" t="s">
        <v>370</v>
      </c>
      <c r="D2" t="s">
        <v>465</v>
      </c>
      <c r="E2" t="s">
        <v>368</v>
      </c>
    </row>
    <row r="3" spans="1:5" x14ac:dyDescent="0.2">
      <c r="A3" t="s">
        <v>356</v>
      </c>
      <c r="B3" t="s">
        <v>373</v>
      </c>
      <c r="C3" t="s">
        <v>373</v>
      </c>
      <c r="D3" t="s">
        <v>465</v>
      </c>
      <c r="E3" t="s">
        <v>368</v>
      </c>
    </row>
    <row r="4" spans="1:5" x14ac:dyDescent="0.2">
      <c r="A4" t="s">
        <v>351</v>
      </c>
      <c r="B4" t="s">
        <v>415</v>
      </c>
      <c r="C4" t="s">
        <v>415</v>
      </c>
      <c r="D4" t="s">
        <v>465</v>
      </c>
      <c r="E4" t="s">
        <v>368</v>
      </c>
    </row>
    <row r="5" spans="1:5" x14ac:dyDescent="0.2">
      <c r="A5" t="s">
        <v>330</v>
      </c>
      <c r="B5" t="s">
        <v>426</v>
      </c>
      <c r="C5" t="s">
        <v>426</v>
      </c>
      <c r="D5" t="s">
        <v>466</v>
      </c>
      <c r="E5" t="s">
        <v>379</v>
      </c>
    </row>
    <row r="6" spans="1:5" x14ac:dyDescent="0.2">
      <c r="A6" t="s">
        <v>354</v>
      </c>
      <c r="B6" t="s">
        <v>388</v>
      </c>
      <c r="C6" t="s">
        <v>388</v>
      </c>
      <c r="D6" t="s">
        <v>466</v>
      </c>
      <c r="E6" t="s">
        <v>384</v>
      </c>
    </row>
    <row r="7" spans="1:5" x14ac:dyDescent="0.2">
      <c r="A7" t="s">
        <v>357</v>
      </c>
      <c r="B7" t="s">
        <v>417</v>
      </c>
      <c r="C7" t="s">
        <v>417</v>
      </c>
      <c r="D7" t="s">
        <v>468</v>
      </c>
      <c r="E7" t="s">
        <v>384</v>
      </c>
    </row>
    <row r="8" spans="1:5" x14ac:dyDescent="0.2">
      <c r="A8" t="s">
        <v>332</v>
      </c>
      <c r="B8" t="s">
        <v>400</v>
      </c>
      <c r="C8" t="s">
        <v>400</v>
      </c>
      <c r="D8" t="s">
        <v>469</v>
      </c>
      <c r="E8" t="s">
        <v>389</v>
      </c>
    </row>
    <row r="9" spans="1:5" x14ac:dyDescent="0.2">
      <c r="A9" t="s">
        <v>349</v>
      </c>
      <c r="B9" t="s">
        <v>402</v>
      </c>
      <c r="C9" t="s">
        <v>402</v>
      </c>
      <c r="D9" t="s">
        <v>468</v>
      </c>
      <c r="E9" t="s">
        <v>384</v>
      </c>
    </row>
    <row r="10" spans="1:5" x14ac:dyDescent="0.2">
      <c r="A10" t="s">
        <v>477</v>
      </c>
      <c r="B10" t="s">
        <v>478</v>
      </c>
      <c r="C10" t="s">
        <v>309</v>
      </c>
      <c r="D10" t="s">
        <v>453</v>
      </c>
      <c r="E10" t="s">
        <v>8</v>
      </c>
    </row>
    <row r="11" spans="1:5" x14ac:dyDescent="0.2">
      <c r="A11" t="s">
        <v>358</v>
      </c>
      <c r="B11" t="s">
        <v>414</v>
      </c>
      <c r="C11" t="s">
        <v>414</v>
      </c>
      <c r="D11" t="s">
        <v>465</v>
      </c>
      <c r="E11" t="s">
        <v>368</v>
      </c>
    </row>
    <row r="12" spans="1:5" x14ac:dyDescent="0.2">
      <c r="A12" t="s">
        <v>336</v>
      </c>
      <c r="B12" t="s">
        <v>378</v>
      </c>
      <c r="C12" t="s">
        <v>378</v>
      </c>
      <c r="D12" t="s">
        <v>466</v>
      </c>
      <c r="E12" t="s">
        <v>368</v>
      </c>
    </row>
    <row r="13" spans="1:5" x14ac:dyDescent="0.2">
      <c r="A13" t="s">
        <v>341</v>
      </c>
      <c r="B13" t="s">
        <v>375</v>
      </c>
      <c r="C13" t="s">
        <v>375</v>
      </c>
      <c r="D13" t="s">
        <v>465</v>
      </c>
      <c r="E13" t="s">
        <v>368</v>
      </c>
    </row>
    <row r="14" spans="1:5" x14ac:dyDescent="0.2">
      <c r="A14" t="s">
        <v>339</v>
      </c>
      <c r="B14" t="s">
        <v>382</v>
      </c>
      <c r="C14" t="s">
        <v>382</v>
      </c>
      <c r="D14" t="s">
        <v>466</v>
      </c>
      <c r="E14" t="s">
        <v>379</v>
      </c>
    </row>
    <row r="15" spans="1:5" x14ac:dyDescent="0.2">
      <c r="A15" t="s">
        <v>329</v>
      </c>
      <c r="B15" t="s">
        <v>391</v>
      </c>
      <c r="C15" t="s">
        <v>391</v>
      </c>
      <c r="D15" t="s">
        <v>465</v>
      </c>
      <c r="E15" t="s">
        <v>389</v>
      </c>
    </row>
    <row r="16" spans="1:5" x14ac:dyDescent="0.2">
      <c r="A16" t="s">
        <v>343</v>
      </c>
      <c r="B16" t="s">
        <v>405</v>
      </c>
      <c r="C16" t="s">
        <v>405</v>
      </c>
      <c r="D16" t="s">
        <v>468</v>
      </c>
      <c r="E16" t="s">
        <v>384</v>
      </c>
    </row>
    <row r="17" spans="1:5" x14ac:dyDescent="0.2">
      <c r="A17" t="s">
        <v>479</v>
      </c>
      <c r="B17" t="s">
        <v>480</v>
      </c>
      <c r="C17" t="s">
        <v>309</v>
      </c>
      <c r="D17" t="s">
        <v>453</v>
      </c>
      <c r="E17" t="s">
        <v>8</v>
      </c>
    </row>
    <row r="18" spans="1:5" x14ac:dyDescent="0.2">
      <c r="A18" t="s">
        <v>355</v>
      </c>
      <c r="B18" t="s">
        <v>390</v>
      </c>
      <c r="C18" t="s">
        <v>390</v>
      </c>
      <c r="D18" t="s">
        <v>465</v>
      </c>
      <c r="E18" t="s">
        <v>389</v>
      </c>
    </row>
    <row r="19" spans="1:5" x14ac:dyDescent="0.2">
      <c r="A19" t="s">
        <v>348</v>
      </c>
      <c r="B19" t="s">
        <v>393</v>
      </c>
      <c r="C19" t="s">
        <v>393</v>
      </c>
      <c r="D19" t="s">
        <v>469</v>
      </c>
      <c r="E19" t="s">
        <v>389</v>
      </c>
    </row>
    <row r="20" spans="1:5" x14ac:dyDescent="0.2">
      <c r="A20" t="s">
        <v>338</v>
      </c>
      <c r="B20" t="s">
        <v>396</v>
      </c>
      <c r="C20" t="s">
        <v>396</v>
      </c>
      <c r="D20" t="s">
        <v>469</v>
      </c>
      <c r="E20" t="s">
        <v>389</v>
      </c>
    </row>
    <row r="21" spans="1:5" x14ac:dyDescent="0.2">
      <c r="A21" t="s">
        <v>363</v>
      </c>
      <c r="B21" t="s">
        <v>421</v>
      </c>
      <c r="C21" t="s">
        <v>421</v>
      </c>
      <c r="D21" t="s">
        <v>469</v>
      </c>
      <c r="E21" t="s">
        <v>389</v>
      </c>
    </row>
    <row r="22" spans="1:5" x14ac:dyDescent="0.2">
      <c r="A22" t="s">
        <v>334</v>
      </c>
      <c r="B22" t="s">
        <v>60</v>
      </c>
      <c r="C22" t="s">
        <v>60</v>
      </c>
      <c r="D22" t="s">
        <v>465</v>
      </c>
      <c r="E22" t="s">
        <v>368</v>
      </c>
    </row>
    <row r="23" spans="1:5" x14ac:dyDescent="0.2">
      <c r="A23" t="s">
        <v>347</v>
      </c>
      <c r="B23" t="s">
        <v>381</v>
      </c>
      <c r="C23" t="s">
        <v>381</v>
      </c>
      <c r="D23" t="s">
        <v>309</v>
      </c>
      <c r="E23" t="s">
        <v>368</v>
      </c>
    </row>
    <row r="24" spans="1:5" x14ac:dyDescent="0.2">
      <c r="A24" t="s">
        <v>342</v>
      </c>
      <c r="B24" t="s">
        <v>383</v>
      </c>
      <c r="C24" t="s">
        <v>383</v>
      </c>
      <c r="D24" t="s">
        <v>466</v>
      </c>
      <c r="E24" t="s">
        <v>379</v>
      </c>
    </row>
    <row r="25" spans="1:5" x14ac:dyDescent="0.2">
      <c r="A25" t="s">
        <v>340</v>
      </c>
      <c r="B25" t="s">
        <v>419</v>
      </c>
      <c r="C25" t="s">
        <v>419</v>
      </c>
      <c r="D25" t="s">
        <v>469</v>
      </c>
      <c r="E25" t="s">
        <v>389</v>
      </c>
    </row>
    <row r="26" spans="1:5" x14ac:dyDescent="0.2">
      <c r="A26" t="s">
        <v>317</v>
      </c>
      <c r="B26" t="s">
        <v>404</v>
      </c>
      <c r="C26" t="s">
        <v>404</v>
      </c>
      <c r="D26" t="s">
        <v>468</v>
      </c>
      <c r="E26" t="s">
        <v>403</v>
      </c>
    </row>
    <row r="27" spans="1:5" x14ac:dyDescent="0.2">
      <c r="A27" t="s">
        <v>318</v>
      </c>
      <c r="B27" t="s">
        <v>420</v>
      </c>
      <c r="C27" t="s">
        <v>420</v>
      </c>
      <c r="D27" t="s">
        <v>468</v>
      </c>
      <c r="E27" t="s">
        <v>384</v>
      </c>
    </row>
    <row r="28" spans="1:5" x14ac:dyDescent="0.2">
      <c r="A28" t="s">
        <v>352</v>
      </c>
      <c r="B28" t="s">
        <v>372</v>
      </c>
      <c r="C28" t="s">
        <v>372</v>
      </c>
      <c r="D28" t="s">
        <v>465</v>
      </c>
      <c r="E28" t="s">
        <v>368</v>
      </c>
    </row>
    <row r="29" spans="1:5" x14ac:dyDescent="0.2">
      <c r="A29" t="s">
        <v>467</v>
      </c>
      <c r="B29" t="s">
        <v>453</v>
      </c>
      <c r="C29" t="s">
        <v>309</v>
      </c>
      <c r="D29" t="s">
        <v>453</v>
      </c>
      <c r="E29" t="s">
        <v>8</v>
      </c>
    </row>
    <row r="30" spans="1:5" x14ac:dyDescent="0.2">
      <c r="A30" t="s">
        <v>364</v>
      </c>
      <c r="B30" t="s">
        <v>416</v>
      </c>
      <c r="C30" t="s">
        <v>416</v>
      </c>
      <c r="D30" t="s">
        <v>465</v>
      </c>
      <c r="E30" t="s">
        <v>368</v>
      </c>
    </row>
    <row r="31" spans="1:5" x14ac:dyDescent="0.2">
      <c r="A31" t="s">
        <v>345</v>
      </c>
      <c r="B31" t="s">
        <v>413</v>
      </c>
      <c r="C31" t="s">
        <v>413</v>
      </c>
      <c r="D31" t="s">
        <v>309</v>
      </c>
      <c r="E31" t="s">
        <v>368</v>
      </c>
    </row>
    <row r="32" spans="1:5" x14ac:dyDescent="0.2">
      <c r="A32" t="s">
        <v>325</v>
      </c>
      <c r="B32" t="s">
        <v>394</v>
      </c>
      <c r="C32" t="s">
        <v>394</v>
      </c>
      <c r="D32" t="s">
        <v>465</v>
      </c>
      <c r="E32" t="s">
        <v>389</v>
      </c>
    </row>
    <row r="33" spans="1:5" x14ac:dyDescent="0.2">
      <c r="A33" t="s">
        <v>322</v>
      </c>
      <c r="B33" t="s">
        <v>418</v>
      </c>
      <c r="C33" t="s">
        <v>418</v>
      </c>
      <c r="D33" t="s">
        <v>469</v>
      </c>
      <c r="E33" t="s">
        <v>389</v>
      </c>
    </row>
    <row r="34" spans="1:5" x14ac:dyDescent="0.2">
      <c r="A34" t="s">
        <v>344</v>
      </c>
      <c r="B34" t="s">
        <v>425</v>
      </c>
      <c r="C34" t="s">
        <v>425</v>
      </c>
      <c r="D34" t="s">
        <v>468</v>
      </c>
      <c r="E34" t="s">
        <v>403</v>
      </c>
    </row>
    <row r="35" spans="1:5" x14ac:dyDescent="0.2">
      <c r="A35" t="s">
        <v>333</v>
      </c>
      <c r="B35" t="s">
        <v>407</v>
      </c>
      <c r="C35" t="s">
        <v>407</v>
      </c>
      <c r="D35" t="s">
        <v>468</v>
      </c>
      <c r="E35" t="s">
        <v>403</v>
      </c>
    </row>
    <row r="36" spans="1:5" x14ac:dyDescent="0.2">
      <c r="A36" t="s">
        <v>360</v>
      </c>
      <c r="B36" t="s">
        <v>427</v>
      </c>
      <c r="C36" t="s">
        <v>427</v>
      </c>
      <c r="D36" t="s">
        <v>468</v>
      </c>
      <c r="E36" t="s">
        <v>403</v>
      </c>
    </row>
    <row r="37" spans="1:5" x14ac:dyDescent="0.2">
      <c r="A37" t="s">
        <v>476</v>
      </c>
      <c r="B37" t="s">
        <v>423</v>
      </c>
      <c r="C37" t="s">
        <v>423</v>
      </c>
      <c r="D37" t="s">
        <v>468</v>
      </c>
      <c r="E37" t="s">
        <v>403</v>
      </c>
    </row>
    <row r="38" spans="1:5" x14ac:dyDescent="0.2">
      <c r="A38" t="s">
        <v>474</v>
      </c>
      <c r="B38" t="s">
        <v>475</v>
      </c>
      <c r="C38" t="s">
        <v>309</v>
      </c>
      <c r="D38" t="s">
        <v>453</v>
      </c>
      <c r="E38" t="s">
        <v>8</v>
      </c>
    </row>
    <row r="39" spans="1:5" x14ac:dyDescent="0.2">
      <c r="A39" t="s">
        <v>350</v>
      </c>
      <c r="B39" t="s">
        <v>408</v>
      </c>
      <c r="C39" t="s">
        <v>408</v>
      </c>
      <c r="D39" t="s">
        <v>468</v>
      </c>
      <c r="E39" t="s">
        <v>403</v>
      </c>
    </row>
    <row r="40" spans="1:5" x14ac:dyDescent="0.2">
      <c r="A40" t="s">
        <v>483</v>
      </c>
      <c r="B40" t="s">
        <v>484</v>
      </c>
      <c r="C40" t="s">
        <v>309</v>
      </c>
      <c r="D40" t="s">
        <v>453</v>
      </c>
      <c r="E40" t="s">
        <v>8</v>
      </c>
    </row>
    <row r="41" spans="1:5" x14ac:dyDescent="0.2">
      <c r="A41" t="s">
        <v>470</v>
      </c>
      <c r="B41" t="s">
        <v>471</v>
      </c>
      <c r="C41" t="s">
        <v>309</v>
      </c>
      <c r="D41" t="s">
        <v>453</v>
      </c>
      <c r="E41" t="s">
        <v>8</v>
      </c>
    </row>
    <row r="42" spans="1:5" x14ac:dyDescent="0.2">
      <c r="A42" t="s">
        <v>359</v>
      </c>
      <c r="B42" t="s">
        <v>371</v>
      </c>
      <c r="C42" t="s">
        <v>371</v>
      </c>
      <c r="D42" t="s">
        <v>465</v>
      </c>
      <c r="E42" t="s">
        <v>368</v>
      </c>
    </row>
    <row r="43" spans="1:5" x14ac:dyDescent="0.2">
      <c r="A43" t="s">
        <v>320</v>
      </c>
      <c r="B43" t="s">
        <v>377</v>
      </c>
      <c r="C43" t="s">
        <v>377</v>
      </c>
      <c r="D43" t="s">
        <v>466</v>
      </c>
      <c r="E43" t="s">
        <v>368</v>
      </c>
    </row>
    <row r="44" spans="1:5" x14ac:dyDescent="0.2">
      <c r="A44" t="s">
        <v>323</v>
      </c>
      <c r="B44" t="s">
        <v>422</v>
      </c>
      <c r="C44" t="s">
        <v>422</v>
      </c>
      <c r="D44" t="s">
        <v>465</v>
      </c>
      <c r="E44" t="s">
        <v>368</v>
      </c>
    </row>
    <row r="45" spans="1:5" x14ac:dyDescent="0.2">
      <c r="A45" t="s">
        <v>353</v>
      </c>
      <c r="B45" t="s">
        <v>387</v>
      </c>
      <c r="C45" t="s">
        <v>387</v>
      </c>
      <c r="D45" t="s">
        <v>466</v>
      </c>
      <c r="E45" t="s">
        <v>379</v>
      </c>
    </row>
    <row r="46" spans="1:5" x14ac:dyDescent="0.2">
      <c r="A46" t="s">
        <v>335</v>
      </c>
      <c r="B46" t="s">
        <v>392</v>
      </c>
      <c r="C46" t="s">
        <v>392</v>
      </c>
      <c r="D46" t="s">
        <v>466</v>
      </c>
      <c r="E46" t="s">
        <v>379</v>
      </c>
    </row>
    <row r="47" spans="1:5" x14ac:dyDescent="0.2">
      <c r="A47" t="s">
        <v>362</v>
      </c>
      <c r="B47" t="s">
        <v>398</v>
      </c>
      <c r="C47" t="s">
        <v>398</v>
      </c>
      <c r="D47" t="s">
        <v>469</v>
      </c>
      <c r="E47" t="s">
        <v>389</v>
      </c>
    </row>
    <row r="48" spans="1:5" x14ac:dyDescent="0.2">
      <c r="A48" t="s">
        <v>337</v>
      </c>
      <c r="B48" t="s">
        <v>411</v>
      </c>
      <c r="C48" t="s">
        <v>411</v>
      </c>
      <c r="D48" t="s">
        <v>469</v>
      </c>
      <c r="E48" t="s">
        <v>384</v>
      </c>
    </row>
    <row r="49" spans="1:5" x14ac:dyDescent="0.2">
      <c r="A49" t="s">
        <v>326</v>
      </c>
      <c r="B49" t="s">
        <v>409</v>
      </c>
      <c r="C49" t="s">
        <v>409</v>
      </c>
      <c r="D49" t="s">
        <v>469</v>
      </c>
      <c r="E49" t="s">
        <v>384</v>
      </c>
    </row>
    <row r="50" spans="1:5" x14ac:dyDescent="0.2">
      <c r="A50" t="s">
        <v>331</v>
      </c>
      <c r="B50" t="s">
        <v>406</v>
      </c>
      <c r="C50" t="s">
        <v>406</v>
      </c>
      <c r="D50" t="s">
        <v>468</v>
      </c>
      <c r="E50" t="s">
        <v>403</v>
      </c>
    </row>
    <row r="51" spans="1:5" x14ac:dyDescent="0.2">
      <c r="A51" t="s">
        <v>319</v>
      </c>
      <c r="B51" t="s">
        <v>386</v>
      </c>
      <c r="C51" t="s">
        <v>386</v>
      </c>
      <c r="D51" t="s">
        <v>469</v>
      </c>
      <c r="E51" t="s">
        <v>384</v>
      </c>
    </row>
    <row r="52" spans="1:5" x14ac:dyDescent="0.2">
      <c r="A52" t="s">
        <v>472</v>
      </c>
      <c r="B52" t="s">
        <v>473</v>
      </c>
      <c r="C52" t="s">
        <v>309</v>
      </c>
      <c r="D52" t="s">
        <v>453</v>
      </c>
      <c r="E52" t="s">
        <v>8</v>
      </c>
    </row>
    <row r="53" spans="1:5" x14ac:dyDescent="0.2">
      <c r="A53" t="s">
        <v>481</v>
      </c>
      <c r="B53" t="s">
        <v>482</v>
      </c>
      <c r="C53" t="s">
        <v>309</v>
      </c>
      <c r="D53" t="s">
        <v>453</v>
      </c>
      <c r="E53" t="s">
        <v>8</v>
      </c>
    </row>
    <row r="54" spans="1:5" x14ac:dyDescent="0.2">
      <c r="A54" t="s">
        <v>346</v>
      </c>
      <c r="B54" t="s">
        <v>374</v>
      </c>
      <c r="C54" t="s">
        <v>374</v>
      </c>
      <c r="D54" t="s">
        <v>465</v>
      </c>
      <c r="E54" t="s">
        <v>368</v>
      </c>
    </row>
    <row r="55" spans="1:5" x14ac:dyDescent="0.2">
      <c r="A55" t="s">
        <v>361</v>
      </c>
      <c r="B55" t="s">
        <v>380</v>
      </c>
      <c r="C55" t="s">
        <v>380</v>
      </c>
      <c r="D55" t="s">
        <v>466</v>
      </c>
      <c r="E55" t="s">
        <v>379</v>
      </c>
    </row>
    <row r="56" spans="1:5" x14ac:dyDescent="0.2">
      <c r="A56" t="s">
        <v>316</v>
      </c>
      <c r="B56" t="s">
        <v>424</v>
      </c>
      <c r="C56" t="s">
        <v>424</v>
      </c>
      <c r="D56" t="s">
        <v>466</v>
      </c>
      <c r="E56" t="s">
        <v>379</v>
      </c>
    </row>
    <row r="57" spans="1:5" x14ac:dyDescent="0.2">
      <c r="A57" t="s">
        <v>315</v>
      </c>
      <c r="B57" t="s">
        <v>395</v>
      </c>
      <c r="C57" t="s">
        <v>395</v>
      </c>
      <c r="D57" t="s">
        <v>469</v>
      </c>
      <c r="E57" t="s">
        <v>389</v>
      </c>
    </row>
    <row r="58" spans="1:5" x14ac:dyDescent="0.2">
      <c r="A58" t="s">
        <v>321</v>
      </c>
      <c r="B58" t="s">
        <v>399</v>
      </c>
      <c r="C58" t="s">
        <v>399</v>
      </c>
      <c r="D58" t="s">
        <v>469</v>
      </c>
      <c r="E58" t="s">
        <v>389</v>
      </c>
    </row>
    <row r="59" spans="1:5" x14ac:dyDescent="0.2">
      <c r="A59" t="s">
        <v>327</v>
      </c>
      <c r="B59" t="s">
        <v>412</v>
      </c>
      <c r="C59" t="s">
        <v>412</v>
      </c>
      <c r="D59" t="s">
        <v>468</v>
      </c>
      <c r="E59" t="s">
        <v>403</v>
      </c>
    </row>
    <row r="60" spans="1:5" x14ac:dyDescent="0.2">
      <c r="A60" t="s">
        <v>314</v>
      </c>
      <c r="B60" t="s">
        <v>410</v>
      </c>
      <c r="C60" t="s">
        <v>410</v>
      </c>
      <c r="D60" t="s">
        <v>469</v>
      </c>
      <c r="E60" t="s">
        <v>384</v>
      </c>
    </row>
    <row r="61" spans="1:5" x14ac:dyDescent="0.2">
      <c r="A61" t="s">
        <v>328</v>
      </c>
      <c r="B61" t="s">
        <v>80</v>
      </c>
      <c r="C61" t="s">
        <v>80</v>
      </c>
      <c r="D61" t="s">
        <v>468</v>
      </c>
      <c r="E61" t="s">
        <v>403</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1033</v>
      </c>
      <c r="C2" t="s">
        <v>436</v>
      </c>
      <c r="D2" t="s">
        <v>437</v>
      </c>
      <c r="E2" t="s">
        <v>438</v>
      </c>
      <c r="F2" t="s">
        <v>439</v>
      </c>
      <c r="G2" t="s">
        <v>440</v>
      </c>
      <c r="H2" t="s">
        <v>441</v>
      </c>
      <c r="I2" t="s">
        <v>442</v>
      </c>
      <c r="J2" t="s">
        <v>443</v>
      </c>
      <c r="K2" t="s">
        <v>444</v>
      </c>
      <c r="L2" t="s">
        <v>445</v>
      </c>
      <c r="M2" t="s">
        <v>446</v>
      </c>
      <c r="N2" t="s">
        <v>447</v>
      </c>
      <c r="O2" t="s">
        <v>448</v>
      </c>
      <c r="P2" t="s">
        <v>449</v>
      </c>
      <c r="Q2" t="s">
        <v>451</v>
      </c>
    </row>
    <row r="3" spans="2:33" x14ac:dyDescent="0.2">
      <c r="B3" t="s">
        <v>384</v>
      </c>
      <c r="C3" t="s">
        <v>410</v>
      </c>
      <c r="D3" t="s">
        <v>402</v>
      </c>
      <c r="E3" t="s">
        <v>386</v>
      </c>
      <c r="F3" t="s">
        <v>388</v>
      </c>
      <c r="G3" t="s">
        <v>417</v>
      </c>
      <c r="H3" t="s">
        <v>411</v>
      </c>
      <c r="I3" t="s">
        <v>409</v>
      </c>
      <c r="J3" t="s">
        <v>405</v>
      </c>
      <c r="K3" t="s">
        <v>420</v>
      </c>
      <c r="L3" t="s">
        <v>450</v>
      </c>
      <c r="M3" t="s">
        <v>450</v>
      </c>
      <c r="N3" t="s">
        <v>450</v>
      </c>
      <c r="O3" t="s">
        <v>450</v>
      </c>
      <c r="P3" t="s">
        <v>450</v>
      </c>
      <c r="Q3" t="s">
        <v>450</v>
      </c>
      <c r="S3" s="14" t="s">
        <v>410</v>
      </c>
      <c r="T3" s="14" t="s">
        <v>402</v>
      </c>
      <c r="U3" s="14" t="s">
        <v>386</v>
      </c>
      <c r="V3" s="14" t="s">
        <v>388</v>
      </c>
      <c r="W3" s="14" t="s">
        <v>417</v>
      </c>
      <c r="X3" s="14" t="s">
        <v>411</v>
      </c>
      <c r="Y3" s="14" t="s">
        <v>409</v>
      </c>
      <c r="Z3" s="14" t="s">
        <v>405</v>
      </c>
      <c r="AA3" s="14" t="s">
        <v>420</v>
      </c>
      <c r="AB3" s="14"/>
      <c r="AC3" s="14"/>
      <c r="AD3" s="14"/>
      <c r="AE3" s="14"/>
      <c r="AF3" s="15"/>
      <c r="AG3" s="15"/>
    </row>
    <row r="4" spans="2:33" x14ac:dyDescent="0.2">
      <c r="B4" t="s">
        <v>389</v>
      </c>
      <c r="C4" t="s">
        <v>393</v>
      </c>
      <c r="D4" t="s">
        <v>391</v>
      </c>
      <c r="E4" t="s">
        <v>398</v>
      </c>
      <c r="F4" t="s">
        <v>421</v>
      </c>
      <c r="G4" t="s">
        <v>394</v>
      </c>
      <c r="H4" t="s">
        <v>400</v>
      </c>
      <c r="I4" t="s">
        <v>396</v>
      </c>
      <c r="J4" t="s">
        <v>399</v>
      </c>
      <c r="K4" t="s">
        <v>418</v>
      </c>
      <c r="L4" t="s">
        <v>390</v>
      </c>
      <c r="M4" t="s">
        <v>419</v>
      </c>
      <c r="N4" t="s">
        <v>395</v>
      </c>
      <c r="O4" t="s">
        <v>450</v>
      </c>
      <c r="P4" t="s">
        <v>450</v>
      </c>
      <c r="Q4" t="s">
        <v>450</v>
      </c>
      <c r="S4" s="14" t="s">
        <v>393</v>
      </c>
      <c r="T4" s="14" t="s">
        <v>391</v>
      </c>
      <c r="U4" s="14" t="s">
        <v>398</v>
      </c>
      <c r="V4" s="14" t="s">
        <v>421</v>
      </c>
      <c r="W4" s="14" t="s">
        <v>394</v>
      </c>
      <c r="X4" s="14" t="s">
        <v>400</v>
      </c>
      <c r="Y4" s="14" t="s">
        <v>396</v>
      </c>
      <c r="Z4" s="14" t="s">
        <v>399</v>
      </c>
      <c r="AA4" s="14" t="s">
        <v>418</v>
      </c>
      <c r="AB4" s="14" t="s">
        <v>390</v>
      </c>
      <c r="AC4" s="14" t="s">
        <v>419</v>
      </c>
      <c r="AD4" s="14" t="s">
        <v>395</v>
      </c>
      <c r="AE4" s="14"/>
      <c r="AF4" s="15"/>
      <c r="AG4" s="15"/>
    </row>
    <row r="5" spans="2:33" x14ac:dyDescent="0.2">
      <c r="B5" t="s">
        <v>368</v>
      </c>
      <c r="C5" t="s">
        <v>372</v>
      </c>
      <c r="D5" t="s">
        <v>422</v>
      </c>
      <c r="E5" t="s">
        <v>413</v>
      </c>
      <c r="F5" t="s">
        <v>415</v>
      </c>
      <c r="G5" t="s">
        <v>375</v>
      </c>
      <c r="H5" t="s">
        <v>370</v>
      </c>
      <c r="I5" t="s">
        <v>414</v>
      </c>
      <c r="J5" t="s">
        <v>373</v>
      </c>
      <c r="K5" t="s">
        <v>60</v>
      </c>
      <c r="L5" t="s">
        <v>381</v>
      </c>
      <c r="M5" t="s">
        <v>374</v>
      </c>
      <c r="N5" t="s">
        <v>371</v>
      </c>
      <c r="O5" t="s">
        <v>416</v>
      </c>
      <c r="P5" t="s">
        <v>377</v>
      </c>
      <c r="Q5" t="s">
        <v>378</v>
      </c>
      <c r="S5" s="14" t="s">
        <v>372</v>
      </c>
      <c r="T5" s="14" t="s">
        <v>422</v>
      </c>
      <c r="U5" s="14" t="s">
        <v>413</v>
      </c>
      <c r="V5" s="14" t="s">
        <v>415</v>
      </c>
      <c r="W5" s="14" t="s">
        <v>375</v>
      </c>
      <c r="X5" s="14" t="s">
        <v>370</v>
      </c>
      <c r="Y5" s="14" t="s">
        <v>414</v>
      </c>
      <c r="Z5" s="14" t="s">
        <v>373</v>
      </c>
      <c r="AA5" s="14" t="s">
        <v>60</v>
      </c>
      <c r="AB5" s="14" t="s">
        <v>381</v>
      </c>
      <c r="AC5" s="14" t="s">
        <v>374</v>
      </c>
      <c r="AD5" s="14" t="s">
        <v>371</v>
      </c>
      <c r="AE5" s="14" t="s">
        <v>416</v>
      </c>
      <c r="AF5" s="15" t="s">
        <v>377</v>
      </c>
      <c r="AG5" s="15" t="s">
        <v>378</v>
      </c>
    </row>
    <row r="6" spans="2:33" x14ac:dyDescent="0.2">
      <c r="B6" t="s">
        <v>403</v>
      </c>
      <c r="C6" t="s">
        <v>423</v>
      </c>
      <c r="D6" t="s">
        <v>425</v>
      </c>
      <c r="E6" t="s">
        <v>406</v>
      </c>
      <c r="F6" t="s">
        <v>427</v>
      </c>
      <c r="G6" t="s">
        <v>407</v>
      </c>
      <c r="H6" t="s">
        <v>412</v>
      </c>
      <c r="I6" t="s">
        <v>404</v>
      </c>
      <c r="J6" t="s">
        <v>408</v>
      </c>
      <c r="K6" t="s">
        <v>80</v>
      </c>
      <c r="L6" t="s">
        <v>450</v>
      </c>
      <c r="M6" t="s">
        <v>450</v>
      </c>
      <c r="N6" t="s">
        <v>450</v>
      </c>
      <c r="O6" t="s">
        <v>450</v>
      </c>
      <c r="P6" t="s">
        <v>450</v>
      </c>
      <c r="Q6" t="s">
        <v>450</v>
      </c>
      <c r="S6" s="14" t="s">
        <v>423</v>
      </c>
      <c r="T6" s="14" t="s">
        <v>425</v>
      </c>
      <c r="U6" s="14" t="s">
        <v>406</v>
      </c>
      <c r="V6" s="14" t="s">
        <v>427</v>
      </c>
      <c r="W6" s="14" t="s">
        <v>407</v>
      </c>
      <c r="X6" s="14" t="s">
        <v>412</v>
      </c>
      <c r="Y6" s="14" t="s">
        <v>404</v>
      </c>
      <c r="Z6" s="14" t="s">
        <v>408</v>
      </c>
      <c r="AA6" s="14" t="s">
        <v>80</v>
      </c>
      <c r="AB6" s="14"/>
      <c r="AC6" s="14"/>
      <c r="AD6" s="14"/>
      <c r="AE6" s="14"/>
      <c r="AF6" s="15"/>
      <c r="AG6" s="15"/>
    </row>
    <row r="7" spans="2:33" x14ac:dyDescent="0.2">
      <c r="B7" t="s">
        <v>379</v>
      </c>
      <c r="C7" t="s">
        <v>387</v>
      </c>
      <c r="D7" t="s">
        <v>424</v>
      </c>
      <c r="E7" t="s">
        <v>380</v>
      </c>
      <c r="F7" t="s">
        <v>392</v>
      </c>
      <c r="G7" t="s">
        <v>426</v>
      </c>
      <c r="H7" t="s">
        <v>382</v>
      </c>
      <c r="I7" t="s">
        <v>383</v>
      </c>
      <c r="J7" t="s">
        <v>450</v>
      </c>
      <c r="K7" t="s">
        <v>450</v>
      </c>
      <c r="L7" t="s">
        <v>450</v>
      </c>
      <c r="M7" t="s">
        <v>450</v>
      </c>
      <c r="N7" t="s">
        <v>450</v>
      </c>
      <c r="O7" t="s">
        <v>450</v>
      </c>
      <c r="P7" t="s">
        <v>450</v>
      </c>
      <c r="Q7" t="s">
        <v>450</v>
      </c>
      <c r="S7" s="14" t="s">
        <v>387</v>
      </c>
      <c r="T7" s="14" t="s">
        <v>424</v>
      </c>
      <c r="U7" s="14" t="s">
        <v>380</v>
      </c>
      <c r="V7" s="14" t="s">
        <v>392</v>
      </c>
      <c r="W7" s="14" t="s">
        <v>426</v>
      </c>
      <c r="X7" s="14" t="s">
        <v>382</v>
      </c>
      <c r="Y7" s="14" t="s">
        <v>383</v>
      </c>
      <c r="Z7" s="14"/>
      <c r="AA7" s="14"/>
      <c r="AB7" s="14"/>
      <c r="AC7" s="14"/>
      <c r="AD7" s="14"/>
      <c r="AE7" s="14"/>
      <c r="AF7" s="15"/>
      <c r="AG7" s="15"/>
    </row>
    <row r="8" spans="2:33" x14ac:dyDescent="0.2">
      <c r="B8" t="s">
        <v>8</v>
      </c>
      <c r="C8" t="s">
        <v>8</v>
      </c>
      <c r="D8" t="s">
        <v>450</v>
      </c>
      <c r="E8" t="s">
        <v>450</v>
      </c>
      <c r="F8" t="s">
        <v>450</v>
      </c>
      <c r="G8" t="s">
        <v>450</v>
      </c>
      <c r="H8" t="s">
        <v>450</v>
      </c>
      <c r="I8" t="s">
        <v>450</v>
      </c>
      <c r="J8" t="s">
        <v>450</v>
      </c>
      <c r="K8" t="s">
        <v>450</v>
      </c>
      <c r="L8" t="s">
        <v>450</v>
      </c>
      <c r="M8" t="s">
        <v>450</v>
      </c>
      <c r="N8" t="s">
        <v>450</v>
      </c>
      <c r="O8" t="s">
        <v>450</v>
      </c>
      <c r="P8" t="s">
        <v>450</v>
      </c>
      <c r="Q8" t="s">
        <v>450</v>
      </c>
      <c r="S8" s="16" t="s">
        <v>8</v>
      </c>
      <c r="T8" s="16"/>
      <c r="U8" s="16"/>
      <c r="V8" s="16"/>
      <c r="W8" s="16"/>
      <c r="X8" s="16"/>
      <c r="Y8" s="16"/>
      <c r="Z8" s="16"/>
      <c r="AA8" s="16"/>
      <c r="AB8" s="16"/>
      <c r="AC8" s="16"/>
      <c r="AD8" s="16"/>
      <c r="AE8" s="16"/>
      <c r="AF8" s="17"/>
      <c r="AG8" s="17"/>
    </row>
    <row r="10" spans="2:33" x14ac:dyDescent="0.2">
      <c r="B10" t="s">
        <v>435</v>
      </c>
      <c r="C10" t="s">
        <v>436</v>
      </c>
      <c r="D10" t="s">
        <v>437</v>
      </c>
      <c r="E10" t="s">
        <v>438</v>
      </c>
      <c r="F10" t="s">
        <v>439</v>
      </c>
      <c r="G10" t="s">
        <v>440</v>
      </c>
      <c r="H10" t="s">
        <v>441</v>
      </c>
      <c r="I10" t="s">
        <v>442</v>
      </c>
      <c r="J10" t="s">
        <v>443</v>
      </c>
      <c r="K10" t="s">
        <v>444</v>
      </c>
      <c r="L10" t="s">
        <v>445</v>
      </c>
      <c r="M10" t="s">
        <v>446</v>
      </c>
      <c r="N10" t="s">
        <v>447</v>
      </c>
      <c r="O10" t="s">
        <v>448</v>
      </c>
      <c r="P10" t="s">
        <v>449</v>
      </c>
      <c r="Q10" t="s">
        <v>451</v>
      </c>
      <c r="R10" t="s">
        <v>452</v>
      </c>
    </row>
    <row r="11" spans="2:33" x14ac:dyDescent="0.2">
      <c r="B11" t="s">
        <v>384</v>
      </c>
      <c r="C11" t="s">
        <v>636</v>
      </c>
      <c r="D11" t="s">
        <v>583</v>
      </c>
      <c r="E11" t="s">
        <v>630</v>
      </c>
      <c r="F11" t="s">
        <v>618</v>
      </c>
      <c r="G11" t="s">
        <v>554</v>
      </c>
      <c r="H11" t="s">
        <v>606</v>
      </c>
      <c r="I11" t="s">
        <v>608</v>
      </c>
      <c r="J11" t="s">
        <v>550</v>
      </c>
      <c r="K11" t="s">
        <v>587</v>
      </c>
      <c r="L11" t="s">
        <v>604</v>
      </c>
      <c r="M11" t="s">
        <v>450</v>
      </c>
      <c r="N11" t="s">
        <v>450</v>
      </c>
      <c r="O11" t="s">
        <v>450</v>
      </c>
      <c r="P11" t="s">
        <v>450</v>
      </c>
      <c r="Q11" t="s">
        <v>450</v>
      </c>
      <c r="R11" t="s">
        <v>450</v>
      </c>
    </row>
    <row r="12" spans="2:33" x14ac:dyDescent="0.2">
      <c r="B12" t="s">
        <v>389</v>
      </c>
      <c r="C12" t="s">
        <v>566</v>
      </c>
      <c r="D12" t="s">
        <v>558</v>
      </c>
      <c r="E12" t="s">
        <v>575</v>
      </c>
      <c r="F12" t="s">
        <v>568</v>
      </c>
      <c r="G12" t="s">
        <v>632</v>
      </c>
      <c r="H12" t="s">
        <v>560</v>
      </c>
      <c r="I12" t="s">
        <v>577</v>
      </c>
      <c r="J12" t="s">
        <v>570</v>
      </c>
      <c r="K12" t="s">
        <v>634</v>
      </c>
      <c r="L12" t="s">
        <v>573</v>
      </c>
      <c r="M12" t="s">
        <v>579</v>
      </c>
      <c r="N12" t="s">
        <v>638</v>
      </c>
      <c r="O12" t="s">
        <v>450</v>
      </c>
      <c r="P12" t="s">
        <v>450</v>
      </c>
      <c r="Q12" t="s">
        <v>450</v>
      </c>
      <c r="R12" t="s">
        <v>450</v>
      </c>
    </row>
    <row r="13" spans="2:33" x14ac:dyDescent="0.2">
      <c r="B13" t="s">
        <v>368</v>
      </c>
      <c r="C13" t="s">
        <v>532</v>
      </c>
      <c r="D13" t="s">
        <v>511</v>
      </c>
      <c r="E13" t="s">
        <v>519</v>
      </c>
      <c r="F13" t="s">
        <v>521</v>
      </c>
      <c r="G13" t="s">
        <v>536</v>
      </c>
      <c r="H13" t="s">
        <v>621</v>
      </c>
      <c r="I13" t="s">
        <v>517</v>
      </c>
      <c r="J13" t="s">
        <v>523</v>
      </c>
      <c r="K13" t="s">
        <v>525</v>
      </c>
      <c r="L13" t="s">
        <v>528</v>
      </c>
      <c r="M13" t="s">
        <v>513</v>
      </c>
      <c r="N13" t="s">
        <v>534</v>
      </c>
      <c r="O13" t="s">
        <v>626</v>
      </c>
      <c r="P13" t="s">
        <v>628</v>
      </c>
      <c r="Q13" t="s">
        <v>642</v>
      </c>
      <c r="R13" t="s">
        <v>542</v>
      </c>
    </row>
    <row r="14" spans="2:33" x14ac:dyDescent="0.2">
      <c r="B14" t="s">
        <v>403</v>
      </c>
      <c r="C14" t="s">
        <v>585</v>
      </c>
      <c r="D14" t="s">
        <v>644</v>
      </c>
      <c r="E14" t="s">
        <v>600</v>
      </c>
      <c r="F14" t="s">
        <v>640</v>
      </c>
      <c r="G14" t="s">
        <v>592</v>
      </c>
      <c r="H14" t="s">
        <v>614</v>
      </c>
      <c r="I14" t="s">
        <v>590</v>
      </c>
      <c r="J14" t="s">
        <v>594</v>
      </c>
      <c r="K14" t="s">
        <v>602</v>
      </c>
      <c r="L14" t="s">
        <v>610</v>
      </c>
      <c r="M14" t="s">
        <v>623</v>
      </c>
      <c r="N14" t="s">
        <v>596</v>
      </c>
      <c r="O14" t="s">
        <v>450</v>
      </c>
      <c r="P14" t="s">
        <v>450</v>
      </c>
      <c r="Q14" t="s">
        <v>450</v>
      </c>
      <c r="R14" t="s">
        <v>450</v>
      </c>
    </row>
    <row r="15" spans="2:33" x14ac:dyDescent="0.2">
      <c r="B15" t="s">
        <v>379</v>
      </c>
      <c r="C15" t="s">
        <v>538</v>
      </c>
      <c r="D15" t="s">
        <v>546</v>
      </c>
      <c r="E15" t="s">
        <v>562</v>
      </c>
      <c r="F15" t="s">
        <v>552</v>
      </c>
      <c r="G15" t="s">
        <v>548</v>
      </c>
      <c r="H15" t="s">
        <v>612</v>
      </c>
      <c r="I15" t="s">
        <v>540</v>
      </c>
      <c r="J15" t="s">
        <v>450</v>
      </c>
      <c r="K15" t="s">
        <v>450</v>
      </c>
      <c r="L15" t="s">
        <v>450</v>
      </c>
      <c r="M15" t="s">
        <v>450</v>
      </c>
      <c r="N15" t="s">
        <v>450</v>
      </c>
      <c r="O15" t="s">
        <v>450</v>
      </c>
      <c r="P15" t="s">
        <v>450</v>
      </c>
      <c r="Q15" t="s">
        <v>450</v>
      </c>
      <c r="R15" t="s">
        <v>450</v>
      </c>
    </row>
    <row r="16" spans="2:33" x14ac:dyDescent="0.2">
      <c r="B16" t="s">
        <v>8</v>
      </c>
      <c r="C16" t="s">
        <v>450</v>
      </c>
      <c r="D16" t="s">
        <v>450</v>
      </c>
      <c r="E16" t="s">
        <v>450</v>
      </c>
      <c r="F16" t="s">
        <v>450</v>
      </c>
      <c r="G16" t="s">
        <v>450</v>
      </c>
      <c r="H16" t="s">
        <v>450</v>
      </c>
      <c r="I16" t="s">
        <v>450</v>
      </c>
      <c r="J16" t="s">
        <v>450</v>
      </c>
      <c r="K16" t="s">
        <v>450</v>
      </c>
      <c r="L16" t="s">
        <v>450</v>
      </c>
      <c r="M16" t="s">
        <v>450</v>
      </c>
      <c r="N16" t="s">
        <v>450</v>
      </c>
      <c r="O16" t="s">
        <v>450</v>
      </c>
      <c r="P16" t="s">
        <v>450</v>
      </c>
      <c r="Q16" t="s">
        <v>450</v>
      </c>
      <c r="R16" t="s">
        <v>450</v>
      </c>
    </row>
    <row r="19" spans="2:4" x14ac:dyDescent="0.2">
      <c r="B19" t="s">
        <v>972</v>
      </c>
      <c r="C19" t="s">
        <v>973</v>
      </c>
      <c r="D19" t="s">
        <v>974</v>
      </c>
    </row>
    <row r="20" spans="2:4" x14ac:dyDescent="0.2">
      <c r="B20" s="151">
        <v>42602</v>
      </c>
      <c r="C20">
        <v>24339</v>
      </c>
      <c r="D20">
        <v>8</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5" t="s">
        <v>977</v>
      </c>
      <c r="C2" s="326"/>
      <c r="D2" s="326"/>
      <c r="E2" s="326"/>
      <c r="F2" s="326"/>
      <c r="G2" s="327"/>
      <c r="H2" s="135" t="s">
        <v>5</v>
      </c>
      <c r="I2" s="136" t="s">
        <v>2</v>
      </c>
      <c r="J2" s="136" t="s">
        <v>228</v>
      </c>
      <c r="K2" s="134"/>
    </row>
    <row r="3" spans="1:11" ht="59.25" customHeight="1" x14ac:dyDescent="0.2">
      <c r="A3" s="130"/>
      <c r="B3" s="328"/>
      <c r="C3" s="329"/>
      <c r="D3" s="329"/>
      <c r="E3" s="329"/>
      <c r="F3" s="329"/>
      <c r="G3" s="329"/>
      <c r="H3" s="321">
        <f>SUM(H5,H10)</f>
        <v>378640</v>
      </c>
      <c r="I3" s="321">
        <f>SUM(I5,I10)</f>
        <v>77360</v>
      </c>
      <c r="J3" s="323">
        <f>ROUND(I3/H3,5)</f>
        <v>0.20430999999999999</v>
      </c>
      <c r="K3" s="134"/>
    </row>
    <row r="4" spans="1:11" ht="33" customHeight="1" thickBot="1" x14ac:dyDescent="0.25">
      <c r="A4" s="130"/>
      <c r="B4" s="330" t="str">
        <f>"As of: "&amp;TEXT(INDEX(MMWR_DATES[],1,1),"MMMM DD, YYYY")</f>
        <v>As of: August 20, 2016</v>
      </c>
      <c r="C4" s="331"/>
      <c r="D4" s="331"/>
      <c r="E4" s="331"/>
      <c r="F4" s="331"/>
      <c r="G4" s="332"/>
      <c r="H4" s="322"/>
      <c r="I4" s="322"/>
      <c r="J4" s="324"/>
      <c r="K4" s="137"/>
    </row>
    <row r="5" spans="1:11" ht="16.5" customHeight="1" thickBot="1" x14ac:dyDescent="0.25">
      <c r="A5" s="130"/>
      <c r="B5" s="319" t="s">
        <v>233</v>
      </c>
      <c r="C5" s="320"/>
      <c r="D5" s="320"/>
      <c r="E5" s="320"/>
      <c r="F5" s="320"/>
      <c r="G5" s="138" t="s">
        <v>244</v>
      </c>
      <c r="H5" s="158">
        <f>SUM(H6:H9)</f>
        <v>136583</v>
      </c>
      <c r="I5" s="158">
        <f>SUM(I6:I9)</f>
        <v>32387</v>
      </c>
      <c r="J5" s="159">
        <f t="shared" ref="J5:J15" si="0">IF(H5=0, 0,I5/H5)</f>
        <v>0.23712321445567897</v>
      </c>
      <c r="K5" s="134"/>
    </row>
    <row r="6" spans="1:11" ht="16.5" customHeight="1" x14ac:dyDescent="0.2">
      <c r="A6" s="130"/>
      <c r="B6" s="284" t="s">
        <v>16</v>
      </c>
      <c r="C6" s="285"/>
      <c r="D6" s="285"/>
      <c r="E6" s="285"/>
      <c r="F6" s="285"/>
      <c r="G6" s="139" t="s">
        <v>190</v>
      </c>
      <c r="H6" s="160">
        <f>IFERROR(VLOOKUP(MID($G6,4,3),MMWR_TRAD_AGG_NATIONAL[],2,0),0)</f>
        <v>36110</v>
      </c>
      <c r="I6" s="160">
        <f>IFERROR(VLOOKUP(MID($G6,4,3),MMWR_TRAD_AGG_NATIONAL[],3,0),0)</f>
        <v>9626</v>
      </c>
      <c r="J6" s="161">
        <f t="shared" si="0"/>
        <v>0.26657435613403491</v>
      </c>
      <c r="K6" s="134"/>
    </row>
    <row r="7" spans="1:11" ht="16.5" customHeight="1" x14ac:dyDescent="0.2">
      <c r="A7" s="130"/>
      <c r="B7" s="286" t="s">
        <v>0</v>
      </c>
      <c r="C7" s="287"/>
      <c r="D7" s="287"/>
      <c r="E7" s="287"/>
      <c r="F7" s="287"/>
      <c r="G7" s="140" t="s">
        <v>191</v>
      </c>
      <c r="H7" s="160">
        <f>IFERROR(VLOOKUP(MID($G7,4,3),MMWR_TRAD_AGG_NATIONAL[],2,0),0)</f>
        <v>83974</v>
      </c>
      <c r="I7" s="160">
        <f>IFERROR(VLOOKUP(MID($G7,4,3),MMWR_TRAD_AGG_NATIONAL[],3,0),0)</f>
        <v>20325</v>
      </c>
      <c r="J7" s="161">
        <f t="shared" si="0"/>
        <v>0.24203920261033177</v>
      </c>
      <c r="K7" s="134"/>
    </row>
    <row r="8" spans="1:11" ht="16.5" customHeight="1" x14ac:dyDescent="0.2">
      <c r="A8" s="130"/>
      <c r="B8" s="288" t="s">
        <v>234</v>
      </c>
      <c r="C8" s="289"/>
      <c r="D8" s="289"/>
      <c r="E8" s="289"/>
      <c r="F8" s="289"/>
      <c r="G8" s="141" t="s">
        <v>193</v>
      </c>
      <c r="H8" s="160">
        <f>IFERROR(VLOOKUP(MID($G8,4,3),MMWR_TRAD_AGG_NATIONAL[],2,0),0)</f>
        <v>6552</v>
      </c>
      <c r="I8" s="160">
        <f>IFERROR(VLOOKUP(MID($G8,4,3),MMWR_TRAD_AGG_NATIONAL[],3,0),0)</f>
        <v>497</v>
      </c>
      <c r="J8" s="161">
        <f t="shared" si="0"/>
        <v>7.5854700854700849E-2</v>
      </c>
      <c r="K8" s="134"/>
    </row>
    <row r="9" spans="1:11" ht="16.5" customHeight="1" thickBot="1" x14ac:dyDescent="0.25">
      <c r="A9" s="130"/>
      <c r="B9" s="293" t="s">
        <v>17</v>
      </c>
      <c r="C9" s="294"/>
      <c r="D9" s="294"/>
      <c r="E9" s="294"/>
      <c r="F9" s="294"/>
      <c r="G9" s="140" t="s">
        <v>195</v>
      </c>
      <c r="H9" s="160">
        <f>IFERROR(VLOOKUP(MID($G9,4,3),MMWR_TRAD_AGG_NATIONAL[],2,0),0)</f>
        <v>9947</v>
      </c>
      <c r="I9" s="160">
        <f>IFERROR(VLOOKUP(MID($G9,4,3),MMWR_TRAD_AGG_NATIONAL[],3,0),0)</f>
        <v>1939</v>
      </c>
      <c r="J9" s="161">
        <f t="shared" si="0"/>
        <v>0.19493314567206194</v>
      </c>
      <c r="K9" s="134"/>
    </row>
    <row r="10" spans="1:11" ht="17.25" thickBot="1" x14ac:dyDescent="0.25">
      <c r="A10" s="130"/>
      <c r="B10" s="319" t="s">
        <v>1</v>
      </c>
      <c r="C10" s="320"/>
      <c r="D10" s="320"/>
      <c r="E10" s="320"/>
      <c r="F10" s="320"/>
      <c r="G10" s="138" t="s">
        <v>244</v>
      </c>
      <c r="H10" s="158">
        <f>SUM(H11:H18)</f>
        <v>242057</v>
      </c>
      <c r="I10" s="158">
        <f>SUM(I11:I18)</f>
        <v>44973</v>
      </c>
      <c r="J10" s="159">
        <f t="shared" si="0"/>
        <v>0.18579508132382042</v>
      </c>
      <c r="K10" s="134"/>
    </row>
    <row r="11" spans="1:11" ht="16.5" customHeight="1" x14ac:dyDescent="0.2">
      <c r="A11" s="130"/>
      <c r="B11" s="284" t="s">
        <v>199</v>
      </c>
      <c r="C11" s="285"/>
      <c r="D11" s="285"/>
      <c r="E11" s="285"/>
      <c r="F11" s="285"/>
      <c r="G11" s="142" t="s">
        <v>194</v>
      </c>
      <c r="H11" s="162">
        <f>IFERROR(VLOOKUP(MID($G11,4,3),MMWR_TRAD_AGG_NATIONAL[],2,0),0)</f>
        <v>7113</v>
      </c>
      <c r="I11" s="160">
        <f>IFERROR(VLOOKUP(MID($G11,4,3),MMWR_TRAD_AGG_NATIONAL[],3,0),0)</f>
        <v>430</v>
      </c>
      <c r="J11" s="161">
        <f t="shared" si="0"/>
        <v>6.0452692253620134E-2</v>
      </c>
      <c r="K11" s="134"/>
    </row>
    <row r="12" spans="1:11" ht="16.5" customHeight="1" x14ac:dyDescent="0.2">
      <c r="A12" s="130"/>
      <c r="B12" s="286" t="s">
        <v>18</v>
      </c>
      <c r="C12" s="287"/>
      <c r="D12" s="287"/>
      <c r="E12" s="287"/>
      <c r="F12" s="287"/>
      <c r="G12" s="143" t="s">
        <v>192</v>
      </c>
      <c r="H12" s="163">
        <f>IFERROR(VLOOKUP(MID($G12,4,3),MMWR_TRAD_AGG_NATIONAL[],2,0),0)</f>
        <v>213753</v>
      </c>
      <c r="I12" s="160">
        <f>IFERROR(VLOOKUP(MID($G12,4,3),MMWR_TRAD_AGG_NATIONAL[],3,0),0)</f>
        <v>41365</v>
      </c>
      <c r="J12" s="161">
        <f t="shared" si="0"/>
        <v>0.19351775179763558</v>
      </c>
      <c r="K12" s="134"/>
    </row>
    <row r="13" spans="1:11" ht="16.5" customHeight="1" x14ac:dyDescent="0.2">
      <c r="A13" s="130"/>
      <c r="B13" s="286" t="s">
        <v>14</v>
      </c>
      <c r="C13" s="287"/>
      <c r="D13" s="287"/>
      <c r="E13" s="287"/>
      <c r="F13" s="287"/>
      <c r="G13" s="143" t="s">
        <v>196</v>
      </c>
      <c r="H13" s="163">
        <f>IFERROR(VLOOKUP(MID($G13,4,3),MMWR_TRAD_AGG_NATIONAL[],2,0),0)</f>
        <v>20328</v>
      </c>
      <c r="I13" s="160">
        <f>IFERROR(VLOOKUP(MID($G13,4,3),MMWR_TRAD_AGG_NATIONAL[],3,0),0)</f>
        <v>3044</v>
      </c>
      <c r="J13" s="161">
        <f t="shared" si="0"/>
        <v>0.14974419519874066</v>
      </c>
      <c r="K13" s="134"/>
    </row>
    <row r="14" spans="1:11" ht="16.5" customHeight="1" x14ac:dyDescent="0.2">
      <c r="A14" s="130"/>
      <c r="B14" s="288" t="s">
        <v>19</v>
      </c>
      <c r="C14" s="289"/>
      <c r="D14" s="289"/>
      <c r="E14" s="289"/>
      <c r="F14" s="289"/>
      <c r="G14" s="142" t="s">
        <v>197</v>
      </c>
      <c r="H14" s="163">
        <f>IFERROR(VLOOKUP(MID($G14,4,3),MMWR_TRAD_AGG_NATIONAL[],2,0),0)</f>
        <v>565</v>
      </c>
      <c r="I14" s="160">
        <f>IFERROR(VLOOKUP(MID($G14,4,3),MMWR_TRAD_AGG_NATIONAL[],3,0),0)</f>
        <v>19</v>
      </c>
      <c r="J14" s="161">
        <f t="shared" si="0"/>
        <v>3.3628318584070796E-2</v>
      </c>
      <c r="K14" s="134"/>
    </row>
    <row r="15" spans="1:11" ht="16.5" customHeight="1" x14ac:dyDescent="0.2">
      <c r="A15" s="130"/>
      <c r="B15" s="288" t="s">
        <v>84</v>
      </c>
      <c r="C15" s="289"/>
      <c r="D15" s="289"/>
      <c r="E15" s="289"/>
      <c r="F15" s="289"/>
      <c r="G15" s="142" t="s">
        <v>200</v>
      </c>
      <c r="H15" s="163">
        <f>IFERROR(VLOOKUP(MID($G15,4,3),MMWR_TRAD_AGG_NATIONAL[],2,0),0)</f>
        <v>4</v>
      </c>
      <c r="I15" s="160">
        <f>IFERROR(VLOOKUP(MID($G15,4,3),MMWR_TRAD_AGG_NATIONAL[],3,0),0)</f>
        <v>2</v>
      </c>
      <c r="J15" s="161">
        <f t="shared" si="0"/>
        <v>0.5</v>
      </c>
      <c r="K15" s="134"/>
    </row>
    <row r="16" spans="1:11" ht="15" x14ac:dyDescent="0.2">
      <c r="A16" s="130"/>
      <c r="B16" s="288" t="s">
        <v>85</v>
      </c>
      <c r="C16" s="289"/>
      <c r="D16" s="289"/>
      <c r="E16" s="289"/>
      <c r="F16" s="289"/>
      <c r="G16" s="142" t="s">
        <v>201</v>
      </c>
      <c r="H16" s="163">
        <f>IFERROR(VLOOKUP(MID($G16,4,3),MMWR_TRAD_AGG_NATIONAL[],2,0),0)</f>
        <v>1</v>
      </c>
      <c r="I16" s="160">
        <f>IFERROR(VLOOKUP(MID($G16,4,3),MMWR_TRAD_AGG_NATIONAL[],3,0),0)</f>
        <v>0</v>
      </c>
      <c r="J16" s="161">
        <f>IF(H16=0, 0,I16/H16)</f>
        <v>0</v>
      </c>
      <c r="K16" s="134"/>
    </row>
    <row r="17" spans="1:11" ht="16.5" customHeight="1" x14ac:dyDescent="0.2">
      <c r="A17" s="130"/>
      <c r="B17" s="288" t="s">
        <v>87</v>
      </c>
      <c r="C17" s="289"/>
      <c r="D17" s="289"/>
      <c r="E17" s="289"/>
      <c r="F17" s="289"/>
      <c r="G17" s="142" t="s">
        <v>202</v>
      </c>
      <c r="H17" s="163">
        <f>IFERROR(VLOOKUP(MID($G17,4,3),MMWR_TRAD_AGG_NATIONAL[],2,0),0)</f>
        <v>7</v>
      </c>
      <c r="I17" s="160">
        <f>IFERROR(VLOOKUP(MID($G17,4,3),MMWR_TRAD_AGG_NATIONAL[],3,0),0)</f>
        <v>4</v>
      </c>
      <c r="J17" s="161">
        <f>IF(H17=0, 0,I17/H17)</f>
        <v>0.5714285714285714</v>
      </c>
      <c r="K17" s="134"/>
    </row>
    <row r="18" spans="1:11" ht="16.5" customHeight="1" thickBot="1" x14ac:dyDescent="0.25">
      <c r="A18" s="130"/>
      <c r="B18" s="293" t="s">
        <v>86</v>
      </c>
      <c r="C18" s="294"/>
      <c r="D18" s="294"/>
      <c r="E18" s="294"/>
      <c r="F18" s="294"/>
      <c r="G18" s="142" t="s">
        <v>203</v>
      </c>
      <c r="H18" s="164">
        <f>IFERROR(VLOOKUP(MID($G18,4,3),MMWR_TRAD_AGG_NATIONAL[],2,0),0)</f>
        <v>286</v>
      </c>
      <c r="I18" s="160">
        <f>IFERROR(VLOOKUP(MID($G18,4,3),MMWR_TRAD_AGG_NATIONAL[],3,0),0)</f>
        <v>109</v>
      </c>
      <c r="J18" s="165">
        <f>IF(H18=0, 0,I18/H18)</f>
        <v>0.38111888111888109</v>
      </c>
      <c r="K18" s="134"/>
    </row>
    <row r="19" spans="1:11" ht="16.5" customHeight="1" x14ac:dyDescent="0.2">
      <c r="A19" s="130"/>
      <c r="B19" s="298" t="s">
        <v>968</v>
      </c>
      <c r="C19" s="299"/>
      <c r="D19" s="299"/>
      <c r="E19" s="299"/>
      <c r="F19" s="299"/>
      <c r="G19" s="299"/>
      <c r="H19" s="299"/>
      <c r="I19" s="299"/>
      <c r="J19" s="300"/>
      <c r="K19" s="134"/>
    </row>
    <row r="20" spans="1:11" ht="36" customHeight="1" thickBot="1" x14ac:dyDescent="0.25">
      <c r="A20" s="130"/>
      <c r="B20" s="301"/>
      <c r="C20" s="302"/>
      <c r="D20" s="302"/>
      <c r="E20" s="302"/>
      <c r="F20" s="302"/>
      <c r="G20" s="302"/>
      <c r="H20" s="302"/>
      <c r="I20" s="302"/>
      <c r="J20" s="303"/>
      <c r="K20" s="134"/>
    </row>
    <row r="21" spans="1:11" ht="36" customHeight="1" x14ac:dyDescent="0.2">
      <c r="A21" s="130"/>
      <c r="B21" s="313" t="s">
        <v>959</v>
      </c>
      <c r="C21" s="314"/>
      <c r="D21" s="315"/>
      <c r="E21" s="313" t="s">
        <v>960</v>
      </c>
      <c r="F21" s="314"/>
      <c r="G21" s="315"/>
      <c r="H21" s="313" t="s">
        <v>961</v>
      </c>
      <c r="I21" s="314"/>
      <c r="J21" s="315"/>
      <c r="K21" s="134"/>
    </row>
    <row r="22" spans="1:11" ht="29.25" customHeight="1" thickBot="1" x14ac:dyDescent="0.25">
      <c r="A22" s="130"/>
      <c r="B22" s="316"/>
      <c r="C22" s="317"/>
      <c r="D22" s="318"/>
      <c r="E22" s="316"/>
      <c r="F22" s="317"/>
      <c r="G22" s="318"/>
      <c r="H22" s="316"/>
      <c r="I22" s="317"/>
      <c r="J22" s="318"/>
      <c r="K22" s="134"/>
    </row>
    <row r="23" spans="1:11" ht="36" customHeight="1" x14ac:dyDescent="0.35">
      <c r="A23" s="130"/>
      <c r="B23" s="313" t="s">
        <v>953</v>
      </c>
      <c r="C23" s="314"/>
      <c r="D23" s="315"/>
      <c r="E23" s="313" t="s">
        <v>954</v>
      </c>
      <c r="F23" s="314"/>
      <c r="G23" s="315"/>
      <c r="H23" s="144"/>
      <c r="I23" s="144"/>
      <c r="J23" s="144"/>
      <c r="K23" s="134"/>
    </row>
    <row r="24" spans="1:11" ht="29.25" customHeight="1" thickBot="1" x14ac:dyDescent="0.4">
      <c r="A24" s="130"/>
      <c r="B24" s="316"/>
      <c r="C24" s="317"/>
      <c r="D24" s="318"/>
      <c r="E24" s="316"/>
      <c r="F24" s="317"/>
      <c r="G24" s="318"/>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39"/>
      <c r="D26" s="339"/>
      <c r="E26" s="339"/>
      <c r="F26" s="340"/>
      <c r="G26" s="263" t="s">
        <v>1062</v>
      </c>
      <c r="H26" s="263" t="s">
        <v>1063</v>
      </c>
      <c r="I26" s="263" t="s">
        <v>1059</v>
      </c>
      <c r="J26" s="264" t="s">
        <v>28</v>
      </c>
      <c r="K26" s="134"/>
    </row>
    <row r="27" spans="1:11" ht="16.5" customHeight="1" x14ac:dyDescent="0.2">
      <c r="A27" s="130"/>
      <c r="B27" s="295" t="s">
        <v>962</v>
      </c>
      <c r="C27" s="296"/>
      <c r="D27" s="296"/>
      <c r="E27" s="296"/>
      <c r="F27" s="297"/>
      <c r="G27" s="256">
        <v>11957</v>
      </c>
      <c r="H27" s="256">
        <v>10879</v>
      </c>
      <c r="I27" s="256">
        <v>1078</v>
      </c>
      <c r="J27" s="260">
        <v>9.9000000000000005E-2</v>
      </c>
      <c r="K27" s="134"/>
    </row>
    <row r="28" spans="1:11" ht="15.75" customHeight="1" x14ac:dyDescent="0.2">
      <c r="A28" s="130"/>
      <c r="B28" s="333" t="s">
        <v>24</v>
      </c>
      <c r="C28" s="334"/>
      <c r="D28" s="334"/>
      <c r="E28" s="334"/>
      <c r="F28" s="335"/>
      <c r="G28" s="257">
        <v>3133</v>
      </c>
      <c r="H28" s="257">
        <v>2897</v>
      </c>
      <c r="I28" s="257">
        <v>236</v>
      </c>
      <c r="J28" s="253">
        <v>8.1000000000000003E-2</v>
      </c>
      <c r="K28" s="134"/>
    </row>
    <row r="29" spans="1:11" ht="15.75" customHeight="1" x14ac:dyDescent="0.2">
      <c r="A29" s="130"/>
      <c r="B29" s="304" t="s">
        <v>25</v>
      </c>
      <c r="C29" s="305"/>
      <c r="D29" s="305"/>
      <c r="E29" s="305"/>
      <c r="F29" s="306"/>
      <c r="G29" s="258">
        <v>1650</v>
      </c>
      <c r="H29" s="258">
        <v>1541</v>
      </c>
      <c r="I29" s="258">
        <v>109</v>
      </c>
      <c r="J29" s="254">
        <v>7.0999999999999994E-2</v>
      </c>
      <c r="K29" s="134"/>
    </row>
    <row r="30" spans="1:11" ht="15" x14ac:dyDescent="0.2">
      <c r="A30" s="130"/>
      <c r="B30" s="307" t="s">
        <v>26</v>
      </c>
      <c r="C30" s="308"/>
      <c r="D30" s="308"/>
      <c r="E30" s="308"/>
      <c r="F30" s="309"/>
      <c r="G30" s="258">
        <v>3055</v>
      </c>
      <c r="H30" s="258">
        <v>2221</v>
      </c>
      <c r="I30" s="258">
        <v>834</v>
      </c>
      <c r="J30" s="254">
        <v>0.376</v>
      </c>
      <c r="K30" s="134"/>
    </row>
    <row r="31" spans="1:11" ht="15" x14ac:dyDescent="0.2">
      <c r="A31" s="130"/>
      <c r="B31" s="336" t="s">
        <v>27</v>
      </c>
      <c r="C31" s="337"/>
      <c r="D31" s="337"/>
      <c r="E31" s="337"/>
      <c r="F31" s="338"/>
      <c r="G31" s="259">
        <v>4119</v>
      </c>
      <c r="H31" s="259">
        <v>4220</v>
      </c>
      <c r="I31" s="259">
        <v>-101</v>
      </c>
      <c r="J31" s="255">
        <v>-2.4E-2</v>
      </c>
      <c r="K31" s="134"/>
    </row>
    <row r="32" spans="1:11" ht="16.5" customHeight="1" x14ac:dyDescent="0.2">
      <c r="A32" s="130"/>
      <c r="B32" s="295" t="s">
        <v>235</v>
      </c>
      <c r="C32" s="296"/>
      <c r="D32" s="296"/>
      <c r="E32" s="296"/>
      <c r="F32" s="297"/>
      <c r="G32" s="256">
        <v>101257</v>
      </c>
      <c r="H32" s="256">
        <v>88483</v>
      </c>
      <c r="I32" s="256">
        <v>12774</v>
      </c>
      <c r="J32" s="260">
        <v>0.14399999999999999</v>
      </c>
      <c r="K32" s="134"/>
    </row>
    <row r="33" spans="1:11" ht="15" x14ac:dyDescent="0.2">
      <c r="A33" s="130"/>
      <c r="B33" s="333" t="s">
        <v>24</v>
      </c>
      <c r="C33" s="334"/>
      <c r="D33" s="334"/>
      <c r="E33" s="334"/>
      <c r="F33" s="335"/>
      <c r="G33" s="265">
        <v>17794</v>
      </c>
      <c r="H33" s="265">
        <v>15775</v>
      </c>
      <c r="I33" s="258">
        <v>2019</v>
      </c>
      <c r="J33" s="253">
        <v>0.128</v>
      </c>
      <c r="K33" s="134"/>
    </row>
    <row r="34" spans="1:11" ht="15" x14ac:dyDescent="0.2">
      <c r="A34" s="130"/>
      <c r="B34" s="304" t="s">
        <v>25</v>
      </c>
      <c r="C34" s="305"/>
      <c r="D34" s="305"/>
      <c r="E34" s="305"/>
      <c r="F34" s="306"/>
      <c r="G34" s="265">
        <v>14296</v>
      </c>
      <c r="H34" s="265">
        <v>13110</v>
      </c>
      <c r="I34" s="258">
        <v>1186</v>
      </c>
      <c r="J34" s="254">
        <v>0.09</v>
      </c>
      <c r="K34" s="134"/>
    </row>
    <row r="35" spans="1:11" ht="15" x14ac:dyDescent="0.2">
      <c r="A35" s="130"/>
      <c r="B35" s="307" t="s">
        <v>26</v>
      </c>
      <c r="C35" s="308"/>
      <c r="D35" s="308"/>
      <c r="E35" s="308"/>
      <c r="F35" s="309"/>
      <c r="G35" s="265">
        <v>36911</v>
      </c>
      <c r="H35" s="265">
        <v>32350</v>
      </c>
      <c r="I35" s="258">
        <v>4561</v>
      </c>
      <c r="J35" s="254">
        <v>0.14099999999999999</v>
      </c>
      <c r="K35" s="134"/>
    </row>
    <row r="36" spans="1:11" ht="15.75" thickBot="1" x14ac:dyDescent="0.25">
      <c r="A36" s="130"/>
      <c r="B36" s="310" t="s">
        <v>27</v>
      </c>
      <c r="C36" s="311"/>
      <c r="D36" s="311"/>
      <c r="E36" s="311"/>
      <c r="F36" s="312"/>
      <c r="G36" s="265">
        <v>32256</v>
      </c>
      <c r="H36" s="265">
        <v>27248</v>
      </c>
      <c r="I36" s="258">
        <v>5008</v>
      </c>
      <c r="J36" s="254">
        <v>0.184</v>
      </c>
      <c r="K36" s="134"/>
    </row>
    <row r="37" spans="1:11" ht="15.75" customHeight="1" thickBot="1" x14ac:dyDescent="0.25">
      <c r="A37" s="130"/>
      <c r="B37" s="290" t="s">
        <v>967</v>
      </c>
      <c r="C37" s="291"/>
      <c r="D37" s="291"/>
      <c r="E37" s="291"/>
      <c r="F37" s="291"/>
      <c r="G37" s="291"/>
      <c r="H37" s="291"/>
      <c r="I37" s="291"/>
      <c r="J37" s="292"/>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0" t="s">
        <v>295</v>
      </c>
      <c r="D2" s="351"/>
      <c r="E2" s="351"/>
      <c r="F2" s="351"/>
      <c r="G2" s="351"/>
      <c r="H2" s="351"/>
      <c r="I2" s="351"/>
      <c r="J2" s="351"/>
      <c r="K2" s="352"/>
      <c r="L2" s="350" t="s">
        <v>300</v>
      </c>
      <c r="M2" s="351"/>
      <c r="N2" s="351"/>
      <c r="O2" s="352"/>
      <c r="P2" s="28"/>
    </row>
    <row r="3" spans="1:16" ht="24" customHeight="1" thickBot="1" x14ac:dyDescent="0.4">
      <c r="A3" s="25"/>
      <c r="B3" s="29"/>
      <c r="C3" s="353"/>
      <c r="D3" s="354"/>
      <c r="E3" s="354"/>
      <c r="F3" s="354"/>
      <c r="G3" s="354"/>
      <c r="H3" s="354"/>
      <c r="I3" s="354"/>
      <c r="J3" s="354"/>
      <c r="K3" s="355"/>
      <c r="L3" s="353" t="str">
        <f>Transformation!B4</f>
        <v>As of: August 20, 2016</v>
      </c>
      <c r="M3" s="354"/>
      <c r="N3" s="354"/>
      <c r="O3" s="355"/>
      <c r="P3" s="28"/>
    </row>
    <row r="4" spans="1:16" ht="51.75" customHeight="1" thickBot="1" x14ac:dyDescent="0.35">
      <c r="A4" s="30"/>
      <c r="B4" s="246" t="s">
        <v>454</v>
      </c>
      <c r="C4" s="356" t="s">
        <v>304</v>
      </c>
      <c r="D4" s="357"/>
      <c r="E4" s="357"/>
      <c r="F4" s="357"/>
      <c r="G4" s="357"/>
      <c r="H4" s="357"/>
      <c r="I4" s="357"/>
      <c r="J4" s="357"/>
      <c r="K4" s="357"/>
      <c r="L4" s="357"/>
      <c r="M4" s="357"/>
      <c r="N4" s="357"/>
      <c r="O4" s="358"/>
      <c r="P4" s="28"/>
    </row>
    <row r="5" spans="1:16" ht="27" customHeight="1" thickBot="1" x14ac:dyDescent="0.25">
      <c r="A5" s="30"/>
      <c r="B5" s="26"/>
      <c r="C5" s="359" t="s">
        <v>1040</v>
      </c>
      <c r="D5" s="360"/>
      <c r="E5" s="360"/>
      <c r="F5" s="360"/>
      <c r="G5" s="360"/>
      <c r="H5" s="360"/>
      <c r="I5" s="360"/>
      <c r="J5" s="360"/>
      <c r="K5" s="360"/>
      <c r="L5" s="360"/>
      <c r="M5" s="360"/>
      <c r="N5" s="360"/>
      <c r="O5" s="361"/>
      <c r="P5" s="28"/>
    </row>
    <row r="6" spans="1:16" ht="55.5" customHeight="1" x14ac:dyDescent="0.2">
      <c r="A6" s="30"/>
      <c r="B6" s="31"/>
      <c r="C6" s="32" t="s">
        <v>190</v>
      </c>
      <c r="D6" s="362" t="s">
        <v>16</v>
      </c>
      <c r="E6" s="363"/>
      <c r="F6" s="33" t="s">
        <v>193</v>
      </c>
      <c r="G6" s="362" t="s">
        <v>198</v>
      </c>
      <c r="H6" s="364"/>
      <c r="I6" s="33" t="s">
        <v>196</v>
      </c>
      <c r="J6" s="368" t="s">
        <v>14</v>
      </c>
      <c r="K6" s="369"/>
      <c r="L6" s="33" t="s">
        <v>201</v>
      </c>
      <c r="M6" s="365" t="s">
        <v>85</v>
      </c>
      <c r="N6" s="366"/>
      <c r="O6" s="367"/>
      <c r="P6" s="28"/>
    </row>
    <row r="7" spans="1:16" ht="51.75" customHeight="1" x14ac:dyDescent="0.2">
      <c r="A7" s="30"/>
      <c r="B7" s="34"/>
      <c r="C7" s="35" t="s">
        <v>191</v>
      </c>
      <c r="D7" s="380" t="s">
        <v>0</v>
      </c>
      <c r="E7" s="381"/>
      <c r="F7" s="36" t="s">
        <v>194</v>
      </c>
      <c r="G7" s="382" t="s">
        <v>199</v>
      </c>
      <c r="H7" s="382"/>
      <c r="I7" s="36" t="s">
        <v>197</v>
      </c>
      <c r="J7" s="370" t="s">
        <v>19</v>
      </c>
      <c r="K7" s="371"/>
      <c r="L7" s="36" t="s">
        <v>202</v>
      </c>
      <c r="M7" s="374" t="s">
        <v>87</v>
      </c>
      <c r="N7" s="375"/>
      <c r="O7" s="376"/>
      <c r="P7" s="28"/>
    </row>
    <row r="8" spans="1:16" ht="51.75" customHeight="1" thickBot="1" x14ac:dyDescent="0.25">
      <c r="A8" s="25"/>
      <c r="B8" s="28"/>
      <c r="C8" s="37" t="s">
        <v>192</v>
      </c>
      <c r="D8" s="383" t="s">
        <v>18</v>
      </c>
      <c r="E8" s="384"/>
      <c r="F8" s="38" t="s">
        <v>195</v>
      </c>
      <c r="G8" s="385" t="s">
        <v>17</v>
      </c>
      <c r="H8" s="385"/>
      <c r="I8" s="38" t="s">
        <v>200</v>
      </c>
      <c r="J8" s="372" t="s">
        <v>84</v>
      </c>
      <c r="K8" s="373"/>
      <c r="L8" s="38" t="s">
        <v>203</v>
      </c>
      <c r="M8" s="347" t="s">
        <v>86</v>
      </c>
      <c r="N8" s="348"/>
      <c r="O8" s="349"/>
      <c r="P8" s="28"/>
    </row>
    <row r="9" spans="1:16" x14ac:dyDescent="0.2">
      <c r="A9" s="28"/>
      <c r="B9" s="28"/>
      <c r="C9" s="39" t="s">
        <v>703</v>
      </c>
      <c r="D9" s="39" t="s">
        <v>705</v>
      </c>
      <c r="E9" s="39" t="s">
        <v>704</v>
      </c>
      <c r="F9" s="39" t="s">
        <v>707</v>
      </c>
      <c r="G9" s="39" t="s">
        <v>706</v>
      </c>
      <c r="H9" s="39" t="s">
        <v>709</v>
      </c>
      <c r="I9" s="39" t="s">
        <v>708</v>
      </c>
      <c r="J9" s="39" t="s">
        <v>919</v>
      </c>
      <c r="K9" s="39" t="s">
        <v>920</v>
      </c>
      <c r="L9" s="39" t="s">
        <v>922</v>
      </c>
      <c r="M9" s="39" t="s">
        <v>1041</v>
      </c>
      <c r="N9" s="39" t="s">
        <v>923</v>
      </c>
      <c r="O9" s="39" t="s">
        <v>924</v>
      </c>
      <c r="P9" s="28"/>
    </row>
    <row r="10" spans="1:16" ht="15.75" customHeight="1" x14ac:dyDescent="0.2">
      <c r="A10" s="25"/>
      <c r="B10" s="26"/>
      <c r="C10" s="386" t="s">
        <v>293</v>
      </c>
      <c r="D10" s="386"/>
      <c r="E10" s="386"/>
      <c r="F10" s="386"/>
      <c r="G10" s="386"/>
      <c r="H10" s="386"/>
      <c r="I10" s="386"/>
      <c r="J10" s="386"/>
      <c r="K10" s="386"/>
      <c r="L10" s="386"/>
      <c r="M10" s="386"/>
      <c r="N10" s="386"/>
      <c r="O10" s="386"/>
      <c r="P10" s="28"/>
    </row>
    <row r="11" spans="1:16" ht="32.25" customHeight="1" x14ac:dyDescent="0.2">
      <c r="A11" s="25"/>
      <c r="B11" s="26"/>
      <c r="C11" s="341" t="s">
        <v>226</v>
      </c>
      <c r="D11" s="341" t="s">
        <v>134</v>
      </c>
      <c r="E11" s="341" t="s">
        <v>227</v>
      </c>
      <c r="F11" s="341" t="s">
        <v>189</v>
      </c>
      <c r="G11" s="341" t="s">
        <v>204</v>
      </c>
      <c r="H11" s="341" t="s">
        <v>206</v>
      </c>
      <c r="I11" s="341" t="s">
        <v>207</v>
      </c>
      <c r="J11" s="345" t="s">
        <v>1052</v>
      </c>
      <c r="K11" s="345" t="s">
        <v>1053</v>
      </c>
      <c r="L11" s="343" t="s">
        <v>1050</v>
      </c>
      <c r="M11" s="344"/>
      <c r="N11" s="343" t="s">
        <v>1051</v>
      </c>
      <c r="O11" s="344"/>
      <c r="P11" s="28"/>
    </row>
    <row r="12" spans="1:16" ht="32.25" customHeight="1" x14ac:dyDescent="0.2">
      <c r="A12" s="25"/>
      <c r="B12" s="26"/>
      <c r="C12" s="342"/>
      <c r="D12" s="342"/>
      <c r="E12" s="342"/>
      <c r="F12" s="342"/>
      <c r="G12" s="342"/>
      <c r="H12" s="342"/>
      <c r="I12" s="342"/>
      <c r="J12" s="346"/>
      <c r="K12" s="346"/>
      <c r="L12" s="40" t="s">
        <v>925</v>
      </c>
      <c r="M12" s="40" t="s">
        <v>930</v>
      </c>
      <c r="N12" s="40" t="s">
        <v>925</v>
      </c>
      <c r="O12" s="40" t="s">
        <v>930</v>
      </c>
      <c r="P12" s="28"/>
    </row>
    <row r="13" spans="1:16" x14ac:dyDescent="0.2">
      <c r="A13" s="25"/>
      <c r="B13" s="41" t="s">
        <v>1048</v>
      </c>
      <c r="C13" s="154">
        <f>IF($B13=" ","",IFERROR(INDEX(MMWR_RATING_RO_ROLLUP[],MATCH($B13,MMWR_RATING_RO_ROLLUP[MMWR_RATING_RO_ROLLUP],0),MATCH(C$9,MMWR_RATING_RO_ROLLUP[#Headers],0)),"ERROR"))</f>
        <v>378640</v>
      </c>
      <c r="D13" s="155">
        <f>IF($B13=" ","",IFERROR(INDEX(MMWR_RATING_RO_ROLLUP[],MATCH($B13,MMWR_RATING_RO_ROLLUP[MMWR_RATING_RO_ROLLUP],0),MATCH(D$9,MMWR_RATING_RO_ROLLUP[#Headers],0)),"ERROR"))</f>
        <v>88.251510669799998</v>
      </c>
      <c r="E13" s="156">
        <f>IF($B13=" ","",IFERROR(INDEX(MMWR_RATING_RO_ROLLUP[],MATCH($B13,MMWR_RATING_RO_ROLLUP[MMWR_RATING_RO_ROLLUP],0),MATCH(E$9,MMWR_RATING_RO_ROLLUP[#Headers],0))/$C13,"ERROR"))</f>
        <v>0.2043101626875132</v>
      </c>
      <c r="F13" s="154">
        <f>IF($B13=" ","",IFERROR(INDEX(MMWR_RATING_RO_ROLLUP[],MATCH($B13,MMWR_RATING_RO_ROLLUP[MMWR_RATING_RO_ROLLUP],0),MATCH(F$9,MMWR_RATING_RO_ROLLUP[#Headers],0)),"ERROR"))</f>
        <v>74829</v>
      </c>
      <c r="G13" s="154">
        <f>IF($B13=" ","",IFERROR(INDEX(MMWR_RATING_RO_ROLLUP[],MATCH($B13,MMWR_RATING_RO_ROLLUP[MMWR_RATING_RO_ROLLUP],0),MATCH(G$9,MMWR_RATING_RO_ROLLUP[#Headers],0)),"ERROR"))</f>
        <v>1120445</v>
      </c>
      <c r="H13" s="155">
        <f>IF($B13=" ","",IFERROR(INDEX(MMWR_RATING_RO_ROLLUP[],MATCH($B13,MMWR_RATING_RO_ROLLUP[MMWR_RATING_RO_ROLLUP],0),MATCH(H$9,MMWR_RATING_RO_ROLLUP[#Headers],0)),"ERROR"))</f>
        <v>121.0327413169</v>
      </c>
      <c r="I13" s="155">
        <f>IF($B13=" ","",IFERROR(INDEX(MMWR_RATING_RO_ROLLUP[],MATCH($B13,MMWR_RATING_RO_ROLLUP[MMWR_RATING_RO_ROLLUP],0),MATCH(I$9,MMWR_RATING_RO_ROLLUP[#Headers],0)),"ERROR"))</f>
        <v>123.0197153809</v>
      </c>
      <c r="J13" s="42"/>
      <c r="K13" s="42"/>
      <c r="L13" s="42"/>
      <c r="M13" s="42"/>
      <c r="N13" s="42"/>
      <c r="O13" s="42"/>
      <c r="P13" s="28"/>
    </row>
    <row r="14" spans="1:16" x14ac:dyDescent="0.2">
      <c r="A14" s="25"/>
      <c r="B14" s="378" t="s">
        <v>731</v>
      </c>
      <c r="C14" s="379"/>
      <c r="D14" s="379"/>
      <c r="E14" s="379"/>
      <c r="F14" s="379"/>
      <c r="G14" s="379"/>
      <c r="H14" s="379"/>
      <c r="I14" s="379"/>
      <c r="J14" s="379"/>
      <c r="K14" s="379"/>
      <c r="L14" s="379"/>
      <c r="M14" s="379"/>
      <c r="N14" s="379"/>
      <c r="O14" s="379"/>
      <c r="P14" s="28"/>
    </row>
    <row r="15" spans="1:16" x14ac:dyDescent="0.2">
      <c r="A15" s="25"/>
      <c r="B15" s="41" t="s">
        <v>727</v>
      </c>
      <c r="C15" s="154">
        <f>IF($B15=" ","",IFERROR(INDEX(MMWR_RATING_RO_ROLLUP[],MATCH($B15,MMWR_RATING_RO_ROLLUP[MMWR_RATING_RO_ROLLUP],0),MATCH(C$9,MMWR_RATING_RO_ROLLUP[#Headers],0)),"ERROR"))</f>
        <v>336444</v>
      </c>
      <c r="D15" s="155">
        <f>IF($B15=" ","",IFERROR(INDEX(MMWR_RATING_RO_ROLLUP[],MATCH($B15,MMWR_RATING_RO_ROLLUP[MMWR_RATING_RO_ROLLUP],0),MATCH(D$9,MMWR_RATING_RO_ROLLUP[#Headers],0)),"ERROR"))</f>
        <v>90.995229518100004</v>
      </c>
      <c r="E15" s="156">
        <f>IF($B15=" ","",IFERROR(INDEX(MMWR_RATING_RO_ROLLUP[],MATCH($B15,MMWR_RATING_RO_ROLLUP[MMWR_RATING_RO_ROLLUP],0),MATCH(E$9,MMWR_RATING_RO_ROLLUP[#Headers],0))/$C15,"ERROR"))</f>
        <v>0.21575358752125168</v>
      </c>
      <c r="F15" s="154">
        <f>IF($B15=" ","",IFERROR(INDEX(MMWR_RATING_RO_ROLLUP[],MATCH($B15,MMWR_RATING_RO_ROLLUP[MMWR_RATING_RO_ROLLUP],0),MATCH(F$9,MMWR_RATING_RO_ROLLUP[#Headers],0)),"ERROR"))</f>
        <v>62161</v>
      </c>
      <c r="G15" s="154">
        <f>IF($B15=" ","",IFERROR(INDEX(MMWR_RATING_RO_ROLLUP[],MATCH($B15,MMWR_RATING_RO_ROLLUP[MMWR_RATING_RO_ROLLUP],0),MATCH(G$9,MMWR_RATING_RO_ROLLUP[#Headers],0)),"ERROR"))</f>
        <v>939863</v>
      </c>
      <c r="H15" s="155">
        <f>IF($B15=" ","",IFERROR(INDEX(MMWR_RATING_RO_ROLLUP[],MATCH($B15,MMWR_RATING_RO_ROLLUP[MMWR_RATING_RO_ROLLUP],0),MATCH(H$9,MMWR_RATING_RO_ROLLUP[#Headers],0)),"ERROR"))</f>
        <v>127.7763066875</v>
      </c>
      <c r="I15" s="155">
        <f>IF($B15=" ","",IFERROR(INDEX(MMWR_RATING_RO_ROLLUP[],MATCH($B15,MMWR_RATING_RO_ROLLUP[MMWR_RATING_RO_ROLLUP],0),MATCH(I$9,MMWR_RATING_RO_ROLLUP[#Headers],0)),"ERROR"))</f>
        <v>128.65843213319999</v>
      </c>
      <c r="J15" s="157">
        <f>VLOOKUP($B$13,MMWR_ACCURACY_RO[],MATCH(J$9,MMWR_ACCURACY_RO[#Headers],0),0)</f>
        <v>0.95094960200766199</v>
      </c>
      <c r="K15" s="157">
        <f>VLOOKUP($B$13,MMWR_ACCURACY_RO[],MATCH(K$9,MMWR_ACCURACY_RO[#Headers],0),0)</f>
        <v>0.85807148250309495</v>
      </c>
      <c r="L15" s="157">
        <f>VLOOKUP($B$13,MMWR_ACCURACY_RO[],MATCH(L$9,MMWR_ACCURACY_RO[#Headers],0),0)</f>
        <v>0.88238313577417604</v>
      </c>
      <c r="M15" s="157">
        <f>VLOOKUP($B$13,MMWR_ACCURACY_RO[],MATCH(M$9,MMWR_ACCURACY_RO[#Headers],0),0)</f>
        <v>7.8748943047496304E-3</v>
      </c>
      <c r="N15" s="157">
        <f>VLOOKUP($B$13,MMWR_ACCURACY_RO[],MATCH(N$9,MMWR_ACCURACY_RO[#Headers],0),0)</f>
        <v>0.897546515808477</v>
      </c>
      <c r="O15" s="157">
        <f>VLOOKUP($B$13,MMWR_ACCURACY_RO[],MATCH(O$9,MMWR_ACCURACY_RO[#Headers],0),0)</f>
        <v>1.18264562793959E-2</v>
      </c>
      <c r="P15" s="28"/>
    </row>
    <row r="16" spans="1:16" x14ac:dyDescent="0.2">
      <c r="A16" s="25"/>
      <c r="B16" s="247" t="s">
        <v>368</v>
      </c>
      <c r="C16" s="154">
        <f>IF($B16=" ","",IFERROR(INDEX(MMWR_RATING_RO_ROLLUP[],MATCH($B16,MMWR_RATING_RO_ROLLUP[MMWR_RATING_RO_ROLLUP],0),MATCH(C$9,MMWR_RATING_RO_ROLLUP[#Headers],0)),"ERROR"))</f>
        <v>25694</v>
      </c>
      <c r="D16" s="155">
        <f>IF($B16=" ","",IFERROR(INDEX(MMWR_RATING_RO_ROLLUP[],MATCH($B16,MMWR_RATING_RO_ROLLUP[MMWR_RATING_RO_ROLLUP],0),MATCH(D$9,MMWR_RATING_RO_ROLLUP[#Headers],0)),"ERROR"))</f>
        <v>100.97010975320001</v>
      </c>
      <c r="E16" s="156">
        <f>IF($B16=" ","",IFERROR(INDEX(MMWR_RATING_RO_ROLLUP[],MATCH($B16,MMWR_RATING_RO_ROLLUP[MMWR_RATING_RO_ROLLUP],0),MATCH(E$9,MMWR_RATING_RO_ROLLUP[#Headers],0))/$C16,"ERROR"))</f>
        <v>0.28018214369113414</v>
      </c>
      <c r="F16" s="154">
        <f>IF($B16=" ","",IFERROR(INDEX(MMWR_RATING_RO_ROLLUP[],MATCH($B16,MMWR_RATING_RO_ROLLUP[MMWR_RATING_RO_ROLLUP],0),MATCH(F$9,MMWR_RATING_RO_ROLLUP[#Headers],0)),"ERROR"))</f>
        <v>13542</v>
      </c>
      <c r="G16" s="154">
        <f>IF($B16=" ","",IFERROR(INDEX(MMWR_RATING_RO_ROLLUP[],MATCH($B16,MMWR_RATING_RO_ROLLUP[MMWR_RATING_RO_ROLLUP],0),MATCH(G$9,MMWR_RATING_RO_ROLLUP[#Headers],0)),"ERROR"))</f>
        <v>199499</v>
      </c>
      <c r="H16" s="155">
        <f>IF($B16=" ","",IFERROR(INDEX(MMWR_RATING_RO_ROLLUP[],MATCH($B16,MMWR_RATING_RO_ROLLUP[MMWR_RATING_RO_ROLLUP],0),MATCH(H$9,MMWR_RATING_RO_ROLLUP[#Headers],0)),"ERROR"))</f>
        <v>127.2563875351</v>
      </c>
      <c r="I16" s="155">
        <f>IF($B16=" ","",IFERROR(INDEX(MMWR_RATING_RO_ROLLUP[],MATCH($B16,MMWR_RATING_RO_ROLLUP[MMWR_RATING_RO_ROLLUP],0),MATCH(I$9,MMWR_RATING_RO_ROLLUP[#Headers],0)),"ERROR"))</f>
        <v>129.62920616139999</v>
      </c>
      <c r="J16" s="157">
        <f>IF($B16=" ","",IFERROR(VLOOKUP($B16,MMWR_ACCURACY_RO[],MATCH(J$9,MMWR_ACCURACY_RO[#Headers],0),0),"ERROR"))</f>
        <v>0.95335853088436695</v>
      </c>
      <c r="K16" s="157">
        <f>IF($B16=" ","",IFERROR(VLOOKUP($B16,MMWR_ACCURACY_RO[],MATCH(K$9,MMWR_ACCURACY_RO[#Headers],0),0),"ERROR"))</f>
        <v>0.84907046356133897</v>
      </c>
      <c r="L16" s="157">
        <f>IF($B16=" ","",IFERROR(VLOOKUP($B16,MMWR_ACCURACY_RO[],MATCH(L$9,MMWR_ACCURACY_RO[#Headers],0),0),"ERROR"))</f>
        <v>0.87383267458712599</v>
      </c>
      <c r="M16" s="157">
        <f>IF($B16=" ","",IFERROR(VLOOKUP($B16,MMWR_ACCURACY_RO[],MATCH(M$9,MMWR_ACCURACY_RO[#Headers],0),0),"ERROR"))</f>
        <v>1.5346714540121801E-2</v>
      </c>
      <c r="N16" s="157">
        <f>IF($B16=" ","",IFERROR(VLOOKUP($B16,MMWR_ACCURACY_RO[],MATCH(N$9,MMWR_ACCURACY_RO[#Headers],0),0),"ERROR"))</f>
        <v>0.87593245858850399</v>
      </c>
      <c r="O16" s="157">
        <f>IF($B16=" ","",IFERROR(VLOOKUP($B16,MMWR_ACCURACY_RO[],MATCH(O$9,MMWR_ACCURACY_RO[#Headers],0),0),"ERROR"))</f>
        <v>3.1626362895585798E-2</v>
      </c>
      <c r="P16" s="28"/>
    </row>
    <row r="17" spans="1:16" x14ac:dyDescent="0.2">
      <c r="A17" s="25"/>
      <c r="B17" s="8" t="str">
        <f>VLOOKUP($B$16,DISTRICT_RO[],2,0)</f>
        <v>Baltimore VSC</v>
      </c>
      <c r="C17" s="154">
        <f>IF($B17=" ","",IFERROR(INDEX(MMWR_RATING_RO_ROLLUP[],MATCH($B17,MMWR_RATING_RO_ROLLUP[MMWR_RATING_RO_ROLLUP],0),MATCH(C$9,MMWR_RATING_RO_ROLLUP[#Headers],0)),"ERROR"))</f>
        <v>541</v>
      </c>
      <c r="D17" s="155">
        <f>IF($B17=" ","",IFERROR(INDEX(MMWR_RATING_RO_ROLLUP[],MATCH($B17,MMWR_RATING_RO_ROLLUP[MMWR_RATING_RO_ROLLUP],0),MATCH(D$9,MMWR_RATING_RO_ROLLUP[#Headers],0)),"ERROR"))</f>
        <v>119.6635859519</v>
      </c>
      <c r="E17" s="156">
        <f>IF($B17=" ","",IFERROR(INDEX(MMWR_RATING_RO_ROLLUP[],MATCH($B17,MMWR_RATING_RO_ROLLUP[MMWR_RATING_RO_ROLLUP],0),MATCH(E$9,MMWR_RATING_RO_ROLLUP[#Headers],0))/$C17,"ERROR"))</f>
        <v>0.39371534195933455</v>
      </c>
      <c r="F17" s="154">
        <f>IF($B17=" ","",IFERROR(INDEX(MMWR_RATING_RO_ROLLUP[],MATCH($B17,MMWR_RATING_RO_ROLLUP[MMWR_RATING_RO_ROLLUP],0),MATCH(F$9,MMWR_RATING_RO_ROLLUP[#Headers],0)),"ERROR"))</f>
        <v>405</v>
      </c>
      <c r="G17" s="154">
        <f>IF($B17=" ","",IFERROR(INDEX(MMWR_RATING_RO_ROLLUP[],MATCH($B17,MMWR_RATING_RO_ROLLUP[MMWR_RATING_RO_ROLLUP],0),MATCH(G$9,MMWR_RATING_RO_ROLLUP[#Headers],0)),"ERROR"))</f>
        <v>6977</v>
      </c>
      <c r="H17" s="155">
        <f>IF($B17=" ","",IFERROR(INDEX(MMWR_RATING_RO_ROLLUP[],MATCH($B17,MMWR_RATING_RO_ROLLUP[MMWR_RATING_RO_ROLLUP],0),MATCH(H$9,MMWR_RATING_RO_ROLLUP[#Headers],0)),"ERROR"))</f>
        <v>154.7679012346</v>
      </c>
      <c r="I17" s="155">
        <f>IF($B17=" ","",IFERROR(INDEX(MMWR_RATING_RO_ROLLUP[],MATCH($B17,MMWR_RATING_RO_ROLLUP[MMWR_RATING_RO_ROLLUP],0),MATCH(I$9,MMWR_RATING_RO_ROLLUP[#Headers],0)),"ERROR"))</f>
        <v>144.54464669629999</v>
      </c>
      <c r="J17" s="157">
        <f>IF($B17=" ","",IFERROR(VLOOKUP($B17,MMWR_ACCURACY_RO[],MATCH(J$9,MMWR_ACCURACY_RO[#Headers],0),0),"ERROR"))</f>
        <v>0.90407995479671899</v>
      </c>
      <c r="K17" s="157">
        <f>IF($B17=" ","",IFERROR(VLOOKUP($B17,MMWR_ACCURACY_RO[],MATCH(K$9,MMWR_ACCURACY_RO[#Headers],0),0),"ERROR"))</f>
        <v>0.76155029585798795</v>
      </c>
      <c r="L17" s="157">
        <f>IF($B17=" ","",IFERROR(VLOOKUP($B17,MMWR_ACCURACY_RO[],MATCH(L$9,MMWR_ACCURACY_RO[#Headers],0),0),"ERROR"))</f>
        <v>0.80773220598491002</v>
      </c>
      <c r="M17" s="157">
        <f>IF($B17=" ","",IFERROR(VLOOKUP($B17,MMWR_ACCURACY_RO[],MATCH(M$9,MMWR_ACCURACY_RO[#Headers],0),0),"ERROR"))</f>
        <v>4.6629541584565302E-2</v>
      </c>
      <c r="N17" s="157">
        <f>IF($B17=" ","",IFERROR(VLOOKUP($B17,MMWR_ACCURACY_RO[],MATCH(N$9,MMWR_ACCURACY_RO[#Headers],0),0),"ERROR"))</f>
        <v>0.85954970185053403</v>
      </c>
      <c r="O17" s="157">
        <f>IF($B17=" ","",IFERROR(VLOOKUP($B17,MMWR_ACCURACY_RO[],MATCH(O$9,MMWR_ACCURACY_RO[#Headers],0),0),"ERROR"))</f>
        <v>6.1770249450616203E-2</v>
      </c>
      <c r="P17" s="28"/>
    </row>
    <row r="18" spans="1:16" x14ac:dyDescent="0.2">
      <c r="A18" s="25"/>
      <c r="B18" s="8" t="str">
        <f>VLOOKUP($B$16,DISTRICT_RO[],3,0)</f>
        <v>Boston VSC</v>
      </c>
      <c r="C18" s="154">
        <f>IF($B18=" ","",IFERROR(INDEX(MMWR_RATING_RO_ROLLUP[],MATCH($B18,MMWR_RATING_RO_ROLLUP[MMWR_RATING_RO_ROLLUP],0),MATCH(C$9,MMWR_RATING_RO_ROLLUP[#Headers],0)),"ERROR"))</f>
        <v>1061</v>
      </c>
      <c r="D18" s="155">
        <f>IF($B18=" ","",IFERROR(INDEX(MMWR_RATING_RO_ROLLUP[],MATCH($B18,MMWR_RATING_RO_ROLLUP[MMWR_RATING_RO_ROLLUP],0),MATCH(D$9,MMWR_RATING_RO_ROLLUP[#Headers],0)),"ERROR"))</f>
        <v>107.06032045240001</v>
      </c>
      <c r="E18" s="156">
        <f>IF($B18=" ","",IFERROR(INDEX(MMWR_RATING_RO_ROLLUP[],MATCH($B18,MMWR_RATING_RO_ROLLUP[MMWR_RATING_RO_ROLLUP],0),MATCH(E$9,MMWR_RATING_RO_ROLLUP[#Headers],0))/$C18,"ERROR"))</f>
        <v>0.34684260131950989</v>
      </c>
      <c r="F18" s="154">
        <f>IF($B18=" ","",IFERROR(INDEX(MMWR_RATING_RO_ROLLUP[],MATCH($B18,MMWR_RATING_RO_ROLLUP[MMWR_RATING_RO_ROLLUP],0),MATCH(F$9,MMWR_RATING_RO_ROLLUP[#Headers],0)),"ERROR"))</f>
        <v>547</v>
      </c>
      <c r="G18" s="154">
        <f>IF($B18=" ","",IFERROR(INDEX(MMWR_RATING_RO_ROLLUP[],MATCH($B18,MMWR_RATING_RO_ROLLUP[MMWR_RATING_RO_ROLLUP],0),MATCH(G$9,MMWR_RATING_RO_ROLLUP[#Headers],0)),"ERROR"))</f>
        <v>8669</v>
      </c>
      <c r="H18" s="155">
        <f>IF($B18=" ","",IFERROR(INDEX(MMWR_RATING_RO_ROLLUP[],MATCH($B18,MMWR_RATING_RO_ROLLUP[MMWR_RATING_RO_ROLLUP],0),MATCH(H$9,MMWR_RATING_RO_ROLLUP[#Headers],0)),"ERROR"))</f>
        <v>131.12979890310001</v>
      </c>
      <c r="I18" s="155">
        <f>IF($B18=" ","",IFERROR(INDEX(MMWR_RATING_RO_ROLLUP[],MATCH($B18,MMWR_RATING_RO_ROLLUP[MMWR_RATING_RO_ROLLUP],0),MATCH(I$9,MMWR_RATING_RO_ROLLUP[#Headers],0)),"ERROR"))</f>
        <v>130.86249855809999</v>
      </c>
      <c r="J18" s="157">
        <f>IF($B18=" ","",IFERROR(VLOOKUP($B18,MMWR_ACCURACY_RO[],MATCH(J$9,MMWR_ACCURACY_RO[#Headers],0),0),"ERROR"))</f>
        <v>0.93993653791471199</v>
      </c>
      <c r="K18" s="157">
        <f>IF($B18=" ","",IFERROR(VLOOKUP($B18,MMWR_ACCURACY_RO[],MATCH(K$9,MMWR_ACCURACY_RO[#Headers],0),0),"ERROR"))</f>
        <v>0.87754362015272402</v>
      </c>
      <c r="L18" s="157">
        <f>IF($B18=" ","",IFERROR(VLOOKUP($B18,MMWR_ACCURACY_RO[],MATCH(L$9,MMWR_ACCURACY_RO[#Headers],0),0),"ERROR"))</f>
        <v>0.81057562598789401</v>
      </c>
      <c r="M18" s="157">
        <f>IF($B18=" ","",IFERROR(VLOOKUP($B18,MMWR_ACCURACY_RO[],MATCH(M$9,MMWR_ACCURACY_RO[#Headers],0),0),"ERROR"))</f>
        <v>5.9019322463691001E-2</v>
      </c>
      <c r="N18" s="157">
        <f>IF($B18=" ","",IFERROR(VLOOKUP($B18,MMWR_ACCURACY_RO[],MATCH(N$9,MMWR_ACCURACY_RO[#Headers],0),0),"ERROR"))</f>
        <v>0.93119690973250602</v>
      </c>
      <c r="O18" s="157">
        <f>IF($B18=" ","",IFERROR(VLOOKUP($B18,MMWR_ACCURACY_RO[],MATCH(O$9,MMWR_ACCURACY_RO[#Headers],0),0),"ERROR"))</f>
        <v>4.4909233852820897E-2</v>
      </c>
      <c r="P18" s="28"/>
    </row>
    <row r="19" spans="1:16" x14ac:dyDescent="0.2">
      <c r="A19" s="25"/>
      <c r="B19" s="8" t="str">
        <f>VLOOKUP($B$16,DISTRICT_RO[],4,0)</f>
        <v>Buffalo VSC</v>
      </c>
      <c r="C19" s="154">
        <f>IF($B19=" ","",IFERROR(INDEX(MMWR_RATING_RO_ROLLUP[],MATCH($B19,MMWR_RATING_RO_ROLLUP[MMWR_RATING_RO_ROLLUP],0),MATCH(C$9,MMWR_RATING_RO_ROLLUP[#Headers],0)),"ERROR"))</f>
        <v>1015</v>
      </c>
      <c r="D19" s="155">
        <f>IF($B19=" ","",IFERROR(INDEX(MMWR_RATING_RO_ROLLUP[],MATCH($B19,MMWR_RATING_RO_ROLLUP[MMWR_RATING_RO_ROLLUP],0),MATCH(D$9,MMWR_RATING_RO_ROLLUP[#Headers],0)),"ERROR"))</f>
        <v>106.98817733990001</v>
      </c>
      <c r="E19" s="156">
        <f>IF($B19=" ","",IFERROR(INDEX(MMWR_RATING_RO_ROLLUP[],MATCH($B19,MMWR_RATING_RO_ROLLUP[MMWR_RATING_RO_ROLLUP],0),MATCH(E$9,MMWR_RATING_RO_ROLLUP[#Headers],0))/$C19,"ERROR"))</f>
        <v>0.33596059113300492</v>
      </c>
      <c r="F19" s="154">
        <f>IF($B19=" ","",IFERROR(INDEX(MMWR_RATING_RO_ROLLUP[],MATCH($B19,MMWR_RATING_RO_ROLLUP[MMWR_RATING_RO_ROLLUP],0),MATCH(F$9,MMWR_RATING_RO_ROLLUP[#Headers],0)),"ERROR"))</f>
        <v>386</v>
      </c>
      <c r="G19" s="154">
        <f>IF($B19=" ","",IFERROR(INDEX(MMWR_RATING_RO_ROLLUP[],MATCH($B19,MMWR_RATING_RO_ROLLUP[MMWR_RATING_RO_ROLLUP],0),MATCH(G$9,MMWR_RATING_RO_ROLLUP[#Headers],0)),"ERROR"))</f>
        <v>8912</v>
      </c>
      <c r="H19" s="155">
        <f>IF($B19=" ","",IFERROR(INDEX(MMWR_RATING_RO_ROLLUP[],MATCH($B19,MMWR_RATING_RO_ROLLUP[MMWR_RATING_RO_ROLLUP],0),MATCH(H$9,MMWR_RATING_RO_ROLLUP[#Headers],0)),"ERROR"))</f>
        <v>162.24352331610001</v>
      </c>
      <c r="I19" s="155">
        <f>IF($B19=" ","",IFERROR(INDEX(MMWR_RATING_RO_ROLLUP[],MATCH($B19,MMWR_RATING_RO_ROLLUP[MMWR_RATING_RO_ROLLUP],0),MATCH(I$9,MMWR_RATING_RO_ROLLUP[#Headers],0)),"ERROR"))</f>
        <v>135.09245960499999</v>
      </c>
      <c r="J19" s="157">
        <f>IF($B19=" ","",IFERROR(VLOOKUP($B19,MMWR_ACCURACY_RO[],MATCH(J$9,MMWR_ACCURACY_RO[#Headers],0),0),"ERROR"))</f>
        <v>0.95683022306212695</v>
      </c>
      <c r="K19" s="157">
        <f>IF($B19=" ","",IFERROR(VLOOKUP($B19,MMWR_ACCURACY_RO[],MATCH(K$9,MMWR_ACCURACY_RO[#Headers],0),0),"ERROR"))</f>
        <v>0.862222222222222</v>
      </c>
      <c r="L19" s="157">
        <f>IF($B19=" ","",IFERROR(VLOOKUP($B19,MMWR_ACCURACY_RO[],MATCH(L$9,MMWR_ACCURACY_RO[#Headers],0),0),"ERROR"))</f>
        <v>0.91044379374078499</v>
      </c>
      <c r="M19" s="157">
        <f>IF($B19=" ","",IFERROR(VLOOKUP($B19,MMWR_ACCURACY_RO[],MATCH(M$9,MMWR_ACCURACY_RO[#Headers],0),0),"ERROR"))</f>
        <v>4.2015666606576803E-2</v>
      </c>
      <c r="N19" s="157">
        <f>IF($B19=" ","",IFERROR(VLOOKUP($B19,MMWR_ACCURACY_RO[],MATCH(N$9,MMWR_ACCURACY_RO[#Headers],0),0),"ERROR"))</f>
        <v>0.83242717175484804</v>
      </c>
      <c r="O19" s="157">
        <f>IF($B19=" ","",IFERROR(VLOOKUP($B19,MMWR_ACCURACY_RO[],MATCH(O$9,MMWR_ACCURACY_RO[#Headers],0),0),"ERROR"))</f>
        <v>6.4505543587498507E-2</v>
      </c>
      <c r="P19" s="28"/>
    </row>
    <row r="20" spans="1:16" x14ac:dyDescent="0.2">
      <c r="A20" s="25"/>
      <c r="B20" s="8" t="str">
        <f>VLOOKUP($B$16,DISTRICT_RO[],5,0)</f>
        <v>Hartford VSC</v>
      </c>
      <c r="C20" s="154">
        <f>IF($B20=" ","",IFERROR(INDEX(MMWR_RATING_RO_ROLLUP[],MATCH($B20,MMWR_RATING_RO_ROLLUP[MMWR_RATING_RO_ROLLUP],0),MATCH(C$9,MMWR_RATING_RO_ROLLUP[#Headers],0)),"ERROR"))</f>
        <v>842</v>
      </c>
      <c r="D20" s="155">
        <f>IF($B20=" ","",IFERROR(INDEX(MMWR_RATING_RO_ROLLUP[],MATCH($B20,MMWR_RATING_RO_ROLLUP[MMWR_RATING_RO_ROLLUP],0),MATCH(D$9,MMWR_RATING_RO_ROLLUP[#Headers],0)),"ERROR"))</f>
        <v>103.432304038</v>
      </c>
      <c r="E20" s="156">
        <f>IF($B20=" ","",IFERROR(INDEX(MMWR_RATING_RO_ROLLUP[],MATCH($B20,MMWR_RATING_RO_ROLLUP[MMWR_RATING_RO_ROLLUP],0),MATCH(E$9,MMWR_RATING_RO_ROLLUP[#Headers],0))/$C20,"ERROR"))</f>
        <v>0.25059382422802851</v>
      </c>
      <c r="F20" s="154">
        <f>IF($B20=" ","",IFERROR(INDEX(MMWR_RATING_RO_ROLLUP[],MATCH($B20,MMWR_RATING_RO_ROLLUP[MMWR_RATING_RO_ROLLUP],0),MATCH(F$9,MMWR_RATING_RO_ROLLUP[#Headers],0)),"ERROR"))</f>
        <v>719</v>
      </c>
      <c r="G20" s="154">
        <f>IF($B20=" ","",IFERROR(INDEX(MMWR_RATING_RO_ROLLUP[],MATCH($B20,MMWR_RATING_RO_ROLLUP[MMWR_RATING_RO_ROLLUP],0),MATCH(G$9,MMWR_RATING_RO_ROLLUP[#Headers],0)),"ERROR"))</f>
        <v>8709</v>
      </c>
      <c r="H20" s="155">
        <f>IF($B20=" ","",IFERROR(INDEX(MMWR_RATING_RO_ROLLUP[],MATCH($B20,MMWR_RATING_RO_ROLLUP[MMWR_RATING_RO_ROLLUP],0),MATCH(H$9,MMWR_RATING_RO_ROLLUP[#Headers],0)),"ERROR"))</f>
        <v>112.56745479830001</v>
      </c>
      <c r="I20" s="155">
        <f>IF($B20=" ","",IFERROR(INDEX(MMWR_RATING_RO_ROLLUP[],MATCH($B20,MMWR_RATING_RO_ROLLUP[MMWR_RATING_RO_ROLLUP],0),MATCH(I$9,MMWR_RATING_RO_ROLLUP[#Headers],0)),"ERROR"))</f>
        <v>124.7430244575</v>
      </c>
      <c r="J20" s="157">
        <f>IF($B20=" ","",IFERROR(VLOOKUP($B20,MMWR_ACCURACY_RO[],MATCH(J$9,MMWR_ACCURACY_RO[#Headers],0),0),"ERROR"))</f>
        <v>0.95444451993320401</v>
      </c>
      <c r="K20" s="157">
        <f>IF($B20=" ","",IFERROR(VLOOKUP($B20,MMWR_ACCURACY_RO[],MATCH(K$9,MMWR_ACCURACY_RO[#Headers],0),0),"ERROR"))</f>
        <v>0.841482965931864</v>
      </c>
      <c r="L20" s="157">
        <f>IF($B20=" ","",IFERROR(VLOOKUP($B20,MMWR_ACCURACY_RO[],MATCH(L$9,MMWR_ACCURACY_RO[#Headers],0),0),"ERROR"))</f>
        <v>0.91157882570503901</v>
      </c>
      <c r="M20" s="157">
        <f>IF($B20=" ","",IFERROR(VLOOKUP($B20,MMWR_ACCURACY_RO[],MATCH(M$9,MMWR_ACCURACY_RO[#Headers],0),0),"ERROR"))</f>
        <v>4.6667229917174001E-2</v>
      </c>
      <c r="N20" s="157">
        <f>IF($B20=" ","",IFERROR(VLOOKUP($B20,MMWR_ACCURACY_RO[],MATCH(N$9,MMWR_ACCURACY_RO[#Headers],0),0),"ERROR"))</f>
        <v>0.95342977007736696</v>
      </c>
      <c r="O20" s="157">
        <f>IF($B20=" ","",IFERROR(VLOOKUP($B20,MMWR_ACCURACY_RO[],MATCH(O$9,MMWR_ACCURACY_RO[#Headers],0),0),"ERROR"))</f>
        <v>3.8443017085524001E-2</v>
      </c>
      <c r="P20" s="28"/>
    </row>
    <row r="21" spans="1:16" x14ac:dyDescent="0.2">
      <c r="A21" s="25"/>
      <c r="B21" s="8" t="str">
        <f>VLOOKUP($B$16,DISTRICT_RO[],6,0)</f>
        <v>Huntington VSC</v>
      </c>
      <c r="C21" s="154">
        <f>IF($B21=" ","",IFERROR(INDEX(MMWR_RATING_RO_ROLLUP[],MATCH($B21,MMWR_RATING_RO_ROLLUP[MMWR_RATING_RO_ROLLUP],0),MATCH(C$9,MMWR_RATING_RO_ROLLUP[#Headers],0)),"ERROR"))</f>
        <v>2738</v>
      </c>
      <c r="D21" s="155">
        <f>IF($B21=" ","",IFERROR(INDEX(MMWR_RATING_RO_ROLLUP[],MATCH($B21,MMWR_RATING_RO_ROLLUP[MMWR_RATING_RO_ROLLUP],0),MATCH(D$9,MMWR_RATING_RO_ROLLUP[#Headers],0)),"ERROR"))</f>
        <v>80.663623082499996</v>
      </c>
      <c r="E21" s="156">
        <f>IF($B21=" ","",IFERROR(INDEX(MMWR_RATING_RO_ROLLUP[],MATCH($B21,MMWR_RATING_RO_ROLLUP[MMWR_RATING_RO_ROLLUP],0),MATCH(E$9,MMWR_RATING_RO_ROLLUP[#Headers],0))/$C21,"ERROR"))</f>
        <v>0.14536157779401024</v>
      </c>
      <c r="F21" s="154">
        <f>IF($B21=" ","",IFERROR(INDEX(MMWR_RATING_RO_ROLLUP[],MATCH($B21,MMWR_RATING_RO_ROLLUP[MMWR_RATING_RO_ROLLUP],0),MATCH(F$9,MMWR_RATING_RO_ROLLUP[#Headers],0)),"ERROR"))</f>
        <v>954</v>
      </c>
      <c r="G21" s="154">
        <f>IF($B21=" ","",IFERROR(INDEX(MMWR_RATING_RO_ROLLUP[],MATCH($B21,MMWR_RATING_RO_ROLLUP[MMWR_RATING_RO_ROLLUP],0),MATCH(G$9,MMWR_RATING_RO_ROLLUP[#Headers],0)),"ERROR"))</f>
        <v>14763</v>
      </c>
      <c r="H21" s="155">
        <f>IF($B21=" ","",IFERROR(INDEX(MMWR_RATING_RO_ROLLUP[],MATCH($B21,MMWR_RATING_RO_ROLLUP[MMWR_RATING_RO_ROLLUP],0),MATCH(H$9,MMWR_RATING_RO_ROLLUP[#Headers],0)),"ERROR"))</f>
        <v>110.4779874214</v>
      </c>
      <c r="I21" s="155">
        <f>IF($B21=" ","",IFERROR(INDEX(MMWR_RATING_RO_ROLLUP[],MATCH($B21,MMWR_RATING_RO_ROLLUP[MMWR_RATING_RO_ROLLUP],0),MATCH(I$9,MMWR_RATING_RO_ROLLUP[#Headers],0)),"ERROR"))</f>
        <v>126.348574138</v>
      </c>
      <c r="J21" s="157">
        <f>IF($B21=" ","",IFERROR(VLOOKUP($B21,MMWR_ACCURACY_RO[],MATCH(J$9,MMWR_ACCURACY_RO[#Headers],0),0),"ERROR"))</f>
        <v>0.95910347412561203</v>
      </c>
      <c r="K21" s="157">
        <f>IF($B21=" ","",IFERROR(VLOOKUP($B21,MMWR_ACCURACY_RO[],MATCH(K$9,MMWR_ACCURACY_RO[#Headers],0),0),"ERROR"))</f>
        <v>0.87954737732656496</v>
      </c>
      <c r="L21" s="157">
        <f>IF($B21=" ","",IFERROR(VLOOKUP($B21,MMWR_ACCURACY_RO[],MATCH(L$9,MMWR_ACCURACY_RO[#Headers],0),0),"ERROR"))</f>
        <v>0.89319556179471904</v>
      </c>
      <c r="M21" s="157">
        <f>IF($B21=" ","",IFERROR(VLOOKUP($B21,MMWR_ACCURACY_RO[],MATCH(M$9,MMWR_ACCURACY_RO[#Headers],0),0),"ERROR"))</f>
        <v>4.4956646518152503E-2</v>
      </c>
      <c r="N21" s="157">
        <f>IF($B21=" ","",IFERROR(VLOOKUP($B21,MMWR_ACCURACY_RO[],MATCH(N$9,MMWR_ACCURACY_RO[#Headers],0),0),"ERROR"))</f>
        <v>0.89692599093827796</v>
      </c>
      <c r="O21" s="157">
        <f>IF($B21=" ","",IFERROR(VLOOKUP($B21,MMWR_ACCURACY_RO[],MATCH(O$9,MMWR_ACCURACY_RO[#Headers],0),0),"ERROR"))</f>
        <v>5.0598798231345901E-2</v>
      </c>
      <c r="P21" s="28"/>
    </row>
    <row r="22" spans="1:16" x14ac:dyDescent="0.2">
      <c r="A22" s="25"/>
      <c r="B22" s="8" t="str">
        <f>VLOOKUP($B$16,DISTRICT_RO[],7,0)</f>
        <v>Manchester VSC</v>
      </c>
      <c r="C22" s="154">
        <f>IF($B22=" ","",IFERROR(INDEX(MMWR_RATING_RO_ROLLUP[],MATCH($B22,MMWR_RATING_RO_ROLLUP[MMWR_RATING_RO_ROLLUP],0),MATCH(C$9,MMWR_RATING_RO_ROLLUP[#Headers],0)),"ERROR"))</f>
        <v>487</v>
      </c>
      <c r="D22" s="155">
        <f>IF($B22=" ","",IFERROR(INDEX(MMWR_RATING_RO_ROLLUP[],MATCH($B22,MMWR_RATING_RO_ROLLUP[MMWR_RATING_RO_ROLLUP],0),MATCH(D$9,MMWR_RATING_RO_ROLLUP[#Headers],0)),"ERROR"))</f>
        <v>110.3655030801</v>
      </c>
      <c r="E22" s="156">
        <f>IF($B22=" ","",IFERROR(INDEX(MMWR_RATING_RO_ROLLUP[],MATCH($B22,MMWR_RATING_RO_ROLLUP[MMWR_RATING_RO_ROLLUP],0),MATCH(E$9,MMWR_RATING_RO_ROLLUP[#Headers],0))/$C22,"ERROR"))</f>
        <v>0.41273100616016428</v>
      </c>
      <c r="F22" s="154">
        <f>IF($B22=" ","",IFERROR(INDEX(MMWR_RATING_RO_ROLLUP[],MATCH($B22,MMWR_RATING_RO_ROLLUP[MMWR_RATING_RO_ROLLUP],0),MATCH(F$9,MMWR_RATING_RO_ROLLUP[#Headers],0)),"ERROR"))</f>
        <v>203</v>
      </c>
      <c r="G22" s="154">
        <f>IF($B22=" ","",IFERROR(INDEX(MMWR_RATING_RO_ROLLUP[],MATCH($B22,MMWR_RATING_RO_ROLLUP[MMWR_RATING_RO_ROLLUP],0),MATCH(G$9,MMWR_RATING_RO_ROLLUP[#Headers],0)),"ERROR"))</f>
        <v>3675</v>
      </c>
      <c r="H22" s="155">
        <f>IF($B22=" ","",IFERROR(INDEX(MMWR_RATING_RO_ROLLUP[],MATCH($B22,MMWR_RATING_RO_ROLLUP[MMWR_RATING_RO_ROLLUP],0),MATCH(H$9,MMWR_RATING_RO_ROLLUP[#Headers],0)),"ERROR"))</f>
        <v>169.44334975370001</v>
      </c>
      <c r="I22" s="155">
        <f>IF($B22=" ","",IFERROR(INDEX(MMWR_RATING_RO_ROLLUP[],MATCH($B22,MMWR_RATING_RO_ROLLUP[MMWR_RATING_RO_ROLLUP],0),MATCH(I$9,MMWR_RATING_RO_ROLLUP[#Headers],0)),"ERROR"))</f>
        <v>134.61768707479999</v>
      </c>
      <c r="J22" s="157">
        <f>IF($B22=" ","",IFERROR(VLOOKUP($B22,MMWR_ACCURACY_RO[],MATCH(J$9,MMWR_ACCURACY_RO[#Headers],0),0),"ERROR"))</f>
        <v>0.96060578092207405</v>
      </c>
      <c r="K22" s="157">
        <f>IF($B22=" ","",IFERROR(VLOOKUP($B22,MMWR_ACCURACY_RO[],MATCH(K$9,MMWR_ACCURACY_RO[#Headers],0),0),"ERROR"))</f>
        <v>0.82818592018224002</v>
      </c>
      <c r="L22" s="157">
        <f>IF($B22=" ","",IFERROR(VLOOKUP($B22,MMWR_ACCURACY_RO[],MATCH(L$9,MMWR_ACCURACY_RO[#Headers],0),0),"ERROR"))</f>
        <v>0.878746700905913</v>
      </c>
      <c r="M22" s="157">
        <f>IF($B22=" ","",IFERROR(VLOOKUP($B22,MMWR_ACCURACY_RO[],MATCH(M$9,MMWR_ACCURACY_RO[#Headers],0),0),"ERROR"))</f>
        <v>4.9961380588676399E-2</v>
      </c>
      <c r="N22" s="157">
        <f>IF($B22=" ","",IFERROR(VLOOKUP($B22,MMWR_ACCURACY_RO[],MATCH(N$9,MMWR_ACCURACY_RO[#Headers],0),0),"ERROR"))</f>
        <v>0.86798598227169599</v>
      </c>
      <c r="O22" s="157">
        <f>IF($B22=" ","",IFERROR(VLOOKUP($B22,MMWR_ACCURACY_RO[],MATCH(O$9,MMWR_ACCURACY_RO[#Headers],0),0),"ERROR"))</f>
        <v>7.7975301228531399E-2</v>
      </c>
      <c r="P22" s="28"/>
    </row>
    <row r="23" spans="1:16" x14ac:dyDescent="0.2">
      <c r="A23" s="25"/>
      <c r="B23" s="8" t="str">
        <f>VLOOKUP($B$16,DISTRICT_RO[],8,0)</f>
        <v>New York VSC</v>
      </c>
      <c r="C23" s="154">
        <f>IF($B23=" ","",IFERROR(INDEX(MMWR_RATING_RO_ROLLUP[],MATCH($B23,MMWR_RATING_RO_ROLLUP[MMWR_RATING_RO_ROLLUP],0),MATCH(C$9,MMWR_RATING_RO_ROLLUP[#Headers],0)),"ERROR"))</f>
        <v>795</v>
      </c>
      <c r="D23" s="155">
        <f>IF($B23=" ","",IFERROR(INDEX(MMWR_RATING_RO_ROLLUP[],MATCH($B23,MMWR_RATING_RO_ROLLUP[MMWR_RATING_RO_ROLLUP],0),MATCH(D$9,MMWR_RATING_RO_ROLLUP[#Headers],0)),"ERROR"))</f>
        <v>121.4264150943</v>
      </c>
      <c r="E23" s="156">
        <f>IF($B23=" ","",IFERROR(INDEX(MMWR_RATING_RO_ROLLUP[],MATCH($B23,MMWR_RATING_RO_ROLLUP[MMWR_RATING_RO_ROLLUP],0),MATCH(E$9,MMWR_RATING_RO_ROLLUP[#Headers],0))/$C23,"ERROR"))</f>
        <v>0.38364779874213839</v>
      </c>
      <c r="F23" s="154">
        <f>IF($B23=" ","",IFERROR(INDEX(MMWR_RATING_RO_ROLLUP[],MATCH($B23,MMWR_RATING_RO_ROLLUP[MMWR_RATING_RO_ROLLUP],0),MATCH(F$9,MMWR_RATING_RO_ROLLUP[#Headers],0)),"ERROR"))</f>
        <v>749</v>
      </c>
      <c r="G23" s="154">
        <f>IF($B23=" ","",IFERROR(INDEX(MMWR_RATING_RO_ROLLUP[],MATCH($B23,MMWR_RATING_RO_ROLLUP[MMWR_RATING_RO_ROLLUP],0),MATCH(G$9,MMWR_RATING_RO_ROLLUP[#Headers],0)),"ERROR"))</f>
        <v>10097</v>
      </c>
      <c r="H23" s="155">
        <f>IF($B23=" ","",IFERROR(INDEX(MMWR_RATING_RO_ROLLUP[],MATCH($B23,MMWR_RATING_RO_ROLLUP[MMWR_RATING_RO_ROLLUP],0),MATCH(H$9,MMWR_RATING_RO_ROLLUP[#Headers],0)),"ERROR"))</f>
        <v>140.34312416559999</v>
      </c>
      <c r="I23" s="155">
        <f>IF($B23=" ","",IFERROR(INDEX(MMWR_RATING_RO_ROLLUP[],MATCH($B23,MMWR_RATING_RO_ROLLUP[MMWR_RATING_RO_ROLLUP],0),MATCH(I$9,MMWR_RATING_RO_ROLLUP[#Headers],0)),"ERROR"))</f>
        <v>133.7119936615</v>
      </c>
      <c r="J23" s="157">
        <f>IF($B23=" ","",IFERROR(VLOOKUP($B23,MMWR_ACCURACY_RO[],MATCH(J$9,MMWR_ACCURACY_RO[#Headers],0),0),"ERROR"))</f>
        <v>0.90861043125821706</v>
      </c>
      <c r="K23" s="157">
        <f>IF($B23=" ","",IFERROR(VLOOKUP($B23,MMWR_ACCURACY_RO[],MATCH(K$9,MMWR_ACCURACY_RO[#Headers],0),0),"ERROR"))</f>
        <v>0.83947763451539104</v>
      </c>
      <c r="L23" s="157">
        <f>IF($B23=" ","",IFERROR(VLOOKUP($B23,MMWR_ACCURACY_RO[],MATCH(L$9,MMWR_ACCURACY_RO[#Headers],0),0),"ERROR"))</f>
        <v>0.85876523062754795</v>
      </c>
      <c r="M23" s="157">
        <f>IF($B23=" ","",IFERROR(VLOOKUP($B23,MMWR_ACCURACY_RO[],MATCH(M$9,MMWR_ACCURACY_RO[#Headers],0),0),"ERROR"))</f>
        <v>5.4947744562224503E-2</v>
      </c>
      <c r="N23" s="157">
        <f>IF($B23=" ","",IFERROR(VLOOKUP($B23,MMWR_ACCURACY_RO[],MATCH(N$9,MMWR_ACCURACY_RO[#Headers],0),0),"ERROR"))</f>
        <v>0.88885208623191703</v>
      </c>
      <c r="O23" s="157">
        <f>IF($B23=" ","",IFERROR(VLOOKUP($B23,MMWR_ACCURACY_RO[],MATCH(O$9,MMWR_ACCURACY_RO[#Headers],0),0),"ERROR"))</f>
        <v>7.2089607893006599E-2</v>
      </c>
      <c r="P23" s="28"/>
    </row>
    <row r="24" spans="1:16" x14ac:dyDescent="0.2">
      <c r="A24" s="25"/>
      <c r="B24" s="8" t="str">
        <f>VLOOKUP($B$16,DISTRICT_RO[],9,0)</f>
        <v>Newark VSC</v>
      </c>
      <c r="C24" s="154">
        <f>IF($B24=" ","",IFERROR(INDEX(MMWR_RATING_RO_ROLLUP[],MATCH($B24,MMWR_RATING_RO_ROLLUP[MMWR_RATING_RO_ROLLUP],0),MATCH(C$9,MMWR_RATING_RO_ROLLUP[#Headers],0)),"ERROR"))</f>
        <v>738</v>
      </c>
      <c r="D24" s="155">
        <f>IF($B24=" ","",IFERROR(INDEX(MMWR_RATING_RO_ROLLUP[],MATCH($B24,MMWR_RATING_RO_ROLLUP[MMWR_RATING_RO_ROLLUP],0),MATCH(D$9,MMWR_RATING_RO_ROLLUP[#Headers],0)),"ERROR"))</f>
        <v>119.5772357724</v>
      </c>
      <c r="E24" s="156">
        <f>IF($B24=" ","",IFERROR(INDEX(MMWR_RATING_RO_ROLLUP[],MATCH($B24,MMWR_RATING_RO_ROLLUP[MMWR_RATING_RO_ROLLUP],0),MATCH(E$9,MMWR_RATING_RO_ROLLUP[#Headers],0))/$C24,"ERROR"))</f>
        <v>0.38211382113821141</v>
      </c>
      <c r="F24" s="154">
        <f>IF($B24=" ","",IFERROR(INDEX(MMWR_RATING_RO_ROLLUP[],MATCH($B24,MMWR_RATING_RO_ROLLUP[MMWR_RATING_RO_ROLLUP],0),MATCH(F$9,MMWR_RATING_RO_ROLLUP[#Headers],0)),"ERROR"))</f>
        <v>310</v>
      </c>
      <c r="G24" s="154">
        <f>IF($B24=" ","",IFERROR(INDEX(MMWR_RATING_RO_ROLLUP[],MATCH($B24,MMWR_RATING_RO_ROLLUP[MMWR_RATING_RO_ROLLUP],0),MATCH(G$9,MMWR_RATING_RO_ROLLUP[#Headers],0)),"ERROR"))</f>
        <v>4686</v>
      </c>
      <c r="H24" s="155">
        <f>IF($B24=" ","",IFERROR(INDEX(MMWR_RATING_RO_ROLLUP[],MATCH($B24,MMWR_RATING_RO_ROLLUP[MMWR_RATING_RO_ROLLUP],0),MATCH(H$9,MMWR_RATING_RO_ROLLUP[#Headers],0)),"ERROR"))</f>
        <v>170.27419354840001</v>
      </c>
      <c r="I24" s="155">
        <f>IF($B24=" ","",IFERROR(INDEX(MMWR_RATING_RO_ROLLUP[],MATCH($B24,MMWR_RATING_RO_ROLLUP[MMWR_RATING_RO_ROLLUP],0),MATCH(I$9,MMWR_RATING_RO_ROLLUP[#Headers],0)),"ERROR"))</f>
        <v>145.35766111820001</v>
      </c>
      <c r="J24" s="157">
        <f>IF($B24=" ","",IFERROR(VLOOKUP($B24,MMWR_ACCURACY_RO[],MATCH(J$9,MMWR_ACCURACY_RO[#Headers],0),0),"ERROR"))</f>
        <v>0.95636910732196601</v>
      </c>
      <c r="K24" s="157">
        <f>IF($B24=" ","",IFERROR(VLOOKUP($B24,MMWR_ACCURACY_RO[],MATCH(K$9,MMWR_ACCURACY_RO[#Headers],0),0),"ERROR"))</f>
        <v>0.86222627737226298</v>
      </c>
      <c r="L24" s="157">
        <f>IF($B24=" ","",IFERROR(VLOOKUP($B24,MMWR_ACCURACY_RO[],MATCH(L$9,MMWR_ACCURACY_RO[#Headers],0),0),"ERROR"))</f>
        <v>0.89074793938739505</v>
      </c>
      <c r="M24" s="157">
        <f>IF($B24=" ","",IFERROR(VLOOKUP($B24,MMWR_ACCURACY_RO[],MATCH(M$9,MMWR_ACCURACY_RO[#Headers],0),0),"ERROR"))</f>
        <v>4.2339201024592703E-2</v>
      </c>
      <c r="N24" s="157">
        <f>IF($B24=" ","",IFERROR(VLOOKUP($B24,MMWR_ACCURACY_RO[],MATCH(N$9,MMWR_ACCURACY_RO[#Headers],0),0),"ERROR"))</f>
        <v>0.814498572544615</v>
      </c>
      <c r="O24" s="157">
        <f>IF($B24=" ","",IFERROR(VLOOKUP($B24,MMWR_ACCURACY_RO[],MATCH(O$9,MMWR_ACCURACY_RO[#Headers],0),0),"ERROR"))</f>
        <v>7.5651181020405897E-2</v>
      </c>
      <c r="P24" s="28"/>
    </row>
    <row r="25" spans="1:16" x14ac:dyDescent="0.2">
      <c r="A25" s="25"/>
      <c r="B25" s="8" t="str">
        <f>VLOOKUP($B$16,DISTRICT_RO[],10,0)</f>
        <v>Philadelphia VSC</v>
      </c>
      <c r="C25" s="154">
        <f>IF($B25=" ","",IFERROR(INDEX(MMWR_RATING_RO_ROLLUP[],MATCH($B25,MMWR_RATING_RO_ROLLUP[MMWR_RATING_RO_ROLLUP],0),MATCH(C$9,MMWR_RATING_RO_ROLLUP[#Headers],0)),"ERROR"))</f>
        <v>3317</v>
      </c>
      <c r="D25" s="155">
        <f>IF($B25=" ","",IFERROR(INDEX(MMWR_RATING_RO_ROLLUP[],MATCH($B25,MMWR_RATING_RO_ROLLUP[MMWR_RATING_RO_ROLLUP],0),MATCH(D$9,MMWR_RATING_RO_ROLLUP[#Headers],0)),"ERROR"))</f>
        <v>124.0141694302</v>
      </c>
      <c r="E25" s="156">
        <f>IF($B25=" ","",IFERROR(INDEX(MMWR_RATING_RO_ROLLUP[],MATCH($B25,MMWR_RATING_RO_ROLLUP[MMWR_RATING_RO_ROLLUP],0),MATCH(E$9,MMWR_RATING_RO_ROLLUP[#Headers],0))/$C25,"ERROR"))</f>
        <v>0.38197166113958397</v>
      </c>
      <c r="F25" s="154">
        <f>IF($B25=" ","",IFERROR(INDEX(MMWR_RATING_RO_ROLLUP[],MATCH($B25,MMWR_RATING_RO_ROLLUP[MMWR_RATING_RO_ROLLUP],0),MATCH(F$9,MMWR_RATING_RO_ROLLUP[#Headers],0)),"ERROR"))</f>
        <v>1506</v>
      </c>
      <c r="G25" s="154">
        <f>IF($B25=" ","",IFERROR(INDEX(MMWR_RATING_RO_ROLLUP[],MATCH($B25,MMWR_RATING_RO_ROLLUP[MMWR_RATING_RO_ROLLUP],0),MATCH(G$9,MMWR_RATING_RO_ROLLUP[#Headers],0)),"ERROR"))</f>
        <v>21170</v>
      </c>
      <c r="H25" s="155">
        <f>IF($B25=" ","",IFERROR(INDEX(MMWR_RATING_RO_ROLLUP[],MATCH($B25,MMWR_RATING_RO_ROLLUP[MMWR_RATING_RO_ROLLUP],0),MATCH(H$9,MMWR_RATING_RO_ROLLUP[#Headers],0)),"ERROR"))</f>
        <v>140.8486055777</v>
      </c>
      <c r="I25" s="155">
        <f>IF($B25=" ","",IFERROR(INDEX(MMWR_RATING_RO_ROLLUP[],MATCH($B25,MMWR_RATING_RO_ROLLUP[MMWR_RATING_RO_ROLLUP],0),MATCH(I$9,MMWR_RATING_RO_ROLLUP[#Headers],0)),"ERROR"))</f>
        <v>145.201511573</v>
      </c>
      <c r="J25" s="157">
        <f>IF($B25=" ","",IFERROR(VLOOKUP($B25,MMWR_ACCURACY_RO[],MATCH(J$9,MMWR_ACCURACY_RO[#Headers],0),0),"ERROR"))</f>
        <v>0.92772431972499003</v>
      </c>
      <c r="K25" s="157">
        <f>IF($B25=" ","",IFERROR(VLOOKUP($B25,MMWR_ACCURACY_RO[],MATCH(K$9,MMWR_ACCURACY_RO[#Headers],0),0),"ERROR"))</f>
        <v>0.84681366347370302</v>
      </c>
      <c r="L25" s="157">
        <f>IF($B25=" ","",IFERROR(VLOOKUP($B25,MMWR_ACCURACY_RO[],MATCH(L$9,MMWR_ACCURACY_RO[#Headers],0),0),"ERROR"))</f>
        <v>0.89513162669833102</v>
      </c>
      <c r="M25" s="157">
        <f>IF($B25=" ","",IFERROR(VLOOKUP($B25,MMWR_ACCURACY_RO[],MATCH(M$9,MMWR_ACCURACY_RO[#Headers],0),0),"ERROR"))</f>
        <v>4.1778757658643299E-2</v>
      </c>
      <c r="N25" s="157">
        <f>IF($B25=" ","",IFERROR(VLOOKUP($B25,MMWR_ACCURACY_RO[],MATCH(N$9,MMWR_ACCURACY_RO[#Headers],0),0),"ERROR"))</f>
        <v>0.88658462018541395</v>
      </c>
      <c r="O25" s="157">
        <f>IF($B25=" ","",IFERROR(VLOOKUP($B25,MMWR_ACCURACY_RO[],MATCH(O$9,MMWR_ACCURACY_RO[#Headers],0),0),"ERROR"))</f>
        <v>4.7840515973508697E-2</v>
      </c>
      <c r="P25" s="28"/>
    </row>
    <row r="26" spans="1:16" x14ac:dyDescent="0.2">
      <c r="A26" s="25"/>
      <c r="B26" s="8" t="str">
        <f>VLOOKUP($B$16,DISTRICT_RO[],11,0)</f>
        <v>Pittsburgh VSC</v>
      </c>
      <c r="C26" s="154">
        <f>IF($B26=" ","",IFERROR(INDEX(MMWR_RATING_RO_ROLLUP[],MATCH($B26,MMWR_RATING_RO_ROLLUP[MMWR_RATING_RO_ROLLUP],0),MATCH(C$9,MMWR_RATING_RO_ROLLUP[#Headers],0)),"ERROR"))</f>
        <v>951</v>
      </c>
      <c r="D26" s="155">
        <f>IF($B26=" ","",IFERROR(INDEX(MMWR_RATING_RO_ROLLUP[],MATCH($B26,MMWR_RATING_RO_ROLLUP[MMWR_RATING_RO_ROLLUP],0),MATCH(D$9,MMWR_RATING_RO_ROLLUP[#Headers],0)),"ERROR"))</f>
        <v>124.8717139853</v>
      </c>
      <c r="E26" s="156">
        <f>IF($B26=" ","",IFERROR(INDEX(MMWR_RATING_RO_ROLLUP[],MATCH($B26,MMWR_RATING_RO_ROLLUP[MMWR_RATING_RO_ROLLUP],0),MATCH(E$9,MMWR_RATING_RO_ROLLUP[#Headers],0))/$C26,"ERROR"))</f>
        <v>0.38065194532071506</v>
      </c>
      <c r="F26" s="154">
        <f>IF($B26=" ","",IFERROR(INDEX(MMWR_RATING_RO_ROLLUP[],MATCH($B26,MMWR_RATING_RO_ROLLUP[MMWR_RATING_RO_ROLLUP],0),MATCH(F$9,MMWR_RATING_RO_ROLLUP[#Headers],0)),"ERROR"))</f>
        <v>510</v>
      </c>
      <c r="G26" s="154">
        <f>IF($B26=" ","",IFERROR(INDEX(MMWR_RATING_RO_ROLLUP[],MATCH($B26,MMWR_RATING_RO_ROLLUP[MMWR_RATING_RO_ROLLUP],0),MATCH(G$9,MMWR_RATING_RO_ROLLUP[#Headers],0)),"ERROR"))</f>
        <v>9737</v>
      </c>
      <c r="H26" s="155">
        <f>IF($B26=" ","",IFERROR(INDEX(MMWR_RATING_RO_ROLLUP[],MATCH($B26,MMWR_RATING_RO_ROLLUP[MMWR_RATING_RO_ROLLUP],0),MATCH(H$9,MMWR_RATING_RO_ROLLUP[#Headers],0)),"ERROR"))</f>
        <v>185.33921568630001</v>
      </c>
      <c r="I26" s="155">
        <f>IF($B26=" ","",IFERROR(INDEX(MMWR_RATING_RO_ROLLUP[],MATCH($B26,MMWR_RATING_RO_ROLLUP[MMWR_RATING_RO_ROLLUP],0),MATCH(I$9,MMWR_RATING_RO_ROLLUP[#Headers],0)),"ERROR"))</f>
        <v>174.23877991169999</v>
      </c>
      <c r="J26" s="157">
        <f>IF($B26=" ","",IFERROR(VLOOKUP($B26,MMWR_ACCURACY_RO[],MATCH(J$9,MMWR_ACCURACY_RO[#Headers],0),0),"ERROR"))</f>
        <v>0.95074676675146796</v>
      </c>
      <c r="K26" s="157">
        <f>IF($B26=" ","",IFERROR(VLOOKUP($B26,MMWR_ACCURACY_RO[],MATCH(K$9,MMWR_ACCURACY_RO[#Headers],0),0),"ERROR"))</f>
        <v>0.82597560975609796</v>
      </c>
      <c r="L26" s="157">
        <f>IF($B26=" ","",IFERROR(VLOOKUP($B26,MMWR_ACCURACY_RO[],MATCH(L$9,MMWR_ACCURACY_RO[#Headers],0),0),"ERROR"))</f>
        <v>0.865898794915685</v>
      </c>
      <c r="M26" s="157">
        <f>IF($B26=" ","",IFERROR(VLOOKUP($B26,MMWR_ACCURACY_RO[],MATCH(M$9,MMWR_ACCURACY_RO[#Headers],0),0),"ERROR"))</f>
        <v>4.9207413160781602E-2</v>
      </c>
      <c r="N26" s="157">
        <f>IF($B26=" ","",IFERROR(VLOOKUP($B26,MMWR_ACCURACY_RO[],MATCH(N$9,MMWR_ACCURACY_RO[#Headers],0),0),"ERROR"))</f>
        <v>0.90190910120751699</v>
      </c>
      <c r="O26" s="157">
        <f>IF($B26=" ","",IFERROR(VLOOKUP($B26,MMWR_ACCURACY_RO[],MATCH(O$9,MMWR_ACCURACY_RO[#Headers],0),0),"ERROR"))</f>
        <v>4.9962499115161901E-2</v>
      </c>
      <c r="P26" s="28"/>
    </row>
    <row r="27" spans="1:16" x14ac:dyDescent="0.2">
      <c r="A27" s="25"/>
      <c r="B27" s="8" t="str">
        <f>VLOOKUP($B$16,DISTRICT_RO[],12,0)</f>
        <v>Providence VSC</v>
      </c>
      <c r="C27" s="154">
        <f>IF($B27=" ","",IFERROR(INDEX(MMWR_RATING_RO_ROLLUP[],MATCH($B27,MMWR_RATING_RO_ROLLUP[MMWR_RATING_RO_ROLLUP],0),MATCH(C$9,MMWR_RATING_RO_ROLLUP[#Headers],0)),"ERROR"))</f>
        <v>1973</v>
      </c>
      <c r="D27" s="155">
        <f>IF($B27=" ","",IFERROR(INDEX(MMWR_RATING_RO_ROLLUP[],MATCH($B27,MMWR_RATING_RO_ROLLUP[MMWR_RATING_RO_ROLLUP],0),MATCH(D$9,MMWR_RATING_RO_ROLLUP[#Headers],0)),"ERROR"))</f>
        <v>65.5549923974</v>
      </c>
      <c r="E27" s="156">
        <f>IF($B27=" ","",IFERROR(INDEX(MMWR_RATING_RO_ROLLUP[],MATCH($B27,MMWR_RATING_RO_ROLLUP[MMWR_RATING_RO_ROLLUP],0),MATCH(E$9,MMWR_RATING_RO_ROLLUP[#Headers],0))/$C27,"ERROR"))</f>
        <v>0.13684744044602129</v>
      </c>
      <c r="F27" s="154">
        <f>IF($B27=" ","",IFERROR(INDEX(MMWR_RATING_RO_ROLLUP[],MATCH($B27,MMWR_RATING_RO_ROLLUP[MMWR_RATING_RO_ROLLUP],0),MATCH(F$9,MMWR_RATING_RO_ROLLUP[#Headers],0)),"ERROR"))</f>
        <v>1613</v>
      </c>
      <c r="G27" s="154">
        <f>IF($B27=" ","",IFERROR(INDEX(MMWR_RATING_RO_ROLLUP[],MATCH($B27,MMWR_RATING_RO_ROLLUP[MMWR_RATING_RO_ROLLUP],0),MATCH(G$9,MMWR_RATING_RO_ROLLUP[#Headers],0)),"ERROR"))</f>
        <v>23467</v>
      </c>
      <c r="H27" s="155">
        <f>IF($B27=" ","",IFERROR(INDEX(MMWR_RATING_RO_ROLLUP[],MATCH($B27,MMWR_RATING_RO_ROLLUP[MMWR_RATING_RO_ROLLUP],0),MATCH(H$9,MMWR_RATING_RO_ROLLUP[#Headers],0)),"ERROR"))</f>
        <v>71.2765034098</v>
      </c>
      <c r="I27" s="155">
        <f>IF($B27=" ","",IFERROR(INDEX(MMWR_RATING_RO_ROLLUP[],MATCH($B27,MMWR_RATING_RO_ROLLUP[MMWR_RATING_RO_ROLLUP],0),MATCH(I$9,MMWR_RATING_RO_ROLLUP[#Headers],0)),"ERROR"))</f>
        <v>72.232454084500006</v>
      </c>
      <c r="J27" s="157">
        <f>IF($B27=" ","",IFERROR(VLOOKUP($B27,MMWR_ACCURACY_RO[],MATCH(J$9,MMWR_ACCURACY_RO[#Headers],0),0),"ERROR"))</f>
        <v>0.96736135185518601</v>
      </c>
      <c r="K27" s="157">
        <f>IF($B27=" ","",IFERROR(VLOOKUP($B27,MMWR_ACCURACY_RO[],MATCH(K$9,MMWR_ACCURACY_RO[#Headers],0),0),"ERROR"))</f>
        <v>0.86104246831644704</v>
      </c>
      <c r="L27" s="157">
        <f>IF($B27=" ","",IFERROR(VLOOKUP($B27,MMWR_ACCURACY_RO[],MATCH(L$9,MMWR_ACCURACY_RO[#Headers],0),0),"ERROR"))</f>
        <v>0.86782637976757904</v>
      </c>
      <c r="M27" s="157">
        <f>IF($B27=" ","",IFERROR(VLOOKUP($B27,MMWR_ACCURACY_RO[],MATCH(M$9,MMWR_ACCURACY_RO[#Headers],0),0),"ERROR"))</f>
        <v>5.4538171765275298E-2</v>
      </c>
      <c r="N27" s="157">
        <f>IF($B27=" ","",IFERROR(VLOOKUP($B27,MMWR_ACCURACY_RO[],MATCH(N$9,MMWR_ACCURACY_RO[#Headers],0),0),"ERROR"))</f>
        <v>0.92296878068812804</v>
      </c>
      <c r="O27" s="157">
        <f>IF($B27=" ","",IFERROR(VLOOKUP($B27,MMWR_ACCURACY_RO[],MATCH(O$9,MMWR_ACCURACY_RO[#Headers],0),0),"ERROR"))</f>
        <v>5.5376387136924297E-2</v>
      </c>
      <c r="P27" s="28"/>
    </row>
    <row r="28" spans="1:16" x14ac:dyDescent="0.2">
      <c r="A28" s="25"/>
      <c r="B28" s="8" t="str">
        <f>VLOOKUP($B$16,DISTRICT_RO[],13,0)</f>
        <v>Roanoke VSC</v>
      </c>
      <c r="C28" s="154">
        <f>IF($B28=" ","",IFERROR(INDEX(MMWR_RATING_RO_ROLLUP[],MATCH($B28,MMWR_RATING_RO_ROLLUP[MMWR_RATING_RO_ROLLUP],0),MATCH(C$9,MMWR_RATING_RO_ROLLUP[#Headers],0)),"ERROR"))</f>
        <v>3500</v>
      </c>
      <c r="D28" s="155">
        <f>IF($B28=" ","",IFERROR(INDEX(MMWR_RATING_RO_ROLLUP[],MATCH($B28,MMWR_RATING_RO_ROLLUP[MMWR_RATING_RO_ROLLUP],0),MATCH(D$9,MMWR_RATING_RO_ROLLUP[#Headers],0)),"ERROR"))</f>
        <v>102.7508571429</v>
      </c>
      <c r="E28" s="156">
        <f>IF($B28=" ","",IFERROR(INDEX(MMWR_RATING_RO_ROLLUP[],MATCH($B28,MMWR_RATING_RO_ROLLUP[MMWR_RATING_RO_ROLLUP],0),MATCH(E$9,MMWR_RATING_RO_ROLLUP[#Headers],0))/$C28,"ERROR"))</f>
        <v>0.2654285714285714</v>
      </c>
      <c r="F28" s="154">
        <f>IF($B28=" ","",IFERROR(INDEX(MMWR_RATING_RO_ROLLUP[],MATCH($B28,MMWR_RATING_RO_ROLLUP[MMWR_RATING_RO_ROLLUP],0),MATCH(F$9,MMWR_RATING_RO_ROLLUP[#Headers],0)),"ERROR"))</f>
        <v>2346</v>
      </c>
      <c r="G28" s="154">
        <f>IF($B28=" ","",IFERROR(INDEX(MMWR_RATING_RO_ROLLUP[],MATCH($B28,MMWR_RATING_RO_ROLLUP[MMWR_RATING_RO_ROLLUP],0),MATCH(G$9,MMWR_RATING_RO_ROLLUP[#Headers],0)),"ERROR"))</f>
        <v>31246</v>
      </c>
      <c r="H28" s="155">
        <f>IF($B28=" ","",IFERROR(INDEX(MMWR_RATING_RO_ROLLUP[],MATCH($B28,MMWR_RATING_RO_ROLLUP[MMWR_RATING_RO_ROLLUP],0),MATCH(H$9,MMWR_RATING_RO_ROLLUP[#Headers],0)),"ERROR"))</f>
        <v>125.4714407502</v>
      </c>
      <c r="I28" s="155">
        <f>IF($B28=" ","",IFERROR(INDEX(MMWR_RATING_RO_ROLLUP[],MATCH($B28,MMWR_RATING_RO_ROLLUP[MMWR_RATING_RO_ROLLUP],0),MATCH(I$9,MMWR_RATING_RO_ROLLUP[#Headers],0)),"ERROR"))</f>
        <v>132.29728605259999</v>
      </c>
      <c r="J28" s="157">
        <f>IF($B28=" ","",IFERROR(VLOOKUP($B28,MMWR_ACCURACY_RO[],MATCH(J$9,MMWR_ACCURACY_RO[#Headers],0),0),"ERROR"))</f>
        <v>0.95898587897020404</v>
      </c>
      <c r="K28" s="157">
        <f>IF($B28=" ","",IFERROR(VLOOKUP($B28,MMWR_ACCURACY_RO[],MATCH(K$9,MMWR_ACCURACY_RO[#Headers],0),0),"ERROR"))</f>
        <v>0.81915152780677902</v>
      </c>
      <c r="L28" s="157">
        <f>IF($B28=" ","",IFERROR(VLOOKUP($B28,MMWR_ACCURACY_RO[],MATCH(L$9,MMWR_ACCURACY_RO[#Headers],0),0),"ERROR"))</f>
        <v>0.88073942800484195</v>
      </c>
      <c r="M28" s="157">
        <f>IF($B28=" ","",IFERROR(VLOOKUP($B28,MMWR_ACCURACY_RO[],MATCH(M$9,MMWR_ACCURACY_RO[#Headers],0),0),"ERROR"))</f>
        <v>4.7679236017720401E-2</v>
      </c>
      <c r="N28" s="157">
        <f>IF($B28=" ","",IFERROR(VLOOKUP($B28,MMWR_ACCURACY_RO[],MATCH(N$9,MMWR_ACCURACY_RO[#Headers],0),0),"ERROR"))</f>
        <v>0.90782617926809495</v>
      </c>
      <c r="O28" s="157">
        <f>IF($B28=" ","",IFERROR(VLOOKUP($B28,MMWR_ACCURACY_RO[],MATCH(O$9,MMWR_ACCURACY_RO[#Headers],0),0),"ERROR"))</f>
        <v>4.4541584950891902E-2</v>
      </c>
      <c r="P28" s="28"/>
    </row>
    <row r="29" spans="1:16" x14ac:dyDescent="0.2">
      <c r="A29" s="25"/>
      <c r="B29" s="8" t="str">
        <f>VLOOKUP($B$16,DISTRICT_RO[],14,0)</f>
        <v>Togus VSC</v>
      </c>
      <c r="C29" s="154">
        <f>IF($B29=" ","",IFERROR(INDEX(MMWR_RATING_RO_ROLLUP[],MATCH($B29,MMWR_RATING_RO_ROLLUP[MMWR_RATING_RO_ROLLUP],0),MATCH(C$9,MMWR_RATING_RO_ROLLUP[#Headers],0)),"ERROR"))</f>
        <v>1934</v>
      </c>
      <c r="D29" s="155">
        <f>IF($B29=" ","",IFERROR(INDEX(MMWR_RATING_RO_ROLLUP[],MATCH($B29,MMWR_RATING_RO_ROLLUP[MMWR_RATING_RO_ROLLUP],0),MATCH(D$9,MMWR_RATING_RO_ROLLUP[#Headers],0)),"ERROR"))</f>
        <v>82.088417786999997</v>
      </c>
      <c r="E29" s="156">
        <f>IF($B29=" ","",IFERROR(INDEX(MMWR_RATING_RO_ROLLUP[],MATCH($B29,MMWR_RATING_RO_ROLLUP[MMWR_RATING_RO_ROLLUP],0),MATCH(E$9,MMWR_RATING_RO_ROLLUP[#Headers],0))/$C29,"ERROR"))</f>
        <v>0.16442605997931747</v>
      </c>
      <c r="F29" s="154">
        <f>IF($B29=" ","",IFERROR(INDEX(MMWR_RATING_RO_ROLLUP[],MATCH($B29,MMWR_RATING_RO_ROLLUP[MMWR_RATING_RO_ROLLUP],0),MATCH(F$9,MMWR_RATING_RO_ROLLUP[#Headers],0)),"ERROR"))</f>
        <v>1106</v>
      </c>
      <c r="G29" s="154">
        <f>IF($B29=" ","",IFERROR(INDEX(MMWR_RATING_RO_ROLLUP[],MATCH($B29,MMWR_RATING_RO_ROLLUP[MMWR_RATING_RO_ROLLUP],0),MATCH(G$9,MMWR_RATING_RO_ROLLUP[#Headers],0)),"ERROR"))</f>
        <v>15493</v>
      </c>
      <c r="H29" s="155">
        <f>IF($B29=" ","",IFERROR(INDEX(MMWR_RATING_RO_ROLLUP[],MATCH($B29,MMWR_RATING_RO_ROLLUP[MMWR_RATING_RO_ROLLUP],0),MATCH(H$9,MMWR_RATING_RO_ROLLUP[#Headers],0)),"ERROR"))</f>
        <v>95.499095840899997</v>
      </c>
      <c r="I29" s="155">
        <f>IF($B29=" ","",IFERROR(INDEX(MMWR_RATING_RO_ROLLUP[],MATCH($B29,MMWR_RATING_RO_ROLLUP[MMWR_RATING_RO_ROLLUP],0),MATCH(I$9,MMWR_RATING_RO_ROLLUP[#Headers],0)),"ERROR"))</f>
        <v>122.8623894662</v>
      </c>
      <c r="J29" s="157">
        <f>IF($B29=" ","",IFERROR(VLOOKUP($B29,MMWR_ACCURACY_RO[],MATCH(J$9,MMWR_ACCURACY_RO[#Headers],0),0),"ERROR"))</f>
        <v>0.94678323075158999</v>
      </c>
      <c r="K29" s="157">
        <f>IF($B29=" ","",IFERROR(VLOOKUP($B29,MMWR_ACCURACY_RO[],MATCH(K$9,MMWR_ACCURACY_RO[#Headers],0),0),"ERROR"))</f>
        <v>0.86753516691161103</v>
      </c>
      <c r="L29" s="157">
        <f>IF($B29=" ","",IFERROR(VLOOKUP($B29,MMWR_ACCURACY_RO[],MATCH(L$9,MMWR_ACCURACY_RO[#Headers],0),0),"ERROR"))</f>
        <v>0.899253271220113</v>
      </c>
      <c r="M29" s="157">
        <f>IF($B29=" ","",IFERROR(VLOOKUP($B29,MMWR_ACCURACY_RO[],MATCH(M$9,MMWR_ACCURACY_RO[#Headers],0),0),"ERROR"))</f>
        <v>4.4797839732621698E-2</v>
      </c>
      <c r="N29" s="157">
        <f>IF($B29=" ","",IFERROR(VLOOKUP($B29,MMWR_ACCURACY_RO[],MATCH(N$9,MMWR_ACCURACY_RO[#Headers],0),0),"ERROR"))</f>
        <v>0.92462705526085798</v>
      </c>
      <c r="O29" s="157">
        <f>IF($B29=" ","",IFERROR(VLOOKUP($B29,MMWR_ACCURACY_RO[],MATCH(O$9,MMWR_ACCURACY_RO[#Headers],0),0),"ERROR"))</f>
        <v>5.1063707128127897E-2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320</v>
      </c>
      <c r="D30" s="155">
        <f>IF($B30=" ","",IFERROR(INDEX(MMWR_RATING_RO_ROLLUP[],MATCH($B30,MMWR_RATING_RO_ROLLUP[MMWR_RATING_RO_ROLLUP],0),MATCH(D$9,MMWR_RATING_RO_ROLLUP[#Headers],0)),"ERROR"))</f>
        <v>97.978125000000006</v>
      </c>
      <c r="E30" s="156">
        <f>IF($B30=" ","",IFERROR(INDEX(MMWR_RATING_RO_ROLLUP[],MATCH($B30,MMWR_RATING_RO_ROLLUP[MMWR_RATING_RO_ROLLUP],0),MATCH(E$9,MMWR_RATING_RO_ROLLUP[#Headers],0))/$C30,"ERROR"))</f>
        <v>0.30937500000000001</v>
      </c>
      <c r="F30" s="154">
        <f>IF($B30=" ","",IFERROR(INDEX(MMWR_RATING_RO_ROLLUP[],MATCH($B30,MMWR_RATING_RO_ROLLUP[MMWR_RATING_RO_ROLLUP],0),MATCH(F$9,MMWR_RATING_RO_ROLLUP[#Headers],0)),"ERROR"))</f>
        <v>119</v>
      </c>
      <c r="G30" s="154">
        <f>IF($B30=" ","",IFERROR(INDEX(MMWR_RATING_RO_ROLLUP[],MATCH($B30,MMWR_RATING_RO_ROLLUP[MMWR_RATING_RO_ROLLUP],0),MATCH(G$9,MMWR_RATING_RO_ROLLUP[#Headers],0)),"ERROR"))</f>
        <v>1978</v>
      </c>
      <c r="H30" s="155">
        <f>IF($B30=" ","",IFERROR(INDEX(MMWR_RATING_RO_ROLLUP[],MATCH($B30,MMWR_RATING_RO_ROLLUP[MMWR_RATING_RO_ROLLUP],0),MATCH(H$9,MMWR_RATING_RO_ROLLUP[#Headers],0)),"ERROR"))</f>
        <v>197.27731092440001</v>
      </c>
      <c r="I30" s="155">
        <f>IF($B30=" ","",IFERROR(INDEX(MMWR_RATING_RO_ROLLUP[],MATCH($B30,MMWR_RATING_RO_ROLLUP[MMWR_RATING_RO_ROLLUP],0),MATCH(I$9,MMWR_RATING_RO_ROLLUP[#Headers],0)),"ERROR"))</f>
        <v>147.55712841249999</v>
      </c>
      <c r="J30" s="157">
        <f>IF($B30=" ","",IFERROR(VLOOKUP($B30,MMWR_ACCURACY_RO[],MATCH(J$9,MMWR_ACCURACY_RO[#Headers],0),0),"ERROR"))</f>
        <v>0.94781434257032005</v>
      </c>
      <c r="K30" s="157">
        <f>IF($B30=" ","",IFERROR(VLOOKUP($B30,MMWR_ACCURACY_RO[],MATCH(K$9,MMWR_ACCURACY_RO[#Headers],0),0),"ERROR"))</f>
        <v>0.87560940636650397</v>
      </c>
      <c r="L30" s="157">
        <f>IF($B30=" ","",IFERROR(VLOOKUP($B30,MMWR_ACCURACY_RO[],MATCH(L$9,MMWR_ACCURACY_RO[#Headers],0),0),"ERROR"))</f>
        <v>0.85696304103726595</v>
      </c>
      <c r="M30" s="157">
        <f>IF($B30=" ","",IFERROR(VLOOKUP($B30,MMWR_ACCURACY_RO[],MATCH(M$9,MMWR_ACCURACY_RO[#Headers],0),0),"ERROR"))</f>
        <v>4.5675954794637701E-2</v>
      </c>
      <c r="N30" s="157">
        <f>IF($B30=" ","",IFERROR(VLOOKUP($B30,MMWR_ACCURACY_RO[],MATCH(N$9,MMWR_ACCURACY_RO[#Headers],0),0),"ERROR"))</f>
        <v>0.866091921155973</v>
      </c>
      <c r="O30" s="157">
        <f>IF($B30=" ","",IFERROR(VLOOKUP($B30,MMWR_ACCURACY_RO[],MATCH(O$9,MMWR_ACCURACY_RO[#Headers],0),0),"ERROR"))</f>
        <v>0.115923375956293</v>
      </c>
      <c r="P30" s="28"/>
    </row>
    <row r="31" spans="1:16" x14ac:dyDescent="0.2">
      <c r="A31" s="25"/>
      <c r="B31" s="8" t="str">
        <f>VLOOKUP($B$16,DISTRICT_RO[],16,0)</f>
        <v>Wilmington VSC</v>
      </c>
      <c r="C31" s="154">
        <f>IF($B31=" ","",IFERROR(INDEX(MMWR_RATING_RO_ROLLUP[],MATCH($B31,MMWR_RATING_RO_ROLLUP[MMWR_RATING_RO_ROLLUP],0),MATCH(C$9,MMWR_RATING_RO_ROLLUP[#Headers],0)),"ERROR"))</f>
        <v>212</v>
      </c>
      <c r="D31" s="155">
        <f>IF($B31=" ","",IFERROR(INDEX(MMWR_RATING_RO_ROLLUP[],MATCH($B31,MMWR_RATING_RO_ROLLUP[MMWR_RATING_RO_ROLLUP],0),MATCH(D$9,MMWR_RATING_RO_ROLLUP[#Headers],0)),"ERROR"))</f>
        <v>169.55660377359999</v>
      </c>
      <c r="E31" s="156">
        <f>IF($B31=" ","",IFERROR(INDEX(MMWR_RATING_RO_ROLLUP[],MATCH($B31,MMWR_RATING_RO_ROLLUP[MMWR_RATING_RO_ROLLUP],0),MATCH(E$9,MMWR_RATING_RO_ROLLUP[#Headers],0))/$C31,"ERROR"))</f>
        <v>0.61792452830188682</v>
      </c>
      <c r="F31" s="154">
        <f>IF($B31=" ","",IFERROR(INDEX(MMWR_RATING_RO_ROLLUP[],MATCH($B31,MMWR_RATING_RO_ROLLUP[MMWR_RATING_RO_ROLLUP],0),MATCH(F$9,MMWR_RATING_RO_ROLLUP[#Headers],0)),"ERROR"))</f>
        <v>101</v>
      </c>
      <c r="G31" s="154">
        <f>IF($B31=" ","",IFERROR(INDEX(MMWR_RATING_RO_ROLLUP[],MATCH($B31,MMWR_RATING_RO_ROLLUP[MMWR_RATING_RO_ROLLUP],0),MATCH(G$9,MMWR_RATING_RO_ROLLUP[#Headers],0)),"ERROR"))</f>
        <v>1326</v>
      </c>
      <c r="H31" s="155">
        <f>IF($B31=" ","",IFERROR(INDEX(MMWR_RATING_RO_ROLLUP[],MATCH($B31,MMWR_RATING_RO_ROLLUP[MMWR_RATING_RO_ROLLUP],0),MATCH(H$9,MMWR_RATING_RO_ROLLUP[#Headers],0)),"ERROR"))</f>
        <v>199.2871287129</v>
      </c>
      <c r="I31" s="155">
        <f>IF($B31=" ","",IFERROR(INDEX(MMWR_RATING_RO_ROLLUP[],MATCH($B31,MMWR_RATING_RO_ROLLUP[MMWR_RATING_RO_ROLLUP],0),MATCH(I$9,MMWR_RATING_RO_ROLLUP[#Headers],0)),"ERROR"))</f>
        <v>139.70663650079999</v>
      </c>
      <c r="J31" s="157">
        <f>IF($B31=" ","",IFERROR(VLOOKUP($B31,MMWR_ACCURACY_RO[],MATCH(J$9,MMWR_ACCURACY_RO[#Headers],0),0),"ERROR"))</f>
        <v>0.91730563326770997</v>
      </c>
      <c r="K31" s="157">
        <f>IF($B31=" ","",IFERROR(VLOOKUP($B31,MMWR_ACCURACY_RO[],MATCH(K$9,MMWR_ACCURACY_RO[#Headers],0),0),"ERROR"))</f>
        <v>0.83668300653594796</v>
      </c>
      <c r="L31" s="157">
        <f>IF($B31=" ","",IFERROR(VLOOKUP($B31,MMWR_ACCURACY_RO[],MATCH(L$9,MMWR_ACCURACY_RO[#Headers],0),0),"ERROR"))</f>
        <v>0.872024457507802</v>
      </c>
      <c r="M31" s="157">
        <f>IF($B31=" ","",IFERROR(VLOOKUP($B31,MMWR_ACCURACY_RO[],MATCH(M$9,MMWR_ACCURACY_RO[#Headers],0),0),"ERROR"))</f>
        <v>4.6132350672263102E-2</v>
      </c>
      <c r="N31" s="157">
        <f>IF($B31=" ","",IFERROR(VLOOKUP($B31,MMWR_ACCURACY_RO[],MATCH(N$9,MMWR_ACCURACY_RO[#Headers],0),0),"ERROR"))</f>
        <v>0.89237000753579498</v>
      </c>
      <c r="O31" s="157">
        <f>IF($B31=" ","",IFERROR(VLOOKUP($B31,MMWR_ACCURACY_RO[],MATCH(O$9,MMWR_ACCURACY_RO[#Headers],0),0),"ERROR"))</f>
        <v>7.1771077985603102E-2</v>
      </c>
      <c r="P31" s="28"/>
    </row>
    <row r="32" spans="1:16" x14ac:dyDescent="0.2">
      <c r="A32" s="25"/>
      <c r="B32" s="8" t="str">
        <f>VLOOKUP($B$16,DISTRICT_RO[],17,0)</f>
        <v>Winston-Salem VSC</v>
      </c>
      <c r="C32" s="154">
        <f>IF($B32=" ","",IFERROR(INDEX(MMWR_RATING_RO_ROLLUP[],MATCH($B32,MMWR_RATING_RO_ROLLUP[MMWR_RATING_RO_ROLLUP],0),MATCH(C$9,MMWR_RATING_RO_ROLLUP[#Headers],0)),"ERROR"))</f>
        <v>5270</v>
      </c>
      <c r="D32" s="155">
        <f>IF($B32=" ","",IFERROR(INDEX(MMWR_RATING_RO_ROLLUP[],MATCH($B32,MMWR_RATING_RO_ROLLUP[MMWR_RATING_RO_ROLLUP],0),MATCH(D$9,MMWR_RATING_RO_ROLLUP[#Headers],0)),"ERROR"))</f>
        <v>97.873434535100003</v>
      </c>
      <c r="E32" s="156">
        <f>IF($B32=" ","",IFERROR(INDEX(MMWR_RATING_RO_ROLLUP[],MATCH($B32,MMWR_RATING_RO_ROLLUP[MMWR_RATING_RO_ROLLUP],0),MATCH(E$9,MMWR_RATING_RO_ROLLUP[#Headers],0))/$C32,"ERROR"))</f>
        <v>0.28538899430740039</v>
      </c>
      <c r="F32" s="154">
        <f>IF($B32=" ","",IFERROR(INDEX(MMWR_RATING_RO_ROLLUP[],MATCH($B32,MMWR_RATING_RO_ROLLUP[MMWR_RATING_RO_ROLLUP],0),MATCH(F$9,MMWR_RATING_RO_ROLLUP[#Headers],0)),"ERROR"))</f>
        <v>1968</v>
      </c>
      <c r="G32" s="154">
        <f>IF($B32=" ","",IFERROR(INDEX(MMWR_RATING_RO_ROLLUP[],MATCH($B32,MMWR_RATING_RO_ROLLUP[MMWR_RATING_RO_ROLLUP],0),MATCH(G$9,MMWR_RATING_RO_ROLLUP[#Headers],0)),"ERROR"))</f>
        <v>28594</v>
      </c>
      <c r="H32" s="155">
        <f>IF($B32=" ","",IFERROR(INDEX(MMWR_RATING_RO_ROLLUP[],MATCH($B32,MMWR_RATING_RO_ROLLUP[MMWR_RATING_RO_ROLLUP],0),MATCH(H$9,MMWR_RATING_RO_ROLLUP[#Headers],0)),"ERROR"))</f>
        <v>143.52032520329999</v>
      </c>
      <c r="I32" s="155">
        <f>IF($B32=" ","",IFERROR(INDEX(MMWR_RATING_RO_ROLLUP[],MATCH($B32,MMWR_RATING_RO_ROLLUP[MMWR_RATING_RO_ROLLUP],0),MATCH(I$9,MMWR_RATING_RO_ROLLUP[#Headers],0)),"ERROR"))</f>
        <v>141.86353780510001</v>
      </c>
      <c r="J32" s="157">
        <f>IF($B32=" ","",IFERROR(VLOOKUP($B32,MMWR_ACCURACY_RO[],MATCH(J$9,MMWR_ACCURACY_RO[#Headers],0),0),"ERROR"))</f>
        <v>0.96188619376942197</v>
      </c>
      <c r="K32" s="157">
        <f>IF($B32=" ","",IFERROR(VLOOKUP($B32,MMWR_ACCURACY_RO[],MATCH(K$9,MMWR_ACCURACY_RO[#Headers],0),0),"ERROR"))</f>
        <v>0.86729710634399304</v>
      </c>
      <c r="L32" s="157">
        <f>IF($B32=" ","",IFERROR(VLOOKUP($B32,MMWR_ACCURACY_RO[],MATCH(L$9,MMWR_ACCURACY_RO[#Headers],0),0),"ERROR"))</f>
        <v>0.85716717161620004</v>
      </c>
      <c r="M32" s="157">
        <f>IF($B32=" ","",IFERROR(VLOOKUP($B32,MMWR_ACCURACY_RO[],MATCH(M$9,MMWR_ACCURACY_RO[#Headers],0),0),"ERROR"))</f>
        <v>4.7966038447227001E-2</v>
      </c>
      <c r="N32" s="157">
        <f>IF($B32=" ","",IFERROR(VLOOKUP($B32,MMWR_ACCURACY_RO[],MATCH(N$9,MMWR_ACCURACY_RO[#Headers],0),0),"ERROR"))</f>
        <v>0.94065368739644595</v>
      </c>
      <c r="O32" s="157">
        <f>IF($B32=" ","",IFERROR(VLOOKUP($B32,MMWR_ACCURACY_RO[],MATCH(O$9,MMWR_ACCURACY_RO[#Headers],0),0),"ERROR"))</f>
        <v>4.7287604697840102E-2</v>
      </c>
      <c r="P32" s="28"/>
    </row>
    <row r="33" spans="1:16" x14ac:dyDescent="0.2">
      <c r="A33" s="25"/>
      <c r="B33" s="378" t="s">
        <v>732</v>
      </c>
      <c r="C33" s="379"/>
      <c r="D33" s="379"/>
      <c r="E33" s="379"/>
      <c r="F33" s="379"/>
      <c r="G33" s="379"/>
      <c r="H33" s="379"/>
      <c r="I33" s="379"/>
      <c r="J33" s="379"/>
      <c r="K33" s="379"/>
      <c r="L33" s="379"/>
      <c r="M33" s="379"/>
      <c r="N33" s="379"/>
      <c r="O33" s="379"/>
      <c r="P33" s="28"/>
    </row>
    <row r="34" spans="1:16" x14ac:dyDescent="0.2">
      <c r="A34" s="25"/>
      <c r="B34" s="11" t="s">
        <v>695</v>
      </c>
      <c r="C34" s="154">
        <f>IF($B34=" ","",IFERROR(INDEX(MMWR_RATING_RO_ROLLUP[],MATCH($B34,MMWR_RATING_RO_ROLLUP[MMWR_RATING_RO_ROLLUP],0),MATCH(C$9,MMWR_RATING_RO_ROLLUP[#Headers],0)),"ERROR"))</f>
        <v>25646</v>
      </c>
      <c r="D34" s="155">
        <f>IF($B34=" ","",IFERROR(INDEX(MMWR_RATING_RO_ROLLUP[],MATCH($B34,MMWR_RATING_RO_ROLLUP[MMWR_RATING_RO_ROLLUP],0),MATCH(D$9,MMWR_RATING_RO_ROLLUP[#Headers],0)),"ERROR"))</f>
        <v>67.693168525299996</v>
      </c>
      <c r="E34" s="156">
        <f>IF($B34=" ","",IFERROR(INDEX(MMWR_RATING_RO_ROLLUP[],MATCH($B34,MMWR_RATING_RO_ROLLUP[MMWR_RATING_RO_ROLLUP],0),MATCH(E$9,MMWR_RATING_RO_ROLLUP[#Headers],0))/$C34,"ERROR"))</f>
        <v>0.12274818685175076</v>
      </c>
      <c r="F34" s="154">
        <f>IF($B34=" ","",IFERROR(INDEX(MMWR_RATING_RO_ROLLUP[],MATCH($B34,MMWR_RATING_RO_ROLLUP[MMWR_RATING_RO_ROLLUP],0),MATCH(F$9,MMWR_RATING_RO_ROLLUP[#Headers],0)),"ERROR"))</f>
        <v>10009</v>
      </c>
      <c r="G34" s="154">
        <f>IF($B34=" ","",IFERROR(INDEX(MMWR_RATING_RO_ROLLUP[],MATCH($B34,MMWR_RATING_RO_ROLLUP[MMWR_RATING_RO_ROLLUP],0),MATCH(G$9,MMWR_RATING_RO_ROLLUP[#Headers],0)),"ERROR"))</f>
        <v>132292</v>
      </c>
      <c r="H34" s="155">
        <f>IF($B34=" ","",IFERROR(INDEX(MMWR_RATING_RO_ROLLUP[],MATCH($B34,MMWR_RATING_RO_ROLLUP[MMWR_RATING_RO_ROLLUP],0),MATCH(H$9,MMWR_RATING_RO_ROLLUP[#Headers],0)),"ERROR"))</f>
        <v>81.959236687000001</v>
      </c>
      <c r="I34" s="155">
        <f>IF($B34=" ","",IFERROR(INDEX(MMWR_RATING_RO_ROLLUP[],MATCH($B34,MMWR_RATING_RO_ROLLUP[MMWR_RATING_RO_ROLLUP],0),MATCH(I$9,MMWR_RATING_RO_ROLLUP[#Headers],0)),"ERROR"))</f>
        <v>79.321138088500007</v>
      </c>
      <c r="J34" s="42"/>
      <c r="K34" s="262">
        <f>IF($B34=" ","",IFERROR(VLOOKUP($B34,MMWR_ACCURACY_RO[],MATCH(K$50,MMWR_ACCURACY_RO[#Headers],0),0),"ERROR"))</f>
        <v>0.98861798182406402</v>
      </c>
      <c r="L34" s="262">
        <f>IF($B34=" ","",IFERROR(VLOOKUP($B34,MMWR_ACCURACY_RO[],MATCH(L$50,MMWR_ACCURACY_RO[#Headers],0),0),"ERROR"))</f>
        <v>0.96596963758717302</v>
      </c>
      <c r="M34" s="262">
        <f>IF($B34=" ","",IFERROR(VLOOKUP($B34,MMWR_ACCURACY_RO[],MATCH(M$50,MMWR_ACCURACY_RO[#Headers],0),0),"ERROR"))</f>
        <v>1.8343995693259299E-2</v>
      </c>
      <c r="N34" s="262">
        <f>IF($B34=" ","",IFERROR(VLOOKUP($B34,MMWR_ACCURACY_RO[],MATCH(N$50,MMWR_ACCURACY_RO[#Headers],0),0),"ERROR"))</f>
        <v>0.96864495028045905</v>
      </c>
      <c r="O34" s="262">
        <f>IF($B34=" ","",IFERROR(VLOOKUP($B34,MMWR_ACCURACY_RO[],MATCH(O$50,MMWR_ACCURACY_RO[#Headers],0),0),"ERROR"))</f>
        <v>1.7727389141889E-2</v>
      </c>
      <c r="P34" s="28"/>
    </row>
    <row r="35" spans="1:16" x14ac:dyDescent="0.2">
      <c r="A35" s="25"/>
      <c r="B35" s="12" t="s">
        <v>210</v>
      </c>
      <c r="C35" s="154">
        <f>IF($B35=" ","",IFERROR(INDEX(MMWR_RATING_RO_ROLLUP[],MATCH($B35,MMWR_RATING_RO_ROLLUP[MMWR_RATING_RO_ROLLUP],0),MATCH(C$9,MMWR_RATING_RO_ROLLUP[#Headers],0)),"ERROR"))</f>
        <v>11403</v>
      </c>
      <c r="D35" s="155">
        <f>IF($B35=" ","",IFERROR(INDEX(MMWR_RATING_RO_ROLLUP[],MATCH($B35,MMWR_RATING_RO_ROLLUP[MMWR_RATING_RO_ROLLUP],0),MATCH(D$9,MMWR_RATING_RO_ROLLUP[#Headers],0)),"ERROR"))</f>
        <v>62.700955888800003</v>
      </c>
      <c r="E35" s="156">
        <f>IF($B35=" ","",IFERROR(INDEX(MMWR_RATING_RO_ROLLUP[],MATCH($B35,MMWR_RATING_RO_ROLLUP[MMWR_RATING_RO_ROLLUP],0),MATCH(E$9,MMWR_RATING_RO_ROLLUP[#Headers],0))/$C35,"ERROR"))</f>
        <v>0.11602209944751381</v>
      </c>
      <c r="F35" s="154">
        <f>IF($B35=" ","",IFERROR(INDEX(MMWR_RATING_RO_ROLLUP[],MATCH($B35,MMWR_RATING_RO_ROLLUP[MMWR_RATING_RO_ROLLUP],0),MATCH(F$9,MMWR_RATING_RO_ROLLUP[#Headers],0)),"ERROR"))</f>
        <v>3884</v>
      </c>
      <c r="G35" s="154">
        <f>IF($B35=" ","",IFERROR(INDEX(MMWR_RATING_RO_ROLLUP[],MATCH($B35,MMWR_RATING_RO_ROLLUP[MMWR_RATING_RO_ROLLUP],0),MATCH(G$9,MMWR_RATING_RO_ROLLUP[#Headers],0)),"ERROR"))</f>
        <v>44461</v>
      </c>
      <c r="H35" s="155">
        <f>IF($B35=" ","",IFERROR(INDEX(MMWR_RATING_RO_ROLLUP[],MATCH($B35,MMWR_RATING_RO_ROLLUP[MMWR_RATING_RO_ROLLUP],0),MATCH(H$9,MMWR_RATING_RO_ROLLUP[#Headers],0)),"ERROR"))</f>
        <v>101.28836251289999</v>
      </c>
      <c r="I35" s="155">
        <f>IF($B35=" ","",IFERROR(INDEX(MMWR_RATING_RO_ROLLUP[],MATCH($B35,MMWR_RATING_RO_ROLLUP[MMWR_RATING_RO_ROLLUP],0),MATCH(I$9,MMWR_RATING_RO_ROLLUP[#Headers],0)),"ERROR"))</f>
        <v>99.881986459999993</v>
      </c>
      <c r="J35" s="42"/>
      <c r="K35" s="251">
        <f>IF($B35=" ","",IFERROR(VLOOKUP($B35,MMWR_ACCURACY_RO[],MATCH(K$50,MMWR_ACCURACY_RO[#Headers],0),0),"ERROR"))</f>
        <v>1</v>
      </c>
      <c r="L35" s="251">
        <f>IF($B35=" ","",IFERROR(VLOOKUP($B35,MMWR_ACCURACY_RO[],MATCH(L$50,MMWR_ACCURACY_RO[#Headers],0),0),"ERROR"))</f>
        <v>0.94032486922637104</v>
      </c>
      <c r="M35" s="251">
        <f>IF($B35=" ","",IFERROR(VLOOKUP($B35,MMWR_ACCURACY_RO[],MATCH(M$50,MMWR_ACCURACY_RO[#Headers],0),0),"ERROR"))</f>
        <v>4.0677243867986802E-2</v>
      </c>
      <c r="N35" s="251">
        <f>IF($B35=" ","",IFERROR(VLOOKUP($B35,MMWR_ACCURACY_RO[],MATCH(N$50,MMWR_ACCURACY_RO[#Headers],0),0),"ERROR"))</f>
        <v>0.94630224150561704</v>
      </c>
      <c r="O35" s="251">
        <f>IF($B35=" ","",IFERROR(VLOOKUP($B35,MMWR_ACCURACY_RO[],MATCH(O$50,MMWR_ACCURACY_RO[#Headers],0),0),"ERROR"))</f>
        <v>3.7678527632225102E-2</v>
      </c>
      <c r="P35" s="28"/>
    </row>
    <row r="36" spans="1:16" x14ac:dyDescent="0.2">
      <c r="A36" s="43"/>
      <c r="B36" s="12" t="s">
        <v>209</v>
      </c>
      <c r="C36" s="154">
        <f>IF($B36=" ","",IFERROR(INDEX(MMWR_RATING_RO_ROLLUP[],MATCH($B36,MMWR_RATING_RO_ROLLUP[MMWR_RATING_RO_ROLLUP],0),MATCH(C$9,MMWR_RATING_RO_ROLLUP[#Headers],0)),"ERROR"))</f>
        <v>5471</v>
      </c>
      <c r="D36" s="155">
        <f>IF($B36=" ","",IFERROR(INDEX(MMWR_RATING_RO_ROLLUP[],MATCH($B36,MMWR_RATING_RO_ROLLUP[MMWR_RATING_RO_ROLLUP],0),MATCH(D$9,MMWR_RATING_RO_ROLLUP[#Headers],0)),"ERROR"))</f>
        <v>69.622372509599998</v>
      </c>
      <c r="E36" s="156">
        <f>IF($B36=" ","",IFERROR(INDEX(MMWR_RATING_RO_ROLLUP[],MATCH($B36,MMWR_RATING_RO_ROLLUP[MMWR_RATING_RO_ROLLUP],0),MATCH(E$9,MMWR_RATING_RO_ROLLUP[#Headers],0))/$C36,"ERROR"))</f>
        <v>0.14074209468104551</v>
      </c>
      <c r="F36" s="154">
        <f>IF($B36=" ","",IFERROR(INDEX(MMWR_RATING_RO_ROLLUP[],MATCH($B36,MMWR_RATING_RO_ROLLUP[MMWR_RATING_RO_ROLLUP],0),MATCH(F$9,MMWR_RATING_RO_ROLLUP[#Headers],0)),"ERROR"))</f>
        <v>2611</v>
      </c>
      <c r="G36" s="154">
        <f>IF($B36=" ","",IFERROR(INDEX(MMWR_RATING_RO_ROLLUP[],MATCH($B36,MMWR_RATING_RO_ROLLUP[MMWR_RATING_RO_ROLLUP],0),MATCH(G$9,MMWR_RATING_RO_ROLLUP[#Headers],0)),"ERROR"))</f>
        <v>37135</v>
      </c>
      <c r="H36" s="155">
        <f>IF($B36=" ","",IFERROR(INDEX(MMWR_RATING_RO_ROLLUP[],MATCH($B36,MMWR_RATING_RO_ROLLUP[MMWR_RATING_RO_ROLLUP],0),MATCH(H$9,MMWR_RATING_RO_ROLLUP[#Headers],0)),"ERROR"))</f>
        <v>66.231711987699995</v>
      </c>
      <c r="I36" s="155">
        <f>IF($B36=" ","",IFERROR(INDEX(MMWR_RATING_RO_ROLLUP[],MATCH($B36,MMWR_RATING_RO_ROLLUP[MMWR_RATING_RO_ROLLUP],0),MATCH(I$9,MMWR_RATING_RO_ROLLUP[#Headers],0)),"ERROR"))</f>
        <v>70.7618149993</v>
      </c>
      <c r="J36" s="42"/>
      <c r="K36" s="251">
        <f>IF($B36=" ","",IFERROR(VLOOKUP($B36,MMWR_ACCURACY_RO[],MATCH(K$50,MMWR_ACCURACY_RO[#Headers],0),0),"ERROR"))</f>
        <v>0.96110552763819102</v>
      </c>
      <c r="L36" s="251">
        <f>IF($B36=" ","",IFERROR(VLOOKUP($B36,MMWR_ACCURACY_RO[],MATCH(L$50,MMWR_ACCURACY_RO[#Headers],0),0),"ERROR"))</f>
        <v>0.96239967637540502</v>
      </c>
      <c r="M36" s="251">
        <f>IF($B36=" ","",IFERROR(VLOOKUP($B36,MMWR_ACCURACY_RO[],MATCH(M$50,MMWR_ACCURACY_RO[#Headers],0),0),"ERROR"))</f>
        <v>3.7286651021739302E-2</v>
      </c>
      <c r="N36" s="251">
        <f>IF($B36=" ","",IFERROR(VLOOKUP($B36,MMWR_ACCURACY_RO[],MATCH(N$50,MMWR_ACCURACY_RO[#Headers],0),0),"ERROR"))</f>
        <v>0.98548792369622096</v>
      </c>
      <c r="O36" s="251">
        <f>IF($B36=" ","",IFERROR(VLOOKUP($B36,MMWR_ACCURACY_RO[],MATCH(O$50,MMWR_ACCURACY_RO[#Headers],0),0),"ERROR"))</f>
        <v>1.6383998244628401E-2</v>
      </c>
      <c r="P36" s="28"/>
    </row>
    <row r="37" spans="1:16" x14ac:dyDescent="0.2">
      <c r="A37" s="25"/>
      <c r="B37" s="12" t="s">
        <v>212</v>
      </c>
      <c r="C37" s="154">
        <f>IF($B37=" ","",IFERROR(INDEX(MMWR_RATING_RO_ROLLUP[],MATCH($B37,MMWR_RATING_RO_ROLLUP[MMWR_RATING_RO_ROLLUP],0),MATCH(C$9,MMWR_RATING_RO_ROLLUP[#Headers],0)),"ERROR"))</f>
        <v>7953</v>
      </c>
      <c r="D37" s="155">
        <f>IF($B37=" ","",IFERROR(INDEX(MMWR_RATING_RO_ROLLUP[],MATCH($B37,MMWR_RATING_RO_ROLLUP[MMWR_RATING_RO_ROLLUP],0),MATCH(D$9,MMWR_RATING_RO_ROLLUP[#Headers],0)),"ERROR"))</f>
        <v>59.7442474538</v>
      </c>
      <c r="E37" s="156">
        <f>IF($B37=" ","",IFERROR(INDEX(MMWR_RATING_RO_ROLLUP[],MATCH($B37,MMWR_RATING_RO_ROLLUP[MMWR_RATING_RO_ROLLUP],0),MATCH(E$9,MMWR_RATING_RO_ROLLUP[#Headers],0))/$C37,"ERROR"))</f>
        <v>7.5694706400100592E-2</v>
      </c>
      <c r="F37" s="154">
        <f>IF($B37=" ","",IFERROR(INDEX(MMWR_RATING_RO_ROLLUP[],MATCH($B37,MMWR_RATING_RO_ROLLUP[MMWR_RATING_RO_ROLLUP],0),MATCH(F$9,MMWR_RATING_RO_ROLLUP[#Headers],0)),"ERROR"))</f>
        <v>3227</v>
      </c>
      <c r="G37" s="154">
        <f>IF($B37=" ","",IFERROR(INDEX(MMWR_RATING_RO_ROLLUP[],MATCH($B37,MMWR_RATING_RO_ROLLUP[MMWR_RATING_RO_ROLLUP],0),MATCH(G$9,MMWR_RATING_RO_ROLLUP[#Headers],0)),"ERROR"))</f>
        <v>46754</v>
      </c>
      <c r="H37" s="155">
        <f>IF($B37=" ","",IFERROR(INDEX(MMWR_RATING_RO_ROLLUP[],MATCH($B37,MMWR_RATING_RO_ROLLUP[MMWR_RATING_RO_ROLLUP],0),MATCH(H$9,MMWR_RATING_RO_ROLLUP[#Headers],0)),"ERROR"))</f>
        <v>71.851874806300003</v>
      </c>
      <c r="I37" s="155">
        <f>IF($B37=" ","",IFERROR(INDEX(MMWR_RATING_RO_ROLLUP[],MATCH($B37,MMWR_RATING_RO_ROLLUP[MMWR_RATING_RO_ROLLUP],0),MATCH(I$9,MMWR_RATING_RO_ROLLUP[#Headers],0)),"ERROR"))</f>
        <v>68.769388715399998</v>
      </c>
      <c r="J37" s="42"/>
      <c r="K37" s="251">
        <f>IF($B37=" ","",IFERROR(VLOOKUP($B37,MMWR_ACCURACY_RO[],MATCH(K$50,MMWR_ACCURACY_RO[#Headers],0),0),"ERROR"))</f>
        <v>1</v>
      </c>
      <c r="L37" s="251">
        <f>IF($B37=" ","",IFERROR(VLOOKUP($B37,MMWR_ACCURACY_RO[],MATCH(L$50,MMWR_ACCURACY_RO[#Headers],0),0),"ERROR"))</f>
        <v>0.99137898774441002</v>
      </c>
      <c r="M37" s="251">
        <f>IF($B37=" ","",IFERROR(VLOOKUP($B37,MMWR_ACCURACY_RO[],MATCH(M$50,MMWR_ACCURACY_RO[#Headers],0),0),"ERROR"))</f>
        <v>1.28793727116459E-2</v>
      </c>
      <c r="N37" s="251">
        <f>IF($B37=" ","",IFERROR(VLOOKUP($B37,MMWR_ACCURACY_RO[],MATCH(N$50,MMWR_ACCURACY_RO[#Headers],0),0),"ERROR"))</f>
        <v>0.98073203423033295</v>
      </c>
      <c r="O37" s="251">
        <f>IF($B37=" ","",IFERROR(VLOOKUP($B37,MMWR_ACCURACY_RO[],MATCH(O$50,MMWR_ACCURACY_RO[#Headers],0),0),"ERROR"))</f>
        <v>2.3364044644334801E-2</v>
      </c>
      <c r="P37" s="28"/>
    </row>
    <row r="38" spans="1:16" x14ac:dyDescent="0.2">
      <c r="A38" s="25"/>
      <c r="B38" s="13" t="s">
        <v>224</v>
      </c>
      <c r="C38" s="154">
        <f>IF($B38=" ","",IFERROR(INDEX(MMWR_RATING_RO_ROLLUP[],MATCH($B38,MMWR_RATING_RO_ROLLUP[MMWR_RATING_RO_ROLLUP],0),MATCH(C$9,MMWR_RATING_RO_ROLLUP[#Headers],0)),"ERROR"))</f>
        <v>819</v>
      </c>
      <c r="D38" s="155">
        <f>IF($B38=" ","",IFERROR(INDEX(MMWR_RATING_RO_ROLLUP[],MATCH($B38,MMWR_RATING_RO_ROLLUP[MMWR_RATING_RO_ROLLUP],0),MATCH(D$9,MMWR_RATING_RO_ROLLUP[#Headers],0)),"ERROR"))</f>
        <v>201.50183150180001</v>
      </c>
      <c r="E38" s="156">
        <f>IF($B38=" ","",IFERROR(INDEX(MMWR_RATING_RO_ROLLUP[],MATCH($B38,MMWR_RATING_RO_ROLLUP[MMWR_RATING_RO_ROLLUP],0),MATCH(E$9,MMWR_RATING_RO_ROLLUP[#Headers],0))/$C38,"ERROR"))</f>
        <v>0.55311355311355315</v>
      </c>
      <c r="F38" s="154">
        <f>IF($B38=" ","",IFERROR(INDEX(MMWR_RATING_RO_ROLLUP[],MATCH($B38,MMWR_RATING_RO_ROLLUP[MMWR_RATING_RO_ROLLUP],0),MATCH(F$9,MMWR_RATING_RO_ROLLUP[#Headers],0)),"ERROR"))</f>
        <v>287</v>
      </c>
      <c r="G38" s="154">
        <f>IF($B38=" ","",IFERROR(INDEX(MMWR_RATING_RO_ROLLUP[],MATCH($B38,MMWR_RATING_RO_ROLLUP[MMWR_RATING_RO_ROLLUP],0),MATCH(G$9,MMWR_RATING_RO_ROLLUP[#Headers],0)),"ERROR"))</f>
        <v>3942</v>
      </c>
      <c r="H38" s="155">
        <f>IF($B38=" ","",IFERROR(INDEX(MMWR_RATING_RO_ROLLUP[],MATCH($B38,MMWR_RATING_RO_ROLLUP[MMWR_RATING_RO_ROLLUP],0),MATCH(H$9,MMWR_RATING_RO_ROLLUP[#Headers],0)),"ERROR"))</f>
        <v>77.104529616700006</v>
      </c>
      <c r="I38" s="155">
        <f>IF($B38=" ","",IFERROR(INDEX(MMWR_RATING_RO_ROLLUP[],MATCH($B38,MMWR_RATING_RO_ROLLUP[MMWR_RATING_RO_ROLLUP],0),MATCH(I$9,MMWR_RATING_RO_ROLLUP[#Headers],0)),"ERROR"))</f>
        <v>53.200152207000002</v>
      </c>
      <c r="J38" s="42"/>
      <c r="K38" s="42"/>
      <c r="L38" s="42"/>
      <c r="M38" s="42"/>
      <c r="N38" s="42"/>
      <c r="O38" s="42"/>
      <c r="P38" s="28"/>
    </row>
    <row r="39" spans="1:16" x14ac:dyDescent="0.2">
      <c r="A39" s="25"/>
      <c r="B39" s="378" t="s">
        <v>915</v>
      </c>
      <c r="C39" s="379"/>
      <c r="D39" s="379"/>
      <c r="E39" s="379"/>
      <c r="F39" s="379"/>
      <c r="G39" s="379"/>
      <c r="H39" s="379"/>
      <c r="I39" s="379"/>
      <c r="J39" s="379"/>
      <c r="K39" s="379"/>
      <c r="L39" s="379"/>
      <c r="M39" s="379"/>
      <c r="N39" s="379"/>
      <c r="O39" s="379"/>
      <c r="P39" s="28"/>
    </row>
    <row r="40" spans="1:16" x14ac:dyDescent="0.2">
      <c r="A40" s="25"/>
      <c r="B40" s="44" t="s">
        <v>696</v>
      </c>
      <c r="C40" s="154">
        <f>IF($B40=" ","",IFERROR(INDEX(MMWR_RATING_RO_ROLLUP[],MATCH($B40,MMWR_RATING_RO_ROLLUP[MMWR_RATING_RO_ROLLUP],0),MATCH(C$9,MMWR_RATING_RO_ROLLUP[#Headers],0)),"ERROR"))</f>
        <v>7895</v>
      </c>
      <c r="D40" s="155">
        <f>IF($B40=" ","",IFERROR(INDEX(MMWR_RATING_RO_ROLLUP[],MATCH($B40,MMWR_RATING_RO_ROLLUP[MMWR_RATING_RO_ROLLUP],0),MATCH(D$9,MMWR_RATING_RO_ROLLUP[#Headers],0)),"ERROR"))</f>
        <v>66.609246358500002</v>
      </c>
      <c r="E40" s="156">
        <f>IF($B40=" ","",IFERROR(INDEX(MMWR_RATING_RO_ROLLUP[],MATCH($B40,MMWR_RATING_RO_ROLLUP[MMWR_RATING_RO_ROLLUP],0),MATCH(E$9,MMWR_RATING_RO_ROLLUP[#Headers],0))/$C40,"ERROR"))</f>
        <v>0.11209626345788473</v>
      </c>
      <c r="F40" s="154">
        <f>IF($B40=" ","",IFERROR(INDEX(MMWR_RATING_RO_ROLLUP[],MATCH($B40,MMWR_RATING_RO_ROLLUP[MMWR_RATING_RO_ROLLUP],0),MATCH(F$9,MMWR_RATING_RO_ROLLUP[#Headers],0)),"ERROR"))</f>
        <v>1349</v>
      </c>
      <c r="G40" s="154">
        <f>IF($B40=" ","",IFERROR(INDEX(MMWR_RATING_RO_ROLLUP[],MATCH($B40,MMWR_RATING_RO_ROLLUP[MMWR_RATING_RO_ROLLUP],0),MATCH(G$9,MMWR_RATING_RO_ROLLUP[#Headers],0)),"ERROR"))</f>
        <v>22704</v>
      </c>
      <c r="H40" s="155">
        <f>IF($B40=" ","",IFERROR(INDEX(MMWR_RATING_RO_ROLLUP[],MATCH($B40,MMWR_RATING_RO_ROLLUP[MMWR_RATING_RO_ROLLUP],0),MATCH(H$9,MMWR_RATING_RO_ROLLUP[#Headers],0)),"ERROR"))</f>
        <v>110.07412898440001</v>
      </c>
      <c r="I40" s="155">
        <f>IF($B40=" ","",IFERROR(INDEX(MMWR_RATING_RO_ROLLUP[],MATCH($B40,MMWR_RATING_RO_ROLLUP[MMWR_RATING_RO_ROLLUP],0),MATCH(I$9,MMWR_RATING_RO_ROLLUP[#Headers],0)),"ERROR"))</f>
        <v>136.25858879489999</v>
      </c>
      <c r="J40" s="42"/>
      <c r="K40" s="42"/>
      <c r="L40" s="42"/>
      <c r="M40" s="42"/>
      <c r="N40" s="42"/>
      <c r="O40" s="42"/>
      <c r="P40" s="28"/>
    </row>
    <row r="41" spans="1:16" x14ac:dyDescent="0.2">
      <c r="A41" s="25"/>
      <c r="B41" s="45" t="s">
        <v>955</v>
      </c>
      <c r="C41" s="154">
        <f>IF($B41=" ","",IFERROR(INDEX(MMWR_RATING_RO_ROLLUP[],MATCH($B41,MMWR_RATING_RO_ROLLUP[MMWR_RATING_RO_ROLLUP],0),MATCH(C$9,MMWR_RATING_RO_ROLLUP[#Headers],0)),"ERROR"))</f>
        <v>518</v>
      </c>
      <c r="D41" s="155">
        <f>IF($B41=" ","",IFERROR(INDEX(MMWR_RATING_RO_ROLLUP[],MATCH($B41,MMWR_RATING_RO_ROLLUP[MMWR_RATING_RO_ROLLUP],0),MATCH(D$9,MMWR_RATING_RO_ROLLUP[#Headers],0)),"ERROR"))</f>
        <v>109.8436293436</v>
      </c>
      <c r="E41" s="156">
        <f>IF($B41=" ","",IFERROR(INDEX(MMWR_RATING_RO_ROLLUP[],MATCH($B41,MMWR_RATING_RO_ROLLUP[MMWR_RATING_RO_ROLLUP],0),MATCH(E$9,MMWR_RATING_RO_ROLLUP[#Headers],0))/$C41,"ERROR"))</f>
        <v>0.27799227799227799</v>
      </c>
      <c r="F41" s="154">
        <f>IF($B41=" ","",IFERROR(INDEX(MMWR_RATING_RO_ROLLUP[],MATCH($B41,MMWR_RATING_RO_ROLLUP[MMWR_RATING_RO_ROLLUP],0),MATCH(F$9,MMWR_RATING_RO_ROLLUP[#Headers],0)),"ERROR"))</f>
        <v>758</v>
      </c>
      <c r="G41" s="154">
        <f>IF($B41=" ","",IFERROR(INDEX(MMWR_RATING_RO_ROLLUP[],MATCH($B41,MMWR_RATING_RO_ROLLUP[MMWR_RATING_RO_ROLLUP],0),MATCH(G$9,MMWR_RATING_RO_ROLLUP[#Headers],0)),"ERROR"))</f>
        <v>10357</v>
      </c>
      <c r="H41" s="155">
        <f>IF($B41=" ","",IFERROR(INDEX(MMWR_RATING_RO_ROLLUP[],MATCH($B41,MMWR_RATING_RO_ROLLUP[MMWR_RATING_RO_ROLLUP],0),MATCH(H$9,MMWR_RATING_RO_ROLLUP[#Headers],0)),"ERROR"))</f>
        <v>100.3377308707</v>
      </c>
      <c r="I41" s="155">
        <f>IF($B41=" ","",IFERROR(INDEX(MMWR_RATING_RO_ROLLUP[],MATCH($B41,MMWR_RATING_RO_ROLLUP[MMWR_RATING_RO_ROLLUP],0),MATCH(I$9,MMWR_RATING_RO_ROLLUP[#Headers],0)),"ERROR"))</f>
        <v>123.03099353090001</v>
      </c>
      <c r="J41" s="42"/>
      <c r="K41" s="42"/>
      <c r="L41" s="42"/>
      <c r="M41" s="42"/>
      <c r="N41" s="42"/>
      <c r="O41" s="42"/>
      <c r="P41" s="28"/>
    </row>
    <row r="42" spans="1:16" x14ac:dyDescent="0.2">
      <c r="A42" s="25"/>
      <c r="B42" s="45" t="s">
        <v>956</v>
      </c>
      <c r="C42" s="154">
        <f>IF($B42=" ","",IFERROR(INDEX(MMWR_RATING_RO_ROLLUP[],MATCH($B42,MMWR_RATING_RO_ROLLUP[MMWR_RATING_RO_ROLLUP],0),MATCH(C$9,MMWR_RATING_RO_ROLLUP[#Headers],0)),"ERROR"))</f>
        <v>1369</v>
      </c>
      <c r="D42" s="155">
        <f>IF($B42=" ","",IFERROR(INDEX(MMWR_RATING_RO_ROLLUP[],MATCH($B42,MMWR_RATING_RO_ROLLUP[MMWR_RATING_RO_ROLLUP],0),MATCH(D$9,MMWR_RATING_RO_ROLLUP[#Headers],0)),"ERROR"))</f>
        <v>78.334550766999996</v>
      </c>
      <c r="E42" s="156">
        <f>IF($B42=" ","",IFERROR(INDEX(MMWR_RATING_RO_ROLLUP[],MATCH($B42,MMWR_RATING_RO_ROLLUP[MMWR_RATING_RO_ROLLUP],0),MATCH(E$9,MMWR_RATING_RO_ROLLUP[#Headers],0))/$C42,"ERROR"))</f>
        <v>8.8385682980277575E-2</v>
      </c>
      <c r="F42" s="154">
        <f>IF($B42=" ","",IFERROR(INDEX(MMWR_RATING_RO_ROLLUP[],MATCH($B42,MMWR_RATING_RO_ROLLUP[MMWR_RATING_RO_ROLLUP],0),MATCH(F$9,MMWR_RATING_RO_ROLLUP[#Headers],0)),"ERROR"))</f>
        <v>494</v>
      </c>
      <c r="G42" s="154">
        <f>IF($B42=" ","",IFERROR(INDEX(MMWR_RATING_RO_ROLLUP[],MATCH($B42,MMWR_RATING_RO_ROLLUP[MMWR_RATING_RO_ROLLUP],0),MATCH(G$9,MMWR_RATING_RO_ROLLUP[#Headers],0)),"ERROR"))</f>
        <v>8411</v>
      </c>
      <c r="H42" s="155">
        <f>IF($B42=" ","",IFERROR(INDEX(MMWR_RATING_RO_ROLLUP[],MATCH($B42,MMWR_RATING_RO_ROLLUP[MMWR_RATING_RO_ROLLUP],0),MATCH(H$9,MMWR_RATING_RO_ROLLUP[#Headers],0)),"ERROR"))</f>
        <v>122.8036437247</v>
      </c>
      <c r="I42" s="155">
        <f>IF($B42=" ","",IFERROR(INDEX(MMWR_RATING_RO_ROLLUP[],MATCH($B42,MMWR_RATING_RO_ROLLUP[MMWR_RATING_RO_ROLLUP],0),MATCH(I$9,MMWR_RATING_RO_ROLLUP[#Headers],0)),"ERROR"))</f>
        <v>153.97110926170001</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6008</v>
      </c>
      <c r="D43" s="155">
        <f>IF($B43=" ","",IFERROR(INDEX(MMWR_RATING_RO_ROLLUP[],MATCH($B43,MMWR_RATING_RO_ROLLUP[MMWR_RATING_RO_ROLLUP],0),MATCH(D$9,MMWR_RATING_RO_ROLLUP[#Headers],0)),"ERROR"))</f>
        <v>60.209886817600001</v>
      </c>
      <c r="E43" s="156">
        <f>IF($B43=" ","",IFERROR(INDEX(MMWR_RATING_RO_ROLLUP[],MATCH($B43,MMWR_RATING_RO_ROLLUP[MMWR_RATING_RO_ROLLUP],0),MATCH(E$9,MMWR_RATING_RO_ROLLUP[#Headers],0))/$C43,"ERROR"))</f>
        <v>0.10319573901464714</v>
      </c>
      <c r="F43" s="154">
        <f>IF($B43=" ","",IFERROR(INDEX(MMWR_RATING_RO_ROLLUP[],MATCH($B43,MMWR_RATING_RO_ROLLUP[MMWR_RATING_RO_ROLLUP],0),MATCH(F$9,MMWR_RATING_RO_ROLLUP[#Headers],0)),"ERROR"))</f>
        <v>97</v>
      </c>
      <c r="G43" s="154">
        <f>IF($B43=" ","",IFERROR(INDEX(MMWR_RATING_RO_ROLLUP[],MATCH($B43,MMWR_RATING_RO_ROLLUP[MMWR_RATING_RO_ROLLUP],0),MATCH(G$9,MMWR_RATING_RO_ROLLUP[#Headers],0)),"ERROR"))</f>
        <v>3936</v>
      </c>
      <c r="H43" s="155">
        <f>IF($B43=" ","",IFERROR(INDEX(MMWR_RATING_RO_ROLLUP[],MATCH($B43,MMWR_RATING_RO_ROLLUP[MMWR_RATING_RO_ROLLUP],0),MATCH(H$9,MMWR_RATING_RO_ROLLUP[#Headers],0)),"ERROR"))</f>
        <v>121.32989690719999</v>
      </c>
      <c r="I43" s="155">
        <f>IF($B43=" ","",IFERROR(INDEX(MMWR_RATING_RO_ROLLUP[],MATCH($B43,MMWR_RATING_RO_ROLLUP[MMWR_RATING_RO_ROLLUP],0),MATCH(I$9,MMWR_RATING_RO_ROLLUP[#Headers],0)),"ERROR"))</f>
        <v>133.21443089429999</v>
      </c>
      <c r="J43" s="42"/>
      <c r="K43" s="42"/>
      <c r="L43" s="42"/>
      <c r="M43" s="42"/>
      <c r="N43" s="42"/>
      <c r="O43" s="42"/>
      <c r="P43" s="28"/>
    </row>
    <row r="44" spans="1:16" x14ac:dyDescent="0.2">
      <c r="A44" s="25"/>
      <c r="B44" s="378" t="s">
        <v>733</v>
      </c>
      <c r="C44" s="379"/>
      <c r="D44" s="379"/>
      <c r="E44" s="379"/>
      <c r="F44" s="379"/>
      <c r="G44" s="379"/>
      <c r="H44" s="379"/>
      <c r="I44" s="379"/>
      <c r="J44" s="379"/>
      <c r="K44" s="379"/>
      <c r="L44" s="379"/>
      <c r="M44" s="379"/>
      <c r="N44" s="379"/>
      <c r="O44" s="379"/>
      <c r="P44" s="28"/>
    </row>
    <row r="45" spans="1:16" x14ac:dyDescent="0.2">
      <c r="A45" s="25"/>
      <c r="B45" s="44" t="s">
        <v>694</v>
      </c>
      <c r="C45" s="154">
        <f>IF($B45=" ","",IFERROR(INDEX(MMWR_RATING_RO_ROLLUP[],MATCH($B45,MMWR_RATING_RO_ROLLUP[MMWR_RATING_RO_ROLLUP],0),MATCH(C$9,MMWR_RATING_RO_ROLLUP[#Headers],0)),"ERROR"))</f>
        <v>8655</v>
      </c>
      <c r="D45" s="155">
        <f>IF($B45=" ","",IFERROR(INDEX(MMWR_RATING_RO_ROLLUP[],MATCH($B45,MMWR_RATING_RO_ROLLUP[MMWR_RATING_RO_ROLLUP],0),MATCH(D$9,MMWR_RATING_RO_ROLLUP[#Headers],0)),"ERROR"))</f>
        <v>62.254650491</v>
      </c>
      <c r="E45" s="156">
        <f>IF($B45=" ","",IFERROR(INDEX(MMWR_RATING_RO_ROLLUP[],MATCH($B45,MMWR_RATING_RO_ROLLUP[MMWR_RATING_RO_ROLLUP],0),MATCH(E$9,MMWR_RATING_RO_ROLLUP[#Headers],0))/$C45,"ERROR"))</f>
        <v>8.5268630849220109E-2</v>
      </c>
      <c r="F45" s="154">
        <f>IF($B45=" ","",IFERROR(INDEX(MMWR_RATING_RO_ROLLUP[],MATCH($B45,MMWR_RATING_RO_ROLLUP[MMWR_RATING_RO_ROLLUP],0),MATCH(F$9,MMWR_RATING_RO_ROLLUP[#Headers],0)),"ERROR"))</f>
        <v>1310</v>
      </c>
      <c r="G45" s="154">
        <f>IF($B45=" ","",IFERROR(INDEX(MMWR_RATING_RO_ROLLUP[],MATCH($B45,MMWR_RATING_RO_ROLLUP[MMWR_RATING_RO_ROLLUP],0),MATCH(G$9,MMWR_RATING_RO_ROLLUP[#Headers],0)),"ERROR"))</f>
        <v>25586</v>
      </c>
      <c r="H45" s="155">
        <f>IF($B45=" ","",IFERROR(INDEX(MMWR_RATING_RO_ROLLUP[],MATCH($B45,MMWR_RATING_RO_ROLLUP[MMWR_RATING_RO_ROLLUP],0),MATCH(H$9,MMWR_RATING_RO_ROLLUP[#Headers],0)),"ERROR"))</f>
        <v>110.8671755725</v>
      </c>
      <c r="I45" s="155">
        <f>IF($B45=" ","",IFERROR(INDEX(MMWR_RATING_RO_ROLLUP[],MATCH($B45,MMWR_RATING_RO_ROLLUP[MMWR_RATING_RO_ROLLUP],0),MATCH(I$9,MMWR_RATING_RO_ROLLUP[#Headers],0)),"ERROR"))</f>
        <v>130.08512467759999</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568</v>
      </c>
      <c r="D46" s="155">
        <f>IF($B46=" ","",IFERROR(INDEX(MMWR_RATING_RO_ROLLUP[],MATCH($B46,MMWR_RATING_RO_ROLLUP[MMWR_RATING_RO_ROLLUP],0),MATCH(D$9,MMWR_RATING_RO_ROLLUP[#Headers],0)),"ERROR"))</f>
        <v>59.244718309900001</v>
      </c>
      <c r="E46" s="156">
        <f>IF($B46=" ","",IFERROR(INDEX(MMWR_RATING_RO_ROLLUP[],MATCH($B46,MMWR_RATING_RO_ROLLUP[MMWR_RATING_RO_ROLLUP],0),MATCH(E$9,MMWR_RATING_RO_ROLLUP[#Headers],0))/$C46,"ERROR"))</f>
        <v>7.2183098591549297E-2</v>
      </c>
      <c r="F46" s="154">
        <f>IF($B46=" ","",IFERROR(INDEX(MMWR_RATING_RO_ROLLUP[],MATCH($B46,MMWR_RATING_RO_ROLLUP[MMWR_RATING_RO_ROLLUP],0),MATCH(F$9,MMWR_RATING_RO_ROLLUP[#Headers],0)),"ERROR"))</f>
        <v>620</v>
      </c>
      <c r="G46" s="154">
        <f>IF($B46=" ","",IFERROR(INDEX(MMWR_RATING_RO_ROLLUP[],MATCH($B46,MMWR_RATING_RO_ROLLUP[MMWR_RATING_RO_ROLLUP],0),MATCH(G$9,MMWR_RATING_RO_ROLLUP[#Headers],0)),"ERROR"))</f>
        <v>10391</v>
      </c>
      <c r="H46" s="155">
        <f>IF($B46=" ","",IFERROR(INDEX(MMWR_RATING_RO_ROLLUP[],MATCH($B46,MMWR_RATING_RO_ROLLUP[MMWR_RATING_RO_ROLLUP],0),MATCH(H$9,MMWR_RATING_RO_ROLLUP[#Headers],0)),"ERROR"))</f>
        <v>111.1677419355</v>
      </c>
      <c r="I46" s="155">
        <f>IF($B46=" ","",IFERROR(INDEX(MMWR_RATING_RO_ROLLUP[],MATCH($B46,MMWR_RATING_RO_ROLLUP[MMWR_RATING_RO_ROLLUP],0),MATCH(I$9,MMWR_RATING_RO_ROLLUP[#Headers],0)),"ERROR"))</f>
        <v>118.3096910788</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736</v>
      </c>
      <c r="D47" s="155">
        <f>IF($B47=" ","",IFERROR(INDEX(MMWR_RATING_RO_ROLLUP[],MATCH($B47,MMWR_RATING_RO_ROLLUP[MMWR_RATING_RO_ROLLUP],0),MATCH(D$9,MMWR_RATING_RO_ROLLUP[#Headers],0)),"ERROR"))</f>
        <v>94.754076087000001</v>
      </c>
      <c r="E47" s="156">
        <f>IF($B47=" ","",IFERROR(INDEX(MMWR_RATING_RO_ROLLUP[],MATCH($B47,MMWR_RATING_RO_ROLLUP[MMWR_RATING_RO_ROLLUP],0),MATCH(E$9,MMWR_RATING_RO_ROLLUP[#Headers],0))/$C47,"ERROR"))</f>
        <v>0.18885869565217392</v>
      </c>
      <c r="F47" s="154">
        <f>IF($B47=" ","",IFERROR(INDEX(MMWR_RATING_RO_ROLLUP[],MATCH($B47,MMWR_RATING_RO_ROLLUP[MMWR_RATING_RO_ROLLUP],0),MATCH(F$9,MMWR_RATING_RO_ROLLUP[#Headers],0)),"ERROR"))</f>
        <v>541</v>
      </c>
      <c r="G47" s="154">
        <f>IF($B47=" ","",IFERROR(INDEX(MMWR_RATING_RO_ROLLUP[],MATCH($B47,MMWR_RATING_RO_ROLLUP[MMWR_RATING_RO_ROLLUP],0),MATCH(G$9,MMWR_RATING_RO_ROLLUP[#Headers],0)),"ERROR"))</f>
        <v>9197</v>
      </c>
      <c r="H47" s="155">
        <f>IF($B47=" ","",IFERROR(INDEX(MMWR_RATING_RO_ROLLUP[],MATCH($B47,MMWR_RATING_RO_ROLLUP[MMWR_RATING_RO_ROLLUP],0),MATCH(H$9,MMWR_RATING_RO_ROLLUP[#Headers],0)),"ERROR"))</f>
        <v>112.8040665434</v>
      </c>
      <c r="I47" s="155">
        <f>IF($B47=" ","",IFERROR(INDEX(MMWR_RATING_RO_ROLLUP[],MATCH($B47,MMWR_RATING_RO_ROLLUP[MMWR_RATING_RO_ROLLUP],0),MATCH(I$9,MMWR_RATING_RO_ROLLUP[#Headers],0)),"ERROR"))</f>
        <v>145.26563009680001</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7351</v>
      </c>
      <c r="D48" s="155">
        <f>IF($B48=" ","",IFERROR(INDEX(MMWR_RATING_RO_ROLLUP[],MATCH($B48,MMWR_RATING_RO_ROLLUP[MMWR_RATING_RO_ROLLUP],0),MATCH(D$9,MMWR_RATING_RO_ROLLUP[#Headers],0)),"ERROR"))</f>
        <v>59.233301591599997</v>
      </c>
      <c r="E48" s="156">
        <f>IF($B48=" ","",IFERROR(INDEX(MMWR_RATING_RO_ROLLUP[],MATCH($B48,MMWR_RATING_RO_ROLLUP[MMWR_RATING_RO_ROLLUP],0),MATCH(E$9,MMWR_RATING_RO_ROLLUP[#Headers],0))/$C48,"ERROR"))</f>
        <v>7.5908039722486734E-2</v>
      </c>
      <c r="F48" s="154">
        <f>IF($B48=" ","",IFERROR(INDEX(MMWR_RATING_RO_ROLLUP[],MATCH($B48,MMWR_RATING_RO_ROLLUP[MMWR_RATING_RO_ROLLUP],0),MATCH(F$9,MMWR_RATING_RO_ROLLUP[#Headers],0)),"ERROR"))</f>
        <v>149</v>
      </c>
      <c r="G48" s="154">
        <f>IF($B48=" ","",IFERROR(INDEX(MMWR_RATING_RO_ROLLUP[],MATCH($B48,MMWR_RATING_RO_ROLLUP[MMWR_RATING_RO_ROLLUP],0),MATCH(G$9,MMWR_RATING_RO_ROLLUP[#Headers],0)),"ERROR"))</f>
        <v>5998</v>
      </c>
      <c r="H48" s="155">
        <f>IF($B48=" ","",IFERROR(INDEX(MMWR_RATING_RO_ROLLUP[],MATCH($B48,MMWR_RATING_RO_ROLLUP[MMWR_RATING_RO_ROLLUP],0),MATCH(H$9,MMWR_RATING_RO_ROLLUP[#Headers],0)),"ERROR"))</f>
        <v>102.5838926174</v>
      </c>
      <c r="I48" s="155">
        <f>IF($B48=" ","",IFERROR(INDEX(MMWR_RATING_RO_ROLLUP[],MATCH($B48,MMWR_RATING_RO_ROLLUP[MMWR_RATING_RO_ROLLUP],0),MATCH(I$9,MMWR_RATING_RO_ROLLUP[#Headers],0)),"ERROR"))</f>
        <v>127.2080693565</v>
      </c>
      <c r="J48" s="42"/>
      <c r="K48" s="42"/>
      <c r="L48" s="42"/>
      <c r="M48" s="42"/>
      <c r="N48" s="42"/>
      <c r="O48" s="42"/>
      <c r="P48" s="28"/>
    </row>
    <row r="49" spans="1:16" ht="15.75" x14ac:dyDescent="0.25">
      <c r="A49" s="25"/>
      <c r="B49" s="377" t="s">
        <v>1049</v>
      </c>
      <c r="C49" s="377"/>
      <c r="D49" s="377"/>
      <c r="E49" s="377"/>
      <c r="F49" s="377"/>
      <c r="G49" s="377"/>
      <c r="H49" s="377"/>
      <c r="I49" s="377"/>
      <c r="J49" s="377"/>
      <c r="K49" s="377"/>
      <c r="L49" s="377"/>
      <c r="M49" s="377"/>
      <c r="N49" s="377"/>
      <c r="O49" s="261"/>
      <c r="P49" s="28"/>
    </row>
    <row r="50" spans="1:16" ht="12" customHeight="1" x14ac:dyDescent="0.2">
      <c r="A50" s="25"/>
      <c r="B50" s="26"/>
      <c r="C50" s="26"/>
      <c r="D50" s="26"/>
      <c r="E50" s="26"/>
      <c r="F50" s="26"/>
      <c r="G50" s="26"/>
      <c r="H50" s="26"/>
      <c r="I50" s="26"/>
      <c r="J50" s="26"/>
      <c r="K50" s="27" t="s">
        <v>921</v>
      </c>
      <c r="L50" s="27" t="s">
        <v>926</v>
      </c>
      <c r="M50" s="27" t="s">
        <v>927</v>
      </c>
      <c r="N50" s="27" t="s">
        <v>928</v>
      </c>
      <c r="O50" s="27" t="s">
        <v>929</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0" t="s">
        <v>294</v>
      </c>
      <c r="D2" s="351"/>
      <c r="E2" s="351"/>
      <c r="F2" s="351"/>
      <c r="G2" s="351"/>
      <c r="H2" s="351"/>
      <c r="I2" s="351"/>
      <c r="J2" s="350" t="s">
        <v>300</v>
      </c>
      <c r="K2" s="351"/>
      <c r="L2" s="351"/>
      <c r="M2" s="352"/>
      <c r="N2" s="28"/>
    </row>
    <row r="3" spans="1:16" ht="24" customHeight="1" thickBot="1" x14ac:dyDescent="0.4">
      <c r="A3" s="25"/>
      <c r="B3" s="29"/>
      <c r="C3" s="353"/>
      <c r="D3" s="354"/>
      <c r="E3" s="354"/>
      <c r="F3" s="354"/>
      <c r="G3" s="354"/>
      <c r="H3" s="354"/>
      <c r="I3" s="354"/>
      <c r="J3" s="353" t="str">
        <f>Transformation!B4</f>
        <v>As of: August 20, 2016</v>
      </c>
      <c r="K3" s="354"/>
      <c r="L3" s="354"/>
      <c r="M3" s="355"/>
      <c r="N3" s="28"/>
    </row>
    <row r="4" spans="1:16" ht="51" customHeight="1" thickBot="1" x14ac:dyDescent="0.35">
      <c r="A4" s="30"/>
      <c r="B4" s="246" t="s">
        <v>454</v>
      </c>
      <c r="C4" s="356" t="s">
        <v>969</v>
      </c>
      <c r="D4" s="357"/>
      <c r="E4" s="357"/>
      <c r="F4" s="357"/>
      <c r="G4" s="357"/>
      <c r="H4" s="357"/>
      <c r="I4" s="357"/>
      <c r="J4" s="357"/>
      <c r="K4" s="357"/>
      <c r="L4" s="357"/>
      <c r="M4" s="358"/>
      <c r="N4" s="28"/>
      <c r="O4" s="22"/>
      <c r="P4" s="23"/>
    </row>
    <row r="5" spans="1:16" ht="27" customHeight="1" thickBot="1" x14ac:dyDescent="0.25">
      <c r="A5" s="30"/>
      <c r="B5" s="48"/>
      <c r="C5" s="359" t="s">
        <v>1040</v>
      </c>
      <c r="D5" s="360"/>
      <c r="E5" s="360"/>
      <c r="F5" s="360"/>
      <c r="G5" s="360"/>
      <c r="H5" s="360"/>
      <c r="I5" s="360"/>
      <c r="J5" s="360"/>
      <c r="K5" s="360"/>
      <c r="L5" s="360"/>
      <c r="M5" s="360"/>
      <c r="N5" s="360"/>
      <c r="O5" s="361"/>
    </row>
    <row r="6" spans="1:16" ht="55.5" customHeight="1" x14ac:dyDescent="0.2">
      <c r="A6" s="30"/>
      <c r="B6" s="31"/>
      <c r="C6" s="32" t="s">
        <v>190</v>
      </c>
      <c r="D6" s="362" t="s">
        <v>16</v>
      </c>
      <c r="E6" s="363"/>
      <c r="F6" s="33" t="s">
        <v>193</v>
      </c>
      <c r="G6" s="362" t="s">
        <v>198</v>
      </c>
      <c r="H6" s="364"/>
      <c r="I6" s="33" t="s">
        <v>196</v>
      </c>
      <c r="J6" s="49" t="s">
        <v>14</v>
      </c>
      <c r="K6" s="33" t="s">
        <v>201</v>
      </c>
      <c r="L6" s="368" t="s">
        <v>85</v>
      </c>
      <c r="M6" s="396"/>
      <c r="N6" s="28"/>
    </row>
    <row r="7" spans="1:16" ht="51.75" customHeight="1" x14ac:dyDescent="0.2">
      <c r="A7" s="30"/>
      <c r="B7" s="34"/>
      <c r="C7" s="35" t="s">
        <v>191</v>
      </c>
      <c r="D7" s="380" t="s">
        <v>0</v>
      </c>
      <c r="E7" s="381"/>
      <c r="F7" s="36" t="s">
        <v>194</v>
      </c>
      <c r="G7" s="382" t="s">
        <v>199</v>
      </c>
      <c r="H7" s="382"/>
      <c r="I7" s="36" t="s">
        <v>197</v>
      </c>
      <c r="J7" s="50" t="s">
        <v>19</v>
      </c>
      <c r="K7" s="36" t="s">
        <v>202</v>
      </c>
      <c r="L7" s="392" t="s">
        <v>87</v>
      </c>
      <c r="M7" s="393"/>
      <c r="N7" s="28"/>
    </row>
    <row r="8" spans="1:16" ht="51.75" customHeight="1" thickBot="1" x14ac:dyDescent="0.25">
      <c r="A8" s="25"/>
      <c r="B8" s="28"/>
      <c r="C8" s="37" t="s">
        <v>192</v>
      </c>
      <c r="D8" s="383" t="s">
        <v>18</v>
      </c>
      <c r="E8" s="384"/>
      <c r="F8" s="38" t="s">
        <v>195</v>
      </c>
      <c r="G8" s="385" t="s">
        <v>17</v>
      </c>
      <c r="H8" s="385"/>
      <c r="I8" s="38" t="s">
        <v>200</v>
      </c>
      <c r="J8" s="51" t="s">
        <v>84</v>
      </c>
      <c r="K8" s="38" t="s">
        <v>203</v>
      </c>
      <c r="L8" s="394" t="s">
        <v>86</v>
      </c>
      <c r="M8" s="395"/>
      <c r="N8" s="28"/>
    </row>
    <row r="9" spans="1:16" x14ac:dyDescent="0.2">
      <c r="A9" s="28"/>
      <c r="B9" s="28"/>
      <c r="C9" s="39" t="s">
        <v>698</v>
      </c>
      <c r="D9" s="39" t="s">
        <v>700</v>
      </c>
      <c r="E9" s="39" t="s">
        <v>699</v>
      </c>
      <c r="F9" s="39" t="s">
        <v>702</v>
      </c>
      <c r="G9" s="39" t="s">
        <v>701</v>
      </c>
      <c r="H9" s="39" t="s">
        <v>712</v>
      </c>
      <c r="I9" s="39" t="s">
        <v>711</v>
      </c>
      <c r="J9" s="39"/>
      <c r="K9" s="39"/>
      <c r="L9" s="39"/>
      <c r="M9" s="39"/>
      <c r="N9" s="28"/>
    </row>
    <row r="10" spans="1:16" ht="15.75" customHeight="1" x14ac:dyDescent="0.2">
      <c r="A10" s="25"/>
      <c r="B10" s="26"/>
      <c r="C10" s="386" t="s">
        <v>293</v>
      </c>
      <c r="D10" s="386"/>
      <c r="E10" s="386"/>
      <c r="F10" s="386"/>
      <c r="G10" s="386"/>
      <c r="H10" s="386"/>
      <c r="I10" s="386"/>
      <c r="J10" s="386"/>
      <c r="K10" s="386"/>
      <c r="L10" s="386"/>
      <c r="M10" s="387"/>
      <c r="N10" s="28"/>
    </row>
    <row r="11" spans="1:16" ht="64.5" customHeight="1" x14ac:dyDescent="0.2">
      <c r="A11" s="25"/>
      <c r="B11" s="26"/>
      <c r="C11" s="52" t="s">
        <v>226</v>
      </c>
      <c r="D11" s="52" t="s">
        <v>134</v>
      </c>
      <c r="E11" s="52" t="s">
        <v>227</v>
      </c>
      <c r="F11" s="52" t="s">
        <v>189</v>
      </c>
      <c r="G11" s="52" t="s">
        <v>204</v>
      </c>
      <c r="H11" s="52" t="s">
        <v>206</v>
      </c>
      <c r="I11" s="52" t="s">
        <v>207</v>
      </c>
      <c r="J11" s="389" t="s">
        <v>970</v>
      </c>
      <c r="K11" s="390"/>
      <c r="L11" s="390"/>
      <c r="M11" s="391"/>
      <c r="N11" s="28"/>
    </row>
    <row r="12" spans="1:16" x14ac:dyDescent="0.2">
      <c r="A12" s="25"/>
      <c r="B12" s="41" t="s">
        <v>728</v>
      </c>
      <c r="C12" s="154">
        <f>IF($B12=" ","",IFERROR(INDEX(MMWR_RATING_RO_ROLLUP[],MATCH($B12,MMWR_RATING_RO_ROLLUP[MMWR_RATING_RO_ROLLUP],0),MATCH(C$9,MMWR_RATING_RO_ROLLUP[#Headers],0)),"ERROR"))</f>
        <v>378640</v>
      </c>
      <c r="D12" s="155">
        <f>IF($B12=" ","",IFERROR(INDEX(MMWR_RATING_RO_ROLLUP[],MATCH($B12,MMWR_RATING_RO_ROLLUP[MMWR_RATING_RO_ROLLUP],0),MATCH(D$9,MMWR_RATING_RO_ROLLUP[#Headers],0)),"ERROR"))</f>
        <v>88.251510669799998</v>
      </c>
      <c r="E12" s="156">
        <f>IF($B12=" ","",IFERROR(INDEX(MMWR_RATING_RO_ROLLUP[],MATCH($B12,MMWR_RATING_RO_ROLLUP[MMWR_RATING_RO_ROLLUP],0),MATCH(E$9,MMWR_RATING_RO_ROLLUP[#Headers],0))/$C12,"ERROR"))</f>
        <v>0.2043101626875132</v>
      </c>
      <c r="F12" s="154">
        <f>IF($B12=" ","",IFERROR(INDEX(MMWR_RATING_RO_ROLLUP[],MATCH($B12,MMWR_RATING_RO_ROLLUP[MMWR_RATING_RO_ROLLUP],0),MATCH(F$9,MMWR_RATING_RO_ROLLUP[#Headers],0)),"ERROR"))</f>
        <v>74829</v>
      </c>
      <c r="G12" s="154">
        <f>IF($B12=" ","",IFERROR(INDEX(MMWR_RATING_RO_ROLLUP[],MATCH($B12,MMWR_RATING_RO_ROLLUP[MMWR_RATING_RO_ROLLUP],0),MATCH(G$9,MMWR_RATING_RO_ROLLUP[#Headers],0)),"ERROR"))</f>
        <v>1120445</v>
      </c>
      <c r="H12" s="155">
        <f>IF($B12=" ","",IFERROR(INDEX(MMWR_RATING_RO_ROLLUP[],MATCH($B12,MMWR_RATING_RO_ROLLUP[MMWR_RATING_RO_ROLLUP],0),MATCH(H$9,MMWR_RATING_RO_ROLLUP[#Headers],0)),"ERROR"))</f>
        <v>121.0327413169</v>
      </c>
      <c r="I12" s="155">
        <f>IF($B12=" ","",IFERROR(INDEX(MMWR_RATING_RO_ROLLUP[],MATCH($B12,MMWR_RATING_RO_ROLLUP[MMWR_RATING_RO_ROLLUP],0),MATCH(I$9,MMWR_RATING_RO_ROLLUP[#Headers],0)),"ERROR"))</f>
        <v>123.0197153809</v>
      </c>
      <c r="J12" s="42"/>
      <c r="K12" s="42"/>
      <c r="L12" s="42"/>
      <c r="M12" s="42"/>
      <c r="N12" s="28"/>
    </row>
    <row r="13" spans="1:16" x14ac:dyDescent="0.2">
      <c r="A13" s="25"/>
      <c r="B13" s="378" t="s">
        <v>731</v>
      </c>
      <c r="C13" s="379"/>
      <c r="D13" s="379"/>
      <c r="E13" s="379"/>
      <c r="F13" s="379"/>
      <c r="G13" s="379"/>
      <c r="H13" s="379"/>
      <c r="I13" s="379"/>
      <c r="J13" s="379"/>
      <c r="K13" s="379"/>
      <c r="L13" s="379"/>
      <c r="M13" s="388"/>
      <c r="N13" s="28"/>
    </row>
    <row r="14" spans="1:16" x14ac:dyDescent="0.2">
      <c r="A14" s="25"/>
      <c r="B14" s="41" t="s">
        <v>727</v>
      </c>
      <c r="C14" s="154">
        <f>IF($B14=" ","",IFERROR(INDEX(MMWR_RATING_RO_ROLLUP[],MATCH($B14,MMWR_RATING_RO_ROLLUP[MMWR_RATING_RO_ROLLUP],0),MATCH(C$9,MMWR_RATING_RO_ROLLUP[#Headers],0)),"ERROR"))</f>
        <v>336443</v>
      </c>
      <c r="D14" s="155">
        <f>IF($B14=" ","",IFERROR(INDEX(MMWR_RATING_RO_ROLLUP[],MATCH($B14,MMWR_RATING_RO_ROLLUP[MMWR_RATING_RO_ROLLUP],0),MATCH(D$9,MMWR_RATING_RO_ROLLUP[#Headers],0)),"ERROR"))</f>
        <v>90.993865231300006</v>
      </c>
      <c r="E14" s="156">
        <f>IF($B14=" ","",IFERROR(INDEX(MMWR_RATING_RO_ROLLUP[],MATCH($B14,MMWR_RATING_RO_ROLLUP[MMWR_RATING_RO_ROLLUP],0),MATCH(E$9,MMWR_RATING_RO_ROLLUP[#Headers],0))/$C14,"ERROR"))</f>
        <v>0.21575125652785168</v>
      </c>
      <c r="F14" s="154">
        <f>IF($B14=" ","",IFERROR(INDEX(MMWR_RATING_RO_ROLLUP[],MATCH($B14,MMWR_RATING_RO_ROLLUP[MMWR_RATING_RO_ROLLUP],0),MATCH(F$9,MMWR_RATING_RO_ROLLUP[#Headers],0)),"ERROR"))</f>
        <v>62161</v>
      </c>
      <c r="G14" s="154">
        <f>IF($B14=" ","",IFERROR(INDEX(MMWR_RATING_RO_ROLLUP[],MATCH($B14,MMWR_RATING_RO_ROLLUP[MMWR_RATING_RO_ROLLUP],0),MATCH(G$9,MMWR_RATING_RO_ROLLUP[#Headers],0)),"ERROR"))</f>
        <v>939863</v>
      </c>
      <c r="H14" s="155">
        <f>IF($B14=" ","",IFERROR(INDEX(MMWR_RATING_RO_ROLLUP[],MATCH($B14,MMWR_RATING_RO_ROLLUP[MMWR_RATING_RO_ROLLUP],0),MATCH(H$9,MMWR_RATING_RO_ROLLUP[#Headers],0)),"ERROR"))</f>
        <v>127.7763066875</v>
      </c>
      <c r="I14" s="155">
        <f>IF($B14=" ","",IFERROR(INDEX(MMWR_RATING_RO_ROLLUP[],MATCH($B14,MMWR_RATING_RO_ROLLUP[MMWR_RATING_RO_ROLLUP],0),MATCH(I$9,MMWR_RATING_RO_ROLLUP[#Headers],0)),"ERROR"))</f>
        <v>128.65843213319999</v>
      </c>
      <c r="J14" s="42"/>
      <c r="K14" s="42"/>
      <c r="L14" s="42"/>
      <c r="M14" s="42"/>
      <c r="N14" s="28"/>
    </row>
    <row r="15" spans="1:16" x14ac:dyDescent="0.2">
      <c r="A15" s="25"/>
      <c r="B15" s="247" t="s">
        <v>368</v>
      </c>
      <c r="C15" s="154">
        <f>IF($B15=" ","",IFERROR(INDEX(MMWR_RATING_RO_ROLLUP[],MATCH($B15,MMWR_RATING_RO_ROLLUP[MMWR_RATING_RO_ROLLUP],0),MATCH(C$9,MMWR_RATING_RO_ROLLUP[#Headers],0)),"ERROR"))</f>
        <v>74215</v>
      </c>
      <c r="D15" s="155">
        <f>IF($B15=" ","",IFERROR(INDEX(MMWR_RATING_RO_ROLLUP[],MATCH($B15,MMWR_RATING_RO_ROLLUP[MMWR_RATING_RO_ROLLUP],0),MATCH(D$9,MMWR_RATING_RO_ROLLUP[#Headers],0)),"ERROR"))</f>
        <v>94.764521996900001</v>
      </c>
      <c r="E15" s="156">
        <f>IF($B15=" ","",IFERROR(INDEX(MMWR_RATING_RO_ROLLUP[],MATCH($B15,MMWR_RATING_RO_ROLLUP[MMWR_RATING_RO_ROLLUP],0),MATCH(E$9,MMWR_RATING_RO_ROLLUP[#Headers],0))/$C15,"ERROR"))</f>
        <v>0.23100451391228188</v>
      </c>
      <c r="F15" s="154">
        <f>IF($B15=" ","",IFERROR(INDEX(MMWR_RATING_RO_ROLLUP[],MATCH($B15,MMWR_RATING_RO_ROLLUP[MMWR_RATING_RO_ROLLUP],0),MATCH(F$9,MMWR_RATING_RO_ROLLUP[#Headers],0)),"ERROR"))</f>
        <v>13652</v>
      </c>
      <c r="G15" s="154">
        <f>IF($B15=" ","",IFERROR(INDEX(MMWR_RATING_RO_ROLLUP[],MATCH($B15,MMWR_RATING_RO_ROLLUP[MMWR_RATING_RO_ROLLUP],0),MATCH(G$9,MMWR_RATING_RO_ROLLUP[#Headers],0)),"ERROR"))</f>
        <v>207829</v>
      </c>
      <c r="H15" s="155">
        <f>IF($B15=" ","",IFERROR(INDEX(MMWR_RATING_RO_ROLLUP[],MATCH($B15,MMWR_RATING_RO_ROLLUP[MMWR_RATING_RO_ROLLUP],0),MATCH(H$9,MMWR_RATING_RO_ROLLUP[#Headers],0)),"ERROR"))</f>
        <v>129.4625695869</v>
      </c>
      <c r="I15" s="155">
        <f>IF($B15=" ","",IFERROR(INDEX(MMWR_RATING_RO_ROLLUP[],MATCH($B15,MMWR_RATING_RO_ROLLUP[MMWR_RATING_RO_ROLLUP],0),MATCH(I$9,MMWR_RATING_RO_ROLLUP[#Headers],0)),"ERROR"))</f>
        <v>130.58255103959999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5323</v>
      </c>
      <c r="D16" s="155">
        <f>IF($B16=" ","",IFERROR(INDEX(MMWR_RATING_RO_ROLLUP[],MATCH($B16,MMWR_RATING_RO_ROLLUP[MMWR_RATING_RO_ROLLUP],0),MATCH(D$9,MMWR_RATING_RO_ROLLUP[#Headers],0)),"ERROR"))</f>
        <v>98.620139019299998</v>
      </c>
      <c r="E16" s="156">
        <f>IF($B16=" ","",IFERROR(INDEX(MMWR_RATING_RO_ROLLUP[],MATCH($B16,MMWR_RATING_RO_ROLLUP[MMWR_RATING_RO_ROLLUP],0),MATCH(E$9,MMWR_RATING_RO_ROLLUP[#Headers],0))/$C16,"ERROR"))</f>
        <v>0.25173774187488257</v>
      </c>
      <c r="F16" s="154">
        <f>IF($B16=" ","",IFERROR(INDEX(MMWR_RATING_RO_ROLLUP[],MATCH($B16,MMWR_RATING_RO_ROLLUP[MMWR_RATING_RO_ROLLUP],0),MATCH(F$9,MMWR_RATING_RO_ROLLUP[#Headers],0)),"ERROR"))</f>
        <v>975</v>
      </c>
      <c r="G16" s="154">
        <f>IF($B16=" ","",IFERROR(INDEX(MMWR_RATING_RO_ROLLUP[],MATCH($B16,MMWR_RATING_RO_ROLLUP[MMWR_RATING_RO_ROLLUP],0),MATCH(G$9,MMWR_RATING_RO_ROLLUP[#Headers],0)),"ERROR"))</f>
        <v>13856</v>
      </c>
      <c r="H16" s="155">
        <f>IF($B16=" ","",IFERROR(INDEX(MMWR_RATING_RO_ROLLUP[],MATCH($B16,MMWR_RATING_RO_ROLLUP[MMWR_RATING_RO_ROLLUP],0),MATCH(H$9,MMWR_RATING_RO_ROLLUP[#Headers],0)),"ERROR"))</f>
        <v>131.51179487179999</v>
      </c>
      <c r="I16" s="155">
        <f>IF($B16=" ","",IFERROR(INDEX(MMWR_RATING_RO_ROLLUP[],MATCH($B16,MMWR_RATING_RO_ROLLUP[MMWR_RATING_RO_ROLLUP],0),MATCH(I$9,MMWR_RATING_RO_ROLLUP[#Headers],0)),"ERROR"))</f>
        <v>141.85544168589999</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3528</v>
      </c>
      <c r="D17" s="155">
        <f>IF($B17=" ","",IFERROR(INDEX(MMWR_RATING_RO_ROLLUP[],MATCH($B17,MMWR_RATING_RO_ROLLUP[MMWR_RATING_RO_ROLLUP],0),MATCH(D$9,MMWR_RATING_RO_ROLLUP[#Headers],0)),"ERROR"))</f>
        <v>84.178854875300004</v>
      </c>
      <c r="E17" s="156">
        <f>IF($B17=" ","",IFERROR(INDEX(MMWR_RATING_RO_ROLLUP[],MATCH($B17,MMWR_RATING_RO_ROLLUP[MMWR_RATING_RO_ROLLUP],0),MATCH(E$9,MMWR_RATING_RO_ROLLUP[#Headers],0))/$C17,"ERROR"))</f>
        <v>0.19529478458049887</v>
      </c>
      <c r="F17" s="154">
        <f>IF($B17=" ","",IFERROR(INDEX(MMWR_RATING_RO_ROLLUP[],MATCH($B17,MMWR_RATING_RO_ROLLUP[MMWR_RATING_RO_ROLLUP],0),MATCH(F$9,MMWR_RATING_RO_ROLLUP[#Headers],0)),"ERROR"))</f>
        <v>628</v>
      </c>
      <c r="G17" s="154">
        <f>IF($B17=" ","",IFERROR(INDEX(MMWR_RATING_RO_ROLLUP[],MATCH($B17,MMWR_RATING_RO_ROLLUP[MMWR_RATING_RO_ROLLUP],0),MATCH(G$9,MMWR_RATING_RO_ROLLUP[#Headers],0)),"ERROR"))</f>
        <v>10074</v>
      </c>
      <c r="H17" s="155">
        <f>IF($B17=" ","",IFERROR(INDEX(MMWR_RATING_RO_ROLLUP[],MATCH($B17,MMWR_RATING_RO_ROLLUP[MMWR_RATING_RO_ROLLUP],0),MATCH(H$9,MMWR_RATING_RO_ROLLUP[#Headers],0)),"ERROR"))</f>
        <v>118.7722929936</v>
      </c>
      <c r="I17" s="155">
        <f>IF($B17=" ","",IFERROR(INDEX(MMWR_RATING_RO_ROLLUP[],MATCH($B17,MMWR_RATING_RO_ROLLUP[MMWR_RATING_RO_ROLLUP],0),MATCH(I$9,MMWR_RATING_RO_ROLLUP[#Headers],0)),"ERROR"))</f>
        <v>129.75848719480001</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3713</v>
      </c>
      <c r="D18" s="155">
        <f>IF($B18=" ","",IFERROR(INDEX(MMWR_RATING_RO_ROLLUP[],MATCH($B18,MMWR_RATING_RO_ROLLUP[MMWR_RATING_RO_ROLLUP],0),MATCH(D$9,MMWR_RATING_RO_ROLLUP[#Headers],0)),"ERROR"))</f>
        <v>88.061136547299995</v>
      </c>
      <c r="E18" s="156">
        <f>IF($B18=" ","",IFERROR(INDEX(MMWR_RATING_RO_ROLLUP[],MATCH($B18,MMWR_RATING_RO_ROLLUP[MMWR_RATING_RO_ROLLUP],0),MATCH(E$9,MMWR_RATING_RO_ROLLUP[#Headers],0))/$C18,"ERROR"))</f>
        <v>0.19929975760840291</v>
      </c>
      <c r="F18" s="154">
        <f>IF($B18=" ","",IFERROR(INDEX(MMWR_RATING_RO_ROLLUP[],MATCH($B18,MMWR_RATING_RO_ROLLUP[MMWR_RATING_RO_ROLLUP],0),MATCH(F$9,MMWR_RATING_RO_ROLLUP[#Headers],0)),"ERROR"))</f>
        <v>740</v>
      </c>
      <c r="G18" s="154">
        <f>IF($B18=" ","",IFERROR(INDEX(MMWR_RATING_RO_ROLLUP[],MATCH($B18,MMWR_RATING_RO_ROLLUP[MMWR_RATING_RO_ROLLUP],0),MATCH(G$9,MMWR_RATING_RO_ROLLUP[#Headers],0)),"ERROR"))</f>
        <v>11435</v>
      </c>
      <c r="H18" s="155">
        <f>IF($B18=" ","",IFERROR(INDEX(MMWR_RATING_RO_ROLLUP[],MATCH($B18,MMWR_RATING_RO_ROLLUP[MMWR_RATING_RO_ROLLUP],0),MATCH(H$9,MMWR_RATING_RO_ROLLUP[#Headers],0)),"ERROR"))</f>
        <v>129.73783783779999</v>
      </c>
      <c r="I18" s="155">
        <f>IF($B18=" ","",IFERROR(INDEX(MMWR_RATING_RO_ROLLUP[],MATCH($B18,MMWR_RATING_RO_ROLLUP[MMWR_RATING_RO_ROLLUP],0),MATCH(I$9,MMWR_RATING_RO_ROLLUP[#Headers],0)),"ERROR"))</f>
        <v>133.26348928729999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1850</v>
      </c>
      <c r="D19" s="155">
        <f>IF($B19=" ","",IFERROR(INDEX(MMWR_RATING_RO_ROLLUP[],MATCH($B19,MMWR_RATING_RO_ROLLUP[MMWR_RATING_RO_ROLLUP],0),MATCH(D$9,MMWR_RATING_RO_ROLLUP[#Headers],0)),"ERROR"))</f>
        <v>86.567567567599994</v>
      </c>
      <c r="E19" s="156">
        <f>IF($B19=" ","",IFERROR(INDEX(MMWR_RATING_RO_ROLLUP[],MATCH($B19,MMWR_RATING_RO_ROLLUP[MMWR_RATING_RO_ROLLUP],0),MATCH(E$9,MMWR_RATING_RO_ROLLUP[#Headers],0))/$C19,"ERROR"))</f>
        <v>0.18324324324324323</v>
      </c>
      <c r="F19" s="154">
        <f>IF($B19=" ","",IFERROR(INDEX(MMWR_RATING_RO_ROLLUP[],MATCH($B19,MMWR_RATING_RO_ROLLUP[MMWR_RATING_RO_ROLLUP],0),MATCH(F$9,MMWR_RATING_RO_ROLLUP[#Headers],0)),"ERROR"))</f>
        <v>387</v>
      </c>
      <c r="G19" s="154">
        <f>IF($B19=" ","",IFERROR(INDEX(MMWR_RATING_RO_ROLLUP[],MATCH($B19,MMWR_RATING_RO_ROLLUP[MMWR_RATING_RO_ROLLUP],0),MATCH(G$9,MMWR_RATING_RO_ROLLUP[#Headers],0)),"ERROR"))</f>
        <v>5826</v>
      </c>
      <c r="H19" s="155">
        <f>IF($B19=" ","",IFERROR(INDEX(MMWR_RATING_RO_ROLLUP[],MATCH($B19,MMWR_RATING_RO_ROLLUP[MMWR_RATING_RO_ROLLUP],0),MATCH(H$9,MMWR_RATING_RO_ROLLUP[#Headers],0)),"ERROR"))</f>
        <v>114.8165374677</v>
      </c>
      <c r="I19" s="155">
        <f>IF($B19=" ","",IFERROR(INDEX(MMWR_RATING_RO_ROLLUP[],MATCH($B19,MMWR_RATING_RO_ROLLUP[MMWR_RATING_RO_ROLLUP],0),MATCH(I$9,MMWR_RATING_RO_ROLLUP[#Headers],0)),"ERROR"))</f>
        <v>115.2315482321</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2510</v>
      </c>
      <c r="D20" s="155">
        <f>IF($B20=" ","",IFERROR(INDEX(MMWR_RATING_RO_ROLLUP[],MATCH($B20,MMWR_RATING_RO_ROLLUP[MMWR_RATING_RO_ROLLUP],0),MATCH(D$9,MMWR_RATING_RO_ROLLUP[#Headers],0)),"ERROR"))</f>
        <v>78.138645418300001</v>
      </c>
      <c r="E20" s="156">
        <f>IF($B20=" ","",IFERROR(INDEX(MMWR_RATING_RO_ROLLUP[],MATCH($B20,MMWR_RATING_RO_ROLLUP[MMWR_RATING_RO_ROLLUP],0),MATCH(E$9,MMWR_RATING_RO_ROLLUP[#Headers],0))/$C20,"ERROR"))</f>
        <v>0.1557768924302789</v>
      </c>
      <c r="F20" s="154">
        <f>IF($B20=" ","",IFERROR(INDEX(MMWR_RATING_RO_ROLLUP[],MATCH($B20,MMWR_RATING_RO_ROLLUP[MMWR_RATING_RO_ROLLUP],0),MATCH(F$9,MMWR_RATING_RO_ROLLUP[#Headers],0)),"ERROR"))</f>
        <v>515</v>
      </c>
      <c r="G20" s="154">
        <f>IF($B20=" ","",IFERROR(INDEX(MMWR_RATING_RO_ROLLUP[],MATCH($B20,MMWR_RATING_RO_ROLLUP[MMWR_RATING_RO_ROLLUP],0),MATCH(G$9,MMWR_RATING_RO_ROLLUP[#Headers],0)),"ERROR"))</f>
        <v>8238</v>
      </c>
      <c r="H20" s="155">
        <f>IF($B20=" ","",IFERROR(INDEX(MMWR_RATING_RO_ROLLUP[],MATCH($B20,MMWR_RATING_RO_ROLLUP[MMWR_RATING_RO_ROLLUP],0),MATCH(H$9,MMWR_RATING_RO_ROLLUP[#Headers],0)),"ERROR"))</f>
        <v>118.0116504854</v>
      </c>
      <c r="I20" s="155">
        <f>IF($B20=" ","",IFERROR(INDEX(MMWR_RATING_RO_ROLLUP[],MATCH($B20,MMWR_RATING_RO_ROLLUP[MMWR_RATING_RO_ROLLUP],0),MATCH(I$9,MMWR_RATING_RO_ROLLUP[#Headers],0)),"ERROR"))</f>
        <v>117.1113134256</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1338</v>
      </c>
      <c r="D21" s="155">
        <f>IF($B21=" ","",IFERROR(INDEX(MMWR_RATING_RO_ROLLUP[],MATCH($B21,MMWR_RATING_RO_ROLLUP[MMWR_RATING_RO_ROLLUP],0),MATCH(D$9,MMWR_RATING_RO_ROLLUP[#Headers],0)),"ERROR"))</f>
        <v>77.544843049299999</v>
      </c>
      <c r="E21" s="156">
        <f>IF($B21=" ","",IFERROR(INDEX(MMWR_RATING_RO_ROLLUP[],MATCH($B21,MMWR_RATING_RO_ROLLUP[MMWR_RATING_RO_ROLLUP],0),MATCH(E$9,MMWR_RATING_RO_ROLLUP[#Headers],0))/$C21,"ERROR"))</f>
        <v>0.15171898355754859</v>
      </c>
      <c r="F21" s="154">
        <f>IF($B21=" ","",IFERROR(INDEX(MMWR_RATING_RO_ROLLUP[],MATCH($B21,MMWR_RATING_RO_ROLLUP[MMWR_RATING_RO_ROLLUP],0),MATCH(F$9,MMWR_RATING_RO_ROLLUP[#Headers],0)),"ERROR"))</f>
        <v>211</v>
      </c>
      <c r="G21" s="154">
        <f>IF($B21=" ","",IFERROR(INDEX(MMWR_RATING_RO_ROLLUP[],MATCH($B21,MMWR_RATING_RO_ROLLUP[MMWR_RATING_RO_ROLLUP],0),MATCH(G$9,MMWR_RATING_RO_ROLLUP[#Headers],0)),"ERROR"))</f>
        <v>3498</v>
      </c>
      <c r="H21" s="155">
        <f>IF($B21=" ","",IFERROR(INDEX(MMWR_RATING_RO_ROLLUP[],MATCH($B21,MMWR_RATING_RO_ROLLUP[MMWR_RATING_RO_ROLLUP],0),MATCH(H$9,MMWR_RATING_RO_ROLLUP[#Headers],0)),"ERROR"))</f>
        <v>122.3033175355</v>
      </c>
      <c r="I21" s="155">
        <f>IF($B21=" ","",IFERROR(INDEX(MMWR_RATING_RO_ROLLUP[],MATCH($B21,MMWR_RATING_RO_ROLLUP[MMWR_RATING_RO_ROLLUP],0),MATCH(I$9,MMWR_RATING_RO_ROLLUP[#Headers],0)),"ERROR"))</f>
        <v>126.61549456829999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4903</v>
      </c>
      <c r="D22" s="155">
        <f>IF($B22=" ","",IFERROR(INDEX(MMWR_RATING_RO_ROLLUP[],MATCH($B22,MMWR_RATING_RO_ROLLUP[MMWR_RATING_RO_ROLLUP],0),MATCH(D$9,MMWR_RATING_RO_ROLLUP[#Headers],0)),"ERROR"))</f>
        <v>109.97470936160001</v>
      </c>
      <c r="E22" s="156">
        <f>IF($B22=" ","",IFERROR(INDEX(MMWR_RATING_RO_ROLLUP[],MATCH($B22,MMWR_RATING_RO_ROLLUP[MMWR_RATING_RO_ROLLUP],0),MATCH(E$9,MMWR_RATING_RO_ROLLUP[#Headers],0))/$C22,"ERROR"))</f>
        <v>0.29614521721395065</v>
      </c>
      <c r="F22" s="154">
        <f>IF($B22=" ","",IFERROR(INDEX(MMWR_RATING_RO_ROLLUP[],MATCH($B22,MMWR_RATING_RO_ROLLUP[MMWR_RATING_RO_ROLLUP],0),MATCH(F$9,MMWR_RATING_RO_ROLLUP[#Headers],0)),"ERROR"))</f>
        <v>937</v>
      </c>
      <c r="G22" s="154">
        <f>IF($B22=" ","",IFERROR(INDEX(MMWR_RATING_RO_ROLLUP[],MATCH($B22,MMWR_RATING_RO_ROLLUP[MMWR_RATING_RO_ROLLUP],0),MATCH(G$9,MMWR_RATING_RO_ROLLUP[#Headers],0)),"ERROR"))</f>
        <v>12729</v>
      </c>
      <c r="H22" s="155">
        <f>IF($B22=" ","",IFERROR(INDEX(MMWR_RATING_RO_ROLLUP[],MATCH($B22,MMWR_RATING_RO_ROLLUP[MMWR_RATING_RO_ROLLUP],0),MATCH(H$9,MMWR_RATING_RO_ROLLUP[#Headers],0)),"ERROR"))</f>
        <v>139.30843116330001</v>
      </c>
      <c r="I22" s="155">
        <f>IF($B22=" ","",IFERROR(INDEX(MMWR_RATING_RO_ROLLUP[],MATCH($B22,MMWR_RATING_RO_ROLLUP[MMWR_RATING_RO_ROLLUP],0),MATCH(I$9,MMWR_RATING_RO_ROLLUP[#Headers],0)),"ERROR"))</f>
        <v>137.4996464765</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2872</v>
      </c>
      <c r="D23" s="155">
        <f>IF($B23=" ","",IFERROR(INDEX(MMWR_RATING_RO_ROLLUP[],MATCH($B23,MMWR_RATING_RO_ROLLUP[MMWR_RATING_RO_ROLLUP],0),MATCH(D$9,MMWR_RATING_RO_ROLLUP[#Headers],0)),"ERROR"))</f>
        <v>96.521239554299996</v>
      </c>
      <c r="E23" s="156">
        <f>IF($B23=" ","",IFERROR(INDEX(MMWR_RATING_RO_ROLLUP[],MATCH($B23,MMWR_RATING_RO_ROLLUP[MMWR_RATING_RO_ROLLUP],0),MATCH(E$9,MMWR_RATING_RO_ROLLUP[#Headers],0))/$C23,"ERROR"))</f>
        <v>0.25348189415041783</v>
      </c>
      <c r="F23" s="154">
        <f>IF($B23=" ","",IFERROR(INDEX(MMWR_RATING_RO_ROLLUP[],MATCH($B23,MMWR_RATING_RO_ROLLUP[MMWR_RATING_RO_ROLLUP],0),MATCH(F$9,MMWR_RATING_RO_ROLLUP[#Headers],0)),"ERROR"))</f>
        <v>449</v>
      </c>
      <c r="G23" s="154">
        <f>IF($B23=" ","",IFERROR(INDEX(MMWR_RATING_RO_ROLLUP[],MATCH($B23,MMWR_RATING_RO_ROLLUP[MMWR_RATING_RO_ROLLUP],0),MATCH(G$9,MMWR_RATING_RO_ROLLUP[#Headers],0)),"ERROR"))</f>
        <v>7062</v>
      </c>
      <c r="H23" s="155">
        <f>IF($B23=" ","",IFERROR(INDEX(MMWR_RATING_RO_ROLLUP[],MATCH($B23,MMWR_RATING_RO_ROLLUP[MMWR_RATING_RO_ROLLUP],0),MATCH(H$9,MMWR_RATING_RO_ROLLUP[#Headers],0)),"ERROR"))</f>
        <v>147.70601336300001</v>
      </c>
      <c r="I23" s="155">
        <f>IF($B23=" ","",IFERROR(INDEX(MMWR_RATING_RO_ROLLUP[],MATCH($B23,MMWR_RATING_RO_ROLLUP[MMWR_RATING_RO_ROLLUP],0),MATCH(I$9,MMWR_RATING_RO_ROLLUP[#Headers],0)),"ERROR"))</f>
        <v>138.3501840838</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8335</v>
      </c>
      <c r="D24" s="155">
        <f>IF($B24=" ","",IFERROR(INDEX(MMWR_RATING_RO_ROLLUP[],MATCH($B24,MMWR_RATING_RO_ROLLUP[MMWR_RATING_RO_ROLLUP],0),MATCH(D$9,MMWR_RATING_RO_ROLLUP[#Headers],0)),"ERROR"))</f>
        <v>120.28674265150001</v>
      </c>
      <c r="E24" s="156">
        <f>IF($B24=" ","",IFERROR(INDEX(MMWR_RATING_RO_ROLLUP[],MATCH($B24,MMWR_RATING_RO_ROLLUP[MMWR_RATING_RO_ROLLUP],0),MATCH(E$9,MMWR_RATING_RO_ROLLUP[#Headers],0))/$C24,"ERROR"))</f>
        <v>0.32129574085182966</v>
      </c>
      <c r="F24" s="154">
        <f>IF($B24=" ","",IFERROR(INDEX(MMWR_RATING_RO_ROLLUP[],MATCH($B24,MMWR_RATING_RO_ROLLUP[MMWR_RATING_RO_ROLLUP],0),MATCH(F$9,MMWR_RATING_RO_ROLLUP[#Headers],0)),"ERROR"))</f>
        <v>1326</v>
      </c>
      <c r="G24" s="154">
        <f>IF($B24=" ","",IFERROR(INDEX(MMWR_RATING_RO_ROLLUP[],MATCH($B24,MMWR_RATING_RO_ROLLUP[MMWR_RATING_RO_ROLLUP],0),MATCH(G$9,MMWR_RATING_RO_ROLLUP[#Headers],0)),"ERROR"))</f>
        <v>20504</v>
      </c>
      <c r="H24" s="155">
        <f>IF($B24=" ","",IFERROR(INDEX(MMWR_RATING_RO_ROLLUP[],MATCH($B24,MMWR_RATING_RO_ROLLUP[MMWR_RATING_RO_ROLLUP],0),MATCH(H$9,MMWR_RATING_RO_ROLLUP[#Headers],0)),"ERROR"))</f>
        <v>160.24283559579999</v>
      </c>
      <c r="I24" s="155">
        <f>IF($B24=" ","",IFERROR(INDEX(MMWR_RATING_RO_ROLLUP[],MATCH($B24,MMWR_RATING_RO_ROLLUP[MMWR_RATING_RO_ROLLUP],0),MATCH(I$9,MMWR_RATING_RO_ROLLUP[#Headers],0)),"ERROR"))</f>
        <v>149.41621147090001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4421</v>
      </c>
      <c r="D25" s="155">
        <f>IF($B25=" ","",IFERROR(INDEX(MMWR_RATING_RO_ROLLUP[],MATCH($B25,MMWR_RATING_RO_ROLLUP[MMWR_RATING_RO_ROLLUP],0),MATCH(D$9,MMWR_RATING_RO_ROLLUP[#Headers],0)),"ERROR"))</f>
        <v>114.5632209907</v>
      </c>
      <c r="E25" s="156">
        <f>IF($B25=" ","",IFERROR(INDEX(MMWR_RATING_RO_ROLLUP[],MATCH($B25,MMWR_RATING_RO_ROLLUP[MMWR_RATING_RO_ROLLUP],0),MATCH(E$9,MMWR_RATING_RO_ROLLUP[#Headers],0))/$C25,"ERROR"))</f>
        <v>0.31011083465279349</v>
      </c>
      <c r="F25" s="154">
        <f>IF($B25=" ","",IFERROR(INDEX(MMWR_RATING_RO_ROLLUP[],MATCH($B25,MMWR_RATING_RO_ROLLUP[MMWR_RATING_RO_ROLLUP],0),MATCH(F$9,MMWR_RATING_RO_ROLLUP[#Headers],0)),"ERROR"))</f>
        <v>898</v>
      </c>
      <c r="G25" s="154">
        <f>IF($B25=" ","",IFERROR(INDEX(MMWR_RATING_RO_ROLLUP[],MATCH($B25,MMWR_RATING_RO_ROLLUP[MMWR_RATING_RO_ROLLUP],0),MATCH(G$9,MMWR_RATING_RO_ROLLUP[#Headers],0)),"ERROR"))</f>
        <v>11811</v>
      </c>
      <c r="H25" s="155">
        <f>IF($B25=" ","",IFERROR(INDEX(MMWR_RATING_RO_ROLLUP[],MATCH($B25,MMWR_RATING_RO_ROLLUP[MMWR_RATING_RO_ROLLUP],0),MATCH(H$9,MMWR_RATING_RO_ROLLUP[#Headers],0)),"ERROR"))</f>
        <v>153.58240534519999</v>
      </c>
      <c r="I25" s="155">
        <f>IF($B25=" ","",IFERROR(INDEX(MMWR_RATING_RO_ROLLUP[],MATCH($B25,MMWR_RATING_RO_ROLLUP[MMWR_RATING_RO_ROLLUP],0),MATCH(I$9,MMWR_RATING_RO_ROLLUP[#Headers],0)),"ERROR"))</f>
        <v>157.21031242059999</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2757</v>
      </c>
      <c r="D26" s="155">
        <f>IF($B26=" ","",IFERROR(INDEX(MMWR_RATING_RO_ROLLUP[],MATCH($B26,MMWR_RATING_RO_ROLLUP[MMWR_RATING_RO_ROLLUP],0),MATCH(D$9,MMWR_RATING_RO_ROLLUP[#Headers],0)),"ERROR"))</f>
        <v>72.486760972100001</v>
      </c>
      <c r="E26" s="156">
        <f>IF($B26=" ","",IFERROR(INDEX(MMWR_RATING_RO_ROLLUP[],MATCH($B26,MMWR_RATING_RO_ROLLUP[MMWR_RATING_RO_ROLLUP],0),MATCH(E$9,MMWR_RATING_RO_ROLLUP[#Headers],0))/$C26,"ERROR"))</f>
        <v>0.13565469713456657</v>
      </c>
      <c r="F26" s="154">
        <f>IF($B26=" ","",IFERROR(INDEX(MMWR_RATING_RO_ROLLUP[],MATCH($B26,MMWR_RATING_RO_ROLLUP[MMWR_RATING_RO_ROLLUP],0),MATCH(F$9,MMWR_RATING_RO_ROLLUP[#Headers],0)),"ERROR"))</f>
        <v>1239</v>
      </c>
      <c r="G26" s="154">
        <f>IF($B26=" ","",IFERROR(INDEX(MMWR_RATING_RO_ROLLUP[],MATCH($B26,MMWR_RATING_RO_ROLLUP[MMWR_RATING_RO_ROLLUP],0),MATCH(G$9,MMWR_RATING_RO_ROLLUP[#Headers],0)),"ERROR"))</f>
        <v>19198</v>
      </c>
      <c r="H26" s="155">
        <f>IF($B26=" ","",IFERROR(INDEX(MMWR_RATING_RO_ROLLUP[],MATCH($B26,MMWR_RATING_RO_ROLLUP[MMWR_RATING_RO_ROLLUP],0),MATCH(H$9,MMWR_RATING_RO_ROLLUP[#Headers],0)),"ERROR"))</f>
        <v>59.926553672300003</v>
      </c>
      <c r="I26" s="155">
        <f>IF($B26=" ","",IFERROR(INDEX(MMWR_RATING_RO_ROLLUP[],MATCH($B26,MMWR_RATING_RO_ROLLUP[MMWR_RATING_RO_ROLLUP],0),MATCH(I$9,MMWR_RATING_RO_ROLLUP[#Headers],0)),"ERROR"))</f>
        <v>56.720231274100001</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11508</v>
      </c>
      <c r="D27" s="155">
        <f>IF($B27=" ","",IFERROR(INDEX(MMWR_RATING_RO_ROLLUP[],MATCH($B27,MMWR_RATING_RO_ROLLUP[MMWR_RATING_RO_ROLLUP],0),MATCH(D$9,MMWR_RATING_RO_ROLLUP[#Headers],0)),"ERROR"))</f>
        <v>87.489137991000007</v>
      </c>
      <c r="E27" s="156">
        <f>IF($B27=" ","",IFERROR(INDEX(MMWR_RATING_RO_ROLLUP[],MATCH($B27,MMWR_RATING_RO_ROLLUP[MMWR_RATING_RO_ROLLUP],0),MATCH(E$9,MMWR_RATING_RO_ROLLUP[#Headers],0))/$C27,"ERROR"))</f>
        <v>0.19560305874174488</v>
      </c>
      <c r="F27" s="154">
        <f>IF($B27=" ","",IFERROR(INDEX(MMWR_RATING_RO_ROLLUP[],MATCH($B27,MMWR_RATING_RO_ROLLUP[MMWR_RATING_RO_ROLLUP],0),MATCH(F$9,MMWR_RATING_RO_ROLLUP[#Headers],0)),"ERROR"))</f>
        <v>1890</v>
      </c>
      <c r="G27" s="154">
        <f>IF($B27=" ","",IFERROR(INDEX(MMWR_RATING_RO_ROLLUP[],MATCH($B27,MMWR_RATING_RO_ROLLUP[MMWR_RATING_RO_ROLLUP],0),MATCH(G$9,MMWR_RATING_RO_ROLLUP[#Headers],0)),"ERROR"))</f>
        <v>30684</v>
      </c>
      <c r="H27" s="155">
        <f>IF($B27=" ","",IFERROR(INDEX(MMWR_RATING_RO_ROLLUP[],MATCH($B27,MMWR_RATING_RO_ROLLUP[MMWR_RATING_RO_ROLLUP],0),MATCH(H$9,MMWR_RATING_RO_ROLLUP[#Headers],0)),"ERROR"))</f>
        <v>140.69312169310001</v>
      </c>
      <c r="I27" s="155">
        <f>IF($B27=" ","",IFERROR(INDEX(MMWR_RATING_RO_ROLLUP[],MATCH($B27,MMWR_RATING_RO_ROLLUP[MMWR_RATING_RO_ROLLUP],0),MATCH(I$9,MMWR_RATING_RO_ROLLUP[#Headers],0)),"ERROR"))</f>
        <v>135.98289010560001</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1574</v>
      </c>
      <c r="D28" s="155">
        <f>IF($B28=" ","",IFERROR(INDEX(MMWR_RATING_RO_ROLLUP[],MATCH($B28,MMWR_RATING_RO_ROLLUP[MMWR_RATING_RO_ROLLUP],0),MATCH(D$9,MMWR_RATING_RO_ROLLUP[#Headers],0)),"ERROR"))</f>
        <v>72.481575603600007</v>
      </c>
      <c r="E28" s="156">
        <f>IF($B28=" ","",IFERROR(INDEX(MMWR_RATING_RO_ROLLUP[],MATCH($B28,MMWR_RATING_RO_ROLLUP[MMWR_RATING_RO_ROLLUP],0),MATCH(E$9,MMWR_RATING_RO_ROLLUP[#Headers],0))/$C28,"ERROR"))</f>
        <v>0.12007623888182974</v>
      </c>
      <c r="F28" s="154">
        <f>IF($B28=" ","",IFERROR(INDEX(MMWR_RATING_RO_ROLLUP[],MATCH($B28,MMWR_RATING_RO_ROLLUP[MMWR_RATING_RO_ROLLUP],0),MATCH(F$9,MMWR_RATING_RO_ROLLUP[#Headers],0)),"ERROR"))</f>
        <v>291</v>
      </c>
      <c r="G28" s="154">
        <f>IF($B28=" ","",IFERROR(INDEX(MMWR_RATING_RO_ROLLUP[],MATCH($B28,MMWR_RATING_RO_ROLLUP[MMWR_RATING_RO_ROLLUP],0),MATCH(G$9,MMWR_RATING_RO_ROLLUP[#Headers],0)),"ERROR"))</f>
        <v>4569</v>
      </c>
      <c r="H28" s="155">
        <f>IF($B28=" ","",IFERROR(INDEX(MMWR_RATING_RO_ROLLUP[],MATCH($B28,MMWR_RATING_RO_ROLLUP[MMWR_RATING_RO_ROLLUP],0),MATCH(H$9,MMWR_RATING_RO_ROLLUP[#Headers],0)),"ERROR"))</f>
        <v>102.9243986254</v>
      </c>
      <c r="I28" s="155">
        <f>IF($B28=" ","",IFERROR(INDEX(MMWR_RATING_RO_ROLLUP[],MATCH($B28,MMWR_RATING_RO_ROLLUP[MMWR_RATING_RO_ROLLUP],0),MATCH(I$9,MMWR_RATING_RO_ROLLUP[#Headers],0)),"ERROR"))</f>
        <v>103.77763186689999</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558</v>
      </c>
      <c r="D29" s="155">
        <f>IF($B29=" ","",IFERROR(INDEX(MMWR_RATING_RO_ROLLUP[],MATCH($B29,MMWR_RATING_RO_ROLLUP[MMWR_RATING_RO_ROLLUP],0),MATCH(D$9,MMWR_RATING_RO_ROLLUP[#Headers],0)),"ERROR"))</f>
        <v>89.693548387099995</v>
      </c>
      <c r="E29" s="156">
        <f>IF($B29=" ","",IFERROR(INDEX(MMWR_RATING_RO_ROLLUP[],MATCH($B29,MMWR_RATING_RO_ROLLUP[MMWR_RATING_RO_ROLLUP],0),MATCH(E$9,MMWR_RATING_RO_ROLLUP[#Headers],0))/$C29,"ERROR"))</f>
        <v>0.21146953405017921</v>
      </c>
      <c r="F29" s="154">
        <f>IF($B29=" ","",IFERROR(INDEX(MMWR_RATING_RO_ROLLUP[],MATCH($B29,MMWR_RATING_RO_ROLLUP[MMWR_RATING_RO_ROLLUP],0),MATCH(F$9,MMWR_RATING_RO_ROLLUP[#Headers],0)),"ERROR"))</f>
        <v>92</v>
      </c>
      <c r="G29" s="154">
        <f>IF($B29=" ","",IFERROR(INDEX(MMWR_RATING_RO_ROLLUP[],MATCH($B29,MMWR_RATING_RO_ROLLUP[MMWR_RATING_RO_ROLLUP],0),MATCH(G$9,MMWR_RATING_RO_ROLLUP[#Headers],0)),"ERROR"))</f>
        <v>1367</v>
      </c>
      <c r="H29" s="155">
        <f>IF($B29=" ","",IFERROR(INDEX(MMWR_RATING_RO_ROLLUP[],MATCH($B29,MMWR_RATING_RO_ROLLUP[MMWR_RATING_RO_ROLLUP],0),MATCH(H$9,MMWR_RATING_RO_ROLLUP[#Headers],0)),"ERROR"))</f>
        <v>137.80434782610001</v>
      </c>
      <c r="I29" s="155">
        <f>IF($B29=" ","",IFERROR(INDEX(MMWR_RATING_RO_ROLLUP[],MATCH($B29,MMWR_RATING_RO_ROLLUP[MMWR_RATING_RO_ROLLUP],0),MATCH(I$9,MMWR_RATING_RO_ROLLUP[#Headers],0)),"ERROR"))</f>
        <v>137.8624725677</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842</v>
      </c>
      <c r="D30" s="155">
        <f>IF($B30=" ","",IFERROR(INDEX(MMWR_RATING_RO_ROLLUP[],MATCH($B30,MMWR_RATING_RO_ROLLUP[MMWR_RATING_RO_ROLLUP],0),MATCH(D$9,MMWR_RATING_RO_ROLLUP[#Headers],0)),"ERROR"))</f>
        <v>91.351543942999996</v>
      </c>
      <c r="E30" s="156">
        <f>IF($B30=" ","",IFERROR(INDEX(MMWR_RATING_RO_ROLLUP[],MATCH($B30,MMWR_RATING_RO_ROLLUP[MMWR_RATING_RO_ROLLUP],0),MATCH(E$9,MMWR_RATING_RO_ROLLUP[#Headers],0))/$C30,"ERROR"))</f>
        <v>0.22209026128266032</v>
      </c>
      <c r="F30" s="154">
        <f>IF($B30=" ","",IFERROR(INDEX(MMWR_RATING_RO_ROLLUP[],MATCH($B30,MMWR_RATING_RO_ROLLUP[MMWR_RATING_RO_ROLLUP],0),MATCH(F$9,MMWR_RATING_RO_ROLLUP[#Headers],0)),"ERROR"))</f>
        <v>138</v>
      </c>
      <c r="G30" s="154">
        <f>IF($B30=" ","",IFERROR(INDEX(MMWR_RATING_RO_ROLLUP[],MATCH($B30,MMWR_RATING_RO_ROLLUP[MMWR_RATING_RO_ROLLUP],0),MATCH(G$9,MMWR_RATING_RO_ROLLUP[#Headers],0)),"ERROR"))</f>
        <v>2183</v>
      </c>
      <c r="H30" s="155">
        <f>IF($B30=" ","",IFERROR(INDEX(MMWR_RATING_RO_ROLLUP[],MATCH($B30,MMWR_RATING_RO_ROLLUP[MMWR_RATING_RO_ROLLUP],0),MATCH(H$9,MMWR_RATING_RO_ROLLUP[#Headers],0)),"ERROR"))</f>
        <v>131.9927536232</v>
      </c>
      <c r="I30" s="155">
        <f>IF($B30=" ","",IFERROR(INDEX(MMWR_RATING_RO_ROLLUP[],MATCH($B30,MMWR_RATING_RO_ROLLUP[MMWR_RATING_RO_ROLLUP],0),MATCH(I$9,MMWR_RATING_RO_ROLLUP[#Headers],0)),"ERROR"))</f>
        <v>139.99679340360001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18183</v>
      </c>
      <c r="D31" s="155">
        <f>IF($B31=" ","",IFERROR(INDEX(MMWR_RATING_RO_ROLLUP[],MATCH($B31,MMWR_RATING_RO_ROLLUP[MMWR_RATING_RO_ROLLUP],0),MATCH(D$9,MMWR_RATING_RO_ROLLUP[#Headers],0)),"ERROR"))</f>
        <v>90.787768795000005</v>
      </c>
      <c r="E31" s="156">
        <f>IF($B31=" ","",IFERROR(INDEX(MMWR_RATING_RO_ROLLUP[],MATCH($B31,MMWR_RATING_RO_ROLLUP[MMWR_RATING_RO_ROLLUP],0),MATCH(E$9,MMWR_RATING_RO_ROLLUP[#Headers],0))/$C31,"ERROR"))</f>
        <v>0.22515536490128141</v>
      </c>
      <c r="F31" s="154">
        <f>IF($B31=" ","",IFERROR(INDEX(MMWR_RATING_RO_ROLLUP[],MATCH($B31,MMWR_RATING_RO_ROLLUP[MMWR_RATING_RO_ROLLUP],0),MATCH(F$9,MMWR_RATING_RO_ROLLUP[#Headers],0)),"ERROR"))</f>
        <v>2936</v>
      </c>
      <c r="G31" s="154">
        <f>IF($B31=" ","",IFERROR(INDEX(MMWR_RATING_RO_ROLLUP[],MATCH($B31,MMWR_RATING_RO_ROLLUP[MMWR_RATING_RO_ROLLUP],0),MATCH(G$9,MMWR_RATING_RO_ROLLUP[#Headers],0)),"ERROR"))</f>
        <v>44795</v>
      </c>
      <c r="H31" s="155">
        <f>IF($B31=" ","",IFERROR(INDEX(MMWR_RATING_RO_ROLLUP[],MATCH($B31,MMWR_RATING_RO_ROLLUP[MMWR_RATING_RO_ROLLUP],0),MATCH(H$9,MMWR_RATING_RO_ROLLUP[#Headers],0)),"ERROR"))</f>
        <v>132.6069482289</v>
      </c>
      <c r="I31" s="155">
        <f>IF($B31=" ","",IFERROR(INDEX(MMWR_RATING_RO_ROLLUP[],MATCH($B31,MMWR_RATING_RO_ROLLUP[MMWR_RATING_RO_ROLLUP],0),MATCH(I$9,MMWR_RATING_RO_ROLLUP[#Headers],0)),"ERROR"))</f>
        <v>142.5580087063</v>
      </c>
      <c r="J31" s="42"/>
      <c r="K31" s="42"/>
      <c r="L31" s="42"/>
      <c r="M31" s="42"/>
      <c r="N31" s="28"/>
    </row>
    <row r="32" spans="1:14" x14ac:dyDescent="0.2">
      <c r="A32" s="25"/>
      <c r="B32" s="378" t="s">
        <v>732</v>
      </c>
      <c r="C32" s="379"/>
      <c r="D32" s="379"/>
      <c r="E32" s="379"/>
      <c r="F32" s="379"/>
      <c r="G32" s="379"/>
      <c r="H32" s="379"/>
      <c r="I32" s="379"/>
      <c r="J32" s="379"/>
      <c r="K32" s="379"/>
      <c r="L32" s="379"/>
      <c r="M32" s="388"/>
      <c r="N32" s="28"/>
    </row>
    <row r="33" spans="1:14" x14ac:dyDescent="0.2">
      <c r="A33" s="25"/>
      <c r="B33" s="11" t="s">
        <v>695</v>
      </c>
      <c r="C33" s="154">
        <f>IF($B33=" ","",IFERROR(INDEX(MMWR_RATING_RO_ROLLUP[],MATCH($B33,MMWR_RATING_RO_ROLLUP[MMWR_RATING_RO_ROLLUP],0),MATCH(C$9,MMWR_RATING_RO_ROLLUP[#Headers],0)),"ERROR"))</f>
        <v>25647</v>
      </c>
      <c r="D33" s="155">
        <f>IF($B33=" ","",IFERROR(INDEX(MMWR_RATING_RO_ROLLUP[],MATCH($B33,MMWR_RATING_RO_ROLLUP[MMWR_RATING_RO_ROLLUP],0),MATCH(D$9,MMWR_RATING_RO_ROLLUP[#Headers],0)),"ERROR"))</f>
        <v>67.71197411</v>
      </c>
      <c r="E33" s="156">
        <f>IF($B33=" ","",IFERROR(INDEX(MMWR_RATING_RO_ROLLUP[],MATCH($B33,MMWR_RATING_RO_ROLLUP[MMWR_RATING_RO_ROLLUP],0),MATCH(E$9,MMWR_RATING_RO_ROLLUP[#Headers],0))/$C33,"ERROR"))</f>
        <v>0.12278239170273327</v>
      </c>
      <c r="F33" s="154">
        <f>IF($B33=" ","",IFERROR(INDEX(MMWR_RATING_RO_ROLLUP[],MATCH($B33,MMWR_RATING_RO_ROLLUP[MMWR_RATING_RO_ROLLUP],0),MATCH(F$9,MMWR_RATING_RO_ROLLUP[#Headers],0)),"ERROR"))</f>
        <v>10009</v>
      </c>
      <c r="G33" s="154">
        <f>IF($B33=" ","",IFERROR(INDEX(MMWR_RATING_RO_ROLLUP[],MATCH($B33,MMWR_RATING_RO_ROLLUP[MMWR_RATING_RO_ROLLUP],0),MATCH(G$9,MMWR_RATING_RO_ROLLUP[#Headers],0)),"ERROR"))</f>
        <v>132292</v>
      </c>
      <c r="H33" s="155">
        <f>IF($B33=" ","",IFERROR(INDEX(MMWR_RATING_RO_ROLLUP[],MATCH($B33,MMWR_RATING_RO_ROLLUP[MMWR_RATING_RO_ROLLUP],0),MATCH(H$9,MMWR_RATING_RO_ROLLUP[#Headers],0)),"ERROR"))</f>
        <v>81.959236687000001</v>
      </c>
      <c r="I33" s="155">
        <f>IF($B33=" ","",IFERROR(INDEX(MMWR_RATING_RO_ROLLUP[],MATCH($B33,MMWR_RATING_RO_ROLLUP[MMWR_RATING_RO_ROLLUP],0),MATCH(I$9,MMWR_RATING_RO_ROLLUP[#Headers],0)),"ERROR"))</f>
        <v>79.321138088500007</v>
      </c>
      <c r="J33" s="42"/>
      <c r="K33" s="42"/>
      <c r="L33" s="42"/>
      <c r="M33" s="42"/>
      <c r="N33" s="28"/>
    </row>
    <row r="34" spans="1:14" x14ac:dyDescent="0.2">
      <c r="A34" s="25"/>
      <c r="B34" s="12" t="s">
        <v>210</v>
      </c>
      <c r="C34" s="154">
        <f>IF($B34=" ","",IFERROR(INDEX(MMWR_RATING_RO_ROLLUP[],MATCH($B34,MMWR_RATING_RO_ROLLUP[MMWR_RATING_RO_ROLLUP],0),MATCH(C$9,MMWR_RATING_RO_ROLLUP[#Headers],0)),"ERROR"))</f>
        <v>11617</v>
      </c>
      <c r="D34" s="155">
        <f>IF($B34=" ","",IFERROR(INDEX(MMWR_RATING_RO_ROLLUP[],MATCH($B34,MMWR_RATING_RO_ROLLUP[MMWR_RATING_RO_ROLLUP],0),MATCH(D$9,MMWR_RATING_RO_ROLLUP[#Headers],0)),"ERROR"))</f>
        <v>63.855040027500003</v>
      </c>
      <c r="E34" s="156">
        <f>IF($B34=" ","",IFERROR(INDEX(MMWR_RATING_RO_ROLLUP[],MATCH($B34,MMWR_RATING_RO_ROLLUP[MMWR_RATING_RO_ROLLUP],0),MATCH(E$9,MMWR_RATING_RO_ROLLUP[#Headers],0))/$C34,"ERROR"))</f>
        <v>0.11861926487044848</v>
      </c>
      <c r="F34" s="154">
        <f>IF($B34=" ","",IFERROR(INDEX(MMWR_RATING_RO_ROLLUP[],MATCH($B34,MMWR_RATING_RO_ROLLUP[MMWR_RATING_RO_ROLLUP],0),MATCH(F$9,MMWR_RATING_RO_ROLLUP[#Headers],0)),"ERROR"))</f>
        <v>3949</v>
      </c>
      <c r="G34" s="154">
        <f>IF($B34=" ","",IFERROR(INDEX(MMWR_RATING_RO_ROLLUP[],MATCH($B34,MMWR_RATING_RO_ROLLUP[MMWR_RATING_RO_ROLLUP],0),MATCH(G$9,MMWR_RATING_RO_ROLLUP[#Headers],0)),"ERROR"))</f>
        <v>44554</v>
      </c>
      <c r="H34" s="155">
        <f>IF($B34=" ","",IFERROR(INDEX(MMWR_RATING_RO_ROLLUP[],MATCH($B34,MMWR_RATING_RO_ROLLUP[MMWR_RATING_RO_ROLLUP],0),MATCH(H$9,MMWR_RATING_RO_ROLLUP[#Headers],0)),"ERROR"))</f>
        <v>100.8969359331</v>
      </c>
      <c r="I34" s="155">
        <f>IF($B34=" ","",IFERROR(INDEX(MMWR_RATING_RO_ROLLUP[],MATCH($B34,MMWR_RATING_RO_ROLLUP[MMWR_RATING_RO_ROLLUP],0),MATCH(I$9,MMWR_RATING_RO_ROLLUP[#Headers],0)),"ERROR"))</f>
        <v>99.326143556100007</v>
      </c>
      <c r="J34" s="42"/>
      <c r="K34" s="42"/>
      <c r="L34" s="42"/>
      <c r="M34" s="42"/>
      <c r="N34" s="28"/>
    </row>
    <row r="35" spans="1:14" x14ac:dyDescent="0.2">
      <c r="A35" s="43"/>
      <c r="B35" s="12" t="s">
        <v>209</v>
      </c>
      <c r="C35" s="154">
        <f>IF($B35=" ","",IFERROR(INDEX(MMWR_RATING_RO_ROLLUP[],MATCH($B35,MMWR_RATING_RO_ROLLUP[MMWR_RATING_RO_ROLLUP],0),MATCH(C$9,MMWR_RATING_RO_ROLLUP[#Headers],0)),"ERROR"))</f>
        <v>5421</v>
      </c>
      <c r="D35" s="155">
        <f>IF($B35=" ","",IFERROR(INDEX(MMWR_RATING_RO_ROLLUP[],MATCH($B35,MMWR_RATING_RO_ROLLUP[MMWR_RATING_RO_ROLLUP],0),MATCH(D$9,MMWR_RATING_RO_ROLLUP[#Headers],0)),"ERROR"))</f>
        <v>70.042427596400003</v>
      </c>
      <c r="E35" s="156">
        <f>IF($B35=" ","",IFERROR(INDEX(MMWR_RATING_RO_ROLLUP[],MATCH($B35,MMWR_RATING_RO_ROLLUP[MMWR_RATING_RO_ROLLUP],0),MATCH(E$9,MMWR_RATING_RO_ROLLUP[#Headers],0))/$C35,"ERROR"))</f>
        <v>0.14314702084486258</v>
      </c>
      <c r="F35" s="154">
        <f>IF($B35=" ","",IFERROR(INDEX(MMWR_RATING_RO_ROLLUP[],MATCH($B35,MMWR_RATING_RO_ROLLUP[MMWR_RATING_RO_ROLLUP],0),MATCH(F$9,MMWR_RATING_RO_ROLLUP[#Headers],0)),"ERROR"))</f>
        <v>2545</v>
      </c>
      <c r="G35" s="154">
        <f>IF($B35=" ","",IFERROR(INDEX(MMWR_RATING_RO_ROLLUP[],MATCH($B35,MMWR_RATING_RO_ROLLUP[MMWR_RATING_RO_ROLLUP],0),MATCH(G$9,MMWR_RATING_RO_ROLLUP[#Headers],0)),"ERROR"))</f>
        <v>36707</v>
      </c>
      <c r="H35" s="155">
        <f>IF($B35=" ","",IFERROR(INDEX(MMWR_RATING_RO_ROLLUP[],MATCH($B35,MMWR_RATING_RO_ROLLUP[MMWR_RATING_RO_ROLLUP],0),MATCH(H$9,MMWR_RATING_RO_ROLLUP[#Headers],0)),"ERROR"))</f>
        <v>65.256974459700004</v>
      </c>
      <c r="I35" s="155">
        <f>IF($B35=" ","",IFERROR(INDEX(MMWR_RATING_RO_ROLLUP[],MATCH($B35,MMWR_RATING_RO_ROLLUP[MMWR_RATING_RO_ROLLUP],0),MATCH(I$9,MMWR_RATING_RO_ROLLUP[#Headers],0)),"ERROR"))</f>
        <v>70.455798621499994</v>
      </c>
      <c r="J35" s="42"/>
      <c r="K35" s="42"/>
      <c r="L35" s="42"/>
      <c r="M35" s="42"/>
      <c r="N35" s="28"/>
    </row>
    <row r="36" spans="1:14" x14ac:dyDescent="0.2">
      <c r="A36" s="25"/>
      <c r="B36" s="12" t="s">
        <v>212</v>
      </c>
      <c r="C36" s="154">
        <f>IF($B36=" ","",IFERROR(INDEX(MMWR_RATING_RO_ROLLUP[],MATCH($B36,MMWR_RATING_RO_ROLLUP[MMWR_RATING_RO_ROLLUP],0),MATCH(C$9,MMWR_RATING_RO_ROLLUP[#Headers],0)),"ERROR"))</f>
        <v>7822</v>
      </c>
      <c r="D36" s="155">
        <f>IF($B36=" ","",IFERROR(INDEX(MMWR_RATING_RO_ROLLUP[],MATCH($B36,MMWR_RATING_RO_ROLLUP[MMWR_RATING_RO_ROLLUP],0),MATCH(D$9,MMWR_RATING_RO_ROLLUP[#Headers],0)),"ERROR"))</f>
        <v>60.123242137600002</v>
      </c>
      <c r="E36" s="156">
        <f>IF($B36=" ","",IFERROR(INDEX(MMWR_RATING_RO_ROLLUP[],MATCH($B36,MMWR_RATING_RO_ROLLUP[MMWR_RATING_RO_ROLLUP],0),MATCH(E$9,MMWR_RATING_RO_ROLLUP[#Headers],0))/$C36,"ERROR"))</f>
        <v>7.8752237279468174E-2</v>
      </c>
      <c r="F36" s="154">
        <f>IF($B36=" ","",IFERROR(INDEX(MMWR_RATING_RO_ROLLUP[],MATCH($B36,MMWR_RATING_RO_ROLLUP[MMWR_RATING_RO_ROLLUP],0),MATCH(F$9,MMWR_RATING_RO_ROLLUP[#Headers],0)),"ERROR"))</f>
        <v>3116</v>
      </c>
      <c r="G36" s="154">
        <f>IF($B36=" ","",IFERROR(INDEX(MMWR_RATING_RO_ROLLUP[],MATCH($B36,MMWR_RATING_RO_ROLLUP[MMWR_RATING_RO_ROLLUP],0),MATCH(G$9,MMWR_RATING_RO_ROLLUP[#Headers],0)),"ERROR"))</f>
        <v>46153</v>
      </c>
      <c r="H36" s="155">
        <f>IF($B36=" ","",IFERROR(INDEX(MMWR_RATING_RO_ROLLUP[],MATCH($B36,MMWR_RATING_RO_ROLLUP[MMWR_RATING_RO_ROLLUP],0),MATCH(H$9,MMWR_RATING_RO_ROLLUP[#Headers],0)),"ERROR"))</f>
        <v>71.338254172000006</v>
      </c>
      <c r="I36" s="155">
        <f>IF($B36=" ","",IFERROR(INDEX(MMWR_RATING_RO_ROLLUP[],MATCH($B36,MMWR_RATING_RO_ROLLUP[MMWR_RATING_RO_ROLLUP],0),MATCH(I$9,MMWR_RATING_RO_ROLLUP[#Headers],0)),"ERROR"))</f>
        <v>68.531818083299996</v>
      </c>
      <c r="J36" s="42"/>
      <c r="K36" s="42"/>
      <c r="L36" s="42"/>
      <c r="M36" s="42"/>
      <c r="N36" s="28"/>
    </row>
    <row r="37" spans="1:14" x14ac:dyDescent="0.2">
      <c r="A37" s="25"/>
      <c r="B37" s="13" t="s">
        <v>224</v>
      </c>
      <c r="C37" s="154">
        <f>IF($B37=" ","",IFERROR(INDEX(MMWR_RATING_RO_ROLLUP[],MATCH($B37,MMWR_RATING_RO_ROLLUP[MMWR_RATING_RO_ROLLUP],0),MATCH(C$9,MMWR_RATING_RO_ROLLUP[#Headers],0)),"ERROR"))</f>
        <v>787</v>
      </c>
      <c r="D37" s="155">
        <f>IF($B37=" ","",IFERROR(INDEX(MMWR_RATING_RO_ROLLUP[],MATCH($B37,MMWR_RATING_RO_ROLLUP[MMWR_RATING_RO_ROLLUP],0),MATCH(D$9,MMWR_RATING_RO_ROLLUP[#Headers],0)),"ERROR"))</f>
        <v>184.0165184244</v>
      </c>
      <c r="E37" s="156">
        <f>IF($B37=" ","",IFERROR(INDEX(MMWR_RATING_RO_ROLLUP[],MATCH($B37,MMWR_RATING_RO_ROLLUP[MMWR_RATING_RO_ROLLUP],0),MATCH(E$9,MMWR_RATING_RO_ROLLUP[#Headers],0))/$C37,"ERROR"))</f>
        <v>0.48157560355781448</v>
      </c>
      <c r="F37" s="154">
        <f>IF($B37=" ","",IFERROR(INDEX(MMWR_RATING_RO_ROLLUP[],MATCH($B37,MMWR_RATING_RO_ROLLUP[MMWR_RATING_RO_ROLLUP],0),MATCH(F$9,MMWR_RATING_RO_ROLLUP[#Headers],0)),"ERROR"))</f>
        <v>399</v>
      </c>
      <c r="G37" s="154">
        <f>IF($B37=" ","",IFERROR(INDEX(MMWR_RATING_RO_ROLLUP[],MATCH($B37,MMWR_RATING_RO_ROLLUP[MMWR_RATING_RO_ROLLUP],0),MATCH(G$9,MMWR_RATING_RO_ROLLUP[#Headers],0)),"ERROR"))</f>
        <v>4878</v>
      </c>
      <c r="H37" s="155">
        <f>IF($B37=" ","",IFERROR(INDEX(MMWR_RATING_RO_ROLLUP[],MATCH($B37,MMWR_RATING_RO_ROLLUP[MMWR_RATING_RO_ROLLUP],0),MATCH(H$9,MMWR_RATING_RO_ROLLUP[#Headers],0)),"ERROR"))</f>
        <v>84.007518797000003</v>
      </c>
      <c r="I37" s="155">
        <f>IF($B37=" ","",IFERROR(INDEX(MMWR_RATING_RO_ROLLUP[],MATCH($B37,MMWR_RATING_RO_ROLLUP[MMWR_RATING_RO_ROLLUP],0),MATCH(I$9,MMWR_RATING_RO_ROLLUP[#Headers],0)),"ERROR"))</f>
        <v>65.396678966799996</v>
      </c>
      <c r="J37" s="42"/>
      <c r="K37" s="42"/>
      <c r="L37" s="42"/>
      <c r="M37" s="42"/>
      <c r="N37" s="28"/>
    </row>
    <row r="38" spans="1:14" x14ac:dyDescent="0.2">
      <c r="A38" s="25"/>
      <c r="B38" s="378" t="s">
        <v>915</v>
      </c>
      <c r="C38" s="379"/>
      <c r="D38" s="379"/>
      <c r="E38" s="379"/>
      <c r="F38" s="379"/>
      <c r="G38" s="379"/>
      <c r="H38" s="379"/>
      <c r="I38" s="379"/>
      <c r="J38" s="379"/>
      <c r="K38" s="379"/>
      <c r="L38" s="379"/>
      <c r="M38" s="388"/>
      <c r="N38" s="28"/>
    </row>
    <row r="39" spans="1:14" x14ac:dyDescent="0.2">
      <c r="A39" s="25"/>
      <c r="B39" s="44" t="s">
        <v>696</v>
      </c>
      <c r="C39" s="154">
        <f>IF($B39=" ","",IFERROR(INDEX(MMWR_RATING_RO_ROLLUP[],MATCH($B39,MMWR_RATING_RO_ROLLUP[MMWR_RATING_RO_ROLLUP],0),MATCH(C$9,MMWR_RATING_RO_ROLLUP[#Headers],0)),"ERROR"))</f>
        <v>7895</v>
      </c>
      <c r="D39" s="155">
        <f>IF($B39=" ","",IFERROR(INDEX(MMWR_RATING_RO_ROLLUP[],MATCH($B39,MMWR_RATING_RO_ROLLUP[MMWR_RATING_RO_ROLLUP],0),MATCH(D$9,MMWR_RATING_RO_ROLLUP[#Headers],0)),"ERROR"))</f>
        <v>66.609246358500002</v>
      </c>
      <c r="E39" s="156">
        <f>IF($B39=" ","",IFERROR(INDEX(MMWR_RATING_RO_ROLLUP[],MATCH($B39,MMWR_RATING_RO_ROLLUP[MMWR_RATING_RO_ROLLUP],0),MATCH(E$9,MMWR_RATING_RO_ROLLUP[#Headers],0))/$C39,"ERROR"))</f>
        <v>0.11209626345788473</v>
      </c>
      <c r="F39" s="154">
        <f>IF($B39=" ","",IFERROR(INDEX(MMWR_RATING_RO_ROLLUP[],MATCH($B39,MMWR_RATING_RO_ROLLUP[MMWR_RATING_RO_ROLLUP],0),MATCH(F$9,MMWR_RATING_RO_ROLLUP[#Headers],0)),"ERROR"))</f>
        <v>1349</v>
      </c>
      <c r="G39" s="154">
        <f>IF($B39=" ","",IFERROR(INDEX(MMWR_RATING_RO_ROLLUP[],MATCH($B39,MMWR_RATING_RO_ROLLUP[MMWR_RATING_RO_ROLLUP],0),MATCH(G$9,MMWR_RATING_RO_ROLLUP[#Headers],0)),"ERROR"))</f>
        <v>22704</v>
      </c>
      <c r="H39" s="155">
        <f>IF($B39=" ","",IFERROR(INDEX(MMWR_RATING_RO_ROLLUP[],MATCH($B39,MMWR_RATING_RO_ROLLUP[MMWR_RATING_RO_ROLLUP],0),MATCH(H$9,MMWR_RATING_RO_ROLLUP[#Headers],0)),"ERROR"))</f>
        <v>110.07412898440001</v>
      </c>
      <c r="I39" s="155">
        <f>IF($B39=" ","",IFERROR(INDEX(MMWR_RATING_RO_ROLLUP[],MATCH($B39,MMWR_RATING_RO_ROLLUP[MMWR_RATING_RO_ROLLUP],0),MATCH(I$9,MMWR_RATING_RO_ROLLUP[#Headers],0)),"ERROR"))</f>
        <v>136.25858879489999</v>
      </c>
      <c r="J39" s="42"/>
      <c r="K39" s="42"/>
      <c r="L39" s="42"/>
      <c r="M39" s="42"/>
      <c r="N39" s="28"/>
    </row>
    <row r="40" spans="1:14" x14ac:dyDescent="0.2">
      <c r="A40" s="25"/>
      <c r="B40" s="53" t="s">
        <v>955</v>
      </c>
      <c r="C40" s="154">
        <f>IF($B40=" ","",IFERROR(INDEX(MMWR_RATING_RO_ROLLUP[],MATCH($B40,MMWR_RATING_RO_ROLLUP[MMWR_RATING_RO_ROLLUP],0),MATCH(C$9,MMWR_RATING_RO_ROLLUP[#Headers],0)),"ERROR"))</f>
        <v>1437</v>
      </c>
      <c r="D40" s="155">
        <f>IF($B40=" ","",IFERROR(INDEX(MMWR_RATING_RO_ROLLUP[],MATCH($B40,MMWR_RATING_RO_ROLLUP[MMWR_RATING_RO_ROLLUP],0),MATCH(D$9,MMWR_RATING_RO_ROLLUP[#Headers],0)),"ERROR"))</f>
        <v>59.842032011100002</v>
      </c>
      <c r="E40" s="156">
        <f>IF($B40=" ","",IFERROR(INDEX(MMWR_RATING_RO_ROLLUP[],MATCH($B40,MMWR_RATING_RO_ROLLUP[MMWR_RATING_RO_ROLLUP],0),MATCH(E$9,MMWR_RATING_RO_ROLLUP[#Headers],0))/$C40,"ERROR"))</f>
        <v>8.6290883785664574E-2</v>
      </c>
      <c r="F40" s="154">
        <f>IF($B40=" ","",IFERROR(INDEX(MMWR_RATING_RO_ROLLUP[],MATCH($B40,MMWR_RATING_RO_ROLLUP[MMWR_RATING_RO_ROLLUP],0),MATCH(F$9,MMWR_RATING_RO_ROLLUP[#Headers],0)),"ERROR"))</f>
        <v>220</v>
      </c>
      <c r="G40" s="154">
        <f>IF($B40=" ","",IFERROR(INDEX(MMWR_RATING_RO_ROLLUP[],MATCH($B40,MMWR_RATING_RO_ROLLUP[MMWR_RATING_RO_ROLLUP],0),MATCH(G$9,MMWR_RATING_RO_ROLLUP[#Headers],0)),"ERROR"))</f>
        <v>4139</v>
      </c>
      <c r="H40" s="155">
        <f>IF($B40=" ","",IFERROR(INDEX(MMWR_RATING_RO_ROLLUP[],MATCH($B40,MMWR_RATING_RO_ROLLUP[MMWR_RATING_RO_ROLLUP],0),MATCH(H$9,MMWR_RATING_RO_ROLLUP[#Headers],0)),"ERROR"))</f>
        <v>100.73181818179999</v>
      </c>
      <c r="I40" s="155">
        <f>IF($B40=" ","",IFERROR(INDEX(MMWR_RATING_RO_ROLLUP[],MATCH($B40,MMWR_RATING_RO_ROLLUP[MMWR_RATING_RO_ROLLUP],0),MATCH(I$9,MMWR_RATING_RO_ROLLUP[#Headers],0)),"ERROR"))</f>
        <v>122.62647982599999</v>
      </c>
      <c r="J40" s="42"/>
      <c r="K40" s="42"/>
      <c r="L40" s="42"/>
      <c r="M40" s="42"/>
      <c r="N40" s="28"/>
    </row>
    <row r="41" spans="1:14" x14ac:dyDescent="0.2">
      <c r="A41" s="25"/>
      <c r="B41" s="53" t="s">
        <v>956</v>
      </c>
      <c r="C41" s="154">
        <f>IF($B41=" ","",IFERROR(INDEX(MMWR_RATING_RO_ROLLUP[],MATCH($B41,MMWR_RATING_RO_ROLLUP[MMWR_RATING_RO_ROLLUP],0),MATCH(C$9,MMWR_RATING_RO_ROLLUP[#Headers],0)),"ERROR"))</f>
        <v>1160</v>
      </c>
      <c r="D41" s="155">
        <f>IF($B41=" ","",IFERROR(INDEX(MMWR_RATING_RO_ROLLUP[],MATCH($B41,MMWR_RATING_RO_ROLLUP[MMWR_RATING_RO_ROLLUP],0),MATCH(D$9,MMWR_RATING_RO_ROLLUP[#Headers],0)),"ERROR"))</f>
        <v>64.001724137899998</v>
      </c>
      <c r="E41" s="156">
        <f>IF($B41=" ","",IFERROR(INDEX(MMWR_RATING_RO_ROLLUP[],MATCH($B41,MMWR_RATING_RO_ROLLUP[MMWR_RATING_RO_ROLLUP],0),MATCH(E$9,MMWR_RATING_RO_ROLLUP[#Headers],0))/$C41,"ERROR"))</f>
        <v>9.568965517241379E-2</v>
      </c>
      <c r="F41" s="154">
        <f>IF($B41=" ","",IFERROR(INDEX(MMWR_RATING_RO_ROLLUP[],MATCH($B41,MMWR_RATING_RO_ROLLUP[MMWR_RATING_RO_ROLLUP],0),MATCH(F$9,MMWR_RATING_RO_ROLLUP[#Headers],0)),"ERROR"))</f>
        <v>228</v>
      </c>
      <c r="G41" s="154">
        <f>IF($B41=" ","",IFERROR(INDEX(MMWR_RATING_RO_ROLLUP[],MATCH($B41,MMWR_RATING_RO_ROLLUP[MMWR_RATING_RO_ROLLUP],0),MATCH(G$9,MMWR_RATING_RO_ROLLUP[#Headers],0)),"ERROR"))</f>
        <v>3604</v>
      </c>
      <c r="H41" s="155">
        <f>IF($B41=" ","",IFERROR(INDEX(MMWR_RATING_RO_ROLLUP[],MATCH($B41,MMWR_RATING_RO_ROLLUP[MMWR_RATING_RO_ROLLUP],0),MATCH(H$9,MMWR_RATING_RO_ROLLUP[#Headers],0)),"ERROR"))</f>
        <v>100.850877193</v>
      </c>
      <c r="I41" s="155">
        <f>IF($B41=" ","",IFERROR(INDEX(MMWR_RATING_RO_ROLLUP[],MATCH($B41,MMWR_RATING_RO_ROLLUP[MMWR_RATING_RO_ROLLUP],0),MATCH(I$9,MMWR_RATING_RO_ROLLUP[#Headers],0)),"ERROR"))</f>
        <v>146.1301331853</v>
      </c>
      <c r="J41" s="42"/>
      <c r="K41" s="42"/>
      <c r="L41" s="42"/>
      <c r="M41" s="42"/>
      <c r="N41" s="28"/>
    </row>
    <row r="42" spans="1:14" x14ac:dyDescent="0.2">
      <c r="A42" s="25"/>
      <c r="B42" s="46" t="s">
        <v>307</v>
      </c>
      <c r="C42" s="154">
        <f>IF($B42=" ","",IFERROR(INDEX(MMWR_RATING_RO_ROLLUP[],MATCH($B42,MMWR_RATING_RO_ROLLUP[MMWR_RATING_RO_ROLLUP],0),MATCH(C$9,MMWR_RATING_RO_ROLLUP[#Headers],0)),"ERROR"))</f>
        <v>5298</v>
      </c>
      <c r="D42" s="155">
        <f>IF($B42=" ","",IFERROR(INDEX(MMWR_RATING_RO_ROLLUP[],MATCH($B42,MMWR_RATING_RO_ROLLUP[MMWR_RATING_RO_ROLLUP],0),MATCH(D$9,MMWR_RATING_RO_ROLLUP[#Headers],0)),"ERROR"))</f>
        <v>69.015666289199999</v>
      </c>
      <c r="E42" s="156">
        <f>IF($B42=" ","",IFERROR(INDEX(MMWR_RATING_RO_ROLLUP[],MATCH($B42,MMWR_RATING_RO_ROLLUP[MMWR_RATING_RO_ROLLUP],0),MATCH(E$9,MMWR_RATING_RO_ROLLUP[#Headers],0))/$C42,"ERROR"))</f>
        <v>0.1226878067195168</v>
      </c>
      <c r="F42" s="154">
        <f>IF($B42=" ","",IFERROR(INDEX(MMWR_RATING_RO_ROLLUP[],MATCH($B42,MMWR_RATING_RO_ROLLUP[MMWR_RATING_RO_ROLLUP],0),MATCH(F$9,MMWR_RATING_RO_ROLLUP[#Headers],0)),"ERROR"))</f>
        <v>901</v>
      </c>
      <c r="G42" s="154">
        <f>IF($B42=" ","",IFERROR(INDEX(MMWR_RATING_RO_ROLLUP[],MATCH($B42,MMWR_RATING_RO_ROLLUP[MMWR_RATING_RO_ROLLUP],0),MATCH(G$9,MMWR_RATING_RO_ROLLUP[#Headers],0)),"ERROR"))</f>
        <v>14961</v>
      </c>
      <c r="H42" s="155">
        <f>IF($B42=" ","",IFERROR(INDEX(MMWR_RATING_RO_ROLLUP[],MATCH($B42,MMWR_RATING_RO_ROLLUP[MMWR_RATING_RO_ROLLUP],0),MATCH(H$9,MMWR_RATING_RO_ROLLUP[#Headers],0)),"ERROR"))</f>
        <v>114.6892341842</v>
      </c>
      <c r="I42" s="155">
        <f>IF($B42=" ","",IFERROR(INDEX(MMWR_RATING_RO_ROLLUP[],MATCH($B42,MMWR_RATING_RO_ROLLUP[MMWR_RATING_RO_ROLLUP],0),MATCH(I$9,MMWR_RATING_RO_ROLLUP[#Headers],0)),"ERROR"))</f>
        <v>137.65196176730001</v>
      </c>
      <c r="J42" s="42"/>
      <c r="K42" s="42"/>
      <c r="L42" s="42"/>
      <c r="M42" s="42"/>
      <c r="N42" s="28"/>
    </row>
    <row r="43" spans="1:14" x14ac:dyDescent="0.2">
      <c r="A43" s="25"/>
      <c r="B43" s="378" t="s">
        <v>733</v>
      </c>
      <c r="C43" s="379"/>
      <c r="D43" s="379"/>
      <c r="E43" s="379"/>
      <c r="F43" s="379"/>
      <c r="G43" s="379"/>
      <c r="H43" s="379"/>
      <c r="I43" s="379"/>
      <c r="J43" s="379"/>
      <c r="K43" s="379"/>
      <c r="L43" s="379"/>
      <c r="M43" s="388"/>
      <c r="N43" s="28"/>
    </row>
    <row r="44" spans="1:14" x14ac:dyDescent="0.2">
      <c r="A44" s="25"/>
      <c r="B44" s="44" t="s">
        <v>694</v>
      </c>
      <c r="C44" s="154">
        <f>IF($B44=" ","",IFERROR(INDEX(MMWR_RATING_RO_ROLLUP[],MATCH($B44,MMWR_RATING_RO_ROLLUP[MMWR_RATING_RO_ROLLUP],0),MATCH(C$9,MMWR_RATING_RO_ROLLUP[#Headers],0)),"ERROR"))</f>
        <v>8655</v>
      </c>
      <c r="D44" s="155">
        <f>IF($B44=" ","",IFERROR(INDEX(MMWR_RATING_RO_ROLLUP[],MATCH($B44,MMWR_RATING_RO_ROLLUP[MMWR_RATING_RO_ROLLUP],0),MATCH(D$9,MMWR_RATING_RO_ROLLUP[#Headers],0)),"ERROR"))</f>
        <v>62.254650491</v>
      </c>
      <c r="E44" s="156">
        <f>IF($B44=" ","",IFERROR(INDEX(MMWR_RATING_RO_ROLLUP[],MATCH($B44,MMWR_RATING_RO_ROLLUP[MMWR_RATING_RO_ROLLUP],0),MATCH(E$9,MMWR_RATING_RO_ROLLUP[#Headers],0))/$C44,"ERROR"))</f>
        <v>8.5268630849220109E-2</v>
      </c>
      <c r="F44" s="154">
        <f>IF($B44=" ","",IFERROR(INDEX(MMWR_RATING_RO_ROLLUP[],MATCH($B44,MMWR_RATING_RO_ROLLUP[MMWR_RATING_RO_ROLLUP],0),MATCH(F$9,MMWR_RATING_RO_ROLLUP[#Headers],0)),"ERROR"))</f>
        <v>1310</v>
      </c>
      <c r="G44" s="154">
        <f>IF($B44=" ","",IFERROR(INDEX(MMWR_RATING_RO_ROLLUP[],MATCH($B44,MMWR_RATING_RO_ROLLUP[MMWR_RATING_RO_ROLLUP],0),MATCH(G$9,MMWR_RATING_RO_ROLLUP[#Headers],0)),"ERROR"))</f>
        <v>25586</v>
      </c>
      <c r="H44" s="155">
        <f>IF($B44=" ","",IFERROR(INDEX(MMWR_RATING_RO_ROLLUP[],MATCH($B44,MMWR_RATING_RO_ROLLUP[MMWR_RATING_RO_ROLLUP],0),MATCH(H$9,MMWR_RATING_RO_ROLLUP[#Headers],0)),"ERROR"))</f>
        <v>110.8671755725</v>
      </c>
      <c r="I44" s="155">
        <f>IF($B44=" ","",IFERROR(INDEX(MMWR_RATING_RO_ROLLUP[],MATCH($B44,MMWR_RATING_RO_ROLLUP[MMWR_RATING_RO_ROLLUP],0),MATCH(I$9,MMWR_RATING_RO_ROLLUP[#Headers],0)),"ERROR"))</f>
        <v>130.08512467759999</v>
      </c>
      <c r="J44" s="42"/>
      <c r="K44" s="42"/>
      <c r="L44" s="42"/>
      <c r="M44" s="42"/>
      <c r="N44" s="28"/>
    </row>
    <row r="45" spans="1:14" x14ac:dyDescent="0.2">
      <c r="A45" s="25"/>
      <c r="B45" s="45" t="s">
        <v>211</v>
      </c>
      <c r="C45" s="154">
        <f>IF($B45=" ","",IFERROR(INDEX(MMWR_RATING_RO_ROLLUP[],MATCH($B45,MMWR_RATING_RO_ROLLUP[MMWR_RATING_RO_ROLLUP],0),MATCH(C$9,MMWR_RATING_RO_ROLLUP[#Headers],0)),"ERROR"))</f>
        <v>58</v>
      </c>
      <c r="D45" s="155">
        <f>IF($B45=" ","",IFERROR(INDEX(MMWR_RATING_RO_ROLLUP[],MATCH($B45,MMWR_RATING_RO_ROLLUP[MMWR_RATING_RO_ROLLUP],0),MATCH(D$9,MMWR_RATING_RO_ROLLUP[#Headers],0)),"ERROR"))</f>
        <v>62.327586206900001</v>
      </c>
      <c r="E45" s="156">
        <f>IF($B45=" ","",IFERROR(INDEX(MMWR_RATING_RO_ROLLUP[],MATCH($B45,MMWR_RATING_RO_ROLLUP[MMWR_RATING_RO_ROLLUP],0),MATCH(E$9,MMWR_RATING_RO_ROLLUP[#Headers],0))/$C45,"ERROR"))</f>
        <v>8.6206896551724144E-2</v>
      </c>
      <c r="F45" s="154">
        <f>IF($B45=" ","",IFERROR(INDEX(MMWR_RATING_RO_ROLLUP[],MATCH($B45,MMWR_RATING_RO_ROLLUP[MMWR_RATING_RO_ROLLUP],0),MATCH(F$9,MMWR_RATING_RO_ROLLUP[#Headers],0)),"ERROR"))</f>
        <v>11</v>
      </c>
      <c r="G45" s="154">
        <f>IF($B45=" ","",IFERROR(INDEX(MMWR_RATING_RO_ROLLUP[],MATCH($B45,MMWR_RATING_RO_ROLLUP[MMWR_RATING_RO_ROLLUP],0),MATCH(G$9,MMWR_RATING_RO_ROLLUP[#Headers],0)),"ERROR"))</f>
        <v>196</v>
      </c>
      <c r="H45" s="155">
        <f>IF($B45=" ","",IFERROR(INDEX(MMWR_RATING_RO_ROLLUP[],MATCH($B45,MMWR_RATING_RO_ROLLUP[MMWR_RATING_RO_ROLLUP],0),MATCH(H$9,MMWR_RATING_RO_ROLLUP[#Headers],0)),"ERROR"))</f>
        <v>68.727272727300004</v>
      </c>
      <c r="I45" s="155">
        <f>IF($B45=" ","",IFERROR(INDEX(MMWR_RATING_RO_ROLLUP[],MATCH($B45,MMWR_RATING_RO_ROLLUP[MMWR_RATING_RO_ROLLUP],0),MATCH(I$9,MMWR_RATING_RO_ROLLUP[#Headers],0)),"ERROR"))</f>
        <v>126.18367346940001</v>
      </c>
      <c r="J45" s="42"/>
      <c r="K45" s="42"/>
      <c r="L45" s="42"/>
      <c r="M45" s="42"/>
      <c r="N45" s="28"/>
    </row>
    <row r="46" spans="1:14" x14ac:dyDescent="0.2">
      <c r="A46" s="25"/>
      <c r="B46" s="45" t="s">
        <v>213</v>
      </c>
      <c r="C46" s="154">
        <f>IF($B46=" ","",IFERROR(INDEX(MMWR_RATING_RO_ROLLUP[],MATCH($B46,MMWR_RATING_RO_ROLLUP[MMWR_RATING_RO_ROLLUP],0),MATCH(C$9,MMWR_RATING_RO_ROLLUP[#Headers],0)),"ERROR"))</f>
        <v>1140</v>
      </c>
      <c r="D46" s="155">
        <f>IF($B46=" ","",IFERROR(INDEX(MMWR_RATING_RO_ROLLUP[],MATCH($B46,MMWR_RATING_RO_ROLLUP[MMWR_RATING_RO_ROLLUP],0),MATCH(D$9,MMWR_RATING_RO_ROLLUP[#Headers],0)),"ERROR"))</f>
        <v>58.921052631599999</v>
      </c>
      <c r="E46" s="156">
        <f>IF($B46=" ","",IFERROR(INDEX(MMWR_RATING_RO_ROLLUP[],MATCH($B46,MMWR_RATING_RO_ROLLUP[MMWR_RATING_RO_ROLLUP],0),MATCH(E$9,MMWR_RATING_RO_ROLLUP[#Headers],0))/$C46,"ERROR"))</f>
        <v>8.1578947368421056E-2</v>
      </c>
      <c r="F46" s="154">
        <f>IF($B46=" ","",IFERROR(INDEX(MMWR_RATING_RO_ROLLUP[],MATCH($B46,MMWR_RATING_RO_ROLLUP[MMWR_RATING_RO_ROLLUP],0),MATCH(F$9,MMWR_RATING_RO_ROLLUP[#Headers],0)),"ERROR"))</f>
        <v>183</v>
      </c>
      <c r="G46" s="154">
        <f>IF($B46=" ","",IFERROR(INDEX(MMWR_RATING_RO_ROLLUP[],MATCH($B46,MMWR_RATING_RO_ROLLUP[MMWR_RATING_RO_ROLLUP],0),MATCH(G$9,MMWR_RATING_RO_ROLLUP[#Headers],0)),"ERROR"))</f>
        <v>4024</v>
      </c>
      <c r="H46" s="155">
        <f>IF($B46=" ","",IFERROR(INDEX(MMWR_RATING_RO_ROLLUP[],MATCH($B46,MMWR_RATING_RO_ROLLUP[MMWR_RATING_RO_ROLLUP],0),MATCH(H$9,MMWR_RATING_RO_ROLLUP[#Headers],0)),"ERROR"))</f>
        <v>102.38251366119999</v>
      </c>
      <c r="I46" s="155">
        <f>IF($B46=" ","",IFERROR(INDEX(MMWR_RATING_RO_ROLLUP[],MATCH($B46,MMWR_RATING_RO_ROLLUP[MMWR_RATING_RO_ROLLUP],0),MATCH(I$9,MMWR_RATING_RO_ROLLUP[#Headers],0)),"ERROR"))</f>
        <v>140.43464214709999</v>
      </c>
      <c r="J46" s="42"/>
      <c r="K46" s="42"/>
      <c r="L46" s="42"/>
      <c r="M46" s="42"/>
      <c r="N46" s="28"/>
    </row>
    <row r="47" spans="1:14" x14ac:dyDescent="0.2">
      <c r="A47" s="25"/>
      <c r="B47" s="47" t="s">
        <v>308</v>
      </c>
      <c r="C47" s="154">
        <f>IF($B47=" ","",IFERROR(INDEX(MMWR_RATING_RO_ROLLUP[],MATCH($B47,MMWR_RATING_RO_ROLLUP[MMWR_RATING_RO_ROLLUP],0),MATCH(C$9,MMWR_RATING_RO_ROLLUP[#Headers],0)),"ERROR"))</f>
        <v>7457</v>
      </c>
      <c r="D47" s="155">
        <f>IF($B47=" ","",IFERROR(INDEX(MMWR_RATING_RO_ROLLUP[],MATCH($B47,MMWR_RATING_RO_ROLLUP[MMWR_RATING_RO_ROLLUP],0),MATCH(D$9,MMWR_RATING_RO_ROLLUP[#Headers],0)),"ERROR"))</f>
        <v>62.763711948500003</v>
      </c>
      <c r="E47" s="156">
        <f>IF($B47=" ","",IFERROR(INDEX(MMWR_RATING_RO_ROLLUP[],MATCH($B47,MMWR_RATING_RO_ROLLUP[MMWR_RATING_RO_ROLLUP],0),MATCH(E$9,MMWR_RATING_RO_ROLLUP[#Headers],0))/$C47,"ERROR"))</f>
        <v>8.5825398954002957E-2</v>
      </c>
      <c r="F47" s="154">
        <f>IF($B47=" ","",IFERROR(INDEX(MMWR_RATING_RO_ROLLUP[],MATCH($B47,MMWR_RATING_RO_ROLLUP[MMWR_RATING_RO_ROLLUP],0),MATCH(F$9,MMWR_RATING_RO_ROLLUP[#Headers],0)),"ERROR"))</f>
        <v>1116</v>
      </c>
      <c r="G47" s="154">
        <f>IF($B47=" ","",IFERROR(INDEX(MMWR_RATING_RO_ROLLUP[],MATCH($B47,MMWR_RATING_RO_ROLLUP[MMWR_RATING_RO_ROLLUP],0),MATCH(G$9,MMWR_RATING_RO_ROLLUP[#Headers],0)),"ERROR"))</f>
        <v>21366</v>
      </c>
      <c r="H47" s="155">
        <f>IF($B47=" ","",IFERROR(INDEX(MMWR_RATING_RO_ROLLUP[],MATCH($B47,MMWR_RATING_RO_ROLLUP[MMWR_RATING_RO_ROLLUP],0),MATCH(H$9,MMWR_RATING_RO_ROLLUP[#Headers],0)),"ERROR"))</f>
        <v>112.6738351254</v>
      </c>
      <c r="I47" s="155">
        <f>IF($B47=" ","",IFERROR(INDEX(MMWR_RATING_RO_ROLLUP[],MATCH($B47,MMWR_RATING_RO_ROLLUP[MMWR_RATING_RO_ROLLUP],0),MATCH(I$9,MMWR_RATING_RO_ROLLUP[#Headers],0)),"ERROR"))</f>
        <v>128.17172142659999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0" t="s">
        <v>976</v>
      </c>
      <c r="D2" s="351"/>
      <c r="E2" s="351"/>
      <c r="F2" s="351"/>
      <c r="G2" s="351"/>
      <c r="H2" s="351"/>
      <c r="I2" s="351"/>
      <c r="J2" s="350" t="s">
        <v>300</v>
      </c>
      <c r="K2" s="351"/>
      <c r="L2" s="351"/>
      <c r="M2" s="352"/>
      <c r="N2" s="28"/>
    </row>
    <row r="3" spans="1:15" ht="24" customHeight="1" thickBot="1" x14ac:dyDescent="0.4">
      <c r="A3" s="25"/>
      <c r="B3" s="29"/>
      <c r="C3" s="353"/>
      <c r="D3" s="354"/>
      <c r="E3" s="354"/>
      <c r="F3" s="354"/>
      <c r="G3" s="354"/>
      <c r="H3" s="354"/>
      <c r="I3" s="354"/>
      <c r="J3" s="353" t="str">
        <f>Transformation!B4</f>
        <v>As of: August 20, 2016</v>
      </c>
      <c r="K3" s="354"/>
      <c r="L3" s="354"/>
      <c r="M3" s="355"/>
      <c r="N3" s="28"/>
    </row>
    <row r="4" spans="1:15" ht="51.75" customHeight="1" thickBot="1" x14ac:dyDescent="0.35">
      <c r="A4" s="30"/>
      <c r="B4" s="246" t="s">
        <v>454</v>
      </c>
      <c r="C4" s="356" t="s">
        <v>430</v>
      </c>
      <c r="D4" s="357"/>
      <c r="E4" s="357"/>
      <c r="F4" s="357"/>
      <c r="G4" s="357"/>
      <c r="H4" s="357"/>
      <c r="I4" s="357"/>
      <c r="J4" s="357"/>
      <c r="K4" s="357"/>
      <c r="L4" s="357"/>
      <c r="M4" s="358"/>
      <c r="N4" s="28"/>
    </row>
    <row r="5" spans="1:15" ht="27" customHeight="1" thickBot="1" x14ac:dyDescent="0.25">
      <c r="A5" s="30"/>
      <c r="B5" s="245" t="s">
        <v>368</v>
      </c>
      <c r="C5" s="359" t="s">
        <v>1040</v>
      </c>
      <c r="D5" s="360"/>
      <c r="E5" s="360"/>
      <c r="F5" s="360"/>
      <c r="G5" s="360"/>
      <c r="H5" s="360"/>
      <c r="I5" s="360"/>
      <c r="J5" s="360"/>
      <c r="K5" s="360"/>
      <c r="L5" s="360"/>
      <c r="M5" s="360"/>
      <c r="N5" s="360"/>
      <c r="O5" s="361"/>
    </row>
    <row r="6" spans="1:15" ht="55.5" customHeight="1" x14ac:dyDescent="0.2">
      <c r="A6" s="30"/>
      <c r="B6" s="31"/>
      <c r="C6" s="32" t="s">
        <v>190</v>
      </c>
      <c r="D6" s="362" t="s">
        <v>16</v>
      </c>
      <c r="E6" s="363"/>
      <c r="F6" s="33" t="s">
        <v>193</v>
      </c>
      <c r="G6" s="362" t="s">
        <v>198</v>
      </c>
      <c r="H6" s="364"/>
      <c r="I6" s="33" t="s">
        <v>196</v>
      </c>
      <c r="J6" s="49" t="s">
        <v>14</v>
      </c>
      <c r="K6" s="33" t="s">
        <v>201</v>
      </c>
      <c r="L6" s="368" t="s">
        <v>85</v>
      </c>
      <c r="M6" s="396"/>
      <c r="N6" s="28"/>
    </row>
    <row r="7" spans="1:15" ht="51.75" customHeight="1" x14ac:dyDescent="0.2">
      <c r="A7" s="30"/>
      <c r="B7" s="34"/>
      <c r="C7" s="35" t="s">
        <v>191</v>
      </c>
      <c r="D7" s="380" t="s">
        <v>0</v>
      </c>
      <c r="E7" s="381"/>
      <c r="F7" s="36" t="s">
        <v>194</v>
      </c>
      <c r="G7" s="382" t="s">
        <v>199</v>
      </c>
      <c r="H7" s="382"/>
      <c r="I7" s="36" t="s">
        <v>197</v>
      </c>
      <c r="J7" s="50" t="s">
        <v>19</v>
      </c>
      <c r="K7" s="36" t="s">
        <v>202</v>
      </c>
      <c r="L7" s="392" t="s">
        <v>87</v>
      </c>
      <c r="M7" s="393"/>
      <c r="N7" s="28"/>
    </row>
    <row r="8" spans="1:15" ht="51.75" customHeight="1" thickBot="1" x14ac:dyDescent="0.25">
      <c r="A8" s="25"/>
      <c r="B8" s="28"/>
      <c r="C8" s="37" t="s">
        <v>192</v>
      </c>
      <c r="D8" s="383" t="s">
        <v>18</v>
      </c>
      <c r="E8" s="384"/>
      <c r="F8" s="38" t="s">
        <v>195</v>
      </c>
      <c r="G8" s="385" t="s">
        <v>17</v>
      </c>
      <c r="H8" s="385"/>
      <c r="I8" s="38" t="s">
        <v>200</v>
      </c>
      <c r="J8" s="51" t="s">
        <v>84</v>
      </c>
      <c r="K8" s="38" t="s">
        <v>203</v>
      </c>
      <c r="L8" s="394" t="s">
        <v>86</v>
      </c>
      <c r="M8" s="395"/>
      <c r="N8" s="28"/>
    </row>
    <row r="9" spans="1:15" x14ac:dyDescent="0.2">
      <c r="A9" s="28"/>
      <c r="B9" s="39"/>
      <c r="C9" s="39" t="s">
        <v>713</v>
      </c>
      <c r="D9" s="39" t="s">
        <v>715</v>
      </c>
      <c r="E9" s="39" t="s">
        <v>714</v>
      </c>
      <c r="F9" s="39" t="s">
        <v>717</v>
      </c>
      <c r="G9" s="39" t="s">
        <v>716</v>
      </c>
      <c r="H9" s="39" t="s">
        <v>719</v>
      </c>
      <c r="I9" s="39" t="s">
        <v>718</v>
      </c>
      <c r="J9" s="39"/>
      <c r="K9" s="39"/>
      <c r="L9" s="39"/>
      <c r="M9" s="39"/>
      <c r="N9" s="39"/>
    </row>
    <row r="10" spans="1:15" ht="15.75" customHeight="1" x14ac:dyDescent="0.2">
      <c r="A10" s="25"/>
      <c r="B10" s="26"/>
      <c r="C10" s="386" t="s">
        <v>293</v>
      </c>
      <c r="D10" s="386"/>
      <c r="E10" s="386"/>
      <c r="F10" s="386"/>
      <c r="G10" s="386"/>
      <c r="H10" s="386"/>
      <c r="I10" s="386"/>
      <c r="J10" s="386"/>
      <c r="K10" s="386"/>
      <c r="L10" s="386"/>
      <c r="M10" s="387"/>
      <c r="N10" s="28"/>
    </row>
    <row r="11" spans="1:15" ht="63.75" customHeight="1" x14ac:dyDescent="0.2">
      <c r="A11" s="25"/>
      <c r="B11" s="26"/>
      <c r="C11" s="52" t="s">
        <v>226</v>
      </c>
      <c r="D11" s="52" t="s">
        <v>134</v>
      </c>
      <c r="E11" s="52" t="s">
        <v>227</v>
      </c>
      <c r="F11" s="52" t="s">
        <v>189</v>
      </c>
      <c r="G11" s="52" t="s">
        <v>204</v>
      </c>
      <c r="H11" s="52" t="s">
        <v>206</v>
      </c>
      <c r="I11" s="52" t="s">
        <v>207</v>
      </c>
      <c r="J11" s="389" t="s">
        <v>971</v>
      </c>
      <c r="K11" s="390"/>
      <c r="L11" s="390"/>
      <c r="M11" s="391"/>
      <c r="N11" s="28"/>
    </row>
    <row r="12" spans="1:15" x14ac:dyDescent="0.2">
      <c r="A12" s="25"/>
      <c r="B12" s="41" t="s">
        <v>728</v>
      </c>
      <c r="C12" s="154">
        <f>IF($B12=" ","",IFERROR(INDEX(MMWR_RATING_STATE_ROLLUP_VSC[],MATCH($B12,MMWR_RATING_STATE_ROLLUP_VSC[MMWR_RATING_STATE_ROLLUP_VSC],0),MATCH(C$9,MMWR_RATING_STATE_ROLLUP_VSC[#Headers],0)),"ERROR"))</f>
        <v>378640</v>
      </c>
      <c r="D12" s="155">
        <f>IF($B12=" ","",IFERROR(INDEX(MMWR_RATING_STATE_ROLLUP_VSC[],MATCH($B12,MMWR_RATING_STATE_ROLLUP_VSC[MMWR_RATING_STATE_ROLLUP_VSC],0),MATCH(D$9,MMWR_RATING_STATE_ROLLUP_VSC[#Headers],0)),"ERROR"))</f>
        <v>88.251510669799998</v>
      </c>
      <c r="E12" s="157">
        <f>IF($B12=" ","",IFERROR(INDEX(MMWR_RATING_STATE_ROLLUP_VSC[],MATCH($B12,MMWR_RATING_STATE_ROLLUP_VSC[MMWR_RATING_STATE_ROLLUP_VSC],0),MATCH(E$9,MMWR_RATING_STATE_ROLLUP_VSC[#Headers],0))/$C12,"ERROR"))</f>
        <v>0.2043101626875132</v>
      </c>
      <c r="F12" s="154">
        <f>IF($B12=" ","",IFERROR(INDEX(MMWR_RATING_STATE_ROLLUP_VSC[],MATCH($B12,MMWR_RATING_STATE_ROLLUP_VSC[MMWR_RATING_STATE_ROLLUP_VSC],0),MATCH(F$9,MMWR_RATING_STATE_ROLLUP_VSC[#Headers],0)),"ERROR"))</f>
        <v>74829</v>
      </c>
      <c r="G12" s="154">
        <f>IF($B12=" ","",IFERROR(INDEX(MMWR_RATING_STATE_ROLLUP_VSC[],MATCH($B12,MMWR_RATING_STATE_ROLLUP_VSC[MMWR_RATING_STATE_ROLLUP_VSC],0),MATCH(G$9,MMWR_RATING_STATE_ROLLUP_VSC[#Headers],0)),"ERROR"))</f>
        <v>1120445</v>
      </c>
      <c r="H12" s="155">
        <f>IF($B12=" ","",IFERROR(INDEX(MMWR_RATING_STATE_ROLLUP_VSC[],MATCH($B12,MMWR_RATING_STATE_ROLLUP_VSC[MMWR_RATING_STATE_ROLLUP_VSC],0),MATCH(H$9,MMWR_RATING_STATE_ROLLUP_VSC[#Headers],0)),"ERROR"))</f>
        <v>121.0327413169</v>
      </c>
      <c r="I12" s="155">
        <f>IF($B12=" ","",IFERROR(INDEX(MMWR_RATING_STATE_ROLLUP_VSC[],MATCH($B12,MMWR_RATING_STATE_ROLLUP_VSC[MMWR_RATING_STATE_ROLLUP_VSC],0),MATCH(I$9,MMWR_RATING_STATE_ROLLUP_VSC[#Headers],0)),"ERROR"))</f>
        <v>123.0197153809</v>
      </c>
      <c r="J12" s="42"/>
      <c r="K12" s="42"/>
      <c r="L12" s="42"/>
      <c r="M12" s="42"/>
      <c r="N12" s="28"/>
    </row>
    <row r="13" spans="1:15" x14ac:dyDescent="0.2">
      <c r="A13" s="25"/>
      <c r="B13" s="378" t="s">
        <v>957</v>
      </c>
      <c r="C13" s="379"/>
      <c r="D13" s="379"/>
      <c r="E13" s="379"/>
      <c r="F13" s="379"/>
      <c r="G13" s="379"/>
      <c r="H13" s="379"/>
      <c r="I13" s="379"/>
      <c r="J13" s="379"/>
      <c r="K13" s="379"/>
      <c r="L13" s="379"/>
      <c r="M13" s="388"/>
      <c r="N13" s="28"/>
    </row>
    <row r="14" spans="1:15" x14ac:dyDescent="0.2">
      <c r="A14" s="25"/>
      <c r="B14" s="41" t="s">
        <v>1034</v>
      </c>
      <c r="C14" s="154">
        <f>IF($B14=" ","",IFERROR(INDEX(MMWR_RATING_STATE_ROLLUP_VSC[],MATCH($B14,MMWR_RATING_STATE_ROLLUP_VSC[MMWR_RATING_STATE_ROLLUP_VSC],0),MATCH(C$9,MMWR_RATING_STATE_ROLLUP_VSC[#Headers],0)),"ERROR"))</f>
        <v>336444</v>
      </c>
      <c r="D14" s="155">
        <f>IF($B14=" ","",IFERROR(INDEX(MMWR_RATING_STATE_ROLLUP_VSC[],MATCH($B14,MMWR_RATING_STATE_ROLLUP_VSC[MMWR_RATING_STATE_ROLLUP_VSC],0),MATCH(D$9,MMWR_RATING_STATE_ROLLUP_VSC[#Headers],0)),"ERROR"))</f>
        <v>90.995229518100004</v>
      </c>
      <c r="E14" s="156">
        <f>IF($B14=" ","",IFERROR(INDEX(MMWR_RATING_STATE_ROLLUP_VSC[],MATCH($B14,MMWR_RATING_STATE_ROLLUP_VSC[MMWR_RATING_STATE_ROLLUP_VSC],0),MATCH(E$9,MMWR_RATING_STATE_ROLLUP_VSC[#Headers],0))/$C14,"ERROR"))</f>
        <v>0.21575358752125168</v>
      </c>
      <c r="F14" s="154">
        <f>IF($B14=" ","",IFERROR(INDEX(MMWR_RATING_STATE_ROLLUP_VSC[],MATCH($B14,MMWR_RATING_STATE_ROLLUP_VSC[MMWR_RATING_STATE_ROLLUP_VSC],0),MATCH(F$9,MMWR_RATING_STATE_ROLLUP_VSC[#Headers],0)),"ERROR"))</f>
        <v>62161</v>
      </c>
      <c r="G14" s="154">
        <f>IF($B14=" ","",IFERROR(INDEX(MMWR_RATING_STATE_ROLLUP_VSC[],MATCH($B14,MMWR_RATING_STATE_ROLLUP_VSC[MMWR_RATING_STATE_ROLLUP_VSC],0),MATCH(G$9,MMWR_RATING_STATE_ROLLUP_VSC[#Headers],0)),"ERROR"))</f>
        <v>939863</v>
      </c>
      <c r="H14" s="155">
        <f>IF($B14=" ","",IFERROR(INDEX(MMWR_RATING_STATE_ROLLUP_VSC[],MATCH($B14,MMWR_RATING_STATE_ROLLUP_VSC[MMWR_RATING_STATE_ROLLUP_VSC],0),MATCH(H$9,MMWR_RATING_STATE_ROLLUP_VSC[#Headers],0)),"ERROR"))</f>
        <v>127.7763066875</v>
      </c>
      <c r="I14" s="155">
        <f>IF($B14=" ","",IFERROR(INDEX(MMWR_RATING_STATE_ROLLUP_VSC[],MATCH($B14,MMWR_RATING_STATE_ROLLUP_VSC[MMWR_RATING_STATE_ROLLUP_VSC],0),MATCH(I$9,MMWR_RATING_STATE_ROLLUP_VSC[#Headers],0)),"ERROR"))</f>
        <v>128.65843213319999</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71878</v>
      </c>
      <c r="D15" s="155">
        <f>IF($B15=" ","",IFERROR(INDEX(MMWR_RATING_STATE_ROLLUP_VSC[],MATCH($B15,MMWR_RATING_STATE_ROLLUP_VSC[MMWR_RATING_STATE_ROLLUP_VSC],0),MATCH(D$9,MMWR_RATING_STATE_ROLLUP_VSC[#Headers],0)),"ERROR"))</f>
        <v>94.124488717000006</v>
      </c>
      <c r="E15" s="156">
        <f>IF($B15=" ","",IFERROR(INDEX(MMWR_RATING_STATE_ROLLUP_VSC[],MATCH($B15,MMWR_RATING_STATE_ROLLUP_VSC[MMWR_RATING_STATE_ROLLUP_VSC],0),MATCH(E$9,MMWR_RATING_STATE_ROLLUP_VSC[#Headers],0))/$C15,"ERROR"))</f>
        <v>0.22830351428809928</v>
      </c>
      <c r="F15" s="154">
        <f>IF($B15=" ","",IFERROR(INDEX(MMWR_RATING_STATE_ROLLUP_VSC[],MATCH($B15,MMWR_RATING_STATE_ROLLUP_VSC[MMWR_RATING_STATE_ROLLUP_VSC],0),MATCH(F$9,MMWR_RATING_STATE_ROLLUP_VSC[#Headers],0)),"ERROR"))</f>
        <v>12933</v>
      </c>
      <c r="G15" s="154">
        <f>IF($B15=" ","",IFERROR(INDEX(MMWR_RATING_STATE_ROLLUP_VSC[],MATCH($B15,MMWR_RATING_STATE_ROLLUP_VSC[MMWR_RATING_STATE_ROLLUP_VSC],0),MATCH(G$9,MMWR_RATING_STATE_ROLLUP_VSC[#Headers],0)),"ERROR"))</f>
        <v>198048</v>
      </c>
      <c r="H15" s="155">
        <f>IF($B15=" ","",IFERROR(INDEX(MMWR_RATING_STATE_ROLLUP_VSC[],MATCH($B15,MMWR_RATING_STATE_ROLLUP_VSC[MMWR_RATING_STATE_ROLLUP_VSC],0),MATCH(H$9,MMWR_RATING_STATE_ROLLUP_VSC[#Headers],0)),"ERROR"))</f>
        <v>128.88471352350001</v>
      </c>
      <c r="I15" s="155">
        <f>IF($B15=" ","",IFERROR(INDEX(MMWR_RATING_STATE_ROLLUP_VSC[],MATCH($B15,MMWR_RATING_STATE_ROLLUP_VSC[MMWR_RATING_STATE_ROLLUP_VSC],0),MATCH(I$9,MMWR_RATING_STATE_ROLLUP_VSC[#Headers],0)),"ERROR"))</f>
        <v>131.285976127</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1871</v>
      </c>
      <c r="D16" s="155">
        <f>IF($B16=" ","",IFERROR(INDEX(MMWR_RATING_STATE_ROLLUP_VSC[],MATCH($B16,MMWR_RATING_STATE_ROLLUP_VSC[MMWR_RATING_STATE_ROLLUP_VSC],0),MATCH(D$9,MMWR_RATING_STATE_ROLLUP_VSC[#Headers],0)),"ERROR"))</f>
        <v>84.129877071099997</v>
      </c>
      <c r="E16" s="156">
        <f>IF($B16=" ","",IFERROR(INDEX(MMWR_RATING_STATE_ROLLUP_VSC[],MATCH($B16,MMWR_RATING_STATE_ROLLUP_VSC[MMWR_RATING_STATE_ROLLUP_VSC],0),MATCH(E$9,MMWR_RATING_STATE_ROLLUP_VSC[#Headers],0))/$C16,"ERROR"))</f>
        <v>0.16622127204703366</v>
      </c>
      <c r="F16" s="154">
        <f>IF($B16=" ","",IFERROR(INDEX(MMWR_RATING_STATE_ROLLUP_VSC[],MATCH($B16,MMWR_RATING_STATE_ROLLUP_VSC[MMWR_RATING_STATE_ROLLUP_VSC],0),MATCH(F$9,MMWR_RATING_STATE_ROLLUP_VSC[#Headers],0)),"ERROR"))</f>
        <v>385</v>
      </c>
      <c r="G16" s="154">
        <f>IF($B16=" ","",IFERROR(INDEX(MMWR_RATING_STATE_ROLLUP_VSC[],MATCH($B16,MMWR_RATING_STATE_ROLLUP_VSC[MMWR_RATING_STATE_ROLLUP_VSC],0),MATCH(G$9,MMWR_RATING_STATE_ROLLUP_VSC[#Headers],0)),"ERROR"))</f>
        <v>5943</v>
      </c>
      <c r="H16" s="155">
        <f>IF($B16=" ","",IFERROR(INDEX(MMWR_RATING_STATE_ROLLUP_VSC[],MATCH($B16,MMWR_RATING_STATE_ROLLUP_VSC[MMWR_RATING_STATE_ROLLUP_VSC],0),MATCH(H$9,MMWR_RATING_STATE_ROLLUP_VSC[#Headers],0)),"ERROR"))</f>
        <v>108.59740259740001</v>
      </c>
      <c r="I16" s="155">
        <f>IF($B16=" ","",IFERROR(INDEX(MMWR_RATING_STATE_ROLLUP_VSC[],MATCH($B16,MMWR_RATING_STATE_ROLLUP_VSC[MMWR_RATING_STATE_ROLLUP_VSC],0),MATCH(I$9,MMWR_RATING_STATE_ROLLUP_VSC[#Headers],0)),"ERROR"))</f>
        <v>112.60524987380001</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982</v>
      </c>
      <c r="D17" s="155">
        <f>IF($B17=" ","",IFERROR(INDEX(MMWR_RATING_STATE_ROLLUP_VSC[],MATCH($B17,MMWR_RATING_STATE_ROLLUP_VSC[MMWR_RATING_STATE_ROLLUP_VSC],0),MATCH(D$9,MMWR_RATING_STATE_ROLLUP_VSC[#Headers],0)),"ERROR"))</f>
        <v>99.847250509199995</v>
      </c>
      <c r="E17" s="156">
        <f>IF($B17=" ","",IFERROR(INDEX(MMWR_RATING_STATE_ROLLUP_VSC[],MATCH($B17,MMWR_RATING_STATE_ROLLUP_VSC[MMWR_RATING_STATE_ROLLUP_VSC],0),MATCH(E$9,MMWR_RATING_STATE_ROLLUP_VSC[#Headers],0))/$C17,"ERROR"))</f>
        <v>0.24032586558044808</v>
      </c>
      <c r="F17" s="154">
        <f>IF($B17=" ","",IFERROR(INDEX(MMWR_RATING_STATE_ROLLUP_VSC[],MATCH($B17,MMWR_RATING_STATE_ROLLUP_VSC[MMWR_RATING_STATE_ROLLUP_VSC],0),MATCH(F$9,MMWR_RATING_STATE_ROLLUP_VSC[#Headers],0)),"ERROR"))</f>
        <v>191</v>
      </c>
      <c r="G17" s="154">
        <f>IF($B17=" ","",IFERROR(INDEX(MMWR_RATING_STATE_ROLLUP_VSC[],MATCH($B17,MMWR_RATING_STATE_ROLLUP_VSC[MMWR_RATING_STATE_ROLLUP_VSC],0),MATCH(G$9,MMWR_RATING_STATE_ROLLUP_VSC[#Headers],0)),"ERROR"))</f>
        <v>2646</v>
      </c>
      <c r="H17" s="155">
        <f>IF($B17=" ","",IFERROR(INDEX(MMWR_RATING_STATE_ROLLUP_VSC[],MATCH($B17,MMWR_RATING_STATE_ROLLUP_VSC[MMWR_RATING_STATE_ROLLUP_VSC],0),MATCH(H$9,MMWR_RATING_STATE_ROLLUP_VSC[#Headers],0)),"ERROR"))</f>
        <v>142.16230366490001</v>
      </c>
      <c r="I17" s="155">
        <f>IF($B17=" ","",IFERROR(INDEX(MMWR_RATING_STATE_ROLLUP_VSC[],MATCH($B17,MMWR_RATING_STATE_ROLLUP_VSC[MMWR_RATING_STATE_ROLLUP_VSC],0),MATCH(I$9,MMWR_RATING_STATE_ROLLUP_VSC[#Headers],0)),"ERROR"))</f>
        <v>137.23696145119999</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415</v>
      </c>
      <c r="D18" s="155">
        <f>IF($B18=" ","",IFERROR(INDEX(MMWR_RATING_STATE_ROLLUP_VSC[],MATCH($B18,MMWR_RATING_STATE_ROLLUP_VSC[MMWR_RATING_STATE_ROLLUP_VSC],0),MATCH(D$9,MMWR_RATING_STATE_ROLLUP_VSC[#Headers],0)),"ERROR"))</f>
        <v>92.4987951807</v>
      </c>
      <c r="E18" s="156">
        <f>IF($B18=" ","",IFERROR(INDEX(MMWR_RATING_STATE_ROLLUP_VSC[],MATCH($B18,MMWR_RATING_STATE_ROLLUP_VSC[MMWR_RATING_STATE_ROLLUP_VSC],0),MATCH(E$9,MMWR_RATING_STATE_ROLLUP_VSC[#Headers],0))/$C18,"ERROR"))</f>
        <v>0.22650602409638554</v>
      </c>
      <c r="F18" s="154">
        <f>IF($B18=" ","",IFERROR(INDEX(MMWR_RATING_STATE_ROLLUP_VSC[],MATCH($B18,MMWR_RATING_STATE_ROLLUP_VSC[MMWR_RATING_STATE_ROLLUP_VSC],0),MATCH(F$9,MMWR_RATING_STATE_ROLLUP_VSC[#Headers],0)),"ERROR"))</f>
        <v>88</v>
      </c>
      <c r="G18" s="154">
        <f>IF($B18=" ","",IFERROR(INDEX(MMWR_RATING_STATE_ROLLUP_VSC[],MATCH($B18,MMWR_RATING_STATE_ROLLUP_VSC[MMWR_RATING_STATE_ROLLUP_VSC],0),MATCH(G$9,MMWR_RATING_STATE_ROLLUP_VSC[#Headers],0)),"ERROR"))</f>
        <v>1208</v>
      </c>
      <c r="H18" s="155">
        <f>IF($B18=" ","",IFERROR(INDEX(MMWR_RATING_STATE_ROLLUP_VSC[],MATCH($B18,MMWR_RATING_STATE_ROLLUP_VSC[MMWR_RATING_STATE_ROLLUP_VSC],0),MATCH(H$9,MMWR_RATING_STATE_ROLLUP_VSC[#Headers],0)),"ERROR"))</f>
        <v>161.1590909091</v>
      </c>
      <c r="I18" s="155">
        <f>IF($B18=" ","",IFERROR(INDEX(MMWR_RATING_STATE_ROLLUP_VSC[],MATCH($B18,MMWR_RATING_STATE_ROLLUP_VSC[MMWR_RATING_STATE_ROLLUP_VSC],0),MATCH(I$9,MMWR_RATING_STATE_ROLLUP_VSC[#Headers],0)),"ERROR"))</f>
        <v>142.5894039735</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1245</v>
      </c>
      <c r="D19" s="155">
        <f>IF($B19=" ","",IFERROR(INDEX(MMWR_RATING_STATE_ROLLUP_VSC[],MATCH($B19,MMWR_RATING_STATE_ROLLUP_VSC[MMWR_RATING_STATE_ROLLUP_VSC],0),MATCH(D$9,MMWR_RATING_STATE_ROLLUP_VSC[#Headers],0)),"ERROR"))</f>
        <v>73.596787148600001</v>
      </c>
      <c r="E19" s="156">
        <f>IF($B19=" ","",IFERROR(INDEX(MMWR_RATING_STATE_ROLLUP_VSC[],MATCH($B19,MMWR_RATING_STATE_ROLLUP_VSC[MMWR_RATING_STATE_ROLLUP_VSC],0),MATCH(E$9,MMWR_RATING_STATE_ROLLUP_VSC[#Headers],0))/$C19,"ERROR"))</f>
        <v>0.15100401606425704</v>
      </c>
      <c r="F19" s="154">
        <f>IF($B19=" ","",IFERROR(INDEX(MMWR_RATING_STATE_ROLLUP_VSC[],MATCH($B19,MMWR_RATING_STATE_ROLLUP_VSC[MMWR_RATING_STATE_ROLLUP_VSC],0),MATCH(F$9,MMWR_RATING_STATE_ROLLUP_VSC[#Headers],0)),"ERROR"))</f>
        <v>293</v>
      </c>
      <c r="G19" s="154">
        <f>IF($B19=" ","",IFERROR(INDEX(MMWR_RATING_STATE_ROLLUP_VSC[],MATCH($B19,MMWR_RATING_STATE_ROLLUP_VSC[MMWR_RATING_STATE_ROLLUP_VSC],0),MATCH(G$9,MMWR_RATING_STATE_ROLLUP_VSC[#Headers],0)),"ERROR"))</f>
        <v>4681</v>
      </c>
      <c r="H19" s="155">
        <f>IF($B19=" ","",IFERROR(INDEX(MMWR_RATING_STATE_ROLLUP_VSC[],MATCH($B19,MMWR_RATING_STATE_ROLLUP_VSC[MMWR_RATING_STATE_ROLLUP_VSC],0),MATCH(H$9,MMWR_RATING_STATE_ROLLUP_VSC[#Headers],0)),"ERROR"))</f>
        <v>95.061433447100001</v>
      </c>
      <c r="I19" s="155">
        <f>IF($B19=" ","",IFERROR(INDEX(MMWR_RATING_STATE_ROLLUP_VSC[],MATCH($B19,MMWR_RATING_STATE_ROLLUP_VSC[MMWR_RATING_STATE_ROLLUP_VSC],0),MATCH(I$9,MMWR_RATING_STATE_ROLLUP_VSC[#Headers],0)),"ERROR"))</f>
        <v>102.4061098056</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5927</v>
      </c>
      <c r="D20" s="155">
        <f>IF($B20=" ","",IFERROR(INDEX(MMWR_RATING_STATE_ROLLUP_VSC[],MATCH($B20,MMWR_RATING_STATE_ROLLUP_VSC[MMWR_RATING_STATE_ROLLUP_VSC],0),MATCH(D$9,MMWR_RATING_STATE_ROLLUP_VSC[#Headers],0)),"ERROR"))</f>
        <v>99.3639277881</v>
      </c>
      <c r="E20" s="156">
        <f>IF($B20=" ","",IFERROR(INDEX(MMWR_RATING_STATE_ROLLUP_VSC[],MATCH($B20,MMWR_RATING_STATE_ROLLUP_VSC[MMWR_RATING_STATE_ROLLUP_VSC],0),MATCH(E$9,MMWR_RATING_STATE_ROLLUP_VSC[#Headers],0))/$C20,"ERROR"))</f>
        <v>0.24464315842753501</v>
      </c>
      <c r="F20" s="154">
        <f>IF($B20=" ","",IFERROR(INDEX(MMWR_RATING_STATE_ROLLUP_VSC[],MATCH($B20,MMWR_RATING_STATE_ROLLUP_VSC[MMWR_RATING_STATE_ROLLUP_VSC],0),MATCH(F$9,MMWR_RATING_STATE_ROLLUP_VSC[#Headers],0)),"ERROR"))</f>
        <v>1144</v>
      </c>
      <c r="G20" s="154">
        <f>IF($B20=" ","",IFERROR(INDEX(MMWR_RATING_STATE_ROLLUP_VSC[],MATCH($B20,MMWR_RATING_STATE_ROLLUP_VSC[MMWR_RATING_STATE_ROLLUP_VSC],0),MATCH(G$9,MMWR_RATING_STATE_ROLLUP_VSC[#Headers],0)),"ERROR"))</f>
        <v>16052</v>
      </c>
      <c r="H20" s="155">
        <f>IF($B20=" ","",IFERROR(INDEX(MMWR_RATING_STATE_ROLLUP_VSC[],MATCH($B20,MMWR_RATING_STATE_ROLLUP_VSC[MMWR_RATING_STATE_ROLLUP_VSC],0),MATCH(H$9,MMWR_RATING_STATE_ROLLUP_VSC[#Headers],0)),"ERROR"))</f>
        <v>131.22814685309999</v>
      </c>
      <c r="I20" s="155">
        <f>IF($B20=" ","",IFERROR(INDEX(MMWR_RATING_STATE_ROLLUP_VSC[],MATCH($B20,MMWR_RATING_STATE_ROLLUP_VSC[MMWR_RATING_STATE_ROLLUP_VSC],0),MATCH(I$9,MMWR_RATING_STATE_ROLLUP_VSC[#Headers],0)),"ERROR"))</f>
        <v>136.37166708199999</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4401</v>
      </c>
      <c r="D21" s="155">
        <f>IF($B21=" ","",IFERROR(INDEX(MMWR_RATING_STATE_ROLLUP_VSC[],MATCH($B21,MMWR_RATING_STATE_ROLLUP_VSC[MMWR_RATING_STATE_ROLLUP_VSC],0),MATCH(D$9,MMWR_RATING_STATE_ROLLUP_VSC[#Headers],0)),"ERROR"))</f>
        <v>86.152919791000002</v>
      </c>
      <c r="E21" s="156">
        <f>IF($B21=" ","",IFERROR(INDEX(MMWR_RATING_STATE_ROLLUP_VSC[],MATCH($B21,MMWR_RATING_STATE_ROLLUP_VSC[MMWR_RATING_STATE_ROLLUP_VSC],0),MATCH(E$9,MMWR_RATING_STATE_ROLLUP_VSC[#Headers],0))/$C21,"ERROR"))</f>
        <v>0.20245398773006135</v>
      </c>
      <c r="F21" s="154">
        <f>IF($B21=" ","",IFERROR(INDEX(MMWR_RATING_STATE_ROLLUP_VSC[],MATCH($B21,MMWR_RATING_STATE_ROLLUP_VSC[MMWR_RATING_STATE_ROLLUP_VSC],0),MATCH(F$9,MMWR_RATING_STATE_ROLLUP_VSC[#Headers],0)),"ERROR"))</f>
        <v>781</v>
      </c>
      <c r="G21" s="154">
        <f>IF($B21=" ","",IFERROR(INDEX(MMWR_RATING_STATE_ROLLUP_VSC[],MATCH($B21,MMWR_RATING_STATE_ROLLUP_VSC[MMWR_RATING_STATE_ROLLUP_VSC],0),MATCH(G$9,MMWR_RATING_STATE_ROLLUP_VSC[#Headers],0)),"ERROR"))</f>
        <v>12493</v>
      </c>
      <c r="H21" s="155">
        <f>IF($B21=" ","",IFERROR(INDEX(MMWR_RATING_STATE_ROLLUP_VSC[],MATCH($B21,MMWR_RATING_STATE_ROLLUP_VSC[MMWR_RATING_STATE_ROLLUP_VSC],0),MATCH(H$9,MMWR_RATING_STATE_ROLLUP_VSC[#Headers],0)),"ERROR"))</f>
        <v>116.3213828425</v>
      </c>
      <c r="I21" s="155">
        <f>IF($B21=" ","",IFERROR(INDEX(MMWR_RATING_STATE_ROLLUP_VSC[],MATCH($B21,MMWR_RATING_STATE_ROLLUP_VSC[MMWR_RATING_STATE_ROLLUP_VSC],0),MATCH(I$9,MMWR_RATING_STATE_ROLLUP_VSC[#Headers],0)),"ERROR"))</f>
        <v>126.06003361880001</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1367</v>
      </c>
      <c r="D22" s="155">
        <f>IF($B22=" ","",IFERROR(INDEX(MMWR_RATING_STATE_ROLLUP_VSC[],MATCH($B22,MMWR_RATING_STATE_ROLLUP_VSC[MMWR_RATING_STATE_ROLLUP_VSC],0),MATCH(D$9,MMWR_RATING_STATE_ROLLUP_VSC[#Headers],0)),"ERROR"))</f>
        <v>77.991953182200007</v>
      </c>
      <c r="E22" s="156">
        <f>IF($B22=" ","",IFERROR(INDEX(MMWR_RATING_STATE_ROLLUP_VSC[],MATCH($B22,MMWR_RATING_STATE_ROLLUP_VSC[MMWR_RATING_STATE_ROLLUP_VSC],0),MATCH(E$9,MMWR_RATING_STATE_ROLLUP_VSC[#Headers],0))/$C22,"ERROR"))</f>
        <v>0.15581565471836137</v>
      </c>
      <c r="F22" s="154">
        <f>IF($B22=" ","",IFERROR(INDEX(MMWR_RATING_STATE_ROLLUP_VSC[],MATCH($B22,MMWR_RATING_STATE_ROLLUP_VSC[MMWR_RATING_STATE_ROLLUP_VSC],0),MATCH(F$9,MMWR_RATING_STATE_ROLLUP_VSC[#Headers],0)),"ERROR"))</f>
        <v>221</v>
      </c>
      <c r="G22" s="154">
        <f>IF($B22=" ","",IFERROR(INDEX(MMWR_RATING_STATE_ROLLUP_VSC[],MATCH($B22,MMWR_RATING_STATE_ROLLUP_VSC[MMWR_RATING_STATE_ROLLUP_VSC],0),MATCH(G$9,MMWR_RATING_STATE_ROLLUP_VSC[#Headers],0)),"ERROR"))</f>
        <v>3738</v>
      </c>
      <c r="H22" s="155">
        <f>IF($B22=" ","",IFERROR(INDEX(MMWR_RATING_STATE_ROLLUP_VSC[],MATCH($B22,MMWR_RATING_STATE_ROLLUP_VSC[MMWR_RATING_STATE_ROLLUP_VSC],0),MATCH(H$9,MMWR_RATING_STATE_ROLLUP_VSC[#Headers],0)),"ERROR"))</f>
        <v>116.9819004525</v>
      </c>
      <c r="I22" s="155">
        <f>IF($B22=" ","",IFERROR(INDEX(MMWR_RATING_STATE_ROLLUP_VSC[],MATCH($B22,MMWR_RATING_STATE_ROLLUP_VSC[MMWR_RATING_STATE_ROLLUP_VSC],0),MATCH(I$9,MMWR_RATING_STATE_ROLLUP_VSC[#Headers],0)),"ERROR"))</f>
        <v>125.3448368111</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4419</v>
      </c>
      <c r="D23" s="155">
        <f>IF($B23=" ","",IFERROR(INDEX(MMWR_RATING_STATE_ROLLUP_VSC[],MATCH($B23,MMWR_RATING_STATE_ROLLUP_VSC[MMWR_RATING_STATE_ROLLUP_VSC],0),MATCH(D$9,MMWR_RATING_STATE_ROLLUP_VSC[#Headers],0)),"ERROR"))</f>
        <v>104.7071735687</v>
      </c>
      <c r="E23" s="156">
        <f>IF($B23=" ","",IFERROR(INDEX(MMWR_RATING_STATE_ROLLUP_VSC[],MATCH($B23,MMWR_RATING_STATE_ROLLUP_VSC[MMWR_RATING_STATE_ROLLUP_VSC],0),MATCH(E$9,MMWR_RATING_STATE_ROLLUP_VSC[#Headers],0))/$C23,"ERROR"))</f>
        <v>0.27721203892283319</v>
      </c>
      <c r="F23" s="154">
        <f>IF($B23=" ","",IFERROR(INDEX(MMWR_RATING_STATE_ROLLUP_VSC[],MATCH($B23,MMWR_RATING_STATE_ROLLUP_VSC[MMWR_RATING_STATE_ROLLUP_VSC],0),MATCH(F$9,MMWR_RATING_STATE_ROLLUP_VSC[#Headers],0)),"ERROR"))</f>
        <v>706</v>
      </c>
      <c r="G23" s="154">
        <f>IF($B23=" ","",IFERROR(INDEX(MMWR_RATING_STATE_ROLLUP_VSC[],MATCH($B23,MMWR_RATING_STATE_ROLLUP_VSC[MMWR_RATING_STATE_ROLLUP_VSC],0),MATCH(G$9,MMWR_RATING_STATE_ROLLUP_VSC[#Headers],0)),"ERROR"))</f>
        <v>10887</v>
      </c>
      <c r="H23" s="155">
        <f>IF($B23=" ","",IFERROR(INDEX(MMWR_RATING_STATE_ROLLUP_VSC[],MATCH($B23,MMWR_RATING_STATE_ROLLUP_VSC[MMWR_RATING_STATE_ROLLUP_VSC],0),MATCH(H$9,MMWR_RATING_STATE_ROLLUP_VSC[#Headers],0)),"ERROR"))</f>
        <v>154.43342776200001</v>
      </c>
      <c r="I23" s="155">
        <f>IF($B23=" ","",IFERROR(INDEX(MMWR_RATING_STATE_ROLLUP_VSC[],MATCH($B23,MMWR_RATING_STATE_ROLLUP_VSC[MMWR_RATING_STATE_ROLLUP_VSC],0),MATCH(I$9,MMWR_RATING_STATE_ROLLUP_VSC[#Headers],0)),"ERROR"))</f>
        <v>139.5073941398</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8866</v>
      </c>
      <c r="D24" s="155">
        <f>IF($B24=" ","",IFERROR(INDEX(MMWR_RATING_STATE_ROLLUP_VSC[],MATCH($B24,MMWR_RATING_STATE_ROLLUP_VSC[MMWR_RATING_STATE_ROLLUP_VSC],0),MATCH(D$9,MMWR_RATING_STATE_ROLLUP_VSC[#Headers],0)),"ERROR"))</f>
        <v>98.891946762900005</v>
      </c>
      <c r="E24" s="156">
        <f>IF($B24=" ","",IFERROR(INDEX(MMWR_RATING_STATE_ROLLUP_VSC[],MATCH($B24,MMWR_RATING_STATE_ROLLUP_VSC[MMWR_RATING_STATE_ROLLUP_VSC],0),MATCH(E$9,MMWR_RATING_STATE_ROLLUP_VSC[#Headers],0))/$C24,"ERROR"))</f>
        <v>0.24689826302729528</v>
      </c>
      <c r="F24" s="154">
        <f>IF($B24=" ","",IFERROR(INDEX(MMWR_RATING_STATE_ROLLUP_VSC[],MATCH($B24,MMWR_RATING_STATE_ROLLUP_VSC[MMWR_RATING_STATE_ROLLUP_VSC],0),MATCH(F$9,MMWR_RATING_STATE_ROLLUP_VSC[#Headers],0)),"ERROR"))</f>
        <v>1752</v>
      </c>
      <c r="G24" s="154">
        <f>IF($B24=" ","",IFERROR(INDEX(MMWR_RATING_STATE_ROLLUP_VSC[],MATCH($B24,MMWR_RATING_STATE_ROLLUP_VSC[MMWR_RATING_STATE_ROLLUP_VSC],0),MATCH(G$9,MMWR_RATING_STATE_ROLLUP_VSC[#Headers],0)),"ERROR"))</f>
        <v>25128</v>
      </c>
      <c r="H24" s="155">
        <f>IF($B24=" ","",IFERROR(INDEX(MMWR_RATING_STATE_ROLLUP_VSC[],MATCH($B24,MMWR_RATING_STATE_ROLLUP_VSC[MMWR_RATING_STATE_ROLLUP_VSC],0),MATCH(H$9,MMWR_RATING_STATE_ROLLUP_VSC[#Headers],0)),"ERROR"))</f>
        <v>127.1466894977</v>
      </c>
      <c r="I24" s="155">
        <f>IF($B24=" ","",IFERROR(INDEX(MMWR_RATING_STATE_ROLLUP_VSC[],MATCH($B24,MMWR_RATING_STATE_ROLLUP_VSC[MMWR_RATING_STATE_ROLLUP_VSC],0),MATCH(I$9,MMWR_RATING_STATE_ROLLUP_VSC[#Headers],0)),"ERROR"))</f>
        <v>129.51424705509999</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17535</v>
      </c>
      <c r="D25" s="155">
        <f>IF($B25=" ","",IFERROR(INDEX(MMWR_RATING_STATE_ROLLUP_VSC[],MATCH($B25,MMWR_RATING_STATE_ROLLUP_VSC[MMWR_RATING_STATE_ROLLUP_VSC],0),MATCH(D$9,MMWR_RATING_STATE_ROLLUP_VSC[#Headers],0)),"ERROR"))</f>
        <v>90.687368120900004</v>
      </c>
      <c r="E25" s="156">
        <f>IF($B25=" ","",IFERROR(INDEX(MMWR_RATING_STATE_ROLLUP_VSC[],MATCH($B25,MMWR_RATING_STATE_ROLLUP_VSC[MMWR_RATING_STATE_ROLLUP_VSC],0),MATCH(E$9,MMWR_RATING_STATE_ROLLUP_VSC[#Headers],0))/$C25,"ERROR"))</f>
        <v>0.22760193897918449</v>
      </c>
      <c r="F25" s="154">
        <f>IF($B25=" ","",IFERROR(INDEX(MMWR_RATING_STATE_ROLLUP_VSC[],MATCH($B25,MMWR_RATING_STATE_ROLLUP_VSC[MMWR_RATING_STATE_ROLLUP_VSC],0),MATCH(F$9,MMWR_RATING_STATE_ROLLUP_VSC[#Headers],0)),"ERROR"))</f>
        <v>3001</v>
      </c>
      <c r="G25" s="154">
        <f>IF($B25=" ","",IFERROR(INDEX(MMWR_RATING_STATE_ROLLUP_VSC[],MATCH($B25,MMWR_RATING_STATE_ROLLUP_VSC[MMWR_RATING_STATE_ROLLUP_VSC],0),MATCH(G$9,MMWR_RATING_STATE_ROLLUP_VSC[#Headers],0)),"ERROR"))</f>
        <v>45422</v>
      </c>
      <c r="H25" s="155">
        <f>IF($B25=" ","",IFERROR(INDEX(MMWR_RATING_STATE_ROLLUP_VSC[],MATCH($B25,MMWR_RATING_STATE_ROLLUP_VSC[MMWR_RATING_STATE_ROLLUP_VSC],0),MATCH(H$9,MMWR_RATING_STATE_ROLLUP_VSC[#Headers],0)),"ERROR"))</f>
        <v>126.5831389537</v>
      </c>
      <c r="I25" s="155">
        <f>IF($B25=" ","",IFERROR(INDEX(MMWR_RATING_STATE_ROLLUP_VSC[],MATCH($B25,MMWR_RATING_STATE_ROLLUP_VSC[MMWR_RATING_STATE_ROLLUP_VSC],0),MATCH(I$9,MMWR_RATING_STATE_ROLLUP_VSC[#Headers],0)),"ERROR"))</f>
        <v>135.1586455902</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9425</v>
      </c>
      <c r="D26" s="155">
        <f>IF($B26=" ","",IFERROR(INDEX(MMWR_RATING_STATE_ROLLUP_VSC[],MATCH($B26,MMWR_RATING_STATE_ROLLUP_VSC[MMWR_RATING_STATE_ROLLUP_VSC],0),MATCH(D$9,MMWR_RATING_STATE_ROLLUP_VSC[#Headers],0)),"ERROR"))</f>
        <v>113.6941114058</v>
      </c>
      <c r="E26" s="156">
        <f>IF($B26=" ","",IFERROR(INDEX(MMWR_RATING_STATE_ROLLUP_VSC[],MATCH($B26,MMWR_RATING_STATE_ROLLUP_VSC[MMWR_RATING_STATE_ROLLUP_VSC],0),MATCH(E$9,MMWR_RATING_STATE_ROLLUP_VSC[#Headers],0))/$C26,"ERROR"))</f>
        <v>0.29920424403183021</v>
      </c>
      <c r="F26" s="154">
        <f>IF($B26=" ","",IFERROR(INDEX(MMWR_RATING_STATE_ROLLUP_VSC[],MATCH($B26,MMWR_RATING_STATE_ROLLUP_VSC[MMWR_RATING_STATE_ROLLUP_VSC],0),MATCH(F$9,MMWR_RATING_STATE_ROLLUP_VSC[#Headers],0)),"ERROR"))</f>
        <v>1677</v>
      </c>
      <c r="G26" s="154">
        <f>IF($B26=" ","",IFERROR(INDEX(MMWR_RATING_STATE_ROLLUP_VSC[],MATCH($B26,MMWR_RATING_STATE_ROLLUP_VSC[MMWR_RATING_STATE_ROLLUP_VSC],0),MATCH(G$9,MMWR_RATING_STATE_ROLLUP_VSC[#Headers],0)),"ERROR"))</f>
        <v>25350</v>
      </c>
      <c r="H26" s="155">
        <f>IF($B26=" ","",IFERROR(INDEX(MMWR_RATING_STATE_ROLLUP_VSC[],MATCH($B26,MMWR_RATING_STATE_ROLLUP_VSC[MMWR_RATING_STATE_ROLLUP_VSC],0),MATCH(H$9,MMWR_RATING_STATE_ROLLUP_VSC[#Headers],0)),"ERROR"))</f>
        <v>147.3249850924</v>
      </c>
      <c r="I26" s="155">
        <f>IF($B26=" ","",IFERROR(INDEX(MMWR_RATING_STATE_ROLLUP_VSC[],MATCH($B26,MMWR_RATING_STATE_ROLLUP_VSC[MMWR_RATING_STATE_ROLLUP_VSC],0),MATCH(I$9,MMWR_RATING_STATE_ROLLUP_VSC[#Headers],0)),"ERROR"))</f>
        <v>140.88481262330001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914</v>
      </c>
      <c r="D27" s="155">
        <f>IF($B27=" ","",IFERROR(INDEX(MMWR_RATING_STATE_ROLLUP_VSC[],MATCH($B27,MMWR_RATING_STATE_ROLLUP_VSC[MMWR_RATING_STATE_ROLLUP_VSC],0),MATCH(D$9,MMWR_RATING_STATE_ROLLUP_VSC[#Headers],0)),"ERROR"))</f>
        <v>86.991247264799995</v>
      </c>
      <c r="E27" s="156">
        <f>IF($B27=" ","",IFERROR(INDEX(MMWR_RATING_STATE_ROLLUP_VSC[],MATCH($B27,MMWR_RATING_STATE_ROLLUP_VSC[MMWR_RATING_STATE_ROLLUP_VSC],0),MATCH(E$9,MMWR_RATING_STATE_ROLLUP_VSC[#Headers],0))/$C27,"ERROR"))</f>
        <v>0.18599562363238512</v>
      </c>
      <c r="F27" s="154">
        <f>IF($B27=" ","",IFERROR(INDEX(MMWR_RATING_STATE_ROLLUP_VSC[],MATCH($B27,MMWR_RATING_STATE_ROLLUP_VSC[MMWR_RATING_STATE_ROLLUP_VSC],0),MATCH(F$9,MMWR_RATING_STATE_ROLLUP_VSC[#Headers],0)),"ERROR"))</f>
        <v>185</v>
      </c>
      <c r="G27" s="154">
        <f>IF($B27=" ","",IFERROR(INDEX(MMWR_RATING_STATE_ROLLUP_VSC[],MATCH($B27,MMWR_RATING_STATE_ROLLUP_VSC[MMWR_RATING_STATE_ROLLUP_VSC],0),MATCH(G$9,MMWR_RATING_STATE_ROLLUP_VSC[#Headers],0)),"ERROR"))</f>
        <v>2964</v>
      </c>
      <c r="H27" s="155">
        <f>IF($B27=" ","",IFERROR(INDEX(MMWR_RATING_STATE_ROLLUP_VSC[],MATCH($B27,MMWR_RATING_STATE_ROLLUP_VSC[MMWR_RATING_STATE_ROLLUP_VSC],0),MATCH(H$9,MMWR_RATING_STATE_ROLLUP_VSC[#Headers],0)),"ERROR"))</f>
        <v>107.8648648649</v>
      </c>
      <c r="I27" s="155">
        <f>IF($B27=" ","",IFERROR(INDEX(MMWR_RATING_STATE_ROLLUP_VSC[],MATCH($B27,MMWR_RATING_STATE_ROLLUP_VSC[MMWR_RATING_STATE_ROLLUP_VSC],0),MATCH(I$9,MMWR_RATING_STATE_ROLLUP_VSC[#Headers],0)),"ERROR"))</f>
        <v>106.8414304993</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564</v>
      </c>
      <c r="D28" s="155">
        <f>IF($B28=" ","",IFERROR(INDEX(MMWR_RATING_STATE_ROLLUP_VSC[],MATCH($B28,MMWR_RATING_STATE_ROLLUP_VSC[MMWR_RATING_STATE_ROLLUP_VSC],0),MATCH(D$9,MMWR_RATING_STATE_ROLLUP_VSC[#Headers],0)),"ERROR"))</f>
        <v>89.762411347500006</v>
      </c>
      <c r="E28" s="156">
        <f>IF($B28=" ","",IFERROR(INDEX(MMWR_RATING_STATE_ROLLUP_VSC[],MATCH($B28,MMWR_RATING_STATE_ROLLUP_VSC[MMWR_RATING_STATE_ROLLUP_VSC],0),MATCH(E$9,MMWR_RATING_STATE_ROLLUP_VSC[#Headers],0))/$C28,"ERROR"))</f>
        <v>0.21453900709219859</v>
      </c>
      <c r="F28" s="154">
        <f>IF($B28=" ","",IFERROR(INDEX(MMWR_RATING_STATE_ROLLUP_VSC[],MATCH($B28,MMWR_RATING_STATE_ROLLUP_VSC[MMWR_RATING_STATE_ROLLUP_VSC],0),MATCH(F$9,MMWR_RATING_STATE_ROLLUP_VSC[#Headers],0)),"ERROR"))</f>
        <v>83</v>
      </c>
      <c r="G28" s="154">
        <f>IF($B28=" ","",IFERROR(INDEX(MMWR_RATING_STATE_ROLLUP_VSC[],MATCH($B28,MMWR_RATING_STATE_ROLLUP_VSC[MMWR_RATING_STATE_ROLLUP_VSC],0),MATCH(G$9,MMWR_RATING_STATE_ROLLUP_VSC[#Headers],0)),"ERROR"))</f>
        <v>1337</v>
      </c>
      <c r="H28" s="155">
        <f>IF($B28=" ","",IFERROR(INDEX(MMWR_RATING_STATE_ROLLUP_VSC[],MATCH($B28,MMWR_RATING_STATE_ROLLUP_VSC[MMWR_RATING_STATE_ROLLUP_VSC],0),MATCH(H$9,MMWR_RATING_STATE_ROLLUP_VSC[#Headers],0)),"ERROR"))</f>
        <v>138.22891566269999</v>
      </c>
      <c r="I28" s="155">
        <f>IF($B28=" ","",IFERROR(INDEX(MMWR_RATING_STATE_ROLLUP_VSC[],MATCH($B28,MMWR_RATING_STATE_ROLLUP_VSC[MMWR_RATING_STATE_ROLLUP_VSC],0),MATCH(I$9,MMWR_RATING_STATE_ROLLUP_VSC[#Headers],0)),"ERROR"))</f>
        <v>132.5003739716</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11417</v>
      </c>
      <c r="D29" s="155">
        <f>IF($B29=" ","",IFERROR(INDEX(MMWR_RATING_STATE_ROLLUP_VSC[],MATCH($B29,MMWR_RATING_STATE_ROLLUP_VSC[MMWR_RATING_STATE_ROLLUP_VSC],0),MATCH(D$9,MMWR_RATING_STATE_ROLLUP_VSC[#Headers],0)),"ERROR"))</f>
        <v>85.2189717089</v>
      </c>
      <c r="E29" s="156">
        <f>IF($B29=" ","",IFERROR(INDEX(MMWR_RATING_STATE_ROLLUP_VSC[],MATCH($B29,MMWR_RATING_STATE_ROLLUP_VSC[MMWR_RATING_STATE_ROLLUP_VSC],0),MATCH(E$9,MMWR_RATING_STATE_ROLLUP_VSC[#Headers],0))/$C29,"ERROR"))</f>
        <v>0.18411141280546553</v>
      </c>
      <c r="F29" s="154">
        <f>IF($B29=" ","",IFERROR(INDEX(MMWR_RATING_STATE_ROLLUP_VSC[],MATCH($B29,MMWR_RATING_STATE_ROLLUP_VSC[MMWR_RATING_STATE_ROLLUP_VSC],0),MATCH(F$9,MMWR_RATING_STATE_ROLLUP_VSC[#Headers],0)),"ERROR"))</f>
        <v>1921</v>
      </c>
      <c r="G29" s="154">
        <f>IF($B29=" ","",IFERROR(INDEX(MMWR_RATING_STATE_ROLLUP_VSC[],MATCH($B29,MMWR_RATING_STATE_ROLLUP_VSC[MMWR_RATING_STATE_ROLLUP_VSC],0),MATCH(G$9,MMWR_RATING_STATE_ROLLUP_VSC[#Headers],0)),"ERROR"))</f>
        <v>31793</v>
      </c>
      <c r="H29" s="155">
        <f>IF($B29=" ","",IFERROR(INDEX(MMWR_RATING_STATE_ROLLUP_VSC[],MATCH($B29,MMWR_RATING_STATE_ROLLUP_VSC[MMWR_RATING_STATE_ROLLUP_VSC],0),MATCH(H$9,MMWR_RATING_STATE_ROLLUP_VSC[#Headers],0)),"ERROR"))</f>
        <v>124.8318584071</v>
      </c>
      <c r="I29" s="155">
        <f>IF($B29=" ","",IFERROR(INDEX(MMWR_RATING_STATE_ROLLUP_VSC[],MATCH($B29,MMWR_RATING_STATE_ROLLUP_VSC[MMWR_RATING_STATE_ROLLUP_VSC],0),MATCH(I$9,MMWR_RATING_STATE_ROLLUP_VSC[#Headers],0)),"ERROR"))</f>
        <v>129.74497530900001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2530</v>
      </c>
      <c r="D30" s="155">
        <f>IF($B30=" ","",IFERROR(INDEX(MMWR_RATING_STATE_ROLLUP_VSC[],MATCH($B30,MMWR_RATING_STATE_ROLLUP_VSC[MMWR_RATING_STATE_ROLLUP_VSC],0),MATCH(D$9,MMWR_RATING_STATE_ROLLUP_VSC[#Headers],0)),"ERROR"))</f>
        <v>79.437154150200001</v>
      </c>
      <c r="E30" s="156">
        <f>IF($B30=" ","",IFERROR(INDEX(MMWR_RATING_STATE_ROLLUP_VSC[],MATCH($B30,MMWR_RATING_STATE_ROLLUP_VSC[MMWR_RATING_STATE_ROLLUP_VSC],0),MATCH(E$9,MMWR_RATING_STATE_ROLLUP_VSC[#Headers],0))/$C30,"ERROR"))</f>
        <v>0.16166007905138341</v>
      </c>
      <c r="F30" s="154">
        <f>IF($B30=" ","",IFERROR(INDEX(MMWR_RATING_STATE_ROLLUP_VSC[],MATCH($B30,MMWR_RATING_STATE_ROLLUP_VSC[MMWR_RATING_STATE_ROLLUP_VSC],0),MATCH(F$9,MMWR_RATING_STATE_ROLLUP_VSC[#Headers],0)),"ERROR"))</f>
        <v>505</v>
      </c>
      <c r="G30" s="154">
        <f>IF($B30=" ","",IFERROR(INDEX(MMWR_RATING_STATE_ROLLUP_VSC[],MATCH($B30,MMWR_RATING_STATE_ROLLUP_VSC[MMWR_RATING_STATE_ROLLUP_VSC],0),MATCH(G$9,MMWR_RATING_STATE_ROLLUP_VSC[#Headers],0)),"ERROR"))</f>
        <v>8406</v>
      </c>
      <c r="H30" s="155">
        <f>IF($B30=" ","",IFERROR(INDEX(MMWR_RATING_STATE_ROLLUP_VSC[],MATCH($B30,MMWR_RATING_STATE_ROLLUP_VSC[MMWR_RATING_STATE_ROLLUP_VSC],0),MATCH(H$9,MMWR_RATING_STATE_ROLLUP_VSC[#Headers],0)),"ERROR"))</f>
        <v>116.9940594059</v>
      </c>
      <c r="I30" s="155">
        <f>IF($B30=" ","",IFERROR(INDEX(MMWR_RATING_STATE_ROLLUP_VSC[],MATCH($B30,MMWR_RATING_STATE_ROLLUP_VSC[MMWR_RATING_STATE_ROLLUP_VSC],0),MATCH(I$9,MMWR_RATING_STATE_ROLLUP_VSC[#Headers],0)),"ERROR"))</f>
        <v>116.8043064478</v>
      </c>
      <c r="J30" s="42"/>
      <c r="K30" s="42"/>
      <c r="L30" s="42"/>
      <c r="M30" s="42"/>
      <c r="N30" s="28"/>
    </row>
    <row r="31" spans="1:14" x14ac:dyDescent="0.2">
      <c r="A31" s="25"/>
      <c r="B31" s="378" t="s">
        <v>958</v>
      </c>
      <c r="C31" s="379"/>
      <c r="D31" s="379"/>
      <c r="E31" s="379"/>
      <c r="F31" s="379"/>
      <c r="G31" s="379"/>
      <c r="H31" s="379"/>
      <c r="I31" s="379"/>
      <c r="J31" s="379"/>
      <c r="K31" s="379"/>
      <c r="L31" s="379"/>
      <c r="M31" s="388"/>
      <c r="N31" s="28"/>
    </row>
    <row r="32" spans="1:14" x14ac:dyDescent="0.2">
      <c r="A32" s="25"/>
      <c r="B32" s="41" t="s">
        <v>1036</v>
      </c>
      <c r="C32" s="154">
        <f>IF($B32=" ","",IFERROR(INDEX(MMWR_RATING_STATE_ROLLUP_PMC[],MATCH($B32,MMWR_RATING_STATE_ROLLUP_PMC[MMWR_RATING_STATE_ROLLUP_PMC],0),MATCH(C$9,MMWR_RATING_STATE_ROLLUP_PMC[#Headers],0)),"ERROR"))</f>
        <v>25646</v>
      </c>
      <c r="D32" s="155">
        <f>IF($B32=" ","",IFERROR(INDEX(MMWR_RATING_STATE_ROLLUP_PMC[],MATCH($B32,MMWR_RATING_STATE_ROLLUP_PMC[MMWR_RATING_STATE_ROLLUP_PMC],0),MATCH(D$9,MMWR_RATING_STATE_ROLLUP_PMC[#Headers],0)),"ERROR"))</f>
        <v>67.693168525299996</v>
      </c>
      <c r="E32" s="156">
        <f>IF($B32=" ","",IFERROR(INDEX(MMWR_RATING_STATE_ROLLUP_PMC[],MATCH($B32,MMWR_RATING_STATE_ROLLUP_PMC[MMWR_RATING_STATE_ROLLUP_PMC],0),MATCH(E$9,MMWR_RATING_STATE_ROLLUP_PMC[#Headers],0))/$C32,"ERROR"))</f>
        <v>0.12274818685175076</v>
      </c>
      <c r="F32" s="154">
        <f>IF($B32=" ","",IFERROR(INDEX(MMWR_RATING_STATE_ROLLUP_PMC[],MATCH($B32,MMWR_RATING_STATE_ROLLUP_PMC[MMWR_RATING_STATE_ROLLUP_PMC],0),MATCH(F$9,MMWR_RATING_STATE_ROLLUP_PMC[#Headers],0)),"ERROR"))</f>
        <v>10009</v>
      </c>
      <c r="G32" s="154">
        <f>IF($B32=" ","",IFERROR(INDEX(MMWR_RATING_STATE_ROLLUP_PMC[],MATCH($B32,MMWR_RATING_STATE_ROLLUP_PMC[MMWR_RATING_STATE_ROLLUP_PMC],0),MATCH(G$9,MMWR_RATING_STATE_ROLLUP_PMC[#Headers],0)),"ERROR"))</f>
        <v>132292</v>
      </c>
      <c r="H32" s="155">
        <f>IF($B32=" ","",IFERROR(INDEX(MMWR_RATING_STATE_ROLLUP_PMC[],MATCH($B32,MMWR_RATING_STATE_ROLLUP_PMC[MMWR_RATING_STATE_ROLLUP_PMC],0),MATCH(H$9,MMWR_RATING_STATE_ROLLUP_PMC[#Headers],0)),"ERROR"))</f>
        <v>81.959236687000001</v>
      </c>
      <c r="I32" s="155">
        <f>IF($B32=" ","",IFERROR(INDEX(MMWR_RATING_STATE_ROLLUP_PMC[],MATCH($B32,MMWR_RATING_STATE_ROLLUP_PMC[MMWR_RATING_STATE_ROLLUP_PMC],0),MATCH(I$9,MMWR_RATING_STATE_ROLLUP_PMC[#Headers],0)),"ERROR"))</f>
        <v>79.321138088500007</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6760</v>
      </c>
      <c r="D33" s="155">
        <f>IF($B33=" ","",IFERROR(INDEX(MMWR_RATING_STATE_ROLLUP_PMC[],MATCH($B33,MMWR_RATING_STATE_ROLLUP_PMC[MMWR_RATING_STATE_ROLLUP_PMC],0),MATCH(D$9,MMWR_RATING_STATE_ROLLUP_PMC[#Headers],0)),"ERROR"))</f>
        <v>67.941863905299996</v>
      </c>
      <c r="E33" s="156">
        <f>IF($B33=" ","",IFERROR(INDEX(MMWR_RATING_STATE_ROLLUP_PMC[],MATCH($B33,MMWR_RATING_STATE_ROLLUP_PMC[MMWR_RATING_STATE_ROLLUP_PMC],0),MATCH(E$9,MMWR_RATING_STATE_ROLLUP_PMC[#Headers],0))/$C33,"ERROR"))</f>
        <v>0.13150887573964498</v>
      </c>
      <c r="F33" s="154">
        <f>IF($B33=" ","",IFERROR(INDEX(MMWR_RATING_STATE_ROLLUP_PMC[],MATCH($B33,MMWR_RATING_STATE_ROLLUP_PMC[MMWR_RATING_STATE_ROLLUP_PMC],0),MATCH(F$9,MMWR_RATING_STATE_ROLLUP_PMC[#Headers],0)),"ERROR"))</f>
        <v>2310</v>
      </c>
      <c r="G33" s="154">
        <f>IF($B33=" ","",IFERROR(INDEX(MMWR_RATING_STATE_ROLLUP_PMC[],MATCH($B33,MMWR_RATING_STATE_ROLLUP_PMC[MMWR_RATING_STATE_ROLLUP_PMC],0),MATCH(G$9,MMWR_RATING_STATE_ROLLUP_PMC[#Headers],0)),"ERROR"))</f>
        <v>27226</v>
      </c>
      <c r="H33" s="155">
        <f>IF($B33=" ","",IFERROR(INDEX(MMWR_RATING_STATE_ROLLUP_PMC[],MATCH($B33,MMWR_RATING_STATE_ROLLUP_PMC[MMWR_RATING_STATE_ROLLUP_PMC],0),MATCH(H$9,MMWR_RATING_STATE_ROLLUP_PMC[#Headers],0)),"ERROR"))</f>
        <v>99.744155844199994</v>
      </c>
      <c r="I33" s="155">
        <f>IF($B33=" ","",IFERROR(INDEX(MMWR_RATING_STATE_ROLLUP_PMC[],MATCH($B33,MMWR_RATING_STATE_ROLLUP_PMC[MMWR_RATING_STATE_ROLLUP_PMC],0),MATCH(I$9,MMWR_RATING_STATE_ROLLUP_PMC[#Headers],0)),"ERROR"))</f>
        <v>98.220561228199998</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216</v>
      </c>
      <c r="D34" s="155">
        <f>IF($B34=" ","",IFERROR(INDEX(MMWR_RATING_STATE_ROLLUP_PMC[],MATCH($B34,MMWR_RATING_STATE_ROLLUP_PMC[MMWR_RATING_STATE_ROLLUP_PMC],0),MATCH(D$9,MMWR_RATING_STATE_ROLLUP_PMC[#Headers],0)),"ERROR"))</f>
        <v>69.782407407400001</v>
      </c>
      <c r="E34" s="156">
        <f>IF($B34=" ","",IFERROR(INDEX(MMWR_RATING_STATE_ROLLUP_PMC[],MATCH($B34,MMWR_RATING_STATE_ROLLUP_PMC[MMWR_RATING_STATE_ROLLUP_PMC],0),MATCH(E$9,MMWR_RATING_STATE_ROLLUP_PMC[#Headers],0))/$C34,"ERROR"))</f>
        <v>0.13425925925925927</v>
      </c>
      <c r="F34" s="154">
        <f>IF($B34=" ","",IFERROR(INDEX(MMWR_RATING_STATE_ROLLUP_PMC[],MATCH($B34,MMWR_RATING_STATE_ROLLUP_PMC[MMWR_RATING_STATE_ROLLUP_PMC],0),MATCH(F$9,MMWR_RATING_STATE_ROLLUP_PMC[#Headers],0)),"ERROR"))</f>
        <v>76</v>
      </c>
      <c r="G34" s="154">
        <f>IF($B34=" ","",IFERROR(INDEX(MMWR_RATING_STATE_ROLLUP_PMC[],MATCH($B34,MMWR_RATING_STATE_ROLLUP_PMC[MMWR_RATING_STATE_ROLLUP_PMC],0),MATCH(G$9,MMWR_RATING_STATE_ROLLUP_PMC[#Headers],0)),"ERROR"))</f>
        <v>818</v>
      </c>
      <c r="H34" s="155">
        <f>IF($B34=" ","",IFERROR(INDEX(MMWR_RATING_STATE_ROLLUP_PMC[],MATCH($B34,MMWR_RATING_STATE_ROLLUP_PMC[MMWR_RATING_STATE_ROLLUP_PMC],0),MATCH(H$9,MMWR_RATING_STATE_ROLLUP_PMC[#Headers],0)),"ERROR"))</f>
        <v>90.131578947400001</v>
      </c>
      <c r="I34" s="155">
        <f>IF($B34=" ","",IFERROR(INDEX(MMWR_RATING_STATE_ROLLUP_PMC[],MATCH($B34,MMWR_RATING_STATE_ROLLUP_PMC[MMWR_RATING_STATE_ROLLUP_PMC],0),MATCH(I$9,MMWR_RATING_STATE_ROLLUP_PMC[#Headers],0)),"ERROR"))</f>
        <v>97.2359413203</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67</v>
      </c>
      <c r="D35" s="155">
        <f>IF($B35=" ","",IFERROR(INDEX(MMWR_RATING_STATE_ROLLUP_PMC[],MATCH($B35,MMWR_RATING_STATE_ROLLUP_PMC[MMWR_RATING_STATE_ROLLUP_PMC],0),MATCH(D$9,MMWR_RATING_STATE_ROLLUP_PMC[#Headers],0)),"ERROR"))</f>
        <v>59.865671641799999</v>
      </c>
      <c r="E35" s="156">
        <f>IF($B35=" ","",IFERROR(INDEX(MMWR_RATING_STATE_ROLLUP_PMC[],MATCH($B35,MMWR_RATING_STATE_ROLLUP_PMC[MMWR_RATING_STATE_ROLLUP_PMC],0),MATCH(E$9,MMWR_RATING_STATE_ROLLUP_PMC[#Headers],0))/$C35,"ERROR"))</f>
        <v>8.9552238805970144E-2</v>
      </c>
      <c r="F35" s="154">
        <f>IF($B35=" ","",IFERROR(INDEX(MMWR_RATING_STATE_ROLLUP_PMC[],MATCH($B35,MMWR_RATING_STATE_ROLLUP_PMC[MMWR_RATING_STATE_ROLLUP_PMC],0),MATCH(F$9,MMWR_RATING_STATE_ROLLUP_PMC[#Headers],0)),"ERROR"))</f>
        <v>27</v>
      </c>
      <c r="G35" s="154">
        <f>IF($B35=" ","",IFERROR(INDEX(MMWR_RATING_STATE_ROLLUP_PMC[],MATCH($B35,MMWR_RATING_STATE_ROLLUP_PMC[MMWR_RATING_STATE_ROLLUP_PMC],0),MATCH(G$9,MMWR_RATING_STATE_ROLLUP_PMC[#Headers],0)),"ERROR"))</f>
        <v>278</v>
      </c>
      <c r="H35" s="155">
        <f>IF($B35=" ","",IFERROR(INDEX(MMWR_RATING_STATE_ROLLUP_PMC[],MATCH($B35,MMWR_RATING_STATE_ROLLUP_PMC[MMWR_RATING_STATE_ROLLUP_PMC],0),MATCH(H$9,MMWR_RATING_STATE_ROLLUP_PMC[#Headers],0)),"ERROR"))</f>
        <v>124.2222222222</v>
      </c>
      <c r="I35" s="155">
        <f>IF($B35=" ","",IFERROR(INDEX(MMWR_RATING_STATE_ROLLUP_PMC[],MATCH($B35,MMWR_RATING_STATE_ROLLUP_PMC[MMWR_RATING_STATE_ROLLUP_PMC],0),MATCH(I$9,MMWR_RATING_STATE_ROLLUP_PMC[#Headers],0)),"ERROR"))</f>
        <v>102.9532374101</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35</v>
      </c>
      <c r="D36" s="155">
        <f>IF($B36=" ","",IFERROR(INDEX(MMWR_RATING_STATE_ROLLUP_PMC[],MATCH($B36,MMWR_RATING_STATE_ROLLUP_PMC[MMWR_RATING_STATE_ROLLUP_PMC],0),MATCH(D$9,MMWR_RATING_STATE_ROLLUP_PMC[#Headers],0)),"ERROR"))</f>
        <v>74.942857142899996</v>
      </c>
      <c r="E36" s="156">
        <f>IF($B36=" ","",IFERROR(INDEX(MMWR_RATING_STATE_ROLLUP_PMC[],MATCH($B36,MMWR_RATING_STATE_ROLLUP_PMC[MMWR_RATING_STATE_ROLLUP_PMC],0),MATCH(E$9,MMWR_RATING_STATE_ROLLUP_PMC[#Headers],0))/$C36,"ERROR"))</f>
        <v>0.14285714285714285</v>
      </c>
      <c r="F36" s="154">
        <f>IF($B36=" ","",IFERROR(INDEX(MMWR_RATING_STATE_ROLLUP_PMC[],MATCH($B36,MMWR_RATING_STATE_ROLLUP_PMC[MMWR_RATING_STATE_ROLLUP_PMC],0),MATCH(F$9,MMWR_RATING_STATE_ROLLUP_PMC[#Headers],0)),"ERROR"))</f>
        <v>18</v>
      </c>
      <c r="G36" s="154">
        <f>IF($B36=" ","",IFERROR(INDEX(MMWR_RATING_STATE_ROLLUP_PMC[],MATCH($B36,MMWR_RATING_STATE_ROLLUP_PMC[MMWR_RATING_STATE_ROLLUP_PMC],0),MATCH(G$9,MMWR_RATING_STATE_ROLLUP_PMC[#Headers],0)),"ERROR"))</f>
        <v>231</v>
      </c>
      <c r="H36" s="155">
        <f>IF($B36=" ","",IFERROR(INDEX(MMWR_RATING_STATE_ROLLUP_PMC[],MATCH($B36,MMWR_RATING_STATE_ROLLUP_PMC[MMWR_RATING_STATE_ROLLUP_PMC],0),MATCH(H$9,MMWR_RATING_STATE_ROLLUP_PMC[#Headers],0)),"ERROR"))</f>
        <v>98.944444444400006</v>
      </c>
      <c r="I36" s="155">
        <f>IF($B36=" ","",IFERROR(INDEX(MMWR_RATING_STATE_ROLLUP_PMC[],MATCH($B36,MMWR_RATING_STATE_ROLLUP_PMC[MMWR_RATING_STATE_ROLLUP_PMC],0),MATCH(I$9,MMWR_RATING_STATE_ROLLUP_PMC[#Headers],0)),"ERROR"))</f>
        <v>108.8268398268</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122</v>
      </c>
      <c r="D37" s="155">
        <f>IF($B37=" ","",IFERROR(INDEX(MMWR_RATING_STATE_ROLLUP_PMC[],MATCH($B37,MMWR_RATING_STATE_ROLLUP_PMC[MMWR_RATING_STATE_ROLLUP_PMC],0),MATCH(D$9,MMWR_RATING_STATE_ROLLUP_PMC[#Headers],0)),"ERROR"))</f>
        <v>59.655737704899998</v>
      </c>
      <c r="E37" s="156">
        <f>IF($B37=" ","",IFERROR(INDEX(MMWR_RATING_STATE_ROLLUP_PMC[],MATCH($B37,MMWR_RATING_STATE_ROLLUP_PMC[MMWR_RATING_STATE_ROLLUP_PMC],0),MATCH(E$9,MMWR_RATING_STATE_ROLLUP_PMC[#Headers],0))/$C37,"ERROR"))</f>
        <v>6.5573770491803282E-2</v>
      </c>
      <c r="F37" s="154">
        <f>IF($B37=" ","",IFERROR(INDEX(MMWR_RATING_STATE_ROLLUP_PMC[],MATCH($B37,MMWR_RATING_STATE_ROLLUP_PMC[MMWR_RATING_STATE_ROLLUP_PMC],0),MATCH(F$9,MMWR_RATING_STATE_ROLLUP_PMC[#Headers],0)),"ERROR"))</f>
        <v>36</v>
      </c>
      <c r="G37" s="154">
        <f>IF($B37=" ","",IFERROR(INDEX(MMWR_RATING_STATE_ROLLUP_PMC[],MATCH($B37,MMWR_RATING_STATE_ROLLUP_PMC[MMWR_RATING_STATE_ROLLUP_PMC],0),MATCH(G$9,MMWR_RATING_STATE_ROLLUP_PMC[#Headers],0)),"ERROR"))</f>
        <v>509</v>
      </c>
      <c r="H37" s="155">
        <f>IF($B37=" ","",IFERROR(INDEX(MMWR_RATING_STATE_ROLLUP_PMC[],MATCH($B37,MMWR_RATING_STATE_ROLLUP_PMC[MMWR_RATING_STATE_ROLLUP_PMC],0),MATCH(H$9,MMWR_RATING_STATE_ROLLUP_PMC[#Headers],0)),"ERROR"))</f>
        <v>93.166666666699996</v>
      </c>
      <c r="I37" s="155">
        <f>IF($B37=" ","",IFERROR(INDEX(MMWR_RATING_STATE_ROLLUP_PMC[],MATCH($B37,MMWR_RATING_STATE_ROLLUP_PMC[MMWR_RATING_STATE_ROLLUP_PMC],0),MATCH(I$9,MMWR_RATING_STATE_ROLLUP_PMC[#Headers],0)),"ERROR"))</f>
        <v>88.049115913600005</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471</v>
      </c>
      <c r="D38" s="155">
        <f>IF($B38=" ","",IFERROR(INDEX(MMWR_RATING_STATE_ROLLUP_PMC[],MATCH($B38,MMWR_RATING_STATE_ROLLUP_PMC[MMWR_RATING_STATE_ROLLUP_PMC],0),MATCH(D$9,MMWR_RATING_STATE_ROLLUP_PMC[#Headers],0)),"ERROR"))</f>
        <v>68.259023354600004</v>
      </c>
      <c r="E38" s="156">
        <f>IF($B38=" ","",IFERROR(INDEX(MMWR_RATING_STATE_ROLLUP_PMC[],MATCH($B38,MMWR_RATING_STATE_ROLLUP_PMC[MMWR_RATING_STATE_ROLLUP_PMC],0),MATCH(E$9,MMWR_RATING_STATE_ROLLUP_PMC[#Headers],0))/$C38,"ERROR"))</f>
        <v>0.13375796178343949</v>
      </c>
      <c r="F38" s="154">
        <f>IF($B38=" ","",IFERROR(INDEX(MMWR_RATING_STATE_ROLLUP_PMC[],MATCH($B38,MMWR_RATING_STATE_ROLLUP_PMC[MMWR_RATING_STATE_ROLLUP_PMC],0),MATCH(F$9,MMWR_RATING_STATE_ROLLUP_PMC[#Headers],0)),"ERROR"))</f>
        <v>137</v>
      </c>
      <c r="G38" s="154">
        <f>IF($B38=" ","",IFERROR(INDEX(MMWR_RATING_STATE_ROLLUP_PMC[],MATCH($B38,MMWR_RATING_STATE_ROLLUP_PMC[MMWR_RATING_STATE_ROLLUP_PMC],0),MATCH(G$9,MMWR_RATING_STATE_ROLLUP_PMC[#Headers],0)),"ERROR"))</f>
        <v>1766</v>
      </c>
      <c r="H38" s="155">
        <f>IF($B38=" ","",IFERROR(INDEX(MMWR_RATING_STATE_ROLLUP_PMC[],MATCH($B38,MMWR_RATING_STATE_ROLLUP_PMC[MMWR_RATING_STATE_ROLLUP_PMC],0),MATCH(H$9,MMWR_RATING_STATE_ROLLUP_PMC[#Headers],0)),"ERROR"))</f>
        <v>119.9854014599</v>
      </c>
      <c r="I38" s="155">
        <f>IF($B38=" ","",IFERROR(INDEX(MMWR_RATING_STATE_ROLLUP_PMC[],MATCH($B38,MMWR_RATING_STATE_ROLLUP_PMC[MMWR_RATING_STATE_ROLLUP_PMC],0),MATCH(I$9,MMWR_RATING_STATE_ROLLUP_PMC[#Headers],0)),"ERROR"))</f>
        <v>102.3935447339</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434</v>
      </c>
      <c r="D39" s="155">
        <f>IF($B39=" ","",IFERROR(INDEX(MMWR_RATING_STATE_ROLLUP_PMC[],MATCH($B39,MMWR_RATING_STATE_ROLLUP_PMC[MMWR_RATING_STATE_ROLLUP_PMC],0),MATCH(D$9,MMWR_RATING_STATE_ROLLUP_PMC[#Headers],0)),"ERROR"))</f>
        <v>65.831797234999996</v>
      </c>
      <c r="E39" s="156">
        <f>IF($B39=" ","",IFERROR(INDEX(MMWR_RATING_STATE_ROLLUP_PMC[],MATCH($B39,MMWR_RATING_STATE_ROLLUP_PMC[MMWR_RATING_STATE_ROLLUP_PMC],0),MATCH(E$9,MMWR_RATING_STATE_ROLLUP_PMC[#Headers],0))/$C39,"ERROR"))</f>
        <v>0.12903225806451613</v>
      </c>
      <c r="F39" s="154">
        <f>IF($B39=" ","",IFERROR(INDEX(MMWR_RATING_STATE_ROLLUP_PMC[],MATCH($B39,MMWR_RATING_STATE_ROLLUP_PMC[MMWR_RATING_STATE_ROLLUP_PMC],0),MATCH(F$9,MMWR_RATING_STATE_ROLLUP_PMC[#Headers],0)),"ERROR"))</f>
        <v>134</v>
      </c>
      <c r="G39" s="154">
        <f>IF($B39=" ","",IFERROR(INDEX(MMWR_RATING_STATE_ROLLUP_PMC[],MATCH($B39,MMWR_RATING_STATE_ROLLUP_PMC[MMWR_RATING_STATE_ROLLUP_PMC],0),MATCH(G$9,MMWR_RATING_STATE_ROLLUP_PMC[#Headers],0)),"ERROR"))</f>
        <v>1685</v>
      </c>
      <c r="H39" s="155">
        <f>IF($B39=" ","",IFERROR(INDEX(MMWR_RATING_STATE_ROLLUP_PMC[],MATCH($B39,MMWR_RATING_STATE_ROLLUP_PMC[MMWR_RATING_STATE_ROLLUP_PMC],0),MATCH(H$9,MMWR_RATING_STATE_ROLLUP_PMC[#Headers],0)),"ERROR"))</f>
        <v>93.455223880600002</v>
      </c>
      <c r="I39" s="155">
        <f>IF($B39=" ","",IFERROR(INDEX(MMWR_RATING_STATE_ROLLUP_PMC[],MATCH($B39,MMWR_RATING_STATE_ROLLUP_PMC[MMWR_RATING_STATE_ROLLUP_PMC],0),MATCH(I$9,MMWR_RATING_STATE_ROLLUP_PMC[#Headers],0)),"ERROR"))</f>
        <v>93.936498516300006</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93</v>
      </c>
      <c r="D40" s="155">
        <f>IF($B40=" ","",IFERROR(INDEX(MMWR_RATING_STATE_ROLLUP_PMC[],MATCH($B40,MMWR_RATING_STATE_ROLLUP_PMC[MMWR_RATING_STATE_ROLLUP_PMC],0),MATCH(D$9,MMWR_RATING_STATE_ROLLUP_PMC[#Headers],0)),"ERROR"))</f>
        <v>66.806451612900005</v>
      </c>
      <c r="E40" s="156">
        <f>IF($B40=" ","",IFERROR(INDEX(MMWR_RATING_STATE_ROLLUP_PMC[],MATCH($B40,MMWR_RATING_STATE_ROLLUP_PMC[MMWR_RATING_STATE_ROLLUP_PMC],0),MATCH(E$9,MMWR_RATING_STATE_ROLLUP_PMC[#Headers],0))/$C40,"ERROR"))</f>
        <v>0.16129032258064516</v>
      </c>
      <c r="F40" s="154">
        <f>IF($B40=" ","",IFERROR(INDEX(MMWR_RATING_STATE_ROLLUP_PMC[],MATCH($B40,MMWR_RATING_STATE_ROLLUP_PMC[MMWR_RATING_STATE_ROLLUP_PMC],0),MATCH(F$9,MMWR_RATING_STATE_ROLLUP_PMC[#Headers],0)),"ERROR"))</f>
        <v>47</v>
      </c>
      <c r="G40" s="154">
        <f>IF($B40=" ","",IFERROR(INDEX(MMWR_RATING_STATE_ROLLUP_PMC[],MATCH($B40,MMWR_RATING_STATE_ROLLUP_PMC[MMWR_RATING_STATE_ROLLUP_PMC],0),MATCH(G$9,MMWR_RATING_STATE_ROLLUP_PMC[#Headers],0)),"ERROR"))</f>
        <v>433</v>
      </c>
      <c r="H40" s="155">
        <f>IF($B40=" ","",IFERROR(INDEX(MMWR_RATING_STATE_ROLLUP_PMC[],MATCH($B40,MMWR_RATING_STATE_ROLLUP_PMC[MMWR_RATING_STATE_ROLLUP_PMC],0),MATCH(H$9,MMWR_RATING_STATE_ROLLUP_PMC[#Headers],0)),"ERROR"))</f>
        <v>88.957446808499995</v>
      </c>
      <c r="I40" s="155">
        <f>IF($B40=" ","",IFERROR(INDEX(MMWR_RATING_STATE_ROLLUP_PMC[],MATCH($B40,MMWR_RATING_STATE_ROLLUP_PMC[MMWR_RATING_STATE_ROLLUP_PMC],0),MATCH(I$9,MMWR_RATING_STATE_ROLLUP_PMC[#Headers],0)),"ERROR"))</f>
        <v>93</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462</v>
      </c>
      <c r="D41" s="155">
        <f>IF($B41=" ","",IFERROR(INDEX(MMWR_RATING_STATE_ROLLUP_PMC[],MATCH($B41,MMWR_RATING_STATE_ROLLUP_PMC[MMWR_RATING_STATE_ROLLUP_PMC],0),MATCH(D$9,MMWR_RATING_STATE_ROLLUP_PMC[#Headers],0)),"ERROR"))</f>
        <v>70.129870129899999</v>
      </c>
      <c r="E41" s="156">
        <f>IF($B41=" ","",IFERROR(INDEX(MMWR_RATING_STATE_ROLLUP_PMC[],MATCH($B41,MMWR_RATING_STATE_ROLLUP_PMC[MMWR_RATING_STATE_ROLLUP_PMC],0),MATCH(E$9,MMWR_RATING_STATE_ROLLUP_PMC[#Headers],0))/$C41,"ERROR"))</f>
        <v>0.15584415584415584</v>
      </c>
      <c r="F41" s="154">
        <f>IF($B41=" ","",IFERROR(INDEX(MMWR_RATING_STATE_ROLLUP_PMC[],MATCH($B41,MMWR_RATING_STATE_ROLLUP_PMC[MMWR_RATING_STATE_ROLLUP_PMC],0),MATCH(F$9,MMWR_RATING_STATE_ROLLUP_PMC[#Headers],0)),"ERROR"))</f>
        <v>156</v>
      </c>
      <c r="G41" s="154">
        <f>IF($B41=" ","",IFERROR(INDEX(MMWR_RATING_STATE_ROLLUP_PMC[],MATCH($B41,MMWR_RATING_STATE_ROLLUP_PMC[MMWR_RATING_STATE_ROLLUP_PMC],0),MATCH(G$9,MMWR_RATING_STATE_ROLLUP_PMC[#Headers],0)),"ERROR"))</f>
        <v>1853</v>
      </c>
      <c r="H41" s="155">
        <f>IF($B41=" ","",IFERROR(INDEX(MMWR_RATING_STATE_ROLLUP_PMC[],MATCH($B41,MMWR_RATING_STATE_ROLLUP_PMC[MMWR_RATING_STATE_ROLLUP_PMC],0),MATCH(H$9,MMWR_RATING_STATE_ROLLUP_PMC[#Headers],0)),"ERROR"))</f>
        <v>96.878205128199994</v>
      </c>
      <c r="I41" s="155">
        <f>IF($B41=" ","",IFERROR(INDEX(MMWR_RATING_STATE_ROLLUP_PMC[],MATCH($B41,MMWR_RATING_STATE_ROLLUP_PMC[MMWR_RATING_STATE_ROLLUP_PMC],0),MATCH(I$9,MMWR_RATING_STATE_ROLLUP_PMC[#Headers],0)),"ERROR"))</f>
        <v>97.025364274200001</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1083</v>
      </c>
      <c r="D42" s="155">
        <f>IF($B42=" ","",IFERROR(INDEX(MMWR_RATING_STATE_ROLLUP_PMC[],MATCH($B42,MMWR_RATING_STATE_ROLLUP_PMC[MMWR_RATING_STATE_ROLLUP_PMC],0),MATCH(D$9,MMWR_RATING_STATE_ROLLUP_PMC[#Headers],0)),"ERROR"))</f>
        <v>64.571560480100004</v>
      </c>
      <c r="E42" s="156">
        <f>IF($B42=" ","",IFERROR(INDEX(MMWR_RATING_STATE_ROLLUP_PMC[],MATCH($B42,MMWR_RATING_STATE_ROLLUP_PMC[MMWR_RATING_STATE_ROLLUP_PMC],0),MATCH(E$9,MMWR_RATING_STATE_ROLLUP_PMC[#Headers],0))/$C42,"ERROR"))</f>
        <v>0.11265004616805172</v>
      </c>
      <c r="F42" s="154">
        <f>IF($B42=" ","",IFERROR(INDEX(MMWR_RATING_STATE_ROLLUP_PMC[],MATCH($B42,MMWR_RATING_STATE_ROLLUP_PMC[MMWR_RATING_STATE_ROLLUP_PMC],0),MATCH(F$9,MMWR_RATING_STATE_ROLLUP_PMC[#Headers],0)),"ERROR"))</f>
        <v>400</v>
      </c>
      <c r="G42" s="154">
        <f>IF($B42=" ","",IFERROR(INDEX(MMWR_RATING_STATE_ROLLUP_PMC[],MATCH($B42,MMWR_RATING_STATE_ROLLUP_PMC[MMWR_RATING_STATE_ROLLUP_PMC],0),MATCH(G$9,MMWR_RATING_STATE_ROLLUP_PMC[#Headers],0)),"ERROR"))</f>
        <v>4738</v>
      </c>
      <c r="H42" s="155">
        <f>IF($B42=" ","",IFERROR(INDEX(MMWR_RATING_STATE_ROLLUP_PMC[],MATCH($B42,MMWR_RATING_STATE_ROLLUP_PMC[MMWR_RATING_STATE_ROLLUP_PMC],0),MATCH(H$9,MMWR_RATING_STATE_ROLLUP_PMC[#Headers],0)),"ERROR"))</f>
        <v>102.0425</v>
      </c>
      <c r="I42" s="155">
        <f>IF($B42=" ","",IFERROR(INDEX(MMWR_RATING_STATE_ROLLUP_PMC[],MATCH($B42,MMWR_RATING_STATE_ROLLUP_PMC[MMWR_RATING_STATE_ROLLUP_PMC],0),MATCH(I$9,MMWR_RATING_STATE_ROLLUP_PMC[#Headers],0)),"ERROR"))</f>
        <v>99.517095820999998</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1243</v>
      </c>
      <c r="D43" s="155">
        <f>IF($B43=" ","",IFERROR(INDEX(MMWR_RATING_STATE_ROLLUP_PMC[],MATCH($B43,MMWR_RATING_STATE_ROLLUP_PMC[MMWR_RATING_STATE_ROLLUP_PMC],0),MATCH(D$9,MMWR_RATING_STATE_ROLLUP_PMC[#Headers],0)),"ERROR"))</f>
        <v>69.514883346700003</v>
      </c>
      <c r="E43" s="156">
        <f>IF($B43=" ","",IFERROR(INDEX(MMWR_RATING_STATE_ROLLUP_PMC[],MATCH($B43,MMWR_RATING_STATE_ROLLUP_PMC[MMWR_RATING_STATE_ROLLUP_PMC],0),MATCH(E$9,MMWR_RATING_STATE_ROLLUP_PMC[#Headers],0))/$C43,"ERROR"))</f>
        <v>0.13676588897827835</v>
      </c>
      <c r="F43" s="154">
        <f>IF($B43=" ","",IFERROR(INDEX(MMWR_RATING_STATE_ROLLUP_PMC[],MATCH($B43,MMWR_RATING_STATE_ROLLUP_PMC[MMWR_RATING_STATE_ROLLUP_PMC],0),MATCH(F$9,MMWR_RATING_STATE_ROLLUP_PMC[#Headers],0)),"ERROR"))</f>
        <v>392</v>
      </c>
      <c r="G43" s="154">
        <f>IF($B43=" ","",IFERROR(INDEX(MMWR_RATING_STATE_ROLLUP_PMC[],MATCH($B43,MMWR_RATING_STATE_ROLLUP_PMC[MMWR_RATING_STATE_ROLLUP_PMC],0),MATCH(G$9,MMWR_RATING_STATE_ROLLUP_PMC[#Headers],0)),"ERROR"))</f>
        <v>4765</v>
      </c>
      <c r="H43" s="155">
        <f>IF($B43=" ","",IFERROR(INDEX(MMWR_RATING_STATE_ROLLUP_PMC[],MATCH($B43,MMWR_RATING_STATE_ROLLUP_PMC[MMWR_RATING_STATE_ROLLUP_PMC],0),MATCH(H$9,MMWR_RATING_STATE_ROLLUP_PMC[#Headers],0)),"ERROR"))</f>
        <v>103.76530612240001</v>
      </c>
      <c r="I43" s="155">
        <f>IF($B43=" ","",IFERROR(INDEX(MMWR_RATING_STATE_ROLLUP_PMC[],MATCH($B43,MMWR_RATING_STATE_ROLLUP_PMC[MMWR_RATING_STATE_ROLLUP_PMC],0),MATCH(I$9,MMWR_RATING_STATE_ROLLUP_PMC[#Headers],0)),"ERROR"))</f>
        <v>98.010073452300006</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1332</v>
      </c>
      <c r="D44" s="155">
        <f>IF($B44=" ","",IFERROR(INDEX(MMWR_RATING_STATE_ROLLUP_PMC[],MATCH($B44,MMWR_RATING_STATE_ROLLUP_PMC[MMWR_RATING_STATE_ROLLUP_PMC],0),MATCH(D$9,MMWR_RATING_STATE_ROLLUP_PMC[#Headers],0)),"ERROR"))</f>
        <v>67.069819819800003</v>
      </c>
      <c r="E44" s="156">
        <f>IF($B44=" ","",IFERROR(INDEX(MMWR_RATING_STATE_ROLLUP_PMC[],MATCH($B44,MMWR_RATING_STATE_ROLLUP_PMC[MMWR_RATING_STATE_ROLLUP_PMC],0),MATCH(E$9,MMWR_RATING_STATE_ROLLUP_PMC[#Headers],0))/$C44,"ERROR"))</f>
        <v>0.11036036036036036</v>
      </c>
      <c r="F44" s="154">
        <f>IF($B44=" ","",IFERROR(INDEX(MMWR_RATING_STATE_ROLLUP_PMC[],MATCH($B44,MMWR_RATING_STATE_ROLLUP_PMC[MMWR_RATING_STATE_ROLLUP_PMC],0),MATCH(F$9,MMWR_RATING_STATE_ROLLUP_PMC[#Headers],0)),"ERROR"))</f>
        <v>490</v>
      </c>
      <c r="G44" s="154">
        <f>IF($B44=" ","",IFERROR(INDEX(MMWR_RATING_STATE_ROLLUP_PMC[],MATCH($B44,MMWR_RATING_STATE_ROLLUP_PMC[MMWR_RATING_STATE_ROLLUP_PMC],0),MATCH(G$9,MMWR_RATING_STATE_ROLLUP_PMC[#Headers],0)),"ERROR"))</f>
        <v>5573</v>
      </c>
      <c r="H44" s="155">
        <f>IF($B44=" ","",IFERROR(INDEX(MMWR_RATING_STATE_ROLLUP_PMC[],MATCH($B44,MMWR_RATING_STATE_ROLLUP_PMC[MMWR_RATING_STATE_ROLLUP_PMC],0),MATCH(H$9,MMWR_RATING_STATE_ROLLUP_PMC[#Headers],0)),"ERROR"))</f>
        <v>96.157142857099998</v>
      </c>
      <c r="I44" s="155">
        <f>IF($B44=" ","",IFERROR(INDEX(MMWR_RATING_STATE_ROLLUP_PMC[],MATCH($B44,MMWR_RATING_STATE_ROLLUP_PMC[MMWR_RATING_STATE_ROLLUP_PMC],0),MATCH(I$9,MMWR_RATING_STATE_ROLLUP_PMC[#Headers],0)),"ERROR"))</f>
        <v>96.836892158599994</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89</v>
      </c>
      <c r="D45" s="155">
        <f>IF($B45=" ","",IFERROR(INDEX(MMWR_RATING_STATE_ROLLUP_PMC[],MATCH($B45,MMWR_RATING_STATE_ROLLUP_PMC[MMWR_RATING_STATE_ROLLUP_PMC],0),MATCH(D$9,MMWR_RATING_STATE_ROLLUP_PMC[#Headers],0)),"ERROR"))</f>
        <v>64.415730337100001</v>
      </c>
      <c r="E45" s="156">
        <f>IF($B45=" ","",IFERROR(INDEX(MMWR_RATING_STATE_ROLLUP_PMC[],MATCH($B45,MMWR_RATING_STATE_ROLLUP_PMC[MMWR_RATING_STATE_ROLLUP_PMC],0),MATCH(E$9,MMWR_RATING_STATE_ROLLUP_PMC[#Headers],0))/$C45,"ERROR"))</f>
        <v>0.12359550561797752</v>
      </c>
      <c r="F45" s="154">
        <f>IF($B45=" ","",IFERROR(INDEX(MMWR_RATING_STATE_ROLLUP_PMC[],MATCH($B45,MMWR_RATING_STATE_ROLLUP_PMC[MMWR_RATING_STATE_ROLLUP_PMC],0),MATCH(F$9,MMWR_RATING_STATE_ROLLUP_PMC[#Headers],0)),"ERROR"))</f>
        <v>40</v>
      </c>
      <c r="G45" s="154">
        <f>IF($B45=" ","",IFERROR(INDEX(MMWR_RATING_STATE_ROLLUP_PMC[],MATCH($B45,MMWR_RATING_STATE_ROLLUP_PMC[MMWR_RATING_STATE_ROLLUP_PMC],0),MATCH(G$9,MMWR_RATING_STATE_ROLLUP_PMC[#Headers],0)),"ERROR"))</f>
        <v>428</v>
      </c>
      <c r="H45" s="155">
        <f>IF($B45=" ","",IFERROR(INDEX(MMWR_RATING_STATE_ROLLUP_PMC[],MATCH($B45,MMWR_RATING_STATE_ROLLUP_PMC[MMWR_RATING_STATE_ROLLUP_PMC],0),MATCH(H$9,MMWR_RATING_STATE_ROLLUP_PMC[#Headers],0)),"ERROR"))</f>
        <v>95.75</v>
      </c>
      <c r="I45" s="155">
        <f>IF($B45=" ","",IFERROR(INDEX(MMWR_RATING_STATE_ROLLUP_PMC[],MATCH($B45,MMWR_RATING_STATE_ROLLUP_PMC[MMWR_RATING_STATE_ROLLUP_PMC],0),MATCH(I$9,MMWR_RATING_STATE_ROLLUP_PMC[#Headers],0)),"ERROR"))</f>
        <v>98.130841121499998</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43</v>
      </c>
      <c r="D46" s="155">
        <f>IF($B46=" ","",IFERROR(INDEX(MMWR_RATING_STATE_ROLLUP_PMC[],MATCH($B46,MMWR_RATING_STATE_ROLLUP_PMC[MMWR_RATING_STATE_ROLLUP_PMC],0),MATCH(D$9,MMWR_RATING_STATE_ROLLUP_PMC[#Headers],0)),"ERROR"))</f>
        <v>69.023255813999995</v>
      </c>
      <c r="E46" s="156">
        <f>IF($B46=" ","",IFERROR(INDEX(MMWR_RATING_STATE_ROLLUP_PMC[],MATCH($B46,MMWR_RATING_STATE_ROLLUP_PMC[MMWR_RATING_STATE_ROLLUP_PMC],0),MATCH(E$9,MMWR_RATING_STATE_ROLLUP_PMC[#Headers],0))/$C46,"ERROR"))</f>
        <v>0.16279069767441862</v>
      </c>
      <c r="F46" s="154">
        <f>IF($B46=" ","",IFERROR(INDEX(MMWR_RATING_STATE_ROLLUP_PMC[],MATCH($B46,MMWR_RATING_STATE_ROLLUP_PMC[MMWR_RATING_STATE_ROLLUP_PMC],0),MATCH(F$9,MMWR_RATING_STATE_ROLLUP_PMC[#Headers],0)),"ERROR"))</f>
        <v>11</v>
      </c>
      <c r="G46" s="154">
        <f>IF($B46=" ","",IFERROR(INDEX(MMWR_RATING_STATE_ROLLUP_PMC[],MATCH($B46,MMWR_RATING_STATE_ROLLUP_PMC[MMWR_RATING_STATE_ROLLUP_PMC],0),MATCH(G$9,MMWR_RATING_STATE_ROLLUP_PMC[#Headers],0)),"ERROR"))</f>
        <v>150</v>
      </c>
      <c r="H46" s="155">
        <f>IF($B46=" ","",IFERROR(INDEX(MMWR_RATING_STATE_ROLLUP_PMC[],MATCH($B46,MMWR_RATING_STATE_ROLLUP_PMC[MMWR_RATING_STATE_ROLLUP_PMC],0),MATCH(H$9,MMWR_RATING_STATE_ROLLUP_PMC[#Headers],0)),"ERROR"))</f>
        <v>68.454545454500007</v>
      </c>
      <c r="I46" s="155">
        <f>IF($B46=" ","",IFERROR(INDEX(MMWR_RATING_STATE_ROLLUP_PMC[],MATCH($B46,MMWR_RATING_STATE_ROLLUP_PMC[MMWR_RATING_STATE_ROLLUP_PMC],0),MATCH(I$9,MMWR_RATING_STATE_ROLLUP_PMC[#Headers],0)),"ERROR"))</f>
        <v>98.926666666700001</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865</v>
      </c>
      <c r="D47" s="155">
        <f>IF($B47=" ","",IFERROR(INDEX(MMWR_RATING_STATE_ROLLUP_PMC[],MATCH($B47,MMWR_RATING_STATE_ROLLUP_PMC[MMWR_RATING_STATE_ROLLUP_PMC],0),MATCH(D$9,MMWR_RATING_STATE_ROLLUP_PMC[#Headers],0)),"ERROR"))</f>
        <v>73.747976878599999</v>
      </c>
      <c r="E47" s="156">
        <f>IF($B47=" ","",IFERROR(INDEX(MMWR_RATING_STATE_ROLLUP_PMC[],MATCH($B47,MMWR_RATING_STATE_ROLLUP_PMC[MMWR_RATING_STATE_ROLLUP_PMC],0),MATCH(E$9,MMWR_RATING_STATE_ROLLUP_PMC[#Headers],0))/$C47,"ERROR"))</f>
        <v>0.18034682080924855</v>
      </c>
      <c r="F47" s="154">
        <f>IF($B47=" ","",IFERROR(INDEX(MMWR_RATING_STATE_ROLLUP_PMC[],MATCH($B47,MMWR_RATING_STATE_ROLLUP_PMC[MMWR_RATING_STATE_ROLLUP_PMC],0),MATCH(F$9,MMWR_RATING_STATE_ROLLUP_PMC[#Headers],0)),"ERROR"))</f>
        <v>257</v>
      </c>
      <c r="G47" s="154">
        <f>IF($B47=" ","",IFERROR(INDEX(MMWR_RATING_STATE_ROLLUP_PMC[],MATCH($B47,MMWR_RATING_STATE_ROLLUP_PMC[MMWR_RATING_STATE_ROLLUP_PMC],0),MATCH(G$9,MMWR_RATING_STATE_ROLLUP_PMC[#Headers],0)),"ERROR"))</f>
        <v>3002</v>
      </c>
      <c r="H47" s="155">
        <f>IF($B47=" ","",IFERROR(INDEX(MMWR_RATING_STATE_ROLLUP_PMC[],MATCH($B47,MMWR_RATING_STATE_ROLLUP_PMC[MMWR_RATING_STATE_ROLLUP_PMC],0),MATCH(H$9,MMWR_RATING_STATE_ROLLUP_PMC[#Headers],0)),"ERROR"))</f>
        <v>98.571984435800005</v>
      </c>
      <c r="I47" s="155">
        <f>IF($B47=" ","",IFERROR(INDEX(MMWR_RATING_STATE_ROLLUP_PMC[],MATCH($B47,MMWR_RATING_STATE_ROLLUP_PMC[MMWR_RATING_STATE_ROLLUP_PMC],0),MATCH(I$9,MMWR_RATING_STATE_ROLLUP_PMC[#Headers],0)),"ERROR"))</f>
        <v>101.03297801470001</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205</v>
      </c>
      <c r="D48" s="155">
        <f>IF($B48=" ","",IFERROR(INDEX(MMWR_RATING_STATE_ROLLUP_PMC[],MATCH($B48,MMWR_RATING_STATE_ROLLUP_PMC[MMWR_RATING_STATE_ROLLUP_PMC],0),MATCH(D$9,MMWR_RATING_STATE_ROLLUP_PMC[#Headers],0)),"ERROR"))</f>
        <v>62.439024390199997</v>
      </c>
      <c r="E48" s="156">
        <f>IF($B48=" ","",IFERROR(INDEX(MMWR_RATING_STATE_ROLLUP_PMC[],MATCH($B48,MMWR_RATING_STATE_ROLLUP_PMC[MMWR_RATING_STATE_ROLLUP_PMC],0),MATCH(E$9,MMWR_RATING_STATE_ROLLUP_PMC[#Headers],0))/$C48,"ERROR"))</f>
        <v>0.10731707317073171</v>
      </c>
      <c r="F48" s="154">
        <f>IF($B48=" ","",IFERROR(INDEX(MMWR_RATING_STATE_ROLLUP_PMC[],MATCH($B48,MMWR_RATING_STATE_ROLLUP_PMC[MMWR_RATING_STATE_ROLLUP_PMC],0),MATCH(F$9,MMWR_RATING_STATE_ROLLUP_PMC[#Headers],0)),"ERROR"))</f>
        <v>89</v>
      </c>
      <c r="G48" s="154">
        <f>IF($B48=" ","",IFERROR(INDEX(MMWR_RATING_STATE_ROLLUP_PMC[],MATCH($B48,MMWR_RATING_STATE_ROLLUP_PMC[MMWR_RATING_STATE_ROLLUP_PMC],0),MATCH(G$9,MMWR_RATING_STATE_ROLLUP_PMC[#Headers],0)),"ERROR"))</f>
        <v>997</v>
      </c>
      <c r="H48" s="155">
        <f>IF($B48=" ","",IFERROR(INDEX(MMWR_RATING_STATE_ROLLUP_PMC[],MATCH($B48,MMWR_RATING_STATE_ROLLUP_PMC[MMWR_RATING_STATE_ROLLUP_PMC],0),MATCH(H$9,MMWR_RATING_STATE_ROLLUP_PMC[#Headers],0)),"ERROR"))</f>
        <v>93.134831460699999</v>
      </c>
      <c r="I48" s="155">
        <f>IF($B48=" ","",IFERROR(INDEX(MMWR_RATING_STATE_ROLLUP_PMC[],MATCH($B48,MMWR_RATING_STATE_ROLLUP_PMC[MMWR_RATING_STATE_ROLLUP_PMC],0),MATCH(I$9,MMWR_RATING_STATE_ROLLUP_PMC[#Headers],0)),"ERROR"))</f>
        <v>98.824473420299995</v>
      </c>
      <c r="J48" s="42"/>
      <c r="K48" s="42"/>
      <c r="L48" s="42"/>
      <c r="M48" s="42"/>
      <c r="N48" s="28"/>
    </row>
    <row r="49" spans="1:14" x14ac:dyDescent="0.2">
      <c r="A49" s="25"/>
      <c r="B49" s="378" t="s">
        <v>1038</v>
      </c>
      <c r="C49" s="379"/>
      <c r="D49" s="379"/>
      <c r="E49" s="379"/>
      <c r="F49" s="379"/>
      <c r="G49" s="379"/>
      <c r="H49" s="379"/>
      <c r="I49" s="379"/>
      <c r="J49" s="379"/>
      <c r="K49" s="379"/>
      <c r="L49" s="379"/>
      <c r="M49" s="388"/>
      <c r="N49" s="28"/>
    </row>
    <row r="50" spans="1:14" x14ac:dyDescent="0.2">
      <c r="A50" s="25"/>
      <c r="B50" s="41" t="s">
        <v>1037</v>
      </c>
      <c r="C50" s="154">
        <f>IF($B50=" ","",IFERROR(INDEX(MMWR_RATING_STATE_ROLLUP_QST[],MATCH($B50,MMWR_RATING_STATE_ROLLUP_QST[MMWR_RATING_STATE_ROLLUP_QST],0),MATCH(C$9,MMWR_RATING_STATE_ROLLUP_QST[#Headers],0)),"ERROR"))</f>
        <v>7895</v>
      </c>
      <c r="D50" s="155">
        <f>IF($B50=" ","",IFERROR(INDEX(MMWR_RATING_STATE_ROLLUP_QST[],MATCH($B50,MMWR_RATING_STATE_ROLLUP_QST[MMWR_RATING_STATE_ROLLUP_QST],0),MATCH(D$9,MMWR_RATING_STATE_ROLLUP_QST[#Headers],0)),"ERROR"))</f>
        <v>66.609246358500002</v>
      </c>
      <c r="E50" s="156">
        <f>IF($B50=" ","",IFERROR(INDEX(MMWR_RATING_STATE_ROLLUP_QST[],MATCH($B50,MMWR_RATING_STATE_ROLLUP_QST[MMWR_RATING_STATE_ROLLUP_QST],0),MATCH(E$9,MMWR_RATING_STATE_ROLLUP_QST[#Headers],0))/$C50,"ERROR"))</f>
        <v>0.11209626345788473</v>
      </c>
      <c r="F50" s="154">
        <f>IF($B50=" ","",IFERROR(INDEX(MMWR_RATING_STATE_ROLLUP_QST[],MATCH($B50,MMWR_RATING_STATE_ROLLUP_QST[MMWR_RATING_STATE_ROLLUP_QST],0),MATCH(F$9,MMWR_RATING_STATE_ROLLUP_QST[#Headers],0)),"ERROR"))</f>
        <v>1349</v>
      </c>
      <c r="G50" s="154">
        <f>IF($B50=" ","",IFERROR(INDEX(MMWR_RATING_STATE_ROLLUP_QST[],MATCH($B50,MMWR_RATING_STATE_ROLLUP_QST[MMWR_RATING_STATE_ROLLUP_QST],0),MATCH(G$9,MMWR_RATING_STATE_ROLLUP_QST[#Headers],0)),"ERROR"))</f>
        <v>22704</v>
      </c>
      <c r="H50" s="155">
        <f>IF($B50=" ","",IFERROR(INDEX(MMWR_RATING_STATE_ROLLUP_QST[],MATCH($B50,MMWR_RATING_STATE_ROLLUP_QST[MMWR_RATING_STATE_ROLLUP_QST],0),MATCH(H$9,MMWR_RATING_STATE_ROLLUP_QST[#Headers],0)),"ERROR"))</f>
        <v>110.07412898440001</v>
      </c>
      <c r="I50" s="155">
        <f>IF($B50=" ","",IFERROR(INDEX(MMWR_RATING_STATE_ROLLUP_QST[],MATCH($B50,MMWR_RATING_STATE_ROLLUP_QST[MMWR_RATING_STATE_ROLLUP_QST],0),MATCH(I$9,MMWR_RATING_STATE_ROLLUP_QST[#Headers],0)),"ERROR"))</f>
        <v>136.25858879489999</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1938</v>
      </c>
      <c r="D51" s="155">
        <f>IF($B51=" ","",IFERROR(INDEX(MMWR_RATING_STATE_ROLLUP_QST[],MATCH($B51,MMWR_RATING_STATE_ROLLUP_QST[MMWR_RATING_STATE_ROLLUP_QST],0),MATCH(D$9,MMWR_RATING_STATE_ROLLUP_QST[#Headers],0)),"ERROR"))</f>
        <v>67.346233230099998</v>
      </c>
      <c r="E51" s="156">
        <f>IF($B51=" ","",IFERROR(INDEX(MMWR_RATING_STATE_ROLLUP_QST[],MATCH($B51,MMWR_RATING_STATE_ROLLUP_QST[MMWR_RATING_STATE_ROLLUP_QST],0),MATCH(E$9,MMWR_RATING_STATE_ROLLUP_QST[#Headers],0))/$C51,"ERROR"))</f>
        <v>0.10784313725490197</v>
      </c>
      <c r="F51" s="154">
        <f>IF($B51=" ","",IFERROR(INDEX(MMWR_RATING_STATE_ROLLUP_QST[],MATCH($B51,MMWR_RATING_STATE_ROLLUP_QST[MMWR_RATING_STATE_ROLLUP_QST],0),MATCH(F$9,MMWR_RATING_STATE_ROLLUP_QST[#Headers],0)),"ERROR"))</f>
        <v>286</v>
      </c>
      <c r="G51" s="154">
        <f>IF($B51=" ","",IFERROR(INDEX(MMWR_RATING_STATE_ROLLUP_QST[],MATCH($B51,MMWR_RATING_STATE_ROLLUP_QST[MMWR_RATING_STATE_ROLLUP_QST],0),MATCH(G$9,MMWR_RATING_STATE_ROLLUP_QST[#Headers],0)),"ERROR"))</f>
        <v>4976</v>
      </c>
      <c r="H51" s="155">
        <f>IF($B51=" ","",IFERROR(INDEX(MMWR_RATING_STATE_ROLLUP_QST[],MATCH($B51,MMWR_RATING_STATE_ROLLUP_QST[MMWR_RATING_STATE_ROLLUP_QST],0),MATCH(H$9,MMWR_RATING_STATE_ROLLUP_QST[#Headers],0)),"ERROR"))</f>
        <v>121.4090909091</v>
      </c>
      <c r="I51" s="155">
        <f>IF($B51=" ","",IFERROR(INDEX(MMWR_RATING_STATE_ROLLUP_QST[],MATCH($B51,MMWR_RATING_STATE_ROLLUP_QST[MMWR_RATING_STATE_ROLLUP_QST],0),MATCH(I$9,MMWR_RATING_STATE_ROLLUP_QST[#Headers],0)),"ERROR"))</f>
        <v>145.7011655949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52</v>
      </c>
      <c r="D52" s="155">
        <f>IF($B52=" ","",IFERROR(INDEX(MMWR_RATING_STATE_ROLLUP_QST[],MATCH($B52,MMWR_RATING_STATE_ROLLUP_QST[MMWR_RATING_STATE_ROLLUP_QST],0),MATCH(D$9,MMWR_RATING_STATE_ROLLUP_QST[#Headers],0)),"ERROR"))</f>
        <v>67.884615384599996</v>
      </c>
      <c r="E52" s="156">
        <f>IF($B52=" ","",IFERROR(INDEX(MMWR_RATING_STATE_ROLLUP_QST[],MATCH($B52,MMWR_RATING_STATE_ROLLUP_QST[MMWR_RATING_STATE_ROLLUP_QST],0),MATCH(E$9,MMWR_RATING_STATE_ROLLUP_QST[#Headers],0))/$C52,"ERROR"))</f>
        <v>9.6153846153846159E-2</v>
      </c>
      <c r="F52" s="154">
        <f>IF($B52=" ","",IFERROR(INDEX(MMWR_RATING_STATE_ROLLUP_QST[],MATCH($B52,MMWR_RATING_STATE_ROLLUP_QST[MMWR_RATING_STATE_ROLLUP_QST],0),MATCH(F$9,MMWR_RATING_STATE_ROLLUP_QST[#Headers],0)),"ERROR"))</f>
        <v>9</v>
      </c>
      <c r="G52" s="154">
        <f>IF($B52=" ","",IFERROR(INDEX(MMWR_RATING_STATE_ROLLUP_QST[],MATCH($B52,MMWR_RATING_STATE_ROLLUP_QST[MMWR_RATING_STATE_ROLLUP_QST],0),MATCH(G$9,MMWR_RATING_STATE_ROLLUP_QST[#Headers],0)),"ERROR"))</f>
        <v>130</v>
      </c>
      <c r="H52" s="155">
        <f>IF($B52=" ","",IFERROR(INDEX(MMWR_RATING_STATE_ROLLUP_QST[],MATCH($B52,MMWR_RATING_STATE_ROLLUP_QST[MMWR_RATING_STATE_ROLLUP_QST],0),MATCH(H$9,MMWR_RATING_STATE_ROLLUP_QST[#Headers],0)),"ERROR"))</f>
        <v>97.222222222200003</v>
      </c>
      <c r="I52" s="155">
        <f>IF($B52=" ","",IFERROR(INDEX(MMWR_RATING_STATE_ROLLUP_QST[],MATCH($B52,MMWR_RATING_STATE_ROLLUP_QST[MMWR_RATING_STATE_ROLLUP_QST],0),MATCH(I$9,MMWR_RATING_STATE_ROLLUP_QST[#Headers],0)),"ERROR"))</f>
        <v>132.7538461538</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15</v>
      </c>
      <c r="D53" s="155">
        <f>IF($B53=" ","",IFERROR(INDEX(MMWR_RATING_STATE_ROLLUP_QST[],MATCH($B53,MMWR_RATING_STATE_ROLLUP_QST[MMWR_RATING_STATE_ROLLUP_QST],0),MATCH(D$9,MMWR_RATING_STATE_ROLLUP_QST[#Headers],0)),"ERROR"))</f>
        <v>46.2</v>
      </c>
      <c r="E53" s="156">
        <f>IF($B53=" ","",IFERROR(INDEX(MMWR_RATING_STATE_ROLLUP_QST[],MATCH($B53,MMWR_RATING_STATE_ROLLUP_QST[MMWR_RATING_STATE_ROLLUP_QST],0),MATCH(E$9,MMWR_RATING_STATE_ROLLUP_QST[#Headers],0))/$C53,"ERROR"))</f>
        <v>6.6666666666666666E-2</v>
      </c>
      <c r="F53" s="154">
        <f>IF($B53=" ","",IFERROR(INDEX(MMWR_RATING_STATE_ROLLUP_QST[],MATCH($B53,MMWR_RATING_STATE_ROLLUP_QST[MMWR_RATING_STATE_ROLLUP_QST],0),MATCH(F$9,MMWR_RATING_STATE_ROLLUP_QST[#Headers],0)),"ERROR"))</f>
        <v>2</v>
      </c>
      <c r="G53" s="154">
        <f>IF($B53=" ","",IFERROR(INDEX(MMWR_RATING_STATE_ROLLUP_QST[],MATCH($B53,MMWR_RATING_STATE_ROLLUP_QST[MMWR_RATING_STATE_ROLLUP_QST],0),MATCH(G$9,MMWR_RATING_STATE_ROLLUP_QST[#Headers],0)),"ERROR"))</f>
        <v>43</v>
      </c>
      <c r="H53" s="155">
        <f>IF($B53=" ","",IFERROR(INDEX(MMWR_RATING_STATE_ROLLUP_QST[],MATCH($B53,MMWR_RATING_STATE_ROLLUP_QST[MMWR_RATING_STATE_ROLLUP_QST],0),MATCH(H$9,MMWR_RATING_STATE_ROLLUP_QST[#Headers],0)),"ERROR"))</f>
        <v>124</v>
      </c>
      <c r="I53" s="155">
        <f>IF($B53=" ","",IFERROR(INDEX(MMWR_RATING_STATE_ROLLUP_QST[],MATCH($B53,MMWR_RATING_STATE_ROLLUP_QST[MMWR_RATING_STATE_ROLLUP_QST],0),MATCH(I$9,MMWR_RATING_STATE_ROLLUP_QST[#Headers],0)),"ERROR"))</f>
        <v>153.58139534879999</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10</v>
      </c>
      <c r="D54" s="155">
        <f>IF($B54=" ","",IFERROR(INDEX(MMWR_RATING_STATE_ROLLUP_QST[],MATCH($B54,MMWR_RATING_STATE_ROLLUP_QST[MMWR_RATING_STATE_ROLLUP_QST],0),MATCH(D$9,MMWR_RATING_STATE_ROLLUP_QST[#Headers],0)),"ERROR"))</f>
        <v>50.8</v>
      </c>
      <c r="E54" s="156">
        <f>IF($B54=" ","",IFERROR(INDEX(MMWR_RATING_STATE_ROLLUP_QST[],MATCH($B54,MMWR_RATING_STATE_ROLLUP_QST[MMWR_RATING_STATE_ROLLUP_QST],0),MATCH(E$9,MMWR_RATING_STATE_ROLLUP_QST[#Headers],0))/$C54,"ERROR"))</f>
        <v>0.1</v>
      </c>
      <c r="F54" s="154">
        <f>IF($B54=" ","",IFERROR(INDEX(MMWR_RATING_STATE_ROLLUP_QST[],MATCH($B54,MMWR_RATING_STATE_ROLLUP_QST[MMWR_RATING_STATE_ROLLUP_QST],0),MATCH(F$9,MMWR_RATING_STATE_ROLLUP_QST[#Headers],0)),"ERROR"))</f>
        <v>1</v>
      </c>
      <c r="G54" s="154">
        <f>IF($B54=" ","",IFERROR(INDEX(MMWR_RATING_STATE_ROLLUP_QST[],MATCH($B54,MMWR_RATING_STATE_ROLLUP_QST[MMWR_RATING_STATE_ROLLUP_QST],0),MATCH(G$9,MMWR_RATING_STATE_ROLLUP_QST[#Headers],0)),"ERROR"))</f>
        <v>40</v>
      </c>
      <c r="H54" s="155">
        <f>IF($B54=" ","",IFERROR(INDEX(MMWR_RATING_STATE_ROLLUP_QST[],MATCH($B54,MMWR_RATING_STATE_ROLLUP_QST[MMWR_RATING_STATE_ROLLUP_QST],0),MATCH(H$9,MMWR_RATING_STATE_ROLLUP_QST[#Headers],0)),"ERROR"))</f>
        <v>86</v>
      </c>
      <c r="I54" s="155">
        <f>IF($B54=" ","",IFERROR(INDEX(MMWR_RATING_STATE_ROLLUP_QST[],MATCH($B54,MMWR_RATING_STATE_ROLLUP_QST[MMWR_RATING_STATE_ROLLUP_QST],0),MATCH(I$9,MMWR_RATING_STATE_ROLLUP_QST[#Headers],0)),"ERROR"))</f>
        <v>150.65</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15</v>
      </c>
      <c r="D55" s="155">
        <f>IF($B55=" ","",IFERROR(INDEX(MMWR_RATING_STATE_ROLLUP_QST[],MATCH($B55,MMWR_RATING_STATE_ROLLUP_QST[MMWR_RATING_STATE_ROLLUP_QST],0),MATCH(D$9,MMWR_RATING_STATE_ROLLUP_QST[#Headers],0)),"ERROR"))</f>
        <v>60.4666666667</v>
      </c>
      <c r="E55" s="156">
        <f>IF($B55=" ","",IFERROR(INDEX(MMWR_RATING_STATE_ROLLUP_QST[],MATCH($B55,MMWR_RATING_STATE_ROLLUP_QST[MMWR_RATING_STATE_ROLLUP_QST],0),MATCH(E$9,MMWR_RATING_STATE_ROLLUP_QST[#Headers],0))/$C55,"ERROR"))</f>
        <v>6.6666666666666666E-2</v>
      </c>
      <c r="F55" s="154">
        <f>IF($B55=" ","",IFERROR(INDEX(MMWR_RATING_STATE_ROLLUP_QST[],MATCH($B55,MMWR_RATING_STATE_ROLLUP_QST[MMWR_RATING_STATE_ROLLUP_QST],0),MATCH(F$9,MMWR_RATING_STATE_ROLLUP_QST[#Headers],0)),"ERROR"))</f>
        <v>3</v>
      </c>
      <c r="G55" s="154">
        <f>IF($B55=" ","",IFERROR(INDEX(MMWR_RATING_STATE_ROLLUP_QST[],MATCH($B55,MMWR_RATING_STATE_ROLLUP_QST[MMWR_RATING_STATE_ROLLUP_QST],0),MATCH(G$9,MMWR_RATING_STATE_ROLLUP_QST[#Headers],0)),"ERROR"))</f>
        <v>53</v>
      </c>
      <c r="H55" s="155">
        <f>IF($B55=" ","",IFERROR(INDEX(MMWR_RATING_STATE_ROLLUP_QST[],MATCH($B55,MMWR_RATING_STATE_ROLLUP_QST[MMWR_RATING_STATE_ROLLUP_QST],0),MATCH(H$9,MMWR_RATING_STATE_ROLLUP_QST[#Headers],0)),"ERROR"))</f>
        <v>175.6666666667</v>
      </c>
      <c r="I55" s="155">
        <f>IF($B55=" ","",IFERROR(INDEX(MMWR_RATING_STATE_ROLLUP_QST[],MATCH($B55,MMWR_RATING_STATE_ROLLUP_QST[MMWR_RATING_STATE_ROLLUP_QST],0),MATCH(I$9,MMWR_RATING_STATE_ROLLUP_QST[#Headers],0)),"ERROR"))</f>
        <v>146.47169811320001</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167</v>
      </c>
      <c r="D56" s="155">
        <f>IF($B56=" ","",IFERROR(INDEX(MMWR_RATING_STATE_ROLLUP_QST[],MATCH($B56,MMWR_RATING_STATE_ROLLUP_QST[MMWR_RATING_STATE_ROLLUP_QST],0),MATCH(D$9,MMWR_RATING_STATE_ROLLUP_QST[#Headers],0)),"ERROR"))</f>
        <v>70.706586826299997</v>
      </c>
      <c r="E56" s="156">
        <f>IF($B56=" ","",IFERROR(INDEX(MMWR_RATING_STATE_ROLLUP_QST[],MATCH($B56,MMWR_RATING_STATE_ROLLUP_QST[MMWR_RATING_STATE_ROLLUP_QST],0),MATCH(E$9,MMWR_RATING_STATE_ROLLUP_QST[#Headers],0))/$C56,"ERROR"))</f>
        <v>0.12574850299401197</v>
      </c>
      <c r="F56" s="154">
        <f>IF($B56=" ","",IFERROR(INDEX(MMWR_RATING_STATE_ROLLUP_QST[],MATCH($B56,MMWR_RATING_STATE_ROLLUP_QST[MMWR_RATING_STATE_ROLLUP_QST],0),MATCH(F$9,MMWR_RATING_STATE_ROLLUP_QST[#Headers],0)),"ERROR"))</f>
        <v>24</v>
      </c>
      <c r="G56" s="154">
        <f>IF($B56=" ","",IFERROR(INDEX(MMWR_RATING_STATE_ROLLUP_QST[],MATCH($B56,MMWR_RATING_STATE_ROLLUP_QST[MMWR_RATING_STATE_ROLLUP_QST],0),MATCH(G$9,MMWR_RATING_STATE_ROLLUP_QST[#Headers],0)),"ERROR"))</f>
        <v>529</v>
      </c>
      <c r="H56" s="155">
        <f>IF($B56=" ","",IFERROR(INDEX(MMWR_RATING_STATE_ROLLUP_QST[],MATCH($B56,MMWR_RATING_STATE_ROLLUP_QST[MMWR_RATING_STATE_ROLLUP_QST],0),MATCH(H$9,MMWR_RATING_STATE_ROLLUP_QST[#Headers],0)),"ERROR"))</f>
        <v>128.8333333333</v>
      </c>
      <c r="I56" s="155">
        <f>IF($B56=" ","",IFERROR(INDEX(MMWR_RATING_STATE_ROLLUP_QST[],MATCH($B56,MMWR_RATING_STATE_ROLLUP_QST[MMWR_RATING_STATE_ROLLUP_QST],0),MATCH(I$9,MMWR_RATING_STATE_ROLLUP_QST[#Headers],0)),"ERROR"))</f>
        <v>144.8809073724</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79</v>
      </c>
      <c r="D57" s="155">
        <f>IF($B57=" ","",IFERROR(INDEX(MMWR_RATING_STATE_ROLLUP_QST[],MATCH($B57,MMWR_RATING_STATE_ROLLUP_QST[MMWR_RATING_STATE_ROLLUP_QST],0),MATCH(D$9,MMWR_RATING_STATE_ROLLUP_QST[#Headers],0)),"ERROR"))</f>
        <v>61.3291139241</v>
      </c>
      <c r="E57" s="156">
        <f>IF($B57=" ","",IFERROR(INDEX(MMWR_RATING_STATE_ROLLUP_QST[],MATCH($B57,MMWR_RATING_STATE_ROLLUP_QST[MMWR_RATING_STATE_ROLLUP_QST],0),MATCH(E$9,MMWR_RATING_STATE_ROLLUP_QST[#Headers],0))/$C57,"ERROR"))</f>
        <v>6.3291139240506333E-2</v>
      </c>
      <c r="F57" s="154">
        <f>IF($B57=" ","",IFERROR(INDEX(MMWR_RATING_STATE_ROLLUP_QST[],MATCH($B57,MMWR_RATING_STATE_ROLLUP_QST[MMWR_RATING_STATE_ROLLUP_QST],0),MATCH(F$9,MMWR_RATING_STATE_ROLLUP_QST[#Headers],0)),"ERROR"))</f>
        <v>14</v>
      </c>
      <c r="G57" s="154">
        <f>IF($B57=" ","",IFERROR(INDEX(MMWR_RATING_STATE_ROLLUP_QST[],MATCH($B57,MMWR_RATING_STATE_ROLLUP_QST[MMWR_RATING_STATE_ROLLUP_QST],0),MATCH(G$9,MMWR_RATING_STATE_ROLLUP_QST[#Headers],0)),"ERROR"))</f>
        <v>207</v>
      </c>
      <c r="H57" s="155">
        <f>IF($B57=" ","",IFERROR(INDEX(MMWR_RATING_STATE_ROLLUP_QST[],MATCH($B57,MMWR_RATING_STATE_ROLLUP_QST[MMWR_RATING_STATE_ROLLUP_QST],0),MATCH(H$9,MMWR_RATING_STATE_ROLLUP_QST[#Headers],0)),"ERROR"))</f>
        <v>93.285714285699996</v>
      </c>
      <c r="I57" s="155">
        <f>IF($B57=" ","",IFERROR(INDEX(MMWR_RATING_STATE_ROLLUP_QST[],MATCH($B57,MMWR_RATING_STATE_ROLLUP_QST[MMWR_RATING_STATE_ROLLUP_QST],0),MATCH(I$9,MMWR_RATING_STATE_ROLLUP_QST[#Headers],0)),"ERROR"))</f>
        <v>134.25120772950001</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29</v>
      </c>
      <c r="D58" s="155">
        <f>IF($B58=" ","",IFERROR(INDEX(MMWR_RATING_STATE_ROLLUP_QST[],MATCH($B58,MMWR_RATING_STATE_ROLLUP_QST[MMWR_RATING_STATE_ROLLUP_QST],0),MATCH(D$9,MMWR_RATING_STATE_ROLLUP_QST[#Headers],0)),"ERROR"))</f>
        <v>68.793103448300002</v>
      </c>
      <c r="E58" s="156">
        <f>IF($B58=" ","",IFERROR(INDEX(MMWR_RATING_STATE_ROLLUP_QST[],MATCH($B58,MMWR_RATING_STATE_ROLLUP_QST[MMWR_RATING_STATE_ROLLUP_QST],0),MATCH(E$9,MMWR_RATING_STATE_ROLLUP_QST[#Headers],0))/$C58,"ERROR"))</f>
        <v>0.10344827586206896</v>
      </c>
      <c r="F58" s="154">
        <f>IF($B58=" ","",IFERROR(INDEX(MMWR_RATING_STATE_ROLLUP_QST[],MATCH($B58,MMWR_RATING_STATE_ROLLUP_QST[MMWR_RATING_STATE_ROLLUP_QST],0),MATCH(F$9,MMWR_RATING_STATE_ROLLUP_QST[#Headers],0)),"ERROR"))</f>
        <v>2</v>
      </c>
      <c r="G58" s="154">
        <f>IF($B58=" ","",IFERROR(INDEX(MMWR_RATING_STATE_ROLLUP_QST[],MATCH($B58,MMWR_RATING_STATE_ROLLUP_QST[MMWR_RATING_STATE_ROLLUP_QST],0),MATCH(G$9,MMWR_RATING_STATE_ROLLUP_QST[#Headers],0)),"ERROR"))</f>
        <v>54</v>
      </c>
      <c r="H58" s="155">
        <f>IF($B58=" ","",IFERROR(INDEX(MMWR_RATING_STATE_ROLLUP_QST[],MATCH($B58,MMWR_RATING_STATE_ROLLUP_QST[MMWR_RATING_STATE_ROLLUP_QST],0),MATCH(H$9,MMWR_RATING_STATE_ROLLUP_QST[#Headers],0)),"ERROR"))</f>
        <v>84.5</v>
      </c>
      <c r="I58" s="155">
        <f>IF($B58=" ","",IFERROR(INDEX(MMWR_RATING_STATE_ROLLUP_QST[],MATCH($B58,MMWR_RATING_STATE_ROLLUP_QST[MMWR_RATING_STATE_ROLLUP_QST],0),MATCH(I$9,MMWR_RATING_STATE_ROLLUP_QST[#Headers],0)),"ERROR"))</f>
        <v>142.0185185185</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95</v>
      </c>
      <c r="D59" s="155">
        <f>IF($B59=" ","",IFERROR(INDEX(MMWR_RATING_STATE_ROLLUP_QST[],MATCH($B59,MMWR_RATING_STATE_ROLLUP_QST[MMWR_RATING_STATE_ROLLUP_QST],0),MATCH(D$9,MMWR_RATING_STATE_ROLLUP_QST[#Headers],0)),"ERROR"))</f>
        <v>58.494736842099996</v>
      </c>
      <c r="E59" s="156">
        <f>IF($B59=" ","",IFERROR(INDEX(MMWR_RATING_STATE_ROLLUP_QST[],MATCH($B59,MMWR_RATING_STATE_ROLLUP_QST[MMWR_RATING_STATE_ROLLUP_QST],0),MATCH(E$9,MMWR_RATING_STATE_ROLLUP_QST[#Headers],0))/$C59,"ERROR"))</f>
        <v>7.3684210526315783E-2</v>
      </c>
      <c r="F59" s="154">
        <f>IF($B59=" ","",IFERROR(INDEX(MMWR_RATING_STATE_ROLLUP_QST[],MATCH($B59,MMWR_RATING_STATE_ROLLUP_QST[MMWR_RATING_STATE_ROLLUP_QST],0),MATCH(F$9,MMWR_RATING_STATE_ROLLUP_QST[#Headers],0)),"ERROR"))</f>
        <v>18</v>
      </c>
      <c r="G59" s="154">
        <f>IF($B59=" ","",IFERROR(INDEX(MMWR_RATING_STATE_ROLLUP_QST[],MATCH($B59,MMWR_RATING_STATE_ROLLUP_QST[MMWR_RATING_STATE_ROLLUP_QST],0),MATCH(G$9,MMWR_RATING_STATE_ROLLUP_QST[#Headers],0)),"ERROR"))</f>
        <v>247</v>
      </c>
      <c r="H59" s="155">
        <f>IF($B59=" ","",IFERROR(INDEX(MMWR_RATING_STATE_ROLLUP_QST[],MATCH($B59,MMWR_RATING_STATE_ROLLUP_QST[MMWR_RATING_STATE_ROLLUP_QST],0),MATCH(H$9,MMWR_RATING_STATE_ROLLUP_QST[#Headers],0)),"ERROR"))</f>
        <v>121.1111111111</v>
      </c>
      <c r="I59" s="155">
        <f>IF($B59=" ","",IFERROR(INDEX(MMWR_RATING_STATE_ROLLUP_QST[],MATCH($B59,MMWR_RATING_STATE_ROLLUP_QST[MMWR_RATING_STATE_ROLLUP_QST],0),MATCH(I$9,MMWR_RATING_STATE_ROLLUP_QST[#Headers],0)),"ERROR"))</f>
        <v>143.4331983806</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223</v>
      </c>
      <c r="D60" s="155">
        <f>IF($B60=" ","",IFERROR(INDEX(MMWR_RATING_STATE_ROLLUP_QST[],MATCH($B60,MMWR_RATING_STATE_ROLLUP_QST[MMWR_RATING_STATE_ROLLUP_QST],0),MATCH(D$9,MMWR_RATING_STATE_ROLLUP_QST[#Headers],0)),"ERROR"))</f>
        <v>58.869955157</v>
      </c>
      <c r="E60" s="156">
        <f>IF($B60=" ","",IFERROR(INDEX(MMWR_RATING_STATE_ROLLUP_QST[],MATCH($B60,MMWR_RATING_STATE_ROLLUP_QST[MMWR_RATING_STATE_ROLLUP_QST],0),MATCH(E$9,MMWR_RATING_STATE_ROLLUP_QST[#Headers],0))/$C60,"ERROR"))</f>
        <v>8.0717488789237665E-2</v>
      </c>
      <c r="F60" s="154">
        <f>IF($B60=" ","",IFERROR(INDEX(MMWR_RATING_STATE_ROLLUP_QST[],MATCH($B60,MMWR_RATING_STATE_ROLLUP_QST[MMWR_RATING_STATE_ROLLUP_QST],0),MATCH(F$9,MMWR_RATING_STATE_ROLLUP_QST[#Headers],0)),"ERROR"))</f>
        <v>36</v>
      </c>
      <c r="G60" s="154">
        <f>IF($B60=" ","",IFERROR(INDEX(MMWR_RATING_STATE_ROLLUP_QST[],MATCH($B60,MMWR_RATING_STATE_ROLLUP_QST[MMWR_RATING_STATE_ROLLUP_QST],0),MATCH(G$9,MMWR_RATING_STATE_ROLLUP_QST[#Headers],0)),"ERROR"))</f>
        <v>551</v>
      </c>
      <c r="H60" s="155">
        <f>IF($B60=" ","",IFERROR(INDEX(MMWR_RATING_STATE_ROLLUP_QST[],MATCH($B60,MMWR_RATING_STATE_ROLLUP_QST[MMWR_RATING_STATE_ROLLUP_QST],0),MATCH(H$9,MMWR_RATING_STATE_ROLLUP_QST[#Headers],0)),"ERROR"))</f>
        <v>110.1388888889</v>
      </c>
      <c r="I60" s="155">
        <f>IF($B60=" ","",IFERROR(INDEX(MMWR_RATING_STATE_ROLLUP_QST[],MATCH($B60,MMWR_RATING_STATE_ROLLUP_QST[MMWR_RATING_STATE_ROLLUP_QST],0),MATCH(I$9,MMWR_RATING_STATE_ROLLUP_QST[#Headers],0)),"ERROR"))</f>
        <v>136.4010889292</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483</v>
      </c>
      <c r="D61" s="155">
        <f>IF($B61=" ","",IFERROR(INDEX(MMWR_RATING_STATE_ROLLUP_QST[],MATCH($B61,MMWR_RATING_STATE_ROLLUP_QST[MMWR_RATING_STATE_ROLLUP_QST],0),MATCH(D$9,MMWR_RATING_STATE_ROLLUP_QST[#Headers],0)),"ERROR"))</f>
        <v>68.519668737100005</v>
      </c>
      <c r="E61" s="156">
        <f>IF($B61=" ","",IFERROR(INDEX(MMWR_RATING_STATE_ROLLUP_QST[],MATCH($B61,MMWR_RATING_STATE_ROLLUP_QST[MMWR_RATING_STATE_ROLLUP_QST],0),MATCH(E$9,MMWR_RATING_STATE_ROLLUP_QST[#Headers],0))/$C61,"ERROR"))</f>
        <v>0.10973084886128365</v>
      </c>
      <c r="F61" s="154">
        <f>IF($B61=" ","",IFERROR(INDEX(MMWR_RATING_STATE_ROLLUP_QST[],MATCH($B61,MMWR_RATING_STATE_ROLLUP_QST[MMWR_RATING_STATE_ROLLUP_QST],0),MATCH(F$9,MMWR_RATING_STATE_ROLLUP_QST[#Headers],0)),"ERROR"))</f>
        <v>79</v>
      </c>
      <c r="G61" s="154">
        <f>IF($B61=" ","",IFERROR(INDEX(MMWR_RATING_STATE_ROLLUP_QST[],MATCH($B61,MMWR_RATING_STATE_ROLLUP_QST[MMWR_RATING_STATE_ROLLUP_QST],0),MATCH(G$9,MMWR_RATING_STATE_ROLLUP_QST[#Headers],0)),"ERROR"))</f>
        <v>1208</v>
      </c>
      <c r="H61" s="155">
        <f>IF($B61=" ","",IFERROR(INDEX(MMWR_RATING_STATE_ROLLUP_QST[],MATCH($B61,MMWR_RATING_STATE_ROLLUP_QST[MMWR_RATING_STATE_ROLLUP_QST],0),MATCH(H$9,MMWR_RATING_STATE_ROLLUP_QST[#Headers],0)),"ERROR"))</f>
        <v>129.86075949369999</v>
      </c>
      <c r="I61" s="155">
        <f>IF($B61=" ","",IFERROR(INDEX(MMWR_RATING_STATE_ROLLUP_QST[],MATCH($B61,MMWR_RATING_STATE_ROLLUP_QST[MMWR_RATING_STATE_ROLLUP_QST],0),MATCH(I$9,MMWR_RATING_STATE_ROLLUP_QST[#Headers],0)),"ERROR"))</f>
        <v>148.69205298009999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168</v>
      </c>
      <c r="D62" s="155">
        <f>IF($B62=" ","",IFERROR(INDEX(MMWR_RATING_STATE_ROLLUP_QST[],MATCH($B62,MMWR_RATING_STATE_ROLLUP_QST[MMWR_RATING_STATE_ROLLUP_QST],0),MATCH(D$9,MMWR_RATING_STATE_ROLLUP_QST[#Headers],0)),"ERROR"))</f>
        <v>67.101190476200003</v>
      </c>
      <c r="E62" s="156">
        <f>IF($B62=" ","",IFERROR(INDEX(MMWR_RATING_STATE_ROLLUP_QST[],MATCH($B62,MMWR_RATING_STATE_ROLLUP_QST[MMWR_RATING_STATE_ROLLUP_QST],0),MATCH(E$9,MMWR_RATING_STATE_ROLLUP_QST[#Headers],0))/$C62,"ERROR"))</f>
        <v>0.1130952380952381</v>
      </c>
      <c r="F62" s="154">
        <f>IF($B62=" ","",IFERROR(INDEX(MMWR_RATING_STATE_ROLLUP_QST[],MATCH($B62,MMWR_RATING_STATE_ROLLUP_QST[MMWR_RATING_STATE_ROLLUP_QST],0),MATCH(F$9,MMWR_RATING_STATE_ROLLUP_QST[#Headers],0)),"ERROR"))</f>
        <v>30</v>
      </c>
      <c r="G62" s="154">
        <f>IF($B62=" ","",IFERROR(INDEX(MMWR_RATING_STATE_ROLLUP_QST[],MATCH($B62,MMWR_RATING_STATE_ROLLUP_QST[MMWR_RATING_STATE_ROLLUP_QST],0),MATCH(G$9,MMWR_RATING_STATE_ROLLUP_QST[#Headers],0)),"ERROR"))</f>
        <v>448</v>
      </c>
      <c r="H62" s="155">
        <f>IF($B62=" ","",IFERROR(INDEX(MMWR_RATING_STATE_ROLLUP_QST[],MATCH($B62,MMWR_RATING_STATE_ROLLUP_QST[MMWR_RATING_STATE_ROLLUP_QST],0),MATCH(H$9,MMWR_RATING_STATE_ROLLUP_QST[#Headers],0)),"ERROR"))</f>
        <v>106.03333333330001</v>
      </c>
      <c r="I62" s="155">
        <f>IF($B62=" ","",IFERROR(INDEX(MMWR_RATING_STATE_ROLLUP_QST[],MATCH($B62,MMWR_RATING_STATE_ROLLUP_QST[MMWR_RATING_STATE_ROLLUP_QST],0),MATCH(I$9,MMWR_RATING_STATE_ROLLUP_QST[#Headers],0)),"ERROR"))</f>
        <v>138.85491071429999</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7</v>
      </c>
      <c r="D63" s="155">
        <f>IF($B63=" ","",IFERROR(INDEX(MMWR_RATING_STATE_ROLLUP_QST[],MATCH($B63,MMWR_RATING_STATE_ROLLUP_QST[MMWR_RATING_STATE_ROLLUP_QST],0),MATCH(D$9,MMWR_RATING_STATE_ROLLUP_QST[#Headers],0)),"ERROR"))</f>
        <v>54.714285714299997</v>
      </c>
      <c r="E63" s="156">
        <f>IF($B63=" ","",IFERROR(INDEX(MMWR_RATING_STATE_ROLLUP_QST[],MATCH($B63,MMWR_RATING_STATE_ROLLUP_QST[MMWR_RATING_STATE_ROLLUP_QST],0),MATCH(E$9,MMWR_RATING_STATE_ROLLUP_QST[#Headers],0))/$C63,"ERROR"))</f>
        <v>0</v>
      </c>
      <c r="F63" s="154">
        <f>IF($B63=" ","",IFERROR(INDEX(MMWR_RATING_STATE_ROLLUP_QST[],MATCH($B63,MMWR_RATING_STATE_ROLLUP_QST[MMWR_RATING_STATE_ROLLUP_QST],0),MATCH(F$9,MMWR_RATING_STATE_ROLLUP_QST[#Headers],0)),"ERROR"))</f>
        <v>1</v>
      </c>
      <c r="G63" s="154">
        <f>IF($B63=" ","",IFERROR(INDEX(MMWR_RATING_STATE_ROLLUP_QST[],MATCH($B63,MMWR_RATING_STATE_ROLLUP_QST[MMWR_RATING_STATE_ROLLUP_QST],0),MATCH(G$9,MMWR_RATING_STATE_ROLLUP_QST[#Headers],0)),"ERROR"))</f>
        <v>29</v>
      </c>
      <c r="H63" s="155">
        <f>IF($B63=" ","",IFERROR(INDEX(MMWR_RATING_STATE_ROLLUP_QST[],MATCH($B63,MMWR_RATING_STATE_ROLLUP_QST[MMWR_RATING_STATE_ROLLUP_QST],0),MATCH(H$9,MMWR_RATING_STATE_ROLLUP_QST[#Headers],0)),"ERROR"))</f>
        <v>123</v>
      </c>
      <c r="I63" s="155">
        <f>IF($B63=" ","",IFERROR(INDEX(MMWR_RATING_STATE_ROLLUP_QST[],MATCH($B63,MMWR_RATING_STATE_ROLLUP_QST[MMWR_RATING_STATE_ROLLUP_QST],0),MATCH(I$9,MMWR_RATING_STATE_ROLLUP_QST[#Headers],0)),"ERROR"))</f>
        <v>152.7586206897</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10</v>
      </c>
      <c r="D64" s="155">
        <f>IF($B64=" ","",IFERROR(INDEX(MMWR_RATING_STATE_ROLLUP_QST[],MATCH($B64,MMWR_RATING_STATE_ROLLUP_QST[MMWR_RATING_STATE_ROLLUP_QST],0),MATCH(D$9,MMWR_RATING_STATE_ROLLUP_QST[#Headers],0)),"ERROR"))</f>
        <v>46.3</v>
      </c>
      <c r="E64" s="156">
        <f>IF($B64=" ","",IFERROR(INDEX(MMWR_RATING_STATE_ROLLUP_QST[],MATCH($B64,MMWR_RATING_STATE_ROLLUP_QST[MMWR_RATING_STATE_ROLLUP_QST],0),MATCH(E$9,MMWR_RATING_STATE_ROLLUP_QST[#Headers],0))/$C64,"ERROR"))</f>
        <v>0.1</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13</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148.61538461539999</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561</v>
      </c>
      <c r="D65" s="155">
        <f>IF($B65=" ","",IFERROR(INDEX(MMWR_RATING_STATE_ROLLUP_QST[],MATCH($B65,MMWR_RATING_STATE_ROLLUP_QST[MMWR_RATING_STATE_ROLLUP_QST],0),MATCH(D$9,MMWR_RATING_STATE_ROLLUP_QST[#Headers],0)),"ERROR"))</f>
        <v>72.472370766500006</v>
      </c>
      <c r="E65" s="156">
        <f>IF($B65=" ","",IFERROR(INDEX(MMWR_RATING_STATE_ROLLUP_QST[],MATCH($B65,MMWR_RATING_STATE_ROLLUP_QST[MMWR_RATING_STATE_ROLLUP_QST],0),MATCH(E$9,MMWR_RATING_STATE_ROLLUP_QST[#Headers],0))/$C65,"ERROR"))</f>
        <v>0.12299465240641712</v>
      </c>
      <c r="F65" s="154">
        <f>IF($B65=" ","",IFERROR(INDEX(MMWR_RATING_STATE_ROLLUP_QST[],MATCH($B65,MMWR_RATING_STATE_ROLLUP_QST[MMWR_RATING_STATE_ROLLUP_QST],0),MATCH(F$9,MMWR_RATING_STATE_ROLLUP_QST[#Headers],0)),"ERROR"))</f>
        <v>65</v>
      </c>
      <c r="G65" s="154">
        <f>IF($B65=" ","",IFERROR(INDEX(MMWR_RATING_STATE_ROLLUP_QST[],MATCH($B65,MMWR_RATING_STATE_ROLLUP_QST[MMWR_RATING_STATE_ROLLUP_QST],0),MATCH(G$9,MMWR_RATING_STATE_ROLLUP_QST[#Headers],0)),"ERROR"))</f>
        <v>1376</v>
      </c>
      <c r="H65" s="155">
        <f>IF($B65=" ","",IFERROR(INDEX(MMWR_RATING_STATE_ROLLUP_QST[],MATCH($B65,MMWR_RATING_STATE_ROLLUP_QST[MMWR_RATING_STATE_ROLLUP_QST],0),MATCH(H$9,MMWR_RATING_STATE_ROLLUP_QST[#Headers],0)),"ERROR"))</f>
        <v>131.0153846154</v>
      </c>
      <c r="I65" s="155">
        <f>IF($B65=" ","",IFERROR(INDEX(MMWR_RATING_STATE_ROLLUP_QST[],MATCH($B65,MMWR_RATING_STATE_ROLLUP_QST[MMWR_RATING_STATE_ROLLUP_QST],0),MATCH(I$9,MMWR_RATING_STATE_ROLLUP_QST[#Headers],0)),"ERROR"))</f>
        <v>152.49781976739999</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24</v>
      </c>
      <c r="D66" s="155">
        <f>IF($B66=" ","",IFERROR(INDEX(MMWR_RATING_STATE_ROLLUP_QST[],MATCH($B66,MMWR_RATING_STATE_ROLLUP_QST[MMWR_RATING_STATE_ROLLUP_QST],0),MATCH(D$9,MMWR_RATING_STATE_ROLLUP_QST[#Headers],0)),"ERROR"))</f>
        <v>69.791666666699996</v>
      </c>
      <c r="E66" s="156">
        <f>IF($B66=" ","",IFERROR(INDEX(MMWR_RATING_STATE_ROLLUP_QST[],MATCH($B66,MMWR_RATING_STATE_ROLLUP_QST[MMWR_RATING_STATE_ROLLUP_QST],0),MATCH(E$9,MMWR_RATING_STATE_ROLLUP_QST[#Headers],0))/$C66,"ERROR"))</f>
        <v>0.20833333333333334</v>
      </c>
      <c r="F66" s="154">
        <f>IF($B66=" ","",IFERROR(INDEX(MMWR_RATING_STATE_ROLLUP_QST[],MATCH($B66,MMWR_RATING_STATE_ROLLUP_QST[MMWR_RATING_STATE_ROLLUP_QST],0),MATCH(F$9,MMWR_RATING_STATE_ROLLUP_QST[#Headers],0)),"ERROR"))</f>
        <v>2</v>
      </c>
      <c r="G66" s="154">
        <f>IF($B66=" ","",IFERROR(INDEX(MMWR_RATING_STATE_ROLLUP_QST[],MATCH($B66,MMWR_RATING_STATE_ROLLUP_QST[MMWR_RATING_STATE_ROLLUP_QST],0),MATCH(G$9,MMWR_RATING_STATE_ROLLUP_QST[#Headers],0)),"ERROR"))</f>
        <v>48</v>
      </c>
      <c r="H66" s="155">
        <f>IF($B66=" ","",IFERROR(INDEX(MMWR_RATING_STATE_ROLLUP_QST[],MATCH($B66,MMWR_RATING_STATE_ROLLUP_QST[MMWR_RATING_STATE_ROLLUP_QST],0),MATCH(H$9,MMWR_RATING_STATE_ROLLUP_QST[#Headers],0)),"ERROR"))</f>
        <v>98</v>
      </c>
      <c r="I66" s="155">
        <f>IF($B66=" ","",IFERROR(INDEX(MMWR_RATING_STATE_ROLLUP_QST[],MATCH($B66,MMWR_RATING_STATE_ROLLUP_QST[MMWR_RATING_STATE_ROLLUP_QST],0),MATCH(I$9,MMWR_RATING_STATE_ROLLUP_QST[#Headers],0)),"ERROR"))</f>
        <v>138.4583333333</v>
      </c>
      <c r="J66" s="42"/>
      <c r="K66" s="42"/>
      <c r="L66" s="42"/>
      <c r="M66" s="42"/>
      <c r="N66" s="28"/>
    </row>
    <row r="67" spans="1:14" x14ac:dyDescent="0.2">
      <c r="A67" s="25"/>
      <c r="B67" s="378" t="s">
        <v>1039</v>
      </c>
      <c r="C67" s="379"/>
      <c r="D67" s="379"/>
      <c r="E67" s="379"/>
      <c r="F67" s="379"/>
      <c r="G67" s="379"/>
      <c r="H67" s="379"/>
      <c r="I67" s="379"/>
      <c r="J67" s="379"/>
      <c r="K67" s="379"/>
      <c r="L67" s="379"/>
      <c r="M67" s="388"/>
      <c r="N67" s="28"/>
    </row>
    <row r="68" spans="1:14" ht="25.5" x14ac:dyDescent="0.2">
      <c r="A68" s="25"/>
      <c r="B68" s="250" t="s">
        <v>1035</v>
      </c>
      <c r="C68" s="154">
        <f>IF($B68=" ","",IFERROR(INDEX(MMWR_RATING_STATE_ROLLUP_BDD[],MATCH($B68,MMWR_RATING_STATE_ROLLUP_BDD[MMWR_RATING_STATE_ROLLUP_BDD],0),MATCH(C$9,MMWR_RATING_STATE_ROLLUP_BDD[#Headers],0)),"ERROR"))</f>
        <v>8655</v>
      </c>
      <c r="D68" s="155">
        <f>IF($B68=" ","",IFERROR(INDEX(MMWR_RATING_STATE_ROLLUP_BDD[],MATCH($B68,MMWR_RATING_STATE_ROLLUP_BDD[MMWR_RATING_STATE_ROLLUP_BDD],0),MATCH(D$9,MMWR_RATING_STATE_ROLLUP_BDD[#Headers],0)),"ERROR"))</f>
        <v>62.254650491</v>
      </c>
      <c r="E68" s="156">
        <f>IF($B68=" ","",IFERROR(INDEX(MMWR_RATING_STATE_ROLLUP_BDD[],MATCH($B68,MMWR_RATING_STATE_ROLLUP_BDD[MMWR_RATING_STATE_ROLLUP_BDD],0),MATCH(E$9,MMWR_RATING_STATE_ROLLUP_BDD[#Headers],0))/$C68,"ERROR"))</f>
        <v>8.5268630849220109E-2</v>
      </c>
      <c r="F68" s="154">
        <f>IF($B68=" ","",IFERROR(INDEX(MMWR_RATING_STATE_ROLLUP_BDD[],MATCH($B68,MMWR_RATING_STATE_ROLLUP_BDD[MMWR_RATING_STATE_ROLLUP_BDD],0),MATCH(F$9,MMWR_RATING_STATE_ROLLUP_BDD[#Headers],0)),"ERROR"))</f>
        <v>1310</v>
      </c>
      <c r="G68" s="154">
        <f>IF($B68=" ","",IFERROR(INDEX(MMWR_RATING_STATE_ROLLUP_BDD[],MATCH($B68,MMWR_RATING_STATE_ROLLUP_BDD[MMWR_RATING_STATE_ROLLUP_BDD],0),MATCH(G$9,MMWR_RATING_STATE_ROLLUP_BDD[#Headers],0)),"ERROR"))</f>
        <v>25586</v>
      </c>
      <c r="H68" s="155">
        <f>IF($B68=" ","",IFERROR(INDEX(MMWR_RATING_STATE_ROLLUP_BDD[],MATCH($B68,MMWR_RATING_STATE_ROLLUP_BDD[MMWR_RATING_STATE_ROLLUP_BDD],0),MATCH(H$9,MMWR_RATING_STATE_ROLLUP_BDD[#Headers],0)),"ERROR"))</f>
        <v>110.8671755725</v>
      </c>
      <c r="I68" s="155">
        <f>IF($B68=" ","",IFERROR(INDEX(MMWR_RATING_STATE_ROLLUP_BDD[],MATCH($B68,MMWR_RATING_STATE_ROLLUP_BDD[MMWR_RATING_STATE_ROLLUP_BDD],0),MATCH(I$9,MMWR_RATING_STATE_ROLLUP_BDD[#Headers],0)),"ERROR"))</f>
        <v>130.08512467759999</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2361</v>
      </c>
      <c r="D69" s="155">
        <f>IF($B69=" ","",IFERROR(INDEX(MMWR_RATING_STATE_ROLLUP_BDD[],MATCH($B69,MMWR_RATING_STATE_ROLLUP_BDD[MMWR_RATING_STATE_ROLLUP_BDD],0),MATCH(D$9,MMWR_RATING_STATE_ROLLUP_BDD[#Headers],0)),"ERROR"))</f>
        <v>60.068191444299998</v>
      </c>
      <c r="E69" s="156">
        <f>IF($B69=" ","",IFERROR(INDEX(MMWR_RATING_STATE_ROLLUP_BDD[],MATCH($B69,MMWR_RATING_STATE_ROLLUP_BDD[MMWR_RATING_STATE_ROLLUP_BDD],0),MATCH(E$9,MMWR_RATING_STATE_ROLLUP_BDD[#Headers],0))/$C69,"ERROR"))</f>
        <v>8.3862770012706478E-2</v>
      </c>
      <c r="F69" s="154">
        <f>IF($B69=" ","",IFERROR(INDEX(MMWR_RATING_STATE_ROLLUP_BDD[],MATCH($B69,MMWR_RATING_STATE_ROLLUP_BDD[MMWR_RATING_STATE_ROLLUP_BDD],0),MATCH(F$9,MMWR_RATING_STATE_ROLLUP_BDD[#Headers],0)),"ERROR"))</f>
        <v>293</v>
      </c>
      <c r="G69" s="154">
        <f>IF($B69=" ","",IFERROR(INDEX(MMWR_RATING_STATE_ROLLUP_BDD[],MATCH($B69,MMWR_RATING_STATE_ROLLUP_BDD[MMWR_RATING_STATE_ROLLUP_BDD],0),MATCH(G$9,MMWR_RATING_STATE_ROLLUP_BDD[#Headers],0)),"ERROR"))</f>
        <v>6700</v>
      </c>
      <c r="H69" s="155">
        <f>IF($B69=" ","",IFERROR(INDEX(MMWR_RATING_STATE_ROLLUP_BDD[],MATCH($B69,MMWR_RATING_STATE_ROLLUP_BDD[MMWR_RATING_STATE_ROLLUP_BDD],0),MATCH(H$9,MMWR_RATING_STATE_ROLLUP_BDD[#Headers],0)),"ERROR"))</f>
        <v>108.0136518771</v>
      </c>
      <c r="I69" s="155">
        <f>IF($B69=" ","",IFERROR(INDEX(MMWR_RATING_STATE_ROLLUP_BDD[],MATCH($B69,MMWR_RATING_STATE_ROLLUP_BDD[MMWR_RATING_STATE_ROLLUP_BDD],0),MATCH(I$9,MMWR_RATING_STATE_ROLLUP_BDD[#Headers],0)),"ERROR"))</f>
        <v>139.90641791039999</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36</v>
      </c>
      <c r="D70" s="155">
        <f>IF($B70=" ","",IFERROR(INDEX(MMWR_RATING_STATE_ROLLUP_BDD[],MATCH($B70,MMWR_RATING_STATE_ROLLUP_BDD[MMWR_RATING_STATE_ROLLUP_BDD],0),MATCH(D$9,MMWR_RATING_STATE_ROLLUP_BDD[#Headers],0)),"ERROR"))</f>
        <v>58.75</v>
      </c>
      <c r="E70" s="156">
        <f>IF($B70=" ","",IFERROR(INDEX(MMWR_RATING_STATE_ROLLUP_BDD[],MATCH($B70,MMWR_RATING_STATE_ROLLUP_BDD[MMWR_RATING_STATE_ROLLUP_BDD],0),MATCH(E$9,MMWR_RATING_STATE_ROLLUP_BDD[#Headers],0))/$C70,"ERROR"))</f>
        <v>8.3333333333333329E-2</v>
      </c>
      <c r="F70" s="154">
        <f>IF($B70=" ","",IFERROR(INDEX(MMWR_RATING_STATE_ROLLUP_BDD[],MATCH($B70,MMWR_RATING_STATE_ROLLUP_BDD[MMWR_RATING_STATE_ROLLUP_BDD],0),MATCH(F$9,MMWR_RATING_STATE_ROLLUP_BDD[#Headers],0)),"ERROR"))</f>
        <v>7</v>
      </c>
      <c r="G70" s="154">
        <f>IF($B70=" ","",IFERROR(INDEX(MMWR_RATING_STATE_ROLLUP_BDD[],MATCH($B70,MMWR_RATING_STATE_ROLLUP_BDD[MMWR_RATING_STATE_ROLLUP_BDD],0),MATCH(G$9,MMWR_RATING_STATE_ROLLUP_BDD[#Headers],0)),"ERROR"))</f>
        <v>141</v>
      </c>
      <c r="H70" s="155">
        <f>IF($B70=" ","",IFERROR(INDEX(MMWR_RATING_STATE_ROLLUP_BDD[],MATCH($B70,MMWR_RATING_STATE_ROLLUP_BDD[MMWR_RATING_STATE_ROLLUP_BDD],0),MATCH(H$9,MMWR_RATING_STATE_ROLLUP_BDD[#Headers],0)),"ERROR"))</f>
        <v>90.428571428599994</v>
      </c>
      <c r="I70" s="155">
        <f>IF($B70=" ","",IFERROR(INDEX(MMWR_RATING_STATE_ROLLUP_BDD[],MATCH($B70,MMWR_RATING_STATE_ROLLUP_BDD[MMWR_RATING_STATE_ROLLUP_BDD],0),MATCH(I$9,MMWR_RATING_STATE_ROLLUP_BDD[#Headers],0)),"ERROR"))</f>
        <v>133.21985815599999</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22</v>
      </c>
      <c r="D71" s="155">
        <f>IF($B71=" ","",IFERROR(INDEX(MMWR_RATING_STATE_ROLLUP_BDD[],MATCH($B71,MMWR_RATING_STATE_ROLLUP_BDD[MMWR_RATING_STATE_ROLLUP_BDD],0),MATCH(D$9,MMWR_RATING_STATE_ROLLUP_BDD[#Headers],0)),"ERROR"))</f>
        <v>66.181818181799997</v>
      </c>
      <c r="E71" s="156">
        <f>IF($B71=" ","",IFERROR(INDEX(MMWR_RATING_STATE_ROLLUP_BDD[],MATCH($B71,MMWR_RATING_STATE_ROLLUP_BDD[MMWR_RATING_STATE_ROLLUP_BDD],0),MATCH(E$9,MMWR_RATING_STATE_ROLLUP_BDD[#Headers],0))/$C71,"ERROR"))</f>
        <v>9.0909090909090912E-2</v>
      </c>
      <c r="F71" s="154">
        <f>IF($B71=" ","",IFERROR(INDEX(MMWR_RATING_STATE_ROLLUP_BDD[],MATCH($B71,MMWR_RATING_STATE_ROLLUP_BDD[MMWR_RATING_STATE_ROLLUP_BDD],0),MATCH(F$9,MMWR_RATING_STATE_ROLLUP_BDD[#Headers],0)),"ERROR"))</f>
        <v>1</v>
      </c>
      <c r="G71" s="154">
        <f>IF($B71=" ","",IFERROR(INDEX(MMWR_RATING_STATE_ROLLUP_BDD[],MATCH($B71,MMWR_RATING_STATE_ROLLUP_BDD[MMWR_RATING_STATE_ROLLUP_BDD],0),MATCH(G$9,MMWR_RATING_STATE_ROLLUP_BDD[#Headers],0)),"ERROR"))</f>
        <v>54</v>
      </c>
      <c r="H71" s="155">
        <f>IF($B71=" ","",IFERROR(INDEX(MMWR_RATING_STATE_ROLLUP_BDD[],MATCH($B71,MMWR_RATING_STATE_ROLLUP_BDD[MMWR_RATING_STATE_ROLLUP_BDD],0),MATCH(H$9,MMWR_RATING_STATE_ROLLUP_BDD[#Headers],0)),"ERROR"))</f>
        <v>186</v>
      </c>
      <c r="I71" s="155">
        <f>IF($B71=" ","",IFERROR(INDEX(MMWR_RATING_STATE_ROLLUP_BDD[],MATCH($B71,MMWR_RATING_STATE_ROLLUP_BDD[MMWR_RATING_STATE_ROLLUP_BDD],0),MATCH(I$9,MMWR_RATING_STATE_ROLLUP_BDD[#Headers],0)),"ERROR"))</f>
        <v>152.5</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14</v>
      </c>
      <c r="D72" s="155">
        <f>IF($B72=" ","",IFERROR(INDEX(MMWR_RATING_STATE_ROLLUP_BDD[],MATCH($B72,MMWR_RATING_STATE_ROLLUP_BDD[MMWR_RATING_STATE_ROLLUP_BDD],0),MATCH(D$9,MMWR_RATING_STATE_ROLLUP_BDD[#Headers],0)),"ERROR"))</f>
        <v>48.428571428600002</v>
      </c>
      <c r="E72" s="156">
        <f>IF($B72=" ","",IFERROR(INDEX(MMWR_RATING_STATE_ROLLUP_BDD[],MATCH($B72,MMWR_RATING_STATE_ROLLUP_BDD[MMWR_RATING_STATE_ROLLUP_BDD],0),MATCH(E$9,MMWR_RATING_STATE_ROLLUP_BDD[#Headers],0))/$C72,"ERROR"))</f>
        <v>0</v>
      </c>
      <c r="F72" s="154">
        <f>IF($B72=" ","",IFERROR(INDEX(MMWR_RATING_STATE_ROLLUP_BDD[],MATCH($B72,MMWR_RATING_STATE_ROLLUP_BDD[MMWR_RATING_STATE_ROLLUP_BDD],0),MATCH(F$9,MMWR_RATING_STATE_ROLLUP_BDD[#Headers],0)),"ERROR"))</f>
        <v>4</v>
      </c>
      <c r="G72" s="154">
        <f>IF($B72=" ","",IFERROR(INDEX(MMWR_RATING_STATE_ROLLUP_BDD[],MATCH($B72,MMWR_RATING_STATE_ROLLUP_BDD[MMWR_RATING_STATE_ROLLUP_BDD],0),MATCH(G$9,MMWR_RATING_STATE_ROLLUP_BDD[#Headers],0)),"ERROR"))</f>
        <v>59</v>
      </c>
      <c r="H72" s="155">
        <f>IF($B72=" ","",IFERROR(INDEX(MMWR_RATING_STATE_ROLLUP_BDD[],MATCH($B72,MMWR_RATING_STATE_ROLLUP_BDD[MMWR_RATING_STATE_ROLLUP_BDD],0),MATCH(H$9,MMWR_RATING_STATE_ROLLUP_BDD[#Headers],0)),"ERROR"))</f>
        <v>41.5</v>
      </c>
      <c r="I72" s="155">
        <f>IF($B72=" ","",IFERROR(INDEX(MMWR_RATING_STATE_ROLLUP_BDD[],MATCH($B72,MMWR_RATING_STATE_ROLLUP_BDD[MMWR_RATING_STATE_ROLLUP_BDD],0),MATCH(I$9,MMWR_RATING_STATE_ROLLUP_BDD[#Headers],0)),"ERROR"))</f>
        <v>124.7118644068</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15</v>
      </c>
      <c r="D73" s="155">
        <f>IF($B73=" ","",IFERROR(INDEX(MMWR_RATING_STATE_ROLLUP_BDD[],MATCH($B73,MMWR_RATING_STATE_ROLLUP_BDD[MMWR_RATING_STATE_ROLLUP_BDD],0),MATCH(D$9,MMWR_RATING_STATE_ROLLUP_BDD[#Headers],0)),"ERROR"))</f>
        <v>57</v>
      </c>
      <c r="E73" s="156">
        <f>IF($B73=" ","",IFERROR(INDEX(MMWR_RATING_STATE_ROLLUP_BDD[],MATCH($B73,MMWR_RATING_STATE_ROLLUP_BDD[MMWR_RATING_STATE_ROLLUP_BDD],0),MATCH(E$9,MMWR_RATING_STATE_ROLLUP_BDD[#Headers],0))/$C73,"ERROR"))</f>
        <v>6.6666666666666666E-2</v>
      </c>
      <c r="F73" s="154">
        <f>IF($B73=" ","",IFERROR(INDEX(MMWR_RATING_STATE_ROLLUP_BDD[],MATCH($B73,MMWR_RATING_STATE_ROLLUP_BDD[MMWR_RATING_STATE_ROLLUP_BDD],0),MATCH(F$9,MMWR_RATING_STATE_ROLLUP_BDD[#Headers],0)),"ERROR"))</f>
        <v>2</v>
      </c>
      <c r="G73" s="154">
        <f>IF($B73=" ","",IFERROR(INDEX(MMWR_RATING_STATE_ROLLUP_BDD[],MATCH($B73,MMWR_RATING_STATE_ROLLUP_BDD[MMWR_RATING_STATE_ROLLUP_BDD],0),MATCH(G$9,MMWR_RATING_STATE_ROLLUP_BDD[#Headers],0)),"ERROR"))</f>
        <v>54</v>
      </c>
      <c r="H73" s="155">
        <f>IF($B73=" ","",IFERROR(INDEX(MMWR_RATING_STATE_ROLLUP_BDD[],MATCH($B73,MMWR_RATING_STATE_ROLLUP_BDD[MMWR_RATING_STATE_ROLLUP_BDD],0),MATCH(H$9,MMWR_RATING_STATE_ROLLUP_BDD[#Headers],0)),"ERROR"))</f>
        <v>47</v>
      </c>
      <c r="I73" s="155">
        <f>IF($B73=" ","",IFERROR(INDEX(MMWR_RATING_STATE_ROLLUP_BDD[],MATCH($B73,MMWR_RATING_STATE_ROLLUP_BDD[MMWR_RATING_STATE_ROLLUP_BDD],0),MATCH(I$9,MMWR_RATING_STATE_ROLLUP_BDD[#Headers],0)),"ERROR"))</f>
        <v>128.9074074074</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198</v>
      </c>
      <c r="D74" s="155">
        <f>IF($B74=" ","",IFERROR(INDEX(MMWR_RATING_STATE_ROLLUP_BDD[],MATCH($B74,MMWR_RATING_STATE_ROLLUP_BDD[MMWR_RATING_STATE_ROLLUP_BDD],0),MATCH(D$9,MMWR_RATING_STATE_ROLLUP_BDD[#Headers],0)),"ERROR"))</f>
        <v>64.722222222200003</v>
      </c>
      <c r="E74" s="156">
        <f>IF($B74=" ","",IFERROR(INDEX(MMWR_RATING_STATE_ROLLUP_BDD[],MATCH($B74,MMWR_RATING_STATE_ROLLUP_BDD[MMWR_RATING_STATE_ROLLUP_BDD],0),MATCH(E$9,MMWR_RATING_STATE_ROLLUP_BDD[#Headers],0))/$C74,"ERROR"))</f>
        <v>8.5858585858585856E-2</v>
      </c>
      <c r="F74" s="154">
        <f>IF($B74=" ","",IFERROR(INDEX(MMWR_RATING_STATE_ROLLUP_BDD[],MATCH($B74,MMWR_RATING_STATE_ROLLUP_BDD[MMWR_RATING_STATE_ROLLUP_BDD],0),MATCH(F$9,MMWR_RATING_STATE_ROLLUP_BDD[#Headers],0)),"ERROR"))</f>
        <v>32</v>
      </c>
      <c r="G74" s="154">
        <f>IF($B74=" ","",IFERROR(INDEX(MMWR_RATING_STATE_ROLLUP_BDD[],MATCH($B74,MMWR_RATING_STATE_ROLLUP_BDD[MMWR_RATING_STATE_ROLLUP_BDD],0),MATCH(G$9,MMWR_RATING_STATE_ROLLUP_BDD[#Headers],0)),"ERROR"))</f>
        <v>737</v>
      </c>
      <c r="H74" s="155">
        <f>IF($B74=" ","",IFERROR(INDEX(MMWR_RATING_STATE_ROLLUP_BDD[],MATCH($B74,MMWR_RATING_STATE_ROLLUP_BDD[MMWR_RATING_STATE_ROLLUP_BDD],0),MATCH(H$9,MMWR_RATING_STATE_ROLLUP_BDD[#Headers],0)),"ERROR"))</f>
        <v>108.65625</v>
      </c>
      <c r="I74" s="155">
        <f>IF($B74=" ","",IFERROR(INDEX(MMWR_RATING_STATE_ROLLUP_BDD[],MATCH($B74,MMWR_RATING_STATE_ROLLUP_BDD[MMWR_RATING_STATE_ROLLUP_BDD],0),MATCH(I$9,MMWR_RATING_STATE_ROLLUP_BDD[#Headers],0)),"ERROR"))</f>
        <v>141.18995929440001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58</v>
      </c>
      <c r="D75" s="155">
        <f>IF($B75=" ","",IFERROR(INDEX(MMWR_RATING_STATE_ROLLUP_BDD[],MATCH($B75,MMWR_RATING_STATE_ROLLUP_BDD[MMWR_RATING_STATE_ROLLUP_BDD],0),MATCH(D$9,MMWR_RATING_STATE_ROLLUP_BDD[#Headers],0)),"ERROR"))</f>
        <v>61.620689655200003</v>
      </c>
      <c r="E75" s="156">
        <f>IF($B75=" ","",IFERROR(INDEX(MMWR_RATING_STATE_ROLLUP_BDD[],MATCH($B75,MMWR_RATING_STATE_ROLLUP_BDD[MMWR_RATING_STATE_ROLLUP_BDD],0),MATCH(E$9,MMWR_RATING_STATE_ROLLUP_BDD[#Headers],0))/$C75,"ERROR"))</f>
        <v>5.1724137931034482E-2</v>
      </c>
      <c r="F75" s="154">
        <f>IF($B75=" ","",IFERROR(INDEX(MMWR_RATING_STATE_ROLLUP_BDD[],MATCH($B75,MMWR_RATING_STATE_ROLLUP_BDD[MMWR_RATING_STATE_ROLLUP_BDD],0),MATCH(F$9,MMWR_RATING_STATE_ROLLUP_BDD[#Headers],0)),"ERROR"))</f>
        <v>12</v>
      </c>
      <c r="G75" s="154">
        <f>IF($B75=" ","",IFERROR(INDEX(MMWR_RATING_STATE_ROLLUP_BDD[],MATCH($B75,MMWR_RATING_STATE_ROLLUP_BDD[MMWR_RATING_STATE_ROLLUP_BDD],0),MATCH(G$9,MMWR_RATING_STATE_ROLLUP_BDD[#Headers],0)),"ERROR"))</f>
        <v>130</v>
      </c>
      <c r="H75" s="155">
        <f>IF($B75=" ","",IFERROR(INDEX(MMWR_RATING_STATE_ROLLUP_BDD[],MATCH($B75,MMWR_RATING_STATE_ROLLUP_BDD[MMWR_RATING_STATE_ROLLUP_BDD],0),MATCH(H$9,MMWR_RATING_STATE_ROLLUP_BDD[#Headers],0)),"ERROR"))</f>
        <v>67.166666666699996</v>
      </c>
      <c r="I75" s="155">
        <f>IF($B75=" ","",IFERROR(INDEX(MMWR_RATING_STATE_ROLLUP_BDD[],MATCH($B75,MMWR_RATING_STATE_ROLLUP_BDD[MMWR_RATING_STATE_ROLLUP_BDD],0),MATCH(I$9,MMWR_RATING_STATE_ROLLUP_BDD[#Headers],0)),"ERROR"))</f>
        <v>119.02307692310001</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13</v>
      </c>
      <c r="D76" s="155">
        <f>IF($B76=" ","",IFERROR(INDEX(MMWR_RATING_STATE_ROLLUP_BDD[],MATCH($B76,MMWR_RATING_STATE_ROLLUP_BDD[MMWR_RATING_STATE_ROLLUP_BDD],0),MATCH(D$9,MMWR_RATING_STATE_ROLLUP_BDD[#Headers],0)),"ERROR"))</f>
        <v>41.2307692308</v>
      </c>
      <c r="E76" s="156">
        <f>IF($B76=" ","",IFERROR(INDEX(MMWR_RATING_STATE_ROLLUP_BDD[],MATCH($B76,MMWR_RATING_STATE_ROLLUP_BDD[MMWR_RATING_STATE_ROLLUP_BDD],0),MATCH(E$9,MMWR_RATING_STATE_ROLLUP_BDD[#Headers],0))/$C76,"ERROR"))</f>
        <v>7.6923076923076927E-2</v>
      </c>
      <c r="F76" s="154">
        <f>IF($B76=" ","",IFERROR(INDEX(MMWR_RATING_STATE_ROLLUP_BDD[],MATCH($B76,MMWR_RATING_STATE_ROLLUP_BDD[MMWR_RATING_STATE_ROLLUP_BDD],0),MATCH(F$9,MMWR_RATING_STATE_ROLLUP_BDD[#Headers],0)),"ERROR"))</f>
        <v>2</v>
      </c>
      <c r="G76" s="154">
        <f>IF($B76=" ","",IFERROR(INDEX(MMWR_RATING_STATE_ROLLUP_BDD[],MATCH($B76,MMWR_RATING_STATE_ROLLUP_BDD[MMWR_RATING_STATE_ROLLUP_BDD],0),MATCH(G$9,MMWR_RATING_STATE_ROLLUP_BDD[#Headers],0)),"ERROR"))</f>
        <v>52</v>
      </c>
      <c r="H76" s="155">
        <f>IF($B76=" ","",IFERROR(INDEX(MMWR_RATING_STATE_ROLLUP_BDD[],MATCH($B76,MMWR_RATING_STATE_ROLLUP_BDD[MMWR_RATING_STATE_ROLLUP_BDD],0),MATCH(H$9,MMWR_RATING_STATE_ROLLUP_BDD[#Headers],0)),"ERROR"))</f>
        <v>72.5</v>
      </c>
      <c r="I76" s="155">
        <f>IF($B76=" ","",IFERROR(INDEX(MMWR_RATING_STATE_ROLLUP_BDD[],MATCH($B76,MMWR_RATING_STATE_ROLLUP_BDD[MMWR_RATING_STATE_ROLLUP_BDD],0),MATCH(I$9,MMWR_RATING_STATE_ROLLUP_BDD[#Headers],0)),"ERROR"))</f>
        <v>135.82692307689999</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76</v>
      </c>
      <c r="D77" s="155">
        <f>IF($B77=" ","",IFERROR(INDEX(MMWR_RATING_STATE_ROLLUP_BDD[],MATCH($B77,MMWR_RATING_STATE_ROLLUP_BDD[MMWR_RATING_STATE_ROLLUP_BDD],0),MATCH(D$9,MMWR_RATING_STATE_ROLLUP_BDD[#Headers],0)),"ERROR"))</f>
        <v>68.605263157899998</v>
      </c>
      <c r="E77" s="156">
        <f>IF($B77=" ","",IFERROR(INDEX(MMWR_RATING_STATE_ROLLUP_BDD[],MATCH($B77,MMWR_RATING_STATE_ROLLUP_BDD[MMWR_RATING_STATE_ROLLUP_BDD],0),MATCH(E$9,MMWR_RATING_STATE_ROLLUP_BDD[#Headers],0))/$C77,"ERROR"))</f>
        <v>0.11842105263157894</v>
      </c>
      <c r="F77" s="154">
        <f>IF($B77=" ","",IFERROR(INDEX(MMWR_RATING_STATE_ROLLUP_BDD[],MATCH($B77,MMWR_RATING_STATE_ROLLUP_BDD[MMWR_RATING_STATE_ROLLUP_BDD],0),MATCH(F$9,MMWR_RATING_STATE_ROLLUP_BDD[#Headers],0)),"ERROR"))</f>
        <v>7</v>
      </c>
      <c r="G77" s="154">
        <f>IF($B77=" ","",IFERROR(INDEX(MMWR_RATING_STATE_ROLLUP_BDD[],MATCH($B77,MMWR_RATING_STATE_ROLLUP_BDD[MMWR_RATING_STATE_ROLLUP_BDD],0),MATCH(G$9,MMWR_RATING_STATE_ROLLUP_BDD[#Headers],0)),"ERROR"))</f>
        <v>182</v>
      </c>
      <c r="H77" s="155">
        <f>IF($B77=" ","",IFERROR(INDEX(MMWR_RATING_STATE_ROLLUP_BDD[],MATCH($B77,MMWR_RATING_STATE_ROLLUP_BDD[MMWR_RATING_STATE_ROLLUP_BDD],0),MATCH(H$9,MMWR_RATING_STATE_ROLLUP_BDD[#Headers],0)),"ERROR"))</f>
        <v>80.571428571400006</v>
      </c>
      <c r="I77" s="155">
        <f>IF($B77=" ","",IFERROR(INDEX(MMWR_RATING_STATE_ROLLUP_BDD[],MATCH($B77,MMWR_RATING_STATE_ROLLUP_BDD[MMWR_RATING_STATE_ROLLUP_BDD],0),MATCH(I$9,MMWR_RATING_STATE_ROLLUP_BDD[#Headers],0)),"ERROR"))</f>
        <v>134.7362637363</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150</v>
      </c>
      <c r="D78" s="155">
        <f>IF($B78=" ","",IFERROR(INDEX(MMWR_RATING_STATE_ROLLUP_BDD[],MATCH($B78,MMWR_RATING_STATE_ROLLUP_BDD[MMWR_RATING_STATE_ROLLUP_BDD],0),MATCH(D$9,MMWR_RATING_STATE_ROLLUP_BDD[#Headers],0)),"ERROR"))</f>
        <v>61.593333333300002</v>
      </c>
      <c r="E78" s="156">
        <f>IF($B78=" ","",IFERROR(INDEX(MMWR_RATING_STATE_ROLLUP_BDD[],MATCH($B78,MMWR_RATING_STATE_ROLLUP_BDD[MMWR_RATING_STATE_ROLLUP_BDD],0),MATCH(E$9,MMWR_RATING_STATE_ROLLUP_BDD[#Headers],0))/$C78,"ERROR"))</f>
        <v>0.11333333333333333</v>
      </c>
      <c r="F78" s="154">
        <f>IF($B78=" ","",IFERROR(INDEX(MMWR_RATING_STATE_ROLLUP_BDD[],MATCH($B78,MMWR_RATING_STATE_ROLLUP_BDD[MMWR_RATING_STATE_ROLLUP_BDD],0),MATCH(F$9,MMWR_RATING_STATE_ROLLUP_BDD[#Headers],0)),"ERROR"))</f>
        <v>28</v>
      </c>
      <c r="G78" s="154">
        <f>IF($B78=" ","",IFERROR(INDEX(MMWR_RATING_STATE_ROLLUP_BDD[],MATCH($B78,MMWR_RATING_STATE_ROLLUP_BDD[MMWR_RATING_STATE_ROLLUP_BDD],0),MATCH(G$9,MMWR_RATING_STATE_ROLLUP_BDD[#Headers],0)),"ERROR"))</f>
        <v>401</v>
      </c>
      <c r="H78" s="155">
        <f>IF($B78=" ","",IFERROR(INDEX(MMWR_RATING_STATE_ROLLUP_BDD[],MATCH($B78,MMWR_RATING_STATE_ROLLUP_BDD[MMWR_RATING_STATE_ROLLUP_BDD],0),MATCH(H$9,MMWR_RATING_STATE_ROLLUP_BDD[#Headers],0)),"ERROR"))</f>
        <v>90.25</v>
      </c>
      <c r="I78" s="155">
        <f>IF($B78=" ","",IFERROR(INDEX(MMWR_RATING_STATE_ROLLUP_BDD[],MATCH($B78,MMWR_RATING_STATE_ROLLUP_BDD[MMWR_RATING_STATE_ROLLUP_BDD],0),MATCH(I$9,MMWR_RATING_STATE_ROLLUP_BDD[#Headers],0)),"ERROR"))</f>
        <v>127.63840399</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799</v>
      </c>
      <c r="D79" s="155">
        <f>IF($B79=" ","",IFERROR(INDEX(MMWR_RATING_STATE_ROLLUP_BDD[],MATCH($B79,MMWR_RATING_STATE_ROLLUP_BDD[MMWR_RATING_STATE_ROLLUP_BDD],0),MATCH(D$9,MMWR_RATING_STATE_ROLLUP_BDD[#Headers],0)),"ERROR"))</f>
        <v>56.769712140199999</v>
      </c>
      <c r="E79" s="156">
        <f>IF($B79=" ","",IFERROR(INDEX(MMWR_RATING_STATE_ROLLUP_BDD[],MATCH($B79,MMWR_RATING_STATE_ROLLUP_BDD[MMWR_RATING_STATE_ROLLUP_BDD],0),MATCH(E$9,MMWR_RATING_STATE_ROLLUP_BDD[#Headers],0))/$C79,"ERROR"))</f>
        <v>7.0087609511889859E-2</v>
      </c>
      <c r="F79" s="154">
        <f>IF($B79=" ","",IFERROR(INDEX(MMWR_RATING_STATE_ROLLUP_BDD[],MATCH($B79,MMWR_RATING_STATE_ROLLUP_BDD[MMWR_RATING_STATE_ROLLUP_BDD],0),MATCH(F$9,MMWR_RATING_STATE_ROLLUP_BDD[#Headers],0)),"ERROR"))</f>
        <v>71</v>
      </c>
      <c r="G79" s="154">
        <f>IF($B79=" ","",IFERROR(INDEX(MMWR_RATING_STATE_ROLLUP_BDD[],MATCH($B79,MMWR_RATING_STATE_ROLLUP_BDD[MMWR_RATING_STATE_ROLLUP_BDD],0),MATCH(G$9,MMWR_RATING_STATE_ROLLUP_BDD[#Headers],0)),"ERROR"))</f>
        <v>2100</v>
      </c>
      <c r="H79" s="155">
        <f>IF($B79=" ","",IFERROR(INDEX(MMWR_RATING_STATE_ROLLUP_BDD[],MATCH($B79,MMWR_RATING_STATE_ROLLUP_BDD[MMWR_RATING_STATE_ROLLUP_BDD],0),MATCH(H$9,MMWR_RATING_STATE_ROLLUP_BDD[#Headers],0)),"ERROR"))</f>
        <v>113.9154929577</v>
      </c>
      <c r="I79" s="155">
        <f>IF($B79=" ","",IFERROR(INDEX(MMWR_RATING_STATE_ROLLUP_BDD[],MATCH($B79,MMWR_RATING_STATE_ROLLUP_BDD[MMWR_RATING_STATE_ROLLUP_BDD],0),MATCH(I$9,MMWR_RATING_STATE_ROLLUP_BDD[#Headers],0)),"ERROR"))</f>
        <v>140.35238095240001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131</v>
      </c>
      <c r="D80" s="155">
        <f>IF($B80=" ","",IFERROR(INDEX(MMWR_RATING_STATE_ROLLUP_BDD[],MATCH($B80,MMWR_RATING_STATE_ROLLUP_BDD[MMWR_RATING_STATE_ROLLUP_BDD],0),MATCH(D$9,MMWR_RATING_STATE_ROLLUP_BDD[#Headers],0)),"ERROR"))</f>
        <v>71.534351145000002</v>
      </c>
      <c r="E80" s="156">
        <f>IF($B80=" ","",IFERROR(INDEX(MMWR_RATING_STATE_ROLLUP_BDD[],MATCH($B80,MMWR_RATING_STATE_ROLLUP_BDD[MMWR_RATING_STATE_ROLLUP_BDD],0),MATCH(E$9,MMWR_RATING_STATE_ROLLUP_BDD[#Headers],0))/$C80,"ERROR"))</f>
        <v>0.15267175572519084</v>
      </c>
      <c r="F80" s="154">
        <f>IF($B80=" ","",IFERROR(INDEX(MMWR_RATING_STATE_ROLLUP_BDD[],MATCH($B80,MMWR_RATING_STATE_ROLLUP_BDD[MMWR_RATING_STATE_ROLLUP_BDD],0),MATCH(F$9,MMWR_RATING_STATE_ROLLUP_BDD[#Headers],0)),"ERROR"))</f>
        <v>29</v>
      </c>
      <c r="G80" s="154">
        <f>IF($B80=" ","",IFERROR(INDEX(MMWR_RATING_STATE_ROLLUP_BDD[],MATCH($B80,MMWR_RATING_STATE_ROLLUP_BDD[MMWR_RATING_STATE_ROLLUP_BDD],0),MATCH(G$9,MMWR_RATING_STATE_ROLLUP_BDD[#Headers],0)),"ERROR"))</f>
        <v>375</v>
      </c>
      <c r="H80" s="155">
        <f>IF($B80=" ","",IFERROR(INDEX(MMWR_RATING_STATE_ROLLUP_BDD[],MATCH($B80,MMWR_RATING_STATE_ROLLUP_BDD[MMWR_RATING_STATE_ROLLUP_BDD],0),MATCH(H$9,MMWR_RATING_STATE_ROLLUP_BDD[#Headers],0)),"ERROR"))</f>
        <v>88</v>
      </c>
      <c r="I80" s="155">
        <f>IF($B80=" ","",IFERROR(INDEX(MMWR_RATING_STATE_ROLLUP_BDD[],MATCH($B80,MMWR_RATING_STATE_ROLLUP_BDD[MMWR_RATING_STATE_ROLLUP_BDD],0),MATCH(I$9,MMWR_RATING_STATE_ROLLUP_BDD[#Headers],0)),"ERROR"))</f>
        <v>127.544</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11</v>
      </c>
      <c r="D81" s="155">
        <f>IF($B81=" ","",IFERROR(INDEX(MMWR_RATING_STATE_ROLLUP_BDD[],MATCH($B81,MMWR_RATING_STATE_ROLLUP_BDD[MMWR_RATING_STATE_ROLLUP_BDD],0),MATCH(D$9,MMWR_RATING_STATE_ROLLUP_BDD[#Headers],0)),"ERROR"))</f>
        <v>54.818181818200003</v>
      </c>
      <c r="E81" s="156">
        <f>IF($B81=" ","",IFERROR(INDEX(MMWR_RATING_STATE_ROLLUP_BDD[],MATCH($B81,MMWR_RATING_STATE_ROLLUP_BDD[MMWR_RATING_STATE_ROLLUP_BDD],0),MATCH(E$9,MMWR_RATING_STATE_ROLLUP_BDD[#Headers],0))/$C81,"ERROR"))</f>
        <v>9.0909090909090912E-2</v>
      </c>
      <c r="F81" s="154">
        <f>IF($B81=" ","",IFERROR(INDEX(MMWR_RATING_STATE_ROLLUP_BDD[],MATCH($B81,MMWR_RATING_STATE_ROLLUP_BDD[MMWR_RATING_STATE_ROLLUP_BDD],0),MATCH(F$9,MMWR_RATING_STATE_ROLLUP_BDD[#Headers],0)),"ERROR"))</f>
        <v>1</v>
      </c>
      <c r="G81" s="154">
        <f>IF($B81=" ","",IFERROR(INDEX(MMWR_RATING_STATE_ROLLUP_BDD[],MATCH($B81,MMWR_RATING_STATE_ROLLUP_BDD[MMWR_RATING_STATE_ROLLUP_BDD],0),MATCH(G$9,MMWR_RATING_STATE_ROLLUP_BDD[#Headers],0)),"ERROR"))</f>
        <v>24</v>
      </c>
      <c r="H81" s="155">
        <f>IF($B81=" ","",IFERROR(INDEX(MMWR_RATING_STATE_ROLLUP_BDD[],MATCH($B81,MMWR_RATING_STATE_ROLLUP_BDD[MMWR_RATING_STATE_ROLLUP_BDD],0),MATCH(H$9,MMWR_RATING_STATE_ROLLUP_BDD[#Headers],0)),"ERROR"))</f>
        <v>50</v>
      </c>
      <c r="I81" s="155">
        <f>IF($B81=" ","",IFERROR(INDEX(MMWR_RATING_STATE_ROLLUP_BDD[],MATCH($B81,MMWR_RATING_STATE_ROLLUP_BDD[MMWR_RATING_STATE_ROLLUP_BDD],0),MATCH(I$9,MMWR_RATING_STATE_ROLLUP_BDD[#Headers],0)),"ERROR"))</f>
        <v>121.8333333333</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11</v>
      </c>
      <c r="D82" s="155">
        <f>IF($B82=" ","",IFERROR(INDEX(MMWR_RATING_STATE_ROLLUP_BDD[],MATCH($B82,MMWR_RATING_STATE_ROLLUP_BDD[MMWR_RATING_STATE_ROLLUP_BDD],0),MATCH(D$9,MMWR_RATING_STATE_ROLLUP_BDD[#Headers],0)),"ERROR"))</f>
        <v>65.727272727300004</v>
      </c>
      <c r="E82" s="156">
        <f>IF($B82=" ","",IFERROR(INDEX(MMWR_RATING_STATE_ROLLUP_BDD[],MATCH($B82,MMWR_RATING_STATE_ROLLUP_BDD[MMWR_RATING_STATE_ROLLUP_BDD],0),MATCH(E$9,MMWR_RATING_STATE_ROLLUP_BDD[#Headers],0))/$C82,"ERROR"))</f>
        <v>9.0909090909090912E-2</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12</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115.4166666667</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812</v>
      </c>
      <c r="D83" s="155">
        <f>IF($B83=" ","",IFERROR(INDEX(MMWR_RATING_STATE_ROLLUP_BDD[],MATCH($B83,MMWR_RATING_STATE_ROLLUP_BDD[MMWR_RATING_STATE_ROLLUP_BDD],0),MATCH(D$9,MMWR_RATING_STATE_ROLLUP_BDD[#Headers],0)),"ERROR"))</f>
        <v>59.570197044300002</v>
      </c>
      <c r="E83" s="156">
        <f>IF($B83=" ","",IFERROR(INDEX(MMWR_RATING_STATE_ROLLUP_BDD[],MATCH($B83,MMWR_RATING_STATE_ROLLUP_BDD[MMWR_RATING_STATE_ROLLUP_BDD],0),MATCH(E$9,MMWR_RATING_STATE_ROLLUP_BDD[#Headers],0))/$C83,"ERROR"))</f>
        <v>8.0049261083743842E-2</v>
      </c>
      <c r="F83" s="154">
        <f>IF($B83=" ","",IFERROR(INDEX(MMWR_RATING_STATE_ROLLUP_BDD[],MATCH($B83,MMWR_RATING_STATE_ROLLUP_BDD[MMWR_RATING_STATE_ROLLUP_BDD],0),MATCH(F$9,MMWR_RATING_STATE_ROLLUP_BDD[#Headers],0)),"ERROR"))</f>
        <v>94</v>
      </c>
      <c r="G83" s="154">
        <f>IF($B83=" ","",IFERROR(INDEX(MMWR_RATING_STATE_ROLLUP_BDD[],MATCH($B83,MMWR_RATING_STATE_ROLLUP_BDD[MMWR_RATING_STATE_ROLLUP_BDD],0),MATCH(G$9,MMWR_RATING_STATE_ROLLUP_BDD[#Headers],0)),"ERROR"))</f>
        <v>2301</v>
      </c>
      <c r="H83" s="155">
        <f>IF($B83=" ","",IFERROR(INDEX(MMWR_RATING_STATE_ROLLUP_BDD[],MATCH($B83,MMWR_RATING_STATE_ROLLUP_BDD[MMWR_RATING_STATE_ROLLUP_BDD],0),MATCH(H$9,MMWR_RATING_STATE_ROLLUP_BDD[#Headers],0)),"ERROR"))</f>
        <v>129.17021276599999</v>
      </c>
      <c r="I83" s="155">
        <f>IF($B83=" ","",IFERROR(INDEX(MMWR_RATING_STATE_ROLLUP_BDD[],MATCH($B83,MMWR_RATING_STATE_ROLLUP_BDD[MMWR_RATING_STATE_ROLLUP_BDD],0),MATCH(I$9,MMWR_RATING_STATE_ROLLUP_BDD[#Headers],0)),"ERROR"))</f>
        <v>146.5528031291</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15</v>
      </c>
      <c r="D84" s="155">
        <f>IF($B84=" ","",IFERROR(INDEX(MMWR_RATING_STATE_ROLLUP_BDD[],MATCH($B84,MMWR_RATING_STATE_ROLLUP_BDD[MMWR_RATING_STATE_ROLLUP_BDD],0),MATCH(D$9,MMWR_RATING_STATE_ROLLUP_BDD[#Headers],0)),"ERROR"))</f>
        <v>60.8</v>
      </c>
      <c r="E84" s="156">
        <f>IF($B84=" ","",IFERROR(INDEX(MMWR_RATING_STATE_ROLLUP_BDD[],MATCH($B84,MMWR_RATING_STATE_ROLLUP_BDD[MMWR_RATING_STATE_ROLLUP_BDD],0),MATCH(E$9,MMWR_RATING_STATE_ROLLUP_BDD[#Headers],0))/$C84,"ERROR"))</f>
        <v>0.13333333333333333</v>
      </c>
      <c r="F84" s="154">
        <f>IF($B84=" ","",IFERROR(INDEX(MMWR_RATING_STATE_ROLLUP_BDD[],MATCH($B84,MMWR_RATING_STATE_ROLLUP_BDD[MMWR_RATING_STATE_ROLLUP_BDD],0),MATCH(F$9,MMWR_RATING_STATE_ROLLUP_BDD[#Headers],0)),"ERROR"))</f>
        <v>3</v>
      </c>
      <c r="G84" s="154">
        <f>IF($B84=" ","",IFERROR(INDEX(MMWR_RATING_STATE_ROLLUP_BDD[],MATCH($B84,MMWR_RATING_STATE_ROLLUP_BDD[MMWR_RATING_STATE_ROLLUP_BDD],0),MATCH(G$9,MMWR_RATING_STATE_ROLLUP_BDD[#Headers],0)),"ERROR"))</f>
        <v>78</v>
      </c>
      <c r="H84" s="155">
        <f>IF($B84=" ","",IFERROR(INDEX(MMWR_RATING_STATE_ROLLUP_BDD[],MATCH($B84,MMWR_RATING_STATE_ROLLUP_BDD[MMWR_RATING_STATE_ROLLUP_BDD],0),MATCH(H$9,MMWR_RATING_STATE_ROLLUP_BDD[#Headers],0)),"ERROR"))</f>
        <v>72.666666666699996</v>
      </c>
      <c r="I84" s="155">
        <f>IF($B84=" ","",IFERROR(INDEX(MMWR_RATING_STATE_ROLLUP_BDD[],MATCH($B84,MMWR_RATING_STATE_ROLLUP_BDD[MMWR_RATING_STATE_ROLLUP_BDD],0),MATCH(I$9,MMWR_RATING_STATE_ROLLUP_BDD[#Headers],0)),"ERROR"))</f>
        <v>123.6025641026</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6" t="s">
        <v>296</v>
      </c>
      <c r="C2" s="417"/>
      <c r="D2" s="417"/>
      <c r="E2" s="417"/>
      <c r="F2" s="417"/>
      <c r="G2" s="417"/>
      <c r="H2" s="417"/>
      <c r="I2" s="417"/>
      <c r="J2" s="417"/>
      <c r="K2" s="417"/>
      <c r="L2" s="417"/>
      <c r="M2" s="417"/>
      <c r="N2" s="417"/>
      <c r="O2" s="417"/>
      <c r="P2" s="417"/>
      <c r="Q2" s="417"/>
      <c r="R2" s="417"/>
      <c r="S2" s="417"/>
      <c r="T2" s="417"/>
      <c r="U2" s="418"/>
      <c r="V2" s="25"/>
    </row>
    <row r="3" spans="1:22" s="1" customFormat="1" ht="63" customHeight="1" thickBot="1" x14ac:dyDescent="0.25">
      <c r="A3" s="25"/>
      <c r="B3" s="425" t="s">
        <v>311</v>
      </c>
      <c r="C3" s="426"/>
      <c r="D3" s="426"/>
      <c r="E3" s="426"/>
      <c r="F3" s="426"/>
      <c r="G3" s="426"/>
      <c r="H3" s="426"/>
      <c r="I3" s="426"/>
      <c r="J3" s="426"/>
      <c r="K3" s="426"/>
      <c r="L3" s="426"/>
      <c r="M3" s="426"/>
      <c r="N3" s="426"/>
      <c r="O3" s="426"/>
      <c r="P3" s="426"/>
      <c r="Q3" s="426"/>
      <c r="R3" s="426"/>
      <c r="S3" s="426"/>
      <c r="T3" s="426"/>
      <c r="U3" s="427"/>
      <c r="V3" s="25"/>
    </row>
    <row r="4" spans="1:22" s="1" customFormat="1" ht="32.25" customHeight="1" thickBot="1" x14ac:dyDescent="0.25">
      <c r="A4" s="25"/>
      <c r="B4" s="422" t="str">
        <f>Transformation!B4</f>
        <v>As of: August 20, 2016</v>
      </c>
      <c r="C4" s="423"/>
      <c r="D4" s="423"/>
      <c r="E4" s="423"/>
      <c r="F4" s="423"/>
      <c r="G4" s="423"/>
      <c r="H4" s="423"/>
      <c r="I4" s="423"/>
      <c r="J4" s="423"/>
      <c r="K4" s="423"/>
      <c r="L4" s="423"/>
      <c r="M4" s="423"/>
      <c r="N4" s="423"/>
      <c r="O4" s="423"/>
      <c r="P4" s="423"/>
      <c r="Q4" s="423"/>
      <c r="R4" s="423"/>
      <c r="S4" s="423"/>
      <c r="T4" s="423"/>
      <c r="U4" s="424"/>
      <c r="V4" s="25"/>
    </row>
    <row r="5" spans="1:22" s="1" customFormat="1" ht="27" customHeight="1" thickBot="1" x14ac:dyDescent="0.45">
      <c r="A5" s="25"/>
      <c r="B5" s="429" t="s">
        <v>239</v>
      </c>
      <c r="C5" s="430"/>
      <c r="D5" s="430"/>
      <c r="E5" s="430"/>
      <c r="F5" s="430"/>
      <c r="G5" s="430"/>
      <c r="H5" s="431"/>
      <c r="I5" s="55"/>
      <c r="J5" s="429" t="s">
        <v>236</v>
      </c>
      <c r="K5" s="430"/>
      <c r="L5" s="430"/>
      <c r="M5" s="430"/>
      <c r="N5" s="431"/>
      <c r="O5" s="56"/>
      <c r="P5" s="432" t="s">
        <v>11</v>
      </c>
      <c r="Q5" s="433"/>
      <c r="R5" s="433"/>
      <c r="S5" s="433"/>
      <c r="T5" s="433"/>
      <c r="U5" s="434"/>
      <c r="V5" s="25"/>
    </row>
    <row r="6" spans="1:22" s="1" customFormat="1" ht="65.25" customHeight="1" thickBot="1" x14ac:dyDescent="0.25">
      <c r="A6" s="25"/>
      <c r="B6" s="419" t="s">
        <v>279</v>
      </c>
      <c r="C6" s="420"/>
      <c r="D6" s="420"/>
      <c r="E6" s="421"/>
      <c r="F6" s="57" t="s">
        <v>12</v>
      </c>
      <c r="G6" s="58" t="s">
        <v>3</v>
      </c>
      <c r="H6" s="59" t="s">
        <v>4</v>
      </c>
      <c r="I6" s="25"/>
      <c r="J6" s="408" t="s">
        <v>279</v>
      </c>
      <c r="K6" s="409"/>
      <c r="L6" s="60" t="s">
        <v>12</v>
      </c>
      <c r="M6" s="61" t="s">
        <v>3</v>
      </c>
      <c r="N6" s="62" t="s">
        <v>4</v>
      </c>
      <c r="O6" s="63"/>
      <c r="P6" s="435" t="s">
        <v>279</v>
      </c>
      <c r="Q6" s="436"/>
      <c r="R6" s="64" t="s">
        <v>487</v>
      </c>
      <c r="S6" s="437" t="s">
        <v>279</v>
      </c>
      <c r="T6" s="438"/>
      <c r="U6" s="65" t="s">
        <v>134</v>
      </c>
      <c r="V6" s="25"/>
    </row>
    <row r="7" spans="1:22" s="1" customFormat="1" ht="32.25" customHeight="1" thickBot="1" x14ac:dyDescent="0.25">
      <c r="A7" s="25"/>
      <c r="B7" s="402" t="s">
        <v>298</v>
      </c>
      <c r="C7" s="403"/>
      <c r="D7" s="403"/>
      <c r="E7" s="403"/>
      <c r="F7" s="166">
        <f>SUM(F8:F10)</f>
        <v>120395</v>
      </c>
      <c r="G7" s="167">
        <f>SUM(G8:G10)</f>
        <v>30116</v>
      </c>
      <c r="H7" s="168">
        <f t="shared" ref="H7:H44" si="0">IF(G7="--", 0, G7/F7)</f>
        <v>0.25014327837534783</v>
      </c>
      <c r="I7" s="25"/>
      <c r="J7" s="402" t="s">
        <v>264</v>
      </c>
      <c r="K7" s="403"/>
      <c r="L7" s="167">
        <f>SUM(L8:L10)</f>
        <v>28944</v>
      </c>
      <c r="M7" s="167">
        <f>SUM(M8:M10)</f>
        <v>3813</v>
      </c>
      <c r="N7" s="178">
        <f>IF(M7="--", 0, M7/L7)</f>
        <v>0.13173714759535654</v>
      </c>
      <c r="O7" s="66"/>
      <c r="P7" s="402" t="s">
        <v>965</v>
      </c>
      <c r="Q7" s="403"/>
      <c r="R7" s="179">
        <f>R8+R9+R10+R11+R12</f>
        <v>314830</v>
      </c>
      <c r="S7" s="402"/>
      <c r="T7" s="403"/>
      <c r="U7" s="67"/>
      <c r="V7" s="25"/>
    </row>
    <row r="8" spans="1:22" s="1" customFormat="1" ht="51" customHeight="1" x14ac:dyDescent="0.2">
      <c r="A8" s="25"/>
      <c r="B8" s="286" t="s">
        <v>249</v>
      </c>
      <c r="C8" s="287"/>
      <c r="D8" s="287"/>
      <c r="E8" s="428"/>
      <c r="F8" s="169">
        <f>IFERROR(VLOOKUP(MID(B8,4,3),MMWR_TRAD_AGG_NATIONAL[],2,0),"--")</f>
        <v>311</v>
      </c>
      <c r="G8" s="170">
        <f>IFERROR(VLOOKUP(MID(B8,4,3),MMWR_TRAD_AGG_NATIONAL[],3,0),"--")</f>
        <v>165</v>
      </c>
      <c r="H8" s="171">
        <f t="shared" si="0"/>
        <v>0.53054662379421225</v>
      </c>
      <c r="I8" s="25"/>
      <c r="J8" s="404" t="s">
        <v>266</v>
      </c>
      <c r="K8" s="405"/>
      <c r="L8" s="169">
        <f>IFERROR(VLOOKUP(MID(J8,4,3),MMWR_TRAD_AGG_NATIONAL[],2,0),"--")</f>
        <v>6552</v>
      </c>
      <c r="M8" s="170">
        <f>IFERROR(VLOOKUP(MID(J8,4,3),MMWR_TRAD_AGG_NATIONAL[],3,0),"--")</f>
        <v>497</v>
      </c>
      <c r="N8" s="171">
        <f>IF(M8="--", 0, M8/L8)</f>
        <v>7.5854700854700849E-2</v>
      </c>
      <c r="O8" s="68" t="s">
        <v>310</v>
      </c>
      <c r="P8" s="439" t="s">
        <v>240</v>
      </c>
      <c r="Q8" s="440"/>
      <c r="R8" s="180">
        <f>VLOOKUP(P8,MMWR_APP_NATIONAL[],2,0)</f>
        <v>230104</v>
      </c>
      <c r="S8" s="407" t="s">
        <v>229</v>
      </c>
      <c r="T8" s="406"/>
      <c r="U8" s="181">
        <f>VLOOKUP(P8,MMWR_APP_NATIONAL[],3,0)</f>
        <v>410.85832496730001</v>
      </c>
      <c r="V8" s="25"/>
    </row>
    <row r="9" spans="1:22" s="1" customFormat="1" ht="45" customHeight="1" x14ac:dyDescent="0.2">
      <c r="A9" s="25"/>
      <c r="B9" s="286" t="s">
        <v>247</v>
      </c>
      <c r="C9" s="287"/>
      <c r="D9" s="287"/>
      <c r="E9" s="428"/>
      <c r="F9" s="169">
        <f>IFERROR(VLOOKUP(MID(B9,4,3),MMWR_TRAD_AGG_NATIONAL[],2,0),"--")</f>
        <v>36110</v>
      </c>
      <c r="G9" s="170">
        <f>IFERROR(VLOOKUP(MID(B9,4,3),MMWR_TRAD_AGG_NATIONAL[],3,0),"--")</f>
        <v>9626</v>
      </c>
      <c r="H9" s="171">
        <f t="shared" si="0"/>
        <v>0.26657435613403491</v>
      </c>
      <c r="I9" s="68" t="s">
        <v>310</v>
      </c>
      <c r="J9" s="286" t="s">
        <v>265</v>
      </c>
      <c r="K9" s="287"/>
      <c r="L9" s="169">
        <f>IFERROR(VLOOKUP(MID(J9,4,3),MMWR_TRAD_AGG_NATIONAL[],2,0),"--")</f>
        <v>7113</v>
      </c>
      <c r="M9" s="170">
        <f>IFERROR(VLOOKUP(MID(J9,4,3),MMWR_TRAD_AGG_NATIONAL[],3,0),"--")</f>
        <v>430</v>
      </c>
      <c r="N9" s="171">
        <f>IF(M9="--", 0, M9/L9)</f>
        <v>6.0452692253620134E-2</v>
      </c>
      <c r="O9" s="68" t="s">
        <v>310</v>
      </c>
      <c r="P9" s="450" t="s">
        <v>241</v>
      </c>
      <c r="Q9" s="451"/>
      <c r="R9" s="182">
        <f>VLOOKUP(P9,MMWR_APP_NATIONAL[],2,0)</f>
        <v>50805</v>
      </c>
      <c r="S9" s="452" t="s">
        <v>230</v>
      </c>
      <c r="T9" s="397"/>
      <c r="U9" s="183">
        <f>VLOOKUP(P9,MMWR_APP_NATIONAL[],3,0)</f>
        <v>523.33620706620002</v>
      </c>
      <c r="V9" s="25"/>
    </row>
    <row r="10" spans="1:22" s="1" customFormat="1" ht="63" customHeight="1" thickBot="1" x14ac:dyDescent="0.25">
      <c r="A10" s="25"/>
      <c r="B10" s="286" t="s">
        <v>248</v>
      </c>
      <c r="C10" s="287"/>
      <c r="D10" s="287"/>
      <c r="E10" s="428"/>
      <c r="F10" s="169">
        <f>IFERROR(VLOOKUP(MID(B10,4,3),MMWR_TRAD_AGG_NATIONAL[],2,0),"--")</f>
        <v>83974</v>
      </c>
      <c r="G10" s="170">
        <f>IFERROR(VLOOKUP(MID(B10,4,3),MMWR_TRAD_AGG_NATIONAL[],3,0),"--")</f>
        <v>20325</v>
      </c>
      <c r="H10" s="171">
        <f t="shared" si="0"/>
        <v>0.24203920261033177</v>
      </c>
      <c r="I10" s="68" t="s">
        <v>310</v>
      </c>
      <c r="J10" s="288" t="s">
        <v>267</v>
      </c>
      <c r="K10" s="289"/>
      <c r="L10" s="169">
        <f>IFERROR(VLOOKUP(MID(J10,4,3),MMWR_TRAD_AGG_NATIONAL[],2,0),"--")</f>
        <v>15279</v>
      </c>
      <c r="M10" s="170">
        <f>IFERROR(VLOOKUP(MID(J10,4,3),MMWR_TRAD_AGG_NATIONAL[],3,0),"--")</f>
        <v>2886</v>
      </c>
      <c r="N10" s="171">
        <f>IF(M10="--", 0, M10/L10)</f>
        <v>0.18888670724523857</v>
      </c>
      <c r="O10" s="69"/>
      <c r="P10" s="450" t="s">
        <v>242</v>
      </c>
      <c r="Q10" s="451"/>
      <c r="R10" s="182">
        <f>VLOOKUP(P10,MMWR_APP_NATIONAL[],2,0)</f>
        <v>22104</v>
      </c>
      <c r="S10" s="452" t="s">
        <v>231</v>
      </c>
      <c r="T10" s="397"/>
      <c r="U10" s="183">
        <f>VLOOKUP(P10,MMWR_APP_NATIONAL[],3,0)</f>
        <v>507.71925061090002</v>
      </c>
      <c r="V10" s="25"/>
    </row>
    <row r="11" spans="1:22" s="1" customFormat="1" ht="45" customHeight="1" thickBot="1" x14ac:dyDescent="0.25">
      <c r="A11" s="25"/>
      <c r="B11" s="402" t="s">
        <v>299</v>
      </c>
      <c r="C11" s="403"/>
      <c r="D11" s="403"/>
      <c r="E11" s="403"/>
      <c r="F11" s="166">
        <f>SUM(F12:F13)</f>
        <v>11132</v>
      </c>
      <c r="G11" s="167">
        <f>SUM(G12:G13)</f>
        <v>2714</v>
      </c>
      <c r="H11" s="168">
        <f t="shared" si="0"/>
        <v>0.24380165289256198</v>
      </c>
      <c r="I11" s="25"/>
      <c r="J11" s="402" t="s">
        <v>237</v>
      </c>
      <c r="K11" s="403"/>
      <c r="L11" s="166">
        <f>SUM(L12:L17)</f>
        <v>31533</v>
      </c>
      <c r="M11" s="166">
        <f>SUM(M12:M17)</f>
        <v>7165</v>
      </c>
      <c r="N11" s="159">
        <f>IF(M11="--", 0, M11/L11)</f>
        <v>0.22722227507690357</v>
      </c>
      <c r="O11" s="69"/>
      <c r="P11" s="450" t="s">
        <v>966</v>
      </c>
      <c r="Q11" s="451"/>
      <c r="R11" s="182">
        <f>VLOOKUP(P11,MMWR_APP_NATIONAL[],2,0)</f>
        <v>11258</v>
      </c>
      <c r="S11" s="452" t="s">
        <v>232</v>
      </c>
      <c r="T11" s="397"/>
      <c r="U11" s="183">
        <f>VLOOKUP(P11,MMWR_APP_NATIONAL[],3,0)</f>
        <v>183.73527582840001</v>
      </c>
      <c r="V11" s="25"/>
    </row>
    <row r="12" spans="1:22" s="1" customFormat="1" ht="46.5" customHeight="1" thickBot="1" x14ac:dyDescent="0.25">
      <c r="A12" s="25"/>
      <c r="B12" s="398" t="s">
        <v>269</v>
      </c>
      <c r="C12" s="399"/>
      <c r="D12" s="399"/>
      <c r="E12" s="400"/>
      <c r="F12" s="169">
        <f>IFERROR(VLOOKUP(MID(B12,4,3),MMWR_TRAD_AGG_NATIONAL[],2,0),"--")</f>
        <v>9947</v>
      </c>
      <c r="G12" s="170">
        <f>IFERROR(VLOOKUP(MID(B12,4,3),MMWR_TRAD_AGG_NATIONAL[],3,0),"--")</f>
        <v>1939</v>
      </c>
      <c r="H12" s="171">
        <f t="shared" si="0"/>
        <v>0.19493314567206194</v>
      </c>
      <c r="I12" s="68" t="s">
        <v>310</v>
      </c>
      <c r="J12" s="288" t="s">
        <v>259</v>
      </c>
      <c r="K12" s="397"/>
      <c r="L12" s="169">
        <f>IFERROR(VLOOKUP(MID(J12,4,3)&amp;"p",MMWR_TRAD_AGG_NATIONAL[],2,0),"--")</f>
        <v>913</v>
      </c>
      <c r="M12" s="170">
        <f>IFERROR(VLOOKUP(MID(J12,4,3)&amp;"p",MMWR_TRAD_AGG_NATIONAL[],3,0),"--")</f>
        <v>30</v>
      </c>
      <c r="N12" s="171">
        <f t="shared" ref="N12:N17" si="1">IF(L12="--", 0,M12/L12)</f>
        <v>3.2858707557502739E-2</v>
      </c>
      <c r="O12" s="69"/>
      <c r="P12" s="450" t="s">
        <v>947</v>
      </c>
      <c r="Q12" s="451"/>
      <c r="R12" s="182">
        <f>VLOOKUP(P12,MMWR_APP_NATIONAL[],2,0)</f>
        <v>559</v>
      </c>
      <c r="S12" s="453" t="s">
        <v>964</v>
      </c>
      <c r="T12" s="401"/>
      <c r="U12" s="183">
        <f>VLOOKUP(P12,MMWR_APP_NATIONAL[],3,0)</f>
        <v>438.41681574239999</v>
      </c>
      <c r="V12" s="25"/>
    </row>
    <row r="13" spans="1:22" s="1" customFormat="1" ht="49.5" customHeight="1" thickBot="1" x14ac:dyDescent="0.25">
      <c r="A13" s="25"/>
      <c r="B13" s="398" t="s">
        <v>1056</v>
      </c>
      <c r="C13" s="399"/>
      <c r="D13" s="399"/>
      <c r="E13" s="400"/>
      <c r="F13" s="169">
        <f>IFERROR(VLOOKUP(MID(B13,4,3),MMWR_TRAD_AGG_NATIONAL[],2,0),"--")</f>
        <v>1185</v>
      </c>
      <c r="G13" s="170">
        <f>IFERROR(VLOOKUP(MID(B13,4,3),MMWR_TRAD_AGG_NATIONAL[],3,0),"--")</f>
        <v>775</v>
      </c>
      <c r="H13" s="171">
        <f t="shared" si="0"/>
        <v>0.65400843881856541</v>
      </c>
      <c r="I13" s="25"/>
      <c r="J13" s="288" t="s">
        <v>268</v>
      </c>
      <c r="K13" s="397"/>
      <c r="L13" s="169">
        <f>IFERROR(VLOOKUP(MID(J13,4,3),MMWR_TRAD_AGG_NATIONAL[],2,0),"--")</f>
        <v>4956</v>
      </c>
      <c r="M13" s="170">
        <f>IFERROR(VLOOKUP(MID(J13,4,3),MMWR_TRAD_AGG_NATIONAL[],3,0),"--")</f>
        <v>1000</v>
      </c>
      <c r="N13" s="171">
        <f t="shared" si="1"/>
        <v>0.20177562550443906</v>
      </c>
      <c r="O13" s="69"/>
      <c r="P13" s="402" t="s">
        <v>975</v>
      </c>
      <c r="Q13" s="403"/>
      <c r="R13" s="446"/>
      <c r="S13" s="447">
        <f>VLOOKUP(P13,MMWR_APP_NATIONAL[],2,0)</f>
        <v>29489</v>
      </c>
      <c r="T13" s="448"/>
      <c r="U13" s="449"/>
      <c r="V13" s="25"/>
    </row>
    <row r="14" spans="1:22" s="1" customFormat="1" ht="45" customHeight="1" thickBot="1" x14ac:dyDescent="0.25">
      <c r="A14" s="25"/>
      <c r="B14" s="402" t="s">
        <v>1</v>
      </c>
      <c r="C14" s="403"/>
      <c r="D14" s="403"/>
      <c r="E14" s="403"/>
      <c r="F14" s="166">
        <f>SUM(F15:F21)</f>
        <v>214830</v>
      </c>
      <c r="G14" s="167">
        <f>SUM(G15:G21)</f>
        <v>41648</v>
      </c>
      <c r="H14" s="168">
        <f t="shared" si="0"/>
        <v>0.19386491644556161</v>
      </c>
      <c r="I14" s="25"/>
      <c r="J14" s="288" t="s">
        <v>270</v>
      </c>
      <c r="K14" s="397"/>
      <c r="L14" s="169">
        <f>IFERROR(VLOOKUP(MID(J14,4,3),MMWR_TRAD_AGG_NATIONAL[],2,0),"--")</f>
        <v>13764</v>
      </c>
      <c r="M14" s="170">
        <f>IFERROR(VLOOKUP(MID(J14,4,3),MMWR_TRAD_AGG_NATIONAL[],3,0),"--")</f>
        <v>4364</v>
      </c>
      <c r="N14" s="171">
        <f t="shared" si="1"/>
        <v>0.31705899447834934</v>
      </c>
      <c r="O14" s="69"/>
      <c r="P14" s="21"/>
      <c r="Q14" s="21"/>
      <c r="R14" s="21"/>
      <c r="S14" s="28"/>
      <c r="T14" s="28"/>
      <c r="U14" s="70"/>
      <c r="V14" s="25"/>
    </row>
    <row r="15" spans="1:22" s="1" customFormat="1" ht="44.25" customHeight="1" thickBot="1" x14ac:dyDescent="0.25">
      <c r="A15" s="25"/>
      <c r="B15" s="286" t="s">
        <v>250</v>
      </c>
      <c r="C15" s="287"/>
      <c r="D15" s="287"/>
      <c r="E15" s="428"/>
      <c r="F15" s="169">
        <f>IFERROR(VLOOKUP(MID(B15,4,3),MMWR_TRAD_AGG_NATIONAL[],2,0),"--")</f>
        <v>213753</v>
      </c>
      <c r="G15" s="170">
        <f>IFERROR(VLOOKUP(MID(B15,4,3),MMWR_TRAD_AGG_NATIONAL[],3,0),"--")</f>
        <v>41365</v>
      </c>
      <c r="H15" s="171">
        <f t="shared" si="0"/>
        <v>0.19351775179763558</v>
      </c>
      <c r="I15" s="68" t="s">
        <v>310</v>
      </c>
      <c r="J15" s="288" t="s">
        <v>271</v>
      </c>
      <c r="K15" s="397"/>
      <c r="L15" s="169" t="str">
        <f>IFERROR(VLOOKUP(MID(J15,4,3),MMWR_TRAD_AGG_NATIONAL[],2,0),"--")</f>
        <v>--</v>
      </c>
      <c r="M15" s="170" t="str">
        <f>IFERROR(VLOOKUP(MID(J15,4,3),MMWR_TRAD_AGG_NATIONAL[],3,0),"--")</f>
        <v>--</v>
      </c>
      <c r="N15" s="171">
        <f t="shared" si="1"/>
        <v>0</v>
      </c>
      <c r="O15" s="69"/>
      <c r="P15" s="25"/>
      <c r="Q15" s="25"/>
      <c r="R15" s="25"/>
      <c r="S15" s="25"/>
      <c r="T15" s="28"/>
      <c r="U15" s="71"/>
      <c r="V15" s="25"/>
    </row>
    <row r="16" spans="1:22" s="1" customFormat="1" ht="57.75" customHeight="1" thickBot="1" x14ac:dyDescent="0.25">
      <c r="A16" s="25"/>
      <c r="B16" s="288" t="s">
        <v>251</v>
      </c>
      <c r="C16" s="289"/>
      <c r="D16" s="289"/>
      <c r="E16" s="397"/>
      <c r="F16" s="169">
        <f>IFERROR(VLOOKUP(MID(B16,4,3),MMWR_TRAD_AGG_NATIONAL[],2,0),"--")</f>
        <v>565</v>
      </c>
      <c r="G16" s="170">
        <f>IFERROR(VLOOKUP(MID(B16,4,3),MMWR_TRAD_AGG_NATIONAL[],3,0),"--")</f>
        <v>19</v>
      </c>
      <c r="H16" s="171">
        <f t="shared" si="0"/>
        <v>3.3628318584070796E-2</v>
      </c>
      <c r="I16" s="68" t="s">
        <v>310</v>
      </c>
      <c r="J16" s="288" t="s">
        <v>272</v>
      </c>
      <c r="K16" s="397"/>
      <c r="L16" s="169">
        <f>IFERROR(VLOOKUP(MID(J16,4,3),MMWR_TRAD_AGG_NATIONAL[],2,0),"--")</f>
        <v>5552</v>
      </c>
      <c r="M16" s="170">
        <f>IFERROR(VLOOKUP(MID(J16,4,3),MMWR_TRAD_AGG_NATIONAL[],3,0),"--")</f>
        <v>1425</v>
      </c>
      <c r="N16" s="171">
        <f t="shared" si="1"/>
        <v>0.25666426512968299</v>
      </c>
      <c r="O16" s="69"/>
      <c r="P16" s="432" t="s">
        <v>948</v>
      </c>
      <c r="Q16" s="433"/>
      <c r="R16" s="433"/>
      <c r="S16" s="434"/>
      <c r="T16" s="28"/>
      <c r="U16" s="71"/>
      <c r="V16" s="25"/>
    </row>
    <row r="17" spans="1:22" s="1" customFormat="1" ht="31.5" customHeight="1" thickBot="1" x14ac:dyDescent="0.25">
      <c r="A17" s="25"/>
      <c r="B17" s="288" t="s">
        <v>252</v>
      </c>
      <c r="C17" s="289"/>
      <c r="D17" s="289"/>
      <c r="E17" s="397"/>
      <c r="F17" s="169">
        <f>IFERROR(VLOOKUP(MID(B17,4,3),MMWR_TRAD_AGG_NATIONAL[],2,0),"--")</f>
        <v>214</v>
      </c>
      <c r="G17" s="170">
        <f>IFERROR(VLOOKUP(MID(B17,4,3),MMWR_TRAD_AGG_NATIONAL[],3,0),"--")</f>
        <v>149</v>
      </c>
      <c r="H17" s="171">
        <f t="shared" si="0"/>
        <v>0.69626168224299068</v>
      </c>
      <c r="I17" s="25"/>
      <c r="J17" s="288" t="s">
        <v>273</v>
      </c>
      <c r="K17" s="397"/>
      <c r="L17" s="169">
        <f>IFERROR(VLOOKUP(MID(J17,4,3),MMWR_TRAD_AGG_NATIONAL[],2,0),"--")</f>
        <v>6348</v>
      </c>
      <c r="M17" s="170">
        <f>IFERROR(VLOOKUP(MID(J17,4,3),MMWR_TRAD_AGG_NATIONAL[],3,0),"--")</f>
        <v>346</v>
      </c>
      <c r="N17" s="171">
        <f t="shared" si="1"/>
        <v>5.450535601764335E-2</v>
      </c>
      <c r="O17" s="72"/>
      <c r="P17" s="441" t="s">
        <v>245</v>
      </c>
      <c r="Q17" s="442"/>
      <c r="R17" s="442"/>
      <c r="S17" s="184">
        <f>IFERROR(VLOOKUP("160",MMWR_TRAD_AGG_NATIONAL[],2,0),"--")</f>
        <v>33949</v>
      </c>
      <c r="T17" s="28"/>
      <c r="U17" s="71"/>
      <c r="V17" s="25"/>
    </row>
    <row r="18" spans="1:22" s="1" customFormat="1" ht="32.25" customHeight="1" thickBot="1" x14ac:dyDescent="0.25">
      <c r="A18" s="25"/>
      <c r="B18" s="288" t="s">
        <v>253</v>
      </c>
      <c r="C18" s="289"/>
      <c r="D18" s="289"/>
      <c r="E18" s="397"/>
      <c r="F18" s="169">
        <f>IFERROR(VLOOKUP(MID(B18,4,3),MMWR_TRAD_AGG_NATIONAL[],2,0),"--")</f>
        <v>4</v>
      </c>
      <c r="G18" s="170">
        <f>IFERROR(VLOOKUP(MID(B18,4,3),MMWR_TRAD_AGG_NATIONAL[],3,0),"--")</f>
        <v>2</v>
      </c>
      <c r="H18" s="171">
        <f t="shared" si="0"/>
        <v>0.5</v>
      </c>
      <c r="I18" s="68" t="s">
        <v>310</v>
      </c>
      <c r="J18" s="402" t="s">
        <v>15</v>
      </c>
      <c r="K18" s="403"/>
      <c r="L18" s="166">
        <f>SUM(L19:L21)</f>
        <v>239</v>
      </c>
      <c r="M18" s="166">
        <f>SUM(M19:M21)</f>
        <v>230</v>
      </c>
      <c r="N18" s="159">
        <f t="shared" ref="N18:N26" si="2">IF(M18="--", 0, M18/L18)</f>
        <v>0.96234309623430958</v>
      </c>
      <c r="O18" s="73"/>
      <c r="P18" s="443" t="s">
        <v>246</v>
      </c>
      <c r="Q18" s="444"/>
      <c r="R18" s="444"/>
      <c r="S18" s="185">
        <f>IFERROR(VLOOKUP("165",MMWR_TRAD_AGG_NATIONAL[],2,0),"--")</f>
        <v>10556</v>
      </c>
      <c r="T18" s="28"/>
      <c r="U18" s="71"/>
      <c r="V18" s="25"/>
    </row>
    <row r="19" spans="1:22" s="1" customFormat="1" ht="41.25" customHeight="1" x14ac:dyDescent="0.4">
      <c r="A19" s="25"/>
      <c r="B19" s="288" t="s">
        <v>254</v>
      </c>
      <c r="C19" s="289"/>
      <c r="D19" s="289"/>
      <c r="E19" s="397"/>
      <c r="F19" s="169">
        <f>IFERROR(VLOOKUP(MID(B19,4,3),MMWR_TRAD_AGG_NATIONAL[],2,0),"--")</f>
        <v>1</v>
      </c>
      <c r="G19" s="170">
        <f>IFERROR(VLOOKUP(MID(B19,4,3),MMWR_TRAD_AGG_NATIONAL[],3,0),"--")</f>
        <v>0</v>
      </c>
      <c r="H19" s="171">
        <f t="shared" si="0"/>
        <v>0</v>
      </c>
      <c r="I19" s="68" t="s">
        <v>310</v>
      </c>
      <c r="J19" s="288" t="s">
        <v>274</v>
      </c>
      <c r="K19" s="397"/>
      <c r="L19" s="169">
        <f>IFERROR(VLOOKUP(MID(J19,4,3),MMWR_TRAD_AGG_NATIONAL[],2,0),"--")</f>
        <v>187</v>
      </c>
      <c r="M19" s="170">
        <f>IFERROR(VLOOKUP(MID(J19,4,3),MMWR_TRAD_AGG_NATIONAL[],3,0),"--")</f>
        <v>187</v>
      </c>
      <c r="N19" s="171">
        <f t="shared" si="2"/>
        <v>1</v>
      </c>
      <c r="O19" s="56"/>
      <c r="P19" s="25"/>
      <c r="Q19" s="25"/>
      <c r="R19" s="25"/>
      <c r="S19" s="25"/>
      <c r="T19" s="28"/>
      <c r="U19" s="71"/>
      <c r="V19" s="25"/>
    </row>
    <row r="20" spans="1:22" s="1" customFormat="1" ht="40.5" customHeight="1" x14ac:dyDescent="0.4">
      <c r="A20" s="25"/>
      <c r="B20" s="288" t="s">
        <v>255</v>
      </c>
      <c r="C20" s="289"/>
      <c r="D20" s="289"/>
      <c r="E20" s="397"/>
      <c r="F20" s="169">
        <f>IFERROR(VLOOKUP(MID(B20,4,3),MMWR_TRAD_AGG_NATIONAL[],2,0),"--")</f>
        <v>7</v>
      </c>
      <c r="G20" s="170">
        <f>IFERROR(VLOOKUP(MID(B20,4,3),MMWR_TRAD_AGG_NATIONAL[],3,0),"--")</f>
        <v>4</v>
      </c>
      <c r="H20" s="171">
        <f t="shared" si="0"/>
        <v>0.5714285714285714</v>
      </c>
      <c r="I20" s="68" t="s">
        <v>310</v>
      </c>
      <c r="J20" s="288" t="s">
        <v>297</v>
      </c>
      <c r="K20" s="397"/>
      <c r="L20" s="169">
        <f>IFERROR(VLOOKUP(MID(J20,4,3),MMWR_TRAD_AGG_NATIONAL[],2,0),"--")</f>
        <v>27</v>
      </c>
      <c r="M20" s="170">
        <f>IFERROR(VLOOKUP(MID(J20,4,3),MMWR_TRAD_AGG_NATIONAL[],3,0),"--")</f>
        <v>26</v>
      </c>
      <c r="N20" s="171">
        <f t="shared" si="2"/>
        <v>0.96296296296296291</v>
      </c>
      <c r="O20" s="56"/>
      <c r="P20" s="56"/>
      <c r="Q20" s="56"/>
      <c r="R20" s="56"/>
      <c r="S20" s="56"/>
      <c r="T20" s="56"/>
      <c r="U20" s="74"/>
      <c r="V20" s="25"/>
    </row>
    <row r="21" spans="1:22" s="1" customFormat="1" ht="39" customHeight="1" thickBot="1" x14ac:dyDescent="0.45">
      <c r="A21" s="25"/>
      <c r="B21" s="288" t="s">
        <v>256</v>
      </c>
      <c r="C21" s="289"/>
      <c r="D21" s="289"/>
      <c r="E21" s="397"/>
      <c r="F21" s="169">
        <f>IFERROR(VLOOKUP(MID(B21,4,3),MMWR_TRAD_AGG_NATIONAL[],2,0),"--")</f>
        <v>286</v>
      </c>
      <c r="G21" s="170">
        <f>IFERROR(VLOOKUP(MID(B21,4,3),MMWR_TRAD_AGG_NATIONAL[],3,0),"--")</f>
        <v>109</v>
      </c>
      <c r="H21" s="171">
        <f t="shared" si="0"/>
        <v>0.38111888111888109</v>
      </c>
      <c r="I21" s="68" t="s">
        <v>310</v>
      </c>
      <c r="J21" s="288" t="s">
        <v>275</v>
      </c>
      <c r="K21" s="397"/>
      <c r="L21" s="169">
        <f>IFERROR(VLOOKUP(MID(J21,4,3),MMWR_TRAD_AGG_NATIONAL[],2,0),"--")</f>
        <v>25</v>
      </c>
      <c r="M21" s="170">
        <f>IFERROR(VLOOKUP(MID(J21,4,3),MMWR_TRAD_AGG_NATIONAL[],3,0),"--")</f>
        <v>17</v>
      </c>
      <c r="N21" s="171">
        <f t="shared" si="2"/>
        <v>0.68</v>
      </c>
      <c r="O21" s="56"/>
      <c r="P21" s="56"/>
      <c r="Q21" s="56"/>
      <c r="R21" s="56"/>
      <c r="S21" s="56"/>
      <c r="T21" s="56"/>
      <c r="U21" s="74"/>
      <c r="V21" s="25"/>
    </row>
    <row r="22" spans="1:22" s="1" customFormat="1" ht="32.25" customHeight="1" thickBot="1" x14ac:dyDescent="0.45">
      <c r="A22" s="25"/>
      <c r="B22" s="402" t="s">
        <v>13</v>
      </c>
      <c r="C22" s="403"/>
      <c r="D22" s="403"/>
      <c r="E22" s="403"/>
      <c r="F22" s="166">
        <f>SUM(F23:F29)</f>
        <v>436937</v>
      </c>
      <c r="G22" s="167">
        <f>SUM(G23:G29)</f>
        <v>208611</v>
      </c>
      <c r="H22" s="168">
        <f t="shared" si="0"/>
        <v>0.47743953933862321</v>
      </c>
      <c r="I22" s="25"/>
      <c r="J22" s="402" t="s">
        <v>224</v>
      </c>
      <c r="K22" s="403"/>
      <c r="L22" s="166">
        <f>SUM(L23:L26)</f>
        <v>1693</v>
      </c>
      <c r="M22" s="166">
        <f>SUM(M23:M26)</f>
        <v>567</v>
      </c>
      <c r="N22" s="159">
        <f t="shared" si="2"/>
        <v>0.3349084465445954</v>
      </c>
      <c r="O22" s="56"/>
      <c r="P22" s="25"/>
      <c r="Q22" s="25"/>
      <c r="R22" s="25"/>
      <c r="S22" s="25"/>
      <c r="T22" s="56"/>
      <c r="U22" s="74"/>
      <c r="V22" s="25"/>
    </row>
    <row r="23" spans="1:22" s="1" customFormat="1" ht="26.25" customHeight="1" x14ac:dyDescent="0.4">
      <c r="A23" s="25"/>
      <c r="B23" s="398" t="s">
        <v>257</v>
      </c>
      <c r="C23" s="399"/>
      <c r="D23" s="399"/>
      <c r="E23" s="400"/>
      <c r="F23" s="169">
        <f>IFERROR(VLOOKUP(MID(B23,4,3),MMWR_TRAD_AGG_NATIONAL[],2,0),"--")</f>
        <v>128275</v>
      </c>
      <c r="G23" s="170">
        <f>IFERROR(VLOOKUP(MID(B23,4,3),MMWR_TRAD_AGG_NATIONAL[],3,0),"--")</f>
        <v>76608</v>
      </c>
      <c r="H23" s="171">
        <f t="shared" si="0"/>
        <v>0.59721691678035471</v>
      </c>
      <c r="I23" s="25"/>
      <c r="J23" s="404" t="s">
        <v>278</v>
      </c>
      <c r="K23" s="406"/>
      <c r="L23" s="172">
        <f>IFERROR(VLOOKUP(MID(J23,4,3),MMWR_TRAD_AGG_NATIONAL[],2,0),"--")</f>
        <v>264</v>
      </c>
      <c r="M23" s="173">
        <f>IFERROR(VLOOKUP(MID(J23,4,3),MMWR_TRAD_AGG_NATIONAL[],3,0),"--")</f>
        <v>90</v>
      </c>
      <c r="N23" s="174">
        <f t="shared" si="2"/>
        <v>0.34090909090909088</v>
      </c>
      <c r="O23" s="56"/>
      <c r="P23" s="25"/>
      <c r="Q23" s="25"/>
      <c r="R23" s="25"/>
      <c r="S23" s="25"/>
      <c r="T23" s="56"/>
      <c r="U23" s="74"/>
      <c r="V23" s="25"/>
    </row>
    <row r="24" spans="1:22" s="1" customFormat="1" ht="39.75" customHeight="1" x14ac:dyDescent="0.4">
      <c r="A24" s="25"/>
      <c r="B24" s="398" t="s">
        <v>258</v>
      </c>
      <c r="C24" s="399"/>
      <c r="D24" s="399"/>
      <c r="E24" s="400"/>
      <c r="F24" s="169">
        <f>IFERROR(VLOOKUP(MID(B24,4,3),MMWR_TRAD_AGG_NATIONAL[],2,0),"--")</f>
        <v>127</v>
      </c>
      <c r="G24" s="170">
        <f>IFERROR(VLOOKUP(MID(B24,4,3),MMWR_TRAD_AGG_NATIONAL[],3,0),"--")</f>
        <v>74</v>
      </c>
      <c r="H24" s="171">
        <f t="shared" si="0"/>
        <v>0.58267716535433067</v>
      </c>
      <c r="I24" s="25"/>
      <c r="J24" s="288" t="s">
        <v>277</v>
      </c>
      <c r="K24" s="397"/>
      <c r="L24" s="169">
        <f>IFERROR(VLOOKUP(MID(J24,4,3),MMWR_TRAD_AGG_NATIONAL[],2,0),"--")</f>
        <v>440</v>
      </c>
      <c r="M24" s="170">
        <f>IFERROR(VLOOKUP(MID(J24,4,3),MMWR_TRAD_AGG_NATIONAL[],3,0),"--")</f>
        <v>20</v>
      </c>
      <c r="N24" s="171">
        <f t="shared" si="2"/>
        <v>4.5454545454545456E-2</v>
      </c>
      <c r="O24" s="56"/>
      <c r="P24" s="25"/>
      <c r="Q24" s="25"/>
      <c r="R24" s="25"/>
      <c r="S24" s="25"/>
      <c r="T24" s="56"/>
      <c r="U24" s="74"/>
      <c r="V24" s="25"/>
    </row>
    <row r="25" spans="1:22" s="1" customFormat="1" ht="37.5" customHeight="1" x14ac:dyDescent="0.4">
      <c r="A25" s="25"/>
      <c r="B25" s="398" t="s">
        <v>259</v>
      </c>
      <c r="C25" s="399"/>
      <c r="D25" s="399"/>
      <c r="E25" s="400"/>
      <c r="F25" s="169">
        <f>IFERROR(VLOOKUP(MID(B25,4,3),MMWR_TRAD_AGG_NATIONAL[],2,0),"--")</f>
        <v>354</v>
      </c>
      <c r="G25" s="170">
        <f>IFERROR(VLOOKUP(MID(B25,4,3),MMWR_TRAD_AGG_NATIONAL[],3,0),"--")</f>
        <v>275</v>
      </c>
      <c r="H25" s="171">
        <f t="shared" si="0"/>
        <v>0.7768361581920904</v>
      </c>
      <c r="I25" s="25"/>
      <c r="J25" s="288" t="s">
        <v>276</v>
      </c>
      <c r="K25" s="397"/>
      <c r="L25" s="169">
        <f>IFERROR(VLOOKUP(MID(J25,4,3),MMWR_TRAD_AGG_NATIONAL[],2,0),"--")</f>
        <v>945</v>
      </c>
      <c r="M25" s="170">
        <f>IFERROR(VLOOKUP(MID(J25,4,3),MMWR_TRAD_AGG_NATIONAL[],3,0),"--")</f>
        <v>423</v>
      </c>
      <c r="N25" s="171">
        <f t="shared" si="2"/>
        <v>0.44761904761904764</v>
      </c>
      <c r="O25" s="56"/>
      <c r="P25" s="56"/>
      <c r="Q25" s="56"/>
      <c r="R25" s="56"/>
      <c r="S25" s="56"/>
      <c r="T25" s="56"/>
      <c r="U25" s="74"/>
      <c r="V25" s="25"/>
    </row>
    <row r="26" spans="1:22" s="1" customFormat="1" ht="37.5" customHeight="1" thickBot="1" x14ac:dyDescent="0.45">
      <c r="A26" s="25"/>
      <c r="B26" s="398" t="s">
        <v>260</v>
      </c>
      <c r="C26" s="399"/>
      <c r="D26" s="399"/>
      <c r="E26" s="400"/>
      <c r="F26" s="169">
        <f>IFERROR(VLOOKUP(MID(B26,4,3),MMWR_TRAD_AGG_NATIONAL[],2,0),"--")</f>
        <v>96278</v>
      </c>
      <c r="G26" s="170">
        <f>IFERROR(VLOOKUP(MID(B26,4,3),MMWR_TRAD_AGG_NATIONAL[],3,0),"--")</f>
        <v>71983</v>
      </c>
      <c r="H26" s="171">
        <f t="shared" si="0"/>
        <v>0.74765782421737048</v>
      </c>
      <c r="I26" s="56"/>
      <c r="J26" s="293" t="s">
        <v>313</v>
      </c>
      <c r="K26" s="401"/>
      <c r="L26" s="175">
        <f>IFERROR(VLOOKUP(MID(J26,4,3),MMWR_TRAD_AGG_NATIONAL[],2,0),"--")</f>
        <v>44</v>
      </c>
      <c r="M26" s="176">
        <f>IFERROR(VLOOKUP(MID(J26,4,3),MMWR_TRAD_AGG_NATIONAL[],3,0),"--")</f>
        <v>34</v>
      </c>
      <c r="N26" s="177">
        <f t="shared" si="2"/>
        <v>0.77272727272727271</v>
      </c>
      <c r="O26" s="56"/>
      <c r="P26" s="56"/>
      <c r="Q26" s="56"/>
      <c r="R26" s="56"/>
      <c r="S26" s="56"/>
      <c r="T26" s="56"/>
      <c r="U26" s="74"/>
      <c r="V26" s="25"/>
    </row>
    <row r="27" spans="1:22" s="1" customFormat="1" ht="26.25" customHeight="1" thickBot="1" x14ac:dyDescent="0.45">
      <c r="A27" s="25"/>
      <c r="B27" s="398" t="s">
        <v>261</v>
      </c>
      <c r="C27" s="399"/>
      <c r="D27" s="399"/>
      <c r="E27" s="400"/>
      <c r="F27" s="169">
        <f>IFERROR(VLOOKUP(MID(B27,4,3),MMWR_TRAD_AGG_NATIONAL[],2,0),"--")</f>
        <v>268</v>
      </c>
      <c r="G27" s="170">
        <f>IFERROR(VLOOKUP(MID(B27,4,3),MMWR_TRAD_AGG_NATIONAL[],3,0),"--")</f>
        <v>235</v>
      </c>
      <c r="H27" s="171">
        <f t="shared" si="0"/>
        <v>0.87686567164179108</v>
      </c>
      <c r="I27" s="56"/>
      <c r="J27" s="56"/>
      <c r="K27" s="56"/>
      <c r="L27" s="56"/>
      <c r="M27" s="56"/>
      <c r="N27" s="56"/>
      <c r="O27" s="56"/>
      <c r="P27" s="56"/>
      <c r="Q27" s="56"/>
      <c r="R27" s="56"/>
      <c r="S27" s="56"/>
      <c r="T27" s="56"/>
      <c r="U27" s="74"/>
      <c r="V27" s="25"/>
    </row>
    <row r="28" spans="1:22" s="1" customFormat="1" ht="32.25" customHeight="1" x14ac:dyDescent="0.4">
      <c r="A28" s="25"/>
      <c r="B28" s="398" t="s">
        <v>262</v>
      </c>
      <c r="C28" s="399"/>
      <c r="D28" s="399"/>
      <c r="E28" s="400"/>
      <c r="F28" s="169">
        <f>IFERROR(VLOOKUP(MID(B28,4,3),MMWR_TRAD_AGG_NATIONAL[],2,0),"--")</f>
        <v>20328</v>
      </c>
      <c r="G28" s="170">
        <f>IFERROR(VLOOKUP(MID(B28,4,3),MMWR_TRAD_AGG_NATIONAL[],3,0),"--")</f>
        <v>3044</v>
      </c>
      <c r="H28" s="171">
        <f t="shared" si="0"/>
        <v>0.14974419519874066</v>
      </c>
      <c r="I28" s="68" t="s">
        <v>310</v>
      </c>
      <c r="J28" s="410" t="s">
        <v>312</v>
      </c>
      <c r="K28" s="411"/>
      <c r="L28" s="411"/>
      <c r="M28" s="411"/>
      <c r="N28" s="412"/>
      <c r="O28" s="445" t="s">
        <v>310</v>
      </c>
      <c r="P28" s="75"/>
      <c r="Q28" s="56"/>
      <c r="R28" s="56"/>
      <c r="S28" s="56"/>
      <c r="T28" s="56"/>
      <c r="U28" s="74"/>
      <c r="V28" s="25"/>
    </row>
    <row r="29" spans="1:22" s="1" customFormat="1" ht="27" customHeight="1" thickBot="1" x14ac:dyDescent="0.45">
      <c r="A29" s="25"/>
      <c r="B29" s="398" t="s">
        <v>263</v>
      </c>
      <c r="C29" s="399"/>
      <c r="D29" s="399"/>
      <c r="E29" s="400"/>
      <c r="F29" s="169">
        <f>IFERROR(VLOOKUP(MID(B29,4,3),MMWR_TRAD_AGG_NATIONAL[],2,0),"--")</f>
        <v>191307</v>
      </c>
      <c r="G29" s="170">
        <f>IFERROR(VLOOKUP(MID(B29,4,3),MMWR_TRAD_AGG_NATIONAL[],3,0),"--")</f>
        <v>56392</v>
      </c>
      <c r="H29" s="171">
        <f t="shared" si="0"/>
        <v>0.29477227702070496</v>
      </c>
      <c r="I29" s="56"/>
      <c r="J29" s="413"/>
      <c r="K29" s="414"/>
      <c r="L29" s="414"/>
      <c r="M29" s="414"/>
      <c r="N29" s="415"/>
      <c r="O29" s="445"/>
      <c r="P29" s="76"/>
      <c r="Q29" s="56"/>
      <c r="R29" s="56"/>
      <c r="S29" s="56"/>
      <c r="T29" s="56"/>
      <c r="U29" s="74"/>
      <c r="V29" s="25"/>
    </row>
    <row r="30" spans="1:22" s="1" customFormat="1" ht="32.25" customHeight="1" thickBot="1" x14ac:dyDescent="0.45">
      <c r="A30" s="25"/>
      <c r="B30" s="402" t="s">
        <v>29</v>
      </c>
      <c r="C30" s="403"/>
      <c r="D30" s="403"/>
      <c r="E30" s="403"/>
      <c r="F30" s="167">
        <f>SUM(F31:F37)</f>
        <v>127151</v>
      </c>
      <c r="G30" s="167">
        <f>SUM(G31:G37)</f>
        <v>97341</v>
      </c>
      <c r="H30" s="159">
        <f t="shared" si="0"/>
        <v>0.76555434090176244</v>
      </c>
      <c r="I30" s="56"/>
      <c r="J30" s="28"/>
      <c r="K30" s="28"/>
      <c r="L30" s="28"/>
      <c r="M30" s="28"/>
      <c r="N30" s="28"/>
      <c r="O30" s="28"/>
      <c r="P30" s="56"/>
      <c r="Q30" s="56"/>
      <c r="R30" s="56"/>
      <c r="S30" s="56"/>
      <c r="T30" s="56"/>
      <c r="U30" s="74"/>
      <c r="V30" s="25"/>
    </row>
    <row r="31" spans="1:22" s="1" customFormat="1" ht="33.75" customHeight="1" x14ac:dyDescent="0.4">
      <c r="A31" s="25"/>
      <c r="B31" s="288" t="s">
        <v>280</v>
      </c>
      <c r="C31" s="289"/>
      <c r="D31" s="289"/>
      <c r="E31" s="397"/>
      <c r="F31" s="169">
        <f>IFERROR(VLOOKUP(MID(B31,4,3),MMWR_TRAD_AGG_NATIONAL[],2,0),"--")</f>
        <v>21</v>
      </c>
      <c r="G31" s="170">
        <f>IFERROR(VLOOKUP(MID(B31,4,3),MMWR_TRAD_AGG_NATIONAL[],3,0),"--")</f>
        <v>19</v>
      </c>
      <c r="H31" s="171">
        <f t="shared" si="0"/>
        <v>0.90476190476190477</v>
      </c>
      <c r="I31" s="56"/>
      <c r="J31" s="56"/>
      <c r="K31" s="56"/>
      <c r="L31" s="56"/>
      <c r="M31" s="56"/>
      <c r="N31" s="56"/>
      <c r="O31" s="56"/>
      <c r="P31" s="56"/>
      <c r="Q31" s="56"/>
      <c r="R31" s="56"/>
      <c r="S31" s="56"/>
      <c r="T31" s="56"/>
      <c r="U31" s="74"/>
      <c r="V31" s="25"/>
    </row>
    <row r="32" spans="1:22" s="1" customFormat="1" ht="32.25" customHeight="1" x14ac:dyDescent="0.4">
      <c r="A32" s="25"/>
      <c r="B32" s="288" t="s">
        <v>281</v>
      </c>
      <c r="C32" s="289"/>
      <c r="D32" s="289"/>
      <c r="E32" s="397"/>
      <c r="F32" s="169">
        <f>IFERROR(VLOOKUP(MID(B32,4,3),MMWR_TRAD_AGG_NATIONAL[],2,0),"--")</f>
        <v>34359</v>
      </c>
      <c r="G32" s="170">
        <f>IFERROR(VLOOKUP(MID(B32,4,3),MMWR_TRAD_AGG_NATIONAL[],3,0),"--")</f>
        <v>23958</v>
      </c>
      <c r="H32" s="171">
        <f t="shared" si="0"/>
        <v>0.69728455426525804</v>
      </c>
      <c r="I32" s="56"/>
      <c r="J32" s="56"/>
      <c r="K32" s="56"/>
      <c r="L32" s="56"/>
      <c r="M32" s="56"/>
      <c r="N32" s="56"/>
      <c r="O32" s="56"/>
      <c r="P32" s="56"/>
      <c r="Q32" s="56"/>
      <c r="R32" s="56"/>
      <c r="S32" s="56"/>
      <c r="T32" s="56"/>
      <c r="U32" s="74"/>
      <c r="V32" s="25"/>
    </row>
    <row r="33" spans="1:22" s="1" customFormat="1" ht="32.25" customHeight="1" x14ac:dyDescent="0.4">
      <c r="A33" s="25"/>
      <c r="B33" s="288" t="s">
        <v>282</v>
      </c>
      <c r="C33" s="289"/>
      <c r="D33" s="289"/>
      <c r="E33" s="397"/>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288" t="s">
        <v>283</v>
      </c>
      <c r="C34" s="289"/>
      <c r="D34" s="289"/>
      <c r="E34" s="397"/>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288" t="s">
        <v>284</v>
      </c>
      <c r="C35" s="289"/>
      <c r="D35" s="289"/>
      <c r="E35" s="397"/>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288" t="s">
        <v>285</v>
      </c>
      <c r="C36" s="289"/>
      <c r="D36" s="289"/>
      <c r="E36" s="397"/>
      <c r="F36" s="169">
        <f>IFERROR(VLOOKUP(MID(B36,4,3),MMWR_TRAD_AGG_NATIONAL[],2,0),"--")</f>
        <v>25336</v>
      </c>
      <c r="G36" s="170">
        <f>IFERROR(VLOOKUP(MID(B36,4,3),MMWR_TRAD_AGG_NATIONAL[],3,0),"--")</f>
        <v>17360</v>
      </c>
      <c r="H36" s="171">
        <f t="shared" si="0"/>
        <v>0.68519103252289237</v>
      </c>
      <c r="I36" s="56"/>
      <c r="J36" s="56"/>
      <c r="K36" s="56"/>
      <c r="L36" s="56"/>
      <c r="M36" s="56"/>
      <c r="N36" s="56"/>
      <c r="O36" s="56"/>
      <c r="P36" s="56"/>
      <c r="Q36" s="56"/>
      <c r="R36" s="56"/>
      <c r="S36" s="56"/>
      <c r="T36" s="56"/>
      <c r="U36" s="74"/>
      <c r="V36" s="25"/>
    </row>
    <row r="37" spans="1:22" s="1" customFormat="1" ht="27" customHeight="1" thickBot="1" x14ac:dyDescent="0.45">
      <c r="A37" s="25"/>
      <c r="B37" s="288" t="s">
        <v>286</v>
      </c>
      <c r="C37" s="289"/>
      <c r="D37" s="289"/>
      <c r="E37" s="397"/>
      <c r="F37" s="169">
        <f>IFERROR(VLOOKUP(MID(B37,4,3)&amp;"G",MMWR_TRAD_AGG_NATIONAL[],2,0),"--")</f>
        <v>67435</v>
      </c>
      <c r="G37" s="170">
        <f>IFERROR(VLOOKUP(MID(B37,4,3)&amp;"G",MMWR_TRAD_AGG_NATIONAL[],3,0),"--")</f>
        <v>56004</v>
      </c>
      <c r="H37" s="171">
        <f t="shared" si="0"/>
        <v>0.83048861866983026</v>
      </c>
      <c r="I37" s="56"/>
      <c r="J37" s="56"/>
      <c r="K37" s="56"/>
      <c r="L37" s="56"/>
      <c r="M37" s="56"/>
      <c r="N37" s="56"/>
      <c r="O37" s="56"/>
      <c r="P37" s="56"/>
      <c r="Q37" s="56"/>
      <c r="R37" s="56"/>
      <c r="S37" s="56"/>
      <c r="T37" s="56"/>
      <c r="U37" s="74"/>
      <c r="V37" s="25"/>
    </row>
    <row r="38" spans="1:22" s="1" customFormat="1" ht="32.25" customHeight="1" thickBot="1" x14ac:dyDescent="0.45">
      <c r="A38" s="25"/>
      <c r="B38" s="402" t="s">
        <v>238</v>
      </c>
      <c r="C38" s="403"/>
      <c r="D38" s="403"/>
      <c r="E38" s="403"/>
      <c r="F38" s="166">
        <f>SUM(F39:F44)</f>
        <v>169308</v>
      </c>
      <c r="G38" s="167">
        <f>SUM(G39:G44)</f>
        <v>116897</v>
      </c>
      <c r="H38" s="168">
        <f t="shared" si="0"/>
        <v>0.69043990833274271</v>
      </c>
      <c r="I38" s="56"/>
      <c r="J38" s="56"/>
      <c r="K38" s="75"/>
      <c r="L38" s="75"/>
      <c r="M38" s="75"/>
      <c r="N38" s="75"/>
      <c r="O38" s="75"/>
      <c r="P38" s="56"/>
      <c r="Q38" s="56"/>
      <c r="R38" s="56"/>
      <c r="S38" s="56"/>
      <c r="T38" s="56"/>
      <c r="U38" s="74"/>
      <c r="V38" s="25"/>
    </row>
    <row r="39" spans="1:22" s="1" customFormat="1" ht="26.25" customHeight="1" x14ac:dyDescent="0.4">
      <c r="A39" s="25"/>
      <c r="B39" s="404" t="s">
        <v>287</v>
      </c>
      <c r="C39" s="405"/>
      <c r="D39" s="405"/>
      <c r="E39" s="406"/>
      <c r="F39" s="172">
        <f>IFERROR(VLOOKUP(MID(B39,4,3),MMWR_TRAD_AGG_NATIONAL[],2,0),"--")</f>
        <v>8548</v>
      </c>
      <c r="G39" s="173">
        <f>IFERROR(VLOOKUP(MID(B39,4,3),MMWR_TRAD_AGG_NATIONAL[],3,0),"--")</f>
        <v>6582</v>
      </c>
      <c r="H39" s="174">
        <f t="shared" si="0"/>
        <v>0.77000467945718298</v>
      </c>
      <c r="I39" s="56"/>
      <c r="J39" s="56"/>
      <c r="K39" s="75"/>
      <c r="L39" s="75"/>
      <c r="M39" s="75"/>
      <c r="N39" s="75"/>
      <c r="O39" s="75"/>
      <c r="P39" s="56"/>
      <c r="Q39" s="56"/>
      <c r="R39" s="56"/>
      <c r="S39" s="56"/>
      <c r="T39" s="56"/>
      <c r="U39" s="74"/>
      <c r="V39" s="25"/>
    </row>
    <row r="40" spans="1:22" s="1" customFormat="1" ht="26.25" customHeight="1" x14ac:dyDescent="0.4">
      <c r="A40" s="25"/>
      <c r="B40" s="288" t="s">
        <v>288</v>
      </c>
      <c r="C40" s="289"/>
      <c r="D40" s="289"/>
      <c r="E40" s="397"/>
      <c r="F40" s="169">
        <f>IFERROR(VLOOKUP(MID(B40,4,3),MMWR_TRAD_AGG_NATIONAL[],2,0),"--")</f>
        <v>61161</v>
      </c>
      <c r="G40" s="170">
        <f>IFERROR(VLOOKUP(MID(B40,4,3),MMWR_TRAD_AGG_NATIONAL[],3,0),"--")</f>
        <v>46911</v>
      </c>
      <c r="H40" s="171">
        <f t="shared" si="0"/>
        <v>0.76700838769804291</v>
      </c>
      <c r="I40" s="56"/>
      <c r="J40" s="56"/>
      <c r="K40" s="56"/>
      <c r="L40" s="56"/>
      <c r="M40" s="56"/>
      <c r="N40" s="56"/>
      <c r="O40" s="56"/>
      <c r="P40" s="56"/>
      <c r="Q40" s="56"/>
      <c r="R40" s="56"/>
      <c r="S40" s="56"/>
      <c r="T40" s="56"/>
      <c r="U40" s="74"/>
      <c r="V40" s="25"/>
    </row>
    <row r="41" spans="1:22" s="1" customFormat="1" ht="26.25" customHeight="1" x14ac:dyDescent="0.4">
      <c r="A41" s="25"/>
      <c r="B41" s="288" t="s">
        <v>289</v>
      </c>
      <c r="C41" s="289"/>
      <c r="D41" s="289"/>
      <c r="E41" s="397"/>
      <c r="F41" s="169">
        <f>IFERROR(VLOOKUP(MID(B41,4,3),MMWR_TRAD_AGG_NATIONAL[],2,0),"--")</f>
        <v>886</v>
      </c>
      <c r="G41" s="170">
        <f>IFERROR(VLOOKUP(MID(B41,4,3),MMWR_TRAD_AGG_NATIONAL[],3,0),"--")</f>
        <v>350</v>
      </c>
      <c r="H41" s="171">
        <f t="shared" si="0"/>
        <v>0.39503386004514673</v>
      </c>
      <c r="I41" s="56"/>
      <c r="J41" s="56"/>
      <c r="K41" s="56"/>
      <c r="L41" s="56"/>
      <c r="M41" s="56"/>
      <c r="N41" s="56"/>
      <c r="O41" s="56"/>
      <c r="P41" s="56"/>
      <c r="Q41" s="56"/>
      <c r="R41" s="56"/>
      <c r="S41" s="56"/>
      <c r="T41" s="56"/>
      <c r="U41" s="74"/>
      <c r="V41" s="25"/>
    </row>
    <row r="42" spans="1:22" s="1" customFormat="1" ht="36" customHeight="1" x14ac:dyDescent="0.4">
      <c r="A42" s="25"/>
      <c r="B42" s="288" t="s">
        <v>290</v>
      </c>
      <c r="C42" s="289"/>
      <c r="D42" s="289"/>
      <c r="E42" s="397"/>
      <c r="F42" s="169">
        <f>IFERROR(VLOOKUP(MID(B42,4,3),MMWR_TRAD_AGG_NATIONAL[],2,0),"--")</f>
        <v>80522</v>
      </c>
      <c r="G42" s="170">
        <f>IFERROR(VLOOKUP(MID(B42,4,3),MMWR_TRAD_AGG_NATIONAL[],3,0),"--")</f>
        <v>48038</v>
      </c>
      <c r="H42" s="171">
        <f t="shared" si="0"/>
        <v>0.59658230048930727</v>
      </c>
      <c r="I42" s="56"/>
      <c r="J42" s="56"/>
      <c r="K42" s="56"/>
      <c r="L42" s="56"/>
      <c r="M42" s="56"/>
      <c r="N42" s="56"/>
      <c r="O42" s="56"/>
      <c r="P42" s="56"/>
      <c r="Q42" s="56"/>
      <c r="R42" s="56"/>
      <c r="S42" s="56"/>
      <c r="T42" s="56"/>
      <c r="U42" s="74"/>
      <c r="V42" s="25"/>
    </row>
    <row r="43" spans="1:22" s="1" customFormat="1" ht="33" customHeight="1" x14ac:dyDescent="0.4">
      <c r="A43" s="25"/>
      <c r="B43" s="288" t="s">
        <v>291</v>
      </c>
      <c r="C43" s="289"/>
      <c r="D43" s="289"/>
      <c r="E43" s="397"/>
      <c r="F43" s="169">
        <f>IFERROR(VLOOKUP(MID(B43,4,3),MMWR_TRAD_AGG_NATIONAL[],2,0),"--")</f>
        <v>17717</v>
      </c>
      <c r="G43" s="170">
        <f>IFERROR(VLOOKUP(MID(B43,4,3),MMWR_TRAD_AGG_NATIONAL[],3,0),"--")</f>
        <v>14628</v>
      </c>
      <c r="H43" s="171">
        <f t="shared" si="0"/>
        <v>0.82564768301631197</v>
      </c>
      <c r="I43" s="56"/>
      <c r="J43" s="56"/>
      <c r="K43" s="56"/>
      <c r="L43" s="56"/>
      <c r="M43" s="56"/>
      <c r="N43" s="56"/>
      <c r="O43" s="56"/>
      <c r="P43" s="56"/>
      <c r="Q43" s="56"/>
      <c r="R43" s="56"/>
      <c r="S43" s="56"/>
      <c r="T43" s="56"/>
      <c r="U43" s="74"/>
      <c r="V43" s="25"/>
    </row>
    <row r="44" spans="1:22" s="1" customFormat="1" ht="27" customHeight="1" thickBot="1" x14ac:dyDescent="0.45">
      <c r="A44" s="25"/>
      <c r="B44" s="293" t="s">
        <v>292</v>
      </c>
      <c r="C44" s="294"/>
      <c r="D44" s="294"/>
      <c r="E44" s="401"/>
      <c r="F44" s="175">
        <f>IFERROR(VLOOKUP(MID(B44,4,3),MMWR_TRAD_AGG_NATIONAL[],2,0),"--")</f>
        <v>474</v>
      </c>
      <c r="G44" s="176">
        <f>IFERROR(VLOOKUP(MID(B44,4,3),MMWR_TRAD_AGG_NATIONAL[],3,0),"--")</f>
        <v>388</v>
      </c>
      <c r="H44" s="177">
        <f t="shared" si="0"/>
        <v>0.81856540084388185</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AUGUST 20, 2016</v>
      </c>
      <c r="D2" s="455"/>
      <c r="E2" s="455"/>
      <c r="F2" s="455"/>
      <c r="G2" s="455"/>
      <c r="H2" s="455"/>
      <c r="I2" s="455"/>
      <c r="J2" s="455"/>
      <c r="K2" s="455"/>
      <c r="L2" s="455"/>
      <c r="M2" s="455"/>
      <c r="N2" s="455"/>
      <c r="O2" s="455"/>
      <c r="P2" s="455"/>
      <c r="Q2" s="455"/>
      <c r="R2" s="455"/>
      <c r="S2" s="456"/>
      <c r="T2" s="25"/>
    </row>
    <row r="3" spans="1:20" x14ac:dyDescent="0.2">
      <c r="A3" s="25"/>
      <c r="B3" s="26"/>
      <c r="C3" s="457" t="s">
        <v>225</v>
      </c>
      <c r="D3" s="458"/>
      <c r="E3" s="459" t="s">
        <v>205</v>
      </c>
      <c r="F3" s="460"/>
      <c r="G3" s="461"/>
      <c r="H3" s="459" t="s">
        <v>7</v>
      </c>
      <c r="I3" s="460"/>
      <c r="J3" s="461"/>
      <c r="K3" s="459" t="s">
        <v>30</v>
      </c>
      <c r="L3" s="460"/>
      <c r="M3" s="461"/>
      <c r="N3" s="459" t="s">
        <v>8</v>
      </c>
      <c r="O3" s="460"/>
      <c r="P3" s="461"/>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487</v>
      </c>
      <c r="T4" s="91"/>
    </row>
    <row r="5" spans="1:20" ht="26.25" x14ac:dyDescent="0.4">
      <c r="A5" s="25"/>
      <c r="B5" s="26"/>
      <c r="C5" s="454" t="s">
        <v>485</v>
      </c>
      <c r="D5" s="455"/>
      <c r="E5" s="455"/>
      <c r="F5" s="455"/>
      <c r="G5" s="455"/>
      <c r="H5" s="455"/>
      <c r="I5" s="455"/>
      <c r="J5" s="455"/>
      <c r="K5" s="455"/>
      <c r="L5" s="455"/>
      <c r="M5" s="455"/>
      <c r="N5" s="455"/>
      <c r="O5" s="455"/>
      <c r="P5" s="455"/>
      <c r="Q5" s="455"/>
      <c r="R5" s="455"/>
      <c r="S5" s="456"/>
      <c r="T5" s="25"/>
    </row>
    <row r="6" spans="1:20" x14ac:dyDescent="0.2">
      <c r="A6" s="92"/>
      <c r="B6" s="93" t="s">
        <v>460</v>
      </c>
      <c r="C6" s="208">
        <f>IFERROR(VLOOKUP($B6,MMWR_TRAD_AGG_DISTRICT_COMP[],C$1,0),"ERROR")</f>
        <v>227342</v>
      </c>
      <c r="D6" s="186">
        <f>IFERROR(VLOOKUP($B6,MMWR_TRAD_AGG_DISTRICT_COMP[],D$1,0),"ERROR")</f>
        <v>362.46770944219998</v>
      </c>
      <c r="E6" s="194">
        <f>IFERROR(VLOOKUP($B6,MMWR_TRAD_AGG_DISTRICT_COMP[],E$1,0),"ERROR")</f>
        <v>346357</v>
      </c>
      <c r="F6" s="188">
        <f>IFERROR(VLOOKUP($B6,MMWR_TRAD_AGG_DISTRICT_COMP[],F$1,0),"ERROR")</f>
        <v>74478</v>
      </c>
      <c r="G6" s="211">
        <f t="shared" ref="G6:G69" si="0">IFERROR(F6/E6,"0%")</f>
        <v>0.21503246650132665</v>
      </c>
      <c r="H6" s="187">
        <f>IFERROR(VLOOKUP($B6,MMWR_TRAD_AGG_DISTRICT_COMP[],H$1,0),"ERROR")</f>
        <v>436937</v>
      </c>
      <c r="I6" s="188">
        <f>IFERROR(VLOOKUP($B6,MMWR_TRAD_AGG_DISTRICT_COMP[],I$1,0),"ERROR")</f>
        <v>208611</v>
      </c>
      <c r="J6" s="211">
        <f t="shared" ref="J6:J69" si="1">IFERROR(I6/H6,"0%")</f>
        <v>0.47743953933862321</v>
      </c>
      <c r="K6" s="187">
        <f>IFERROR(VLOOKUP($B6,MMWR_TRAD_AGG_DISTRICT_COMP[],K$1,0),"ERROR")</f>
        <v>131106</v>
      </c>
      <c r="L6" s="188">
        <f>IFERROR(VLOOKUP($B6,MMWR_TRAD_AGG_DISTRICT_COMP[],L$1,0),"ERROR")</f>
        <v>100987</v>
      </c>
      <c r="M6" s="211">
        <f t="shared" ref="M6:M69" si="2">IFERROR(L6/K6,"0%")</f>
        <v>0.77026985797751435</v>
      </c>
      <c r="N6" s="187">
        <f>IFERROR(VLOOKUP($B6,MMWR_TRAD_AGG_DISTRICT_COMP[],N$1,0),"ERROR")</f>
        <v>170483</v>
      </c>
      <c r="O6" s="188">
        <f>IFERROR(VLOOKUP($B6,MMWR_TRAD_AGG_DISTRICT_COMP[],O$1,0),"ERROR")</f>
        <v>117515</v>
      </c>
      <c r="P6" s="211">
        <f t="shared" ref="P6:P69" si="3">IFERROR(O6/N6,"0%")</f>
        <v>0.68930626514080584</v>
      </c>
      <c r="Q6" s="200">
        <f>IFERROR(VLOOKUP($B6,MMWR_TRAD_AGG_DISTRICT_COMP[],Q$1,0),"ERROR")</f>
        <v>22241</v>
      </c>
      <c r="R6" s="200">
        <f>IFERROR(VLOOKUP($B6,MMWR_TRAD_AGG_DISTRICT_COMP[],R$1,0),"ERROR")</f>
        <v>4524</v>
      </c>
      <c r="S6" s="203">
        <f>S7+S25+S38+S49+S62+S70</f>
        <v>310007</v>
      </c>
      <c r="T6" s="25"/>
    </row>
    <row r="7" spans="1:20" x14ac:dyDescent="0.2">
      <c r="A7" s="92"/>
      <c r="B7" s="101" t="s">
        <v>368</v>
      </c>
      <c r="C7" s="212">
        <f>IFERROR(VLOOKUP($B7,MMWR_TRAD_AGG_DISTRICT_COMP[],C$1,0),"ERROR")</f>
        <v>61652</v>
      </c>
      <c r="D7" s="197">
        <f>IFERROR(VLOOKUP($B7,MMWR_TRAD_AGG_DISTRICT_COMP[],D$1,0),"ERROR")</f>
        <v>419.1044410563</v>
      </c>
      <c r="E7" s="213">
        <f>IFERROR(VLOOKUP($B7,MMWR_TRAD_AGG_DISTRICT_COMP[],E$1,0),"ERROR")</f>
        <v>80269</v>
      </c>
      <c r="F7" s="212">
        <f>IFERROR(VLOOKUP($B7,MMWR_TRAD_AGG_DISTRICT_COMP[],F$1,0),"ERROR")</f>
        <v>18140</v>
      </c>
      <c r="G7" s="214">
        <f t="shared" si="0"/>
        <v>0.22599010826097249</v>
      </c>
      <c r="H7" s="212">
        <f>IFERROR(VLOOKUP($B7,MMWR_TRAD_AGG_DISTRICT_COMP[],H$1,0),"ERROR")</f>
        <v>107548</v>
      </c>
      <c r="I7" s="212">
        <f>IFERROR(VLOOKUP($B7,MMWR_TRAD_AGG_DISTRICT_COMP[],I$1,0),"ERROR")</f>
        <v>55849</v>
      </c>
      <c r="J7" s="214">
        <f t="shared" si="1"/>
        <v>0.51929371071521557</v>
      </c>
      <c r="K7" s="212">
        <f>IFERROR(VLOOKUP($B7,MMWR_TRAD_AGG_DISTRICT_COMP[],K$1,0),"ERROR")</f>
        <v>36901</v>
      </c>
      <c r="L7" s="212">
        <f>IFERROR(VLOOKUP($B7,MMWR_TRAD_AGG_DISTRICT_COMP[],L$1,0),"ERROR")</f>
        <v>28811</v>
      </c>
      <c r="M7" s="214">
        <f t="shared" si="2"/>
        <v>0.78076474892279346</v>
      </c>
      <c r="N7" s="212">
        <f>IFERROR(VLOOKUP($B7,MMWR_TRAD_AGG_DISTRICT_COMP[],N$1,0),"ERROR")</f>
        <v>28555</v>
      </c>
      <c r="O7" s="212">
        <f>IFERROR(VLOOKUP($B7,MMWR_TRAD_AGG_DISTRICT_COMP[],O$1,0),"ERROR")</f>
        <v>23803</v>
      </c>
      <c r="P7" s="214">
        <f t="shared" si="3"/>
        <v>0.8335843109788128</v>
      </c>
      <c r="Q7" s="212">
        <f>IFERROR(VLOOKUP($B7,MMWR_TRAD_AGG_DISTRICT_COMP[],Q$1,0),"ERROR")</f>
        <v>13989</v>
      </c>
      <c r="R7" s="215">
        <f>IFERROR(VLOOKUP($B7,MMWR_TRAD_AGG_DISTRICT_COMP[],R$1,0),"ERROR")</f>
        <v>50</v>
      </c>
      <c r="S7" s="215">
        <f>IFERROR(VLOOKUP($B7,MMWR_APP_RO[],S$1,0),"ERROR")</f>
        <v>56807</v>
      </c>
      <c r="T7" s="25"/>
    </row>
    <row r="8" spans="1:20" x14ac:dyDescent="0.2">
      <c r="A8" s="107"/>
      <c r="B8" s="108" t="s">
        <v>33</v>
      </c>
      <c r="C8" s="209">
        <f>IFERROR(VLOOKUP($B8,MMWR_TRAD_AGG_RO_COMP[],C$1,0),"ERROR")</f>
        <v>7502</v>
      </c>
      <c r="D8" s="198">
        <f>IFERROR(VLOOKUP($B8,MMWR_TRAD_AGG_RO_COMP[],D$1,0),"ERROR")</f>
        <v>699.06558251130002</v>
      </c>
      <c r="E8" s="195">
        <f>IFERROR(VLOOKUP($B8,MMWR_TRAD_AGG_RO_COMP[],E$1,0),"ERROR")</f>
        <v>5368</v>
      </c>
      <c r="F8" s="191">
        <f>IFERROR(VLOOKUP($B8,MMWR_TRAD_AGG_RO_COMP[],F$1,0),"ERROR")</f>
        <v>1332</v>
      </c>
      <c r="G8" s="216">
        <f t="shared" si="0"/>
        <v>0.24813710879284651</v>
      </c>
      <c r="H8" s="190">
        <f>IFERROR(VLOOKUP($B8,MMWR_TRAD_AGG_RO_COMP[],H$1,0),"ERROR")</f>
        <v>10194</v>
      </c>
      <c r="I8" s="191">
        <f>IFERROR(VLOOKUP($B8,MMWR_TRAD_AGG_RO_COMP[],I$1,0),"ERROR")</f>
        <v>7047</v>
      </c>
      <c r="J8" s="216">
        <f t="shared" si="1"/>
        <v>0.69128899352560325</v>
      </c>
      <c r="K8" s="204">
        <f>IFERROR(VLOOKUP($B8,MMWR_TRAD_AGG_RO_COMP[],K$1,0),"ERROR")</f>
        <v>3396</v>
      </c>
      <c r="L8" s="205">
        <f>IFERROR(VLOOKUP($B8,MMWR_TRAD_AGG_RO_COMP[],L$1,0),"ERROR")</f>
        <v>3068</v>
      </c>
      <c r="M8" s="216">
        <f t="shared" si="2"/>
        <v>0.9034157832744405</v>
      </c>
      <c r="N8" s="204">
        <f>IFERROR(VLOOKUP($B8,MMWR_TRAD_AGG_RO_COMP[],N$1,0),"ERROR")</f>
        <v>1527</v>
      </c>
      <c r="O8" s="205">
        <f>IFERROR(VLOOKUP($B8,MMWR_TRAD_AGG_RO_COMP[],O$1,0),"ERROR")</f>
        <v>1226</v>
      </c>
      <c r="P8" s="216">
        <f t="shared" si="3"/>
        <v>0.80288146692861817</v>
      </c>
      <c r="Q8" s="201">
        <f>IFERROR(VLOOKUP($B8,MMWR_TRAD_AGG_RO_COMP[],Q$1,0),"ERROR")</f>
        <v>0</v>
      </c>
      <c r="R8" s="201">
        <f>IFERROR(VLOOKUP($B8,MMWR_TRAD_AGG_RO_COMP[],R$1,0),"ERROR")</f>
        <v>7</v>
      </c>
      <c r="S8" s="201">
        <f>IFERROR(VLOOKUP($B8,MMWR_APP_RO[],S$1,0),"ERROR")</f>
        <v>4781</v>
      </c>
      <c r="T8" s="25"/>
    </row>
    <row r="9" spans="1:20" x14ac:dyDescent="0.2">
      <c r="A9" s="107"/>
      <c r="B9" s="108" t="s">
        <v>35</v>
      </c>
      <c r="C9" s="209">
        <f>IFERROR(VLOOKUP($B9,MMWR_TRAD_AGG_RO_COMP[],C$1,0),"ERROR")</f>
        <v>3149</v>
      </c>
      <c r="D9" s="198">
        <f>IFERROR(VLOOKUP($B9,MMWR_TRAD_AGG_RO_COMP[],D$1,0),"ERROR")</f>
        <v>608.66624325179998</v>
      </c>
      <c r="E9" s="195">
        <f>IFERROR(VLOOKUP($B9,MMWR_TRAD_AGG_RO_COMP[],E$1,0),"ERROR")</f>
        <v>3278</v>
      </c>
      <c r="F9" s="191">
        <f>IFERROR(VLOOKUP($B9,MMWR_TRAD_AGG_RO_COMP[],F$1,0),"ERROR")</f>
        <v>685</v>
      </c>
      <c r="G9" s="216">
        <f t="shared" si="0"/>
        <v>0.20896888346552775</v>
      </c>
      <c r="H9" s="190">
        <f>IFERROR(VLOOKUP($B9,MMWR_TRAD_AGG_RO_COMP[],H$1,0),"ERROR")</f>
        <v>6490</v>
      </c>
      <c r="I9" s="191">
        <f>IFERROR(VLOOKUP($B9,MMWR_TRAD_AGG_RO_COMP[],I$1,0),"ERROR")</f>
        <v>3493</v>
      </c>
      <c r="J9" s="216">
        <f t="shared" si="1"/>
        <v>0.53821263482280435</v>
      </c>
      <c r="K9" s="204">
        <f>IFERROR(VLOOKUP($B9,MMWR_TRAD_AGG_RO_COMP[],K$1,0),"ERROR")</f>
        <v>2496</v>
      </c>
      <c r="L9" s="205">
        <f>IFERROR(VLOOKUP($B9,MMWR_TRAD_AGG_RO_COMP[],L$1,0),"ERROR")</f>
        <v>2076</v>
      </c>
      <c r="M9" s="216">
        <f t="shared" si="2"/>
        <v>0.83173076923076927</v>
      </c>
      <c r="N9" s="204">
        <f>IFERROR(VLOOKUP($B9,MMWR_TRAD_AGG_RO_COMP[],N$1,0),"ERROR")</f>
        <v>542</v>
      </c>
      <c r="O9" s="205">
        <f>IFERROR(VLOOKUP($B9,MMWR_TRAD_AGG_RO_COMP[],O$1,0),"ERROR")</f>
        <v>474</v>
      </c>
      <c r="P9" s="216">
        <f t="shared" si="3"/>
        <v>0.87453874538745391</v>
      </c>
      <c r="Q9" s="201">
        <f>IFERROR(VLOOKUP($B9,MMWR_TRAD_AGG_RO_COMP[],Q$1,0),"ERROR")</f>
        <v>0</v>
      </c>
      <c r="R9" s="201">
        <f>IFERROR(VLOOKUP($B9,MMWR_TRAD_AGG_RO_COMP[],R$1,0),"ERROR")</f>
        <v>4</v>
      </c>
      <c r="S9" s="201">
        <f>IFERROR(VLOOKUP($B9,MMWR_APP_RO[],S$1,0),"ERROR")</f>
        <v>3152</v>
      </c>
      <c r="T9" s="25"/>
    </row>
    <row r="10" spans="1:20" x14ac:dyDescent="0.2">
      <c r="A10" s="107"/>
      <c r="B10" s="108" t="s">
        <v>24</v>
      </c>
      <c r="C10" s="209">
        <f>IFERROR(VLOOKUP($B10,MMWR_TRAD_AGG_RO_COMP[],C$1,0),"ERROR")</f>
        <v>598</v>
      </c>
      <c r="D10" s="198">
        <f>IFERROR(VLOOKUP($B10,MMWR_TRAD_AGG_RO_COMP[],D$1,0),"ERROR")</f>
        <v>147.4799331104</v>
      </c>
      <c r="E10" s="195">
        <f>IFERROR(VLOOKUP($B10,MMWR_TRAD_AGG_RO_COMP[],E$1,0),"ERROR")</f>
        <v>3707</v>
      </c>
      <c r="F10" s="191">
        <f>IFERROR(VLOOKUP($B10,MMWR_TRAD_AGG_RO_COMP[],F$1,0),"ERROR")</f>
        <v>751</v>
      </c>
      <c r="G10" s="216">
        <f t="shared" si="0"/>
        <v>0.20258969517129755</v>
      </c>
      <c r="H10" s="190">
        <f>IFERROR(VLOOKUP($B10,MMWR_TRAD_AGG_RO_COMP[],H$1,0),"ERROR")</f>
        <v>2919</v>
      </c>
      <c r="I10" s="191">
        <f>IFERROR(VLOOKUP($B10,MMWR_TRAD_AGG_RO_COMP[],I$1,0),"ERROR")</f>
        <v>869</v>
      </c>
      <c r="J10" s="216">
        <f t="shared" si="1"/>
        <v>0.29770469338814665</v>
      </c>
      <c r="K10" s="204">
        <f>IFERROR(VLOOKUP($B10,MMWR_TRAD_AGG_RO_COMP[],K$1,0),"ERROR")</f>
        <v>927</v>
      </c>
      <c r="L10" s="205">
        <f>IFERROR(VLOOKUP($B10,MMWR_TRAD_AGG_RO_COMP[],L$1,0),"ERROR")</f>
        <v>614</v>
      </c>
      <c r="M10" s="216">
        <f t="shared" si="2"/>
        <v>0.6623516720604099</v>
      </c>
      <c r="N10" s="204">
        <f>IFERROR(VLOOKUP($B10,MMWR_TRAD_AGG_RO_COMP[],N$1,0),"ERROR")</f>
        <v>310</v>
      </c>
      <c r="O10" s="205">
        <f>IFERROR(VLOOKUP($B10,MMWR_TRAD_AGG_RO_COMP[],O$1,0),"ERROR")</f>
        <v>157</v>
      </c>
      <c r="P10" s="216">
        <f t="shared" si="3"/>
        <v>0.50645161290322582</v>
      </c>
      <c r="Q10" s="201">
        <f>IFERROR(VLOOKUP($B10,MMWR_TRAD_AGG_RO_COMP[],Q$1,0),"ERROR")</f>
        <v>0</v>
      </c>
      <c r="R10" s="201">
        <f>IFERROR(VLOOKUP($B10,MMWR_TRAD_AGG_RO_COMP[],R$1,0),"ERROR")</f>
        <v>0</v>
      </c>
      <c r="S10" s="201">
        <f>IFERROR(VLOOKUP($B10,MMWR_APP_RO[],S$1,0),"ERROR")</f>
        <v>2138</v>
      </c>
      <c r="T10" s="25"/>
    </row>
    <row r="11" spans="1:20" x14ac:dyDescent="0.2">
      <c r="A11" s="107"/>
      <c r="B11" s="108" t="s">
        <v>44</v>
      </c>
      <c r="C11" s="209">
        <f>IFERROR(VLOOKUP($B11,MMWR_TRAD_AGG_RO_COMP[],C$1,0),"ERROR")</f>
        <v>541</v>
      </c>
      <c r="D11" s="198">
        <f>IFERROR(VLOOKUP($B11,MMWR_TRAD_AGG_RO_COMP[],D$1,0),"ERROR")</f>
        <v>286.4251386322</v>
      </c>
      <c r="E11" s="195">
        <f>IFERROR(VLOOKUP($B11,MMWR_TRAD_AGG_RO_COMP[],E$1,0),"ERROR")</f>
        <v>1724</v>
      </c>
      <c r="F11" s="191">
        <f>IFERROR(VLOOKUP($B11,MMWR_TRAD_AGG_RO_COMP[],F$1,0),"ERROR")</f>
        <v>331</v>
      </c>
      <c r="G11" s="216">
        <f t="shared" si="0"/>
        <v>0.19199535962877029</v>
      </c>
      <c r="H11" s="190">
        <f>IFERROR(VLOOKUP($B11,MMWR_TRAD_AGG_RO_COMP[],H$1,0),"ERROR")</f>
        <v>2399</v>
      </c>
      <c r="I11" s="191">
        <f>IFERROR(VLOOKUP($B11,MMWR_TRAD_AGG_RO_COMP[],I$1,0),"ERROR")</f>
        <v>647</v>
      </c>
      <c r="J11" s="216">
        <f t="shared" si="1"/>
        <v>0.26969570654439351</v>
      </c>
      <c r="K11" s="204">
        <f>IFERROR(VLOOKUP($B11,MMWR_TRAD_AGG_RO_COMP[],K$1,0),"ERROR")</f>
        <v>443</v>
      </c>
      <c r="L11" s="205">
        <f>IFERROR(VLOOKUP($B11,MMWR_TRAD_AGG_RO_COMP[],L$1,0),"ERROR")</f>
        <v>265</v>
      </c>
      <c r="M11" s="216">
        <f t="shared" si="2"/>
        <v>0.59819413092550788</v>
      </c>
      <c r="N11" s="204">
        <f>IFERROR(VLOOKUP($B11,MMWR_TRAD_AGG_RO_COMP[],N$1,0),"ERROR")</f>
        <v>573</v>
      </c>
      <c r="O11" s="205">
        <f>IFERROR(VLOOKUP($B11,MMWR_TRAD_AGG_RO_COMP[],O$1,0),"ERROR")</f>
        <v>450</v>
      </c>
      <c r="P11" s="216">
        <f t="shared" si="3"/>
        <v>0.78534031413612571</v>
      </c>
      <c r="Q11" s="201">
        <f>IFERROR(VLOOKUP($B11,MMWR_TRAD_AGG_RO_COMP[],Q$1,0),"ERROR")</f>
        <v>0</v>
      </c>
      <c r="R11" s="201">
        <f>IFERROR(VLOOKUP($B11,MMWR_TRAD_AGG_RO_COMP[],R$1,0),"ERROR")</f>
        <v>5</v>
      </c>
      <c r="S11" s="201">
        <f>IFERROR(VLOOKUP($B11,MMWR_APP_RO[],S$1,0),"ERROR")</f>
        <v>1372</v>
      </c>
      <c r="T11" s="25"/>
    </row>
    <row r="12" spans="1:20" x14ac:dyDescent="0.2">
      <c r="A12" s="107"/>
      <c r="B12" s="108" t="s">
        <v>47</v>
      </c>
      <c r="C12" s="209">
        <f>IFERROR(VLOOKUP($B12,MMWR_TRAD_AGG_RO_COMP[],C$1,0),"ERROR")</f>
        <v>1795</v>
      </c>
      <c r="D12" s="198">
        <f>IFERROR(VLOOKUP($B12,MMWR_TRAD_AGG_RO_COMP[],D$1,0),"ERROR")</f>
        <v>241.17883008359999</v>
      </c>
      <c r="E12" s="195">
        <f>IFERROR(VLOOKUP($B12,MMWR_TRAD_AGG_RO_COMP[],E$1,0),"ERROR")</f>
        <v>2368</v>
      </c>
      <c r="F12" s="191">
        <f>IFERROR(VLOOKUP($B12,MMWR_TRAD_AGG_RO_COMP[],F$1,0),"ERROR")</f>
        <v>378</v>
      </c>
      <c r="G12" s="216">
        <f t="shared" si="0"/>
        <v>0.15962837837837837</v>
      </c>
      <c r="H12" s="190">
        <f>IFERROR(VLOOKUP($B12,MMWR_TRAD_AGG_RO_COMP[],H$1,0),"ERROR")</f>
        <v>3416</v>
      </c>
      <c r="I12" s="191">
        <f>IFERROR(VLOOKUP($B12,MMWR_TRAD_AGG_RO_COMP[],I$1,0),"ERROR")</f>
        <v>1715</v>
      </c>
      <c r="J12" s="216">
        <f t="shared" si="1"/>
        <v>0.50204918032786883</v>
      </c>
      <c r="K12" s="204">
        <f>IFERROR(VLOOKUP($B12,MMWR_TRAD_AGG_RO_COMP[],K$1,0),"ERROR")</f>
        <v>471</v>
      </c>
      <c r="L12" s="205">
        <f>IFERROR(VLOOKUP($B12,MMWR_TRAD_AGG_RO_COMP[],L$1,0),"ERROR")</f>
        <v>384</v>
      </c>
      <c r="M12" s="216">
        <f t="shared" si="2"/>
        <v>0.8152866242038217</v>
      </c>
      <c r="N12" s="204">
        <f>IFERROR(VLOOKUP($B12,MMWR_TRAD_AGG_RO_COMP[],N$1,0),"ERROR")</f>
        <v>1317</v>
      </c>
      <c r="O12" s="205">
        <f>IFERROR(VLOOKUP($B12,MMWR_TRAD_AGG_RO_COMP[],O$1,0),"ERROR")</f>
        <v>961</v>
      </c>
      <c r="P12" s="216">
        <f t="shared" si="3"/>
        <v>0.72968868640850415</v>
      </c>
      <c r="Q12" s="201">
        <f>IFERROR(VLOOKUP($B12,MMWR_TRAD_AGG_RO_COMP[],Q$1,0),"ERROR")</f>
        <v>0</v>
      </c>
      <c r="R12" s="201">
        <f>IFERROR(VLOOKUP($B12,MMWR_TRAD_AGG_RO_COMP[],R$1,0),"ERROR")</f>
        <v>4</v>
      </c>
      <c r="S12" s="201">
        <f>IFERROR(VLOOKUP($B12,MMWR_APP_RO[],S$1,0),"ERROR")</f>
        <v>2541</v>
      </c>
      <c r="T12" s="25"/>
    </row>
    <row r="13" spans="1:20" x14ac:dyDescent="0.2">
      <c r="A13" s="107"/>
      <c r="B13" s="108" t="s">
        <v>54</v>
      </c>
      <c r="C13" s="209">
        <f>IFERROR(VLOOKUP($B13,MMWR_TRAD_AGG_RO_COMP[],C$1,0),"ERROR")</f>
        <v>909</v>
      </c>
      <c r="D13" s="198">
        <f>IFERROR(VLOOKUP($B13,MMWR_TRAD_AGG_RO_COMP[],D$1,0),"ERROR")</f>
        <v>251.76897689770001</v>
      </c>
      <c r="E13" s="195">
        <f>IFERROR(VLOOKUP($B13,MMWR_TRAD_AGG_RO_COMP[],E$1,0),"ERROR")</f>
        <v>1239</v>
      </c>
      <c r="F13" s="191">
        <f>IFERROR(VLOOKUP($B13,MMWR_TRAD_AGG_RO_COMP[],F$1,0),"ERROR")</f>
        <v>200</v>
      </c>
      <c r="G13" s="216">
        <f t="shared" si="0"/>
        <v>0.16142050040355124</v>
      </c>
      <c r="H13" s="190">
        <f>IFERROR(VLOOKUP($B13,MMWR_TRAD_AGG_RO_COMP[],H$1,0),"ERROR")</f>
        <v>1755</v>
      </c>
      <c r="I13" s="191">
        <f>IFERROR(VLOOKUP($B13,MMWR_TRAD_AGG_RO_COMP[],I$1,0),"ERROR")</f>
        <v>736</v>
      </c>
      <c r="J13" s="216">
        <f t="shared" si="1"/>
        <v>0.41937321937321936</v>
      </c>
      <c r="K13" s="204">
        <f>IFERROR(VLOOKUP($B13,MMWR_TRAD_AGG_RO_COMP[],K$1,0),"ERROR")</f>
        <v>242</v>
      </c>
      <c r="L13" s="205">
        <f>IFERROR(VLOOKUP($B13,MMWR_TRAD_AGG_RO_COMP[],L$1,0),"ERROR")</f>
        <v>147</v>
      </c>
      <c r="M13" s="216">
        <f t="shared" si="2"/>
        <v>0.6074380165289256</v>
      </c>
      <c r="N13" s="204">
        <f>IFERROR(VLOOKUP($B13,MMWR_TRAD_AGG_RO_COMP[],N$1,0),"ERROR")</f>
        <v>127</v>
      </c>
      <c r="O13" s="205">
        <f>IFERROR(VLOOKUP($B13,MMWR_TRAD_AGG_RO_COMP[],O$1,0),"ERROR")</f>
        <v>72</v>
      </c>
      <c r="P13" s="216">
        <f t="shared" si="3"/>
        <v>0.56692913385826771</v>
      </c>
      <c r="Q13" s="201">
        <f>IFERROR(VLOOKUP($B13,MMWR_TRAD_AGG_RO_COMP[],Q$1,0),"ERROR")</f>
        <v>0</v>
      </c>
      <c r="R13" s="201">
        <f>IFERROR(VLOOKUP($B13,MMWR_TRAD_AGG_RO_COMP[],R$1,0),"ERROR")</f>
        <v>1</v>
      </c>
      <c r="S13" s="201">
        <f>IFERROR(VLOOKUP($B13,MMWR_APP_RO[],S$1,0),"ERROR")</f>
        <v>573</v>
      </c>
      <c r="T13" s="25"/>
    </row>
    <row r="14" spans="1:20" x14ac:dyDescent="0.2">
      <c r="A14" s="107"/>
      <c r="B14" s="108" t="s">
        <v>60</v>
      </c>
      <c r="C14" s="209">
        <f>IFERROR(VLOOKUP($B14,MMWR_TRAD_AGG_RO_COMP[],C$1,0),"ERROR")</f>
        <v>2147</v>
      </c>
      <c r="D14" s="198">
        <f>IFERROR(VLOOKUP($B14,MMWR_TRAD_AGG_RO_COMP[],D$1,0),"ERROR")</f>
        <v>300.39217512810001</v>
      </c>
      <c r="E14" s="195">
        <f>IFERROR(VLOOKUP($B14,MMWR_TRAD_AGG_RO_COMP[],E$1,0),"ERROR")</f>
        <v>4650</v>
      </c>
      <c r="F14" s="191">
        <f>IFERROR(VLOOKUP($B14,MMWR_TRAD_AGG_RO_COMP[],F$1,0),"ERROR")</f>
        <v>1414</v>
      </c>
      <c r="G14" s="216">
        <f t="shared" si="0"/>
        <v>0.30408602150537634</v>
      </c>
      <c r="H14" s="190">
        <f>IFERROR(VLOOKUP($B14,MMWR_TRAD_AGG_RO_COMP[],H$1,0),"ERROR")</f>
        <v>4889</v>
      </c>
      <c r="I14" s="191">
        <f>IFERROR(VLOOKUP($B14,MMWR_TRAD_AGG_RO_COMP[],I$1,0),"ERROR")</f>
        <v>1909</v>
      </c>
      <c r="J14" s="216">
        <f t="shared" si="1"/>
        <v>0.39046839844548986</v>
      </c>
      <c r="K14" s="204">
        <f>IFERROR(VLOOKUP($B14,MMWR_TRAD_AGG_RO_COMP[],K$1,0),"ERROR")</f>
        <v>1900</v>
      </c>
      <c r="L14" s="205">
        <f>IFERROR(VLOOKUP($B14,MMWR_TRAD_AGG_RO_COMP[],L$1,0),"ERROR")</f>
        <v>1611</v>
      </c>
      <c r="M14" s="216">
        <f t="shared" si="2"/>
        <v>0.84789473684210526</v>
      </c>
      <c r="N14" s="204">
        <f>IFERROR(VLOOKUP($B14,MMWR_TRAD_AGG_RO_COMP[],N$1,0),"ERROR")</f>
        <v>3996</v>
      </c>
      <c r="O14" s="205">
        <f>IFERROR(VLOOKUP($B14,MMWR_TRAD_AGG_RO_COMP[],O$1,0),"ERROR")</f>
        <v>3361</v>
      </c>
      <c r="P14" s="216">
        <f t="shared" si="3"/>
        <v>0.84109109109109104</v>
      </c>
      <c r="Q14" s="201">
        <f>IFERROR(VLOOKUP($B14,MMWR_TRAD_AGG_RO_COMP[],Q$1,0),"ERROR")</f>
        <v>0</v>
      </c>
      <c r="R14" s="201">
        <f>IFERROR(VLOOKUP($B14,MMWR_TRAD_AGG_RO_COMP[],R$1,0),"ERROR")</f>
        <v>2</v>
      </c>
      <c r="S14" s="201">
        <f>IFERROR(VLOOKUP($B14,MMWR_APP_RO[],S$1,0),"ERROR")</f>
        <v>3307</v>
      </c>
      <c r="T14" s="25"/>
    </row>
    <row r="15" spans="1:20" x14ac:dyDescent="0.2">
      <c r="A15" s="107"/>
      <c r="B15" s="108" t="s">
        <v>61</v>
      </c>
      <c r="C15" s="209">
        <f>IFERROR(VLOOKUP($B15,MMWR_TRAD_AGG_RO_COMP[],C$1,0),"ERROR")</f>
        <v>417</v>
      </c>
      <c r="D15" s="198">
        <f>IFERROR(VLOOKUP($B15,MMWR_TRAD_AGG_RO_COMP[],D$1,0),"ERROR")</f>
        <v>132.37889688249999</v>
      </c>
      <c r="E15" s="195">
        <f>IFERROR(VLOOKUP($B15,MMWR_TRAD_AGG_RO_COMP[],E$1,0),"ERROR")</f>
        <v>2696</v>
      </c>
      <c r="F15" s="191">
        <f>IFERROR(VLOOKUP($B15,MMWR_TRAD_AGG_RO_COMP[],F$1,0),"ERROR")</f>
        <v>723</v>
      </c>
      <c r="G15" s="216">
        <f t="shared" si="0"/>
        <v>0.26817507418397624</v>
      </c>
      <c r="H15" s="190">
        <f>IFERROR(VLOOKUP($B15,MMWR_TRAD_AGG_RO_COMP[],H$1,0),"ERROR")</f>
        <v>1698</v>
      </c>
      <c r="I15" s="191">
        <f>IFERROR(VLOOKUP($B15,MMWR_TRAD_AGG_RO_COMP[],I$1,0),"ERROR")</f>
        <v>352</v>
      </c>
      <c r="J15" s="216">
        <f t="shared" si="1"/>
        <v>0.20730270906949352</v>
      </c>
      <c r="K15" s="204">
        <f>IFERROR(VLOOKUP($B15,MMWR_TRAD_AGG_RO_COMP[],K$1,0),"ERROR")</f>
        <v>517</v>
      </c>
      <c r="L15" s="205">
        <f>IFERROR(VLOOKUP($B15,MMWR_TRAD_AGG_RO_COMP[],L$1,0),"ERROR")</f>
        <v>466</v>
      </c>
      <c r="M15" s="216">
        <f t="shared" si="2"/>
        <v>0.90135396518375244</v>
      </c>
      <c r="N15" s="204">
        <f>IFERROR(VLOOKUP($B15,MMWR_TRAD_AGG_RO_COMP[],N$1,0),"ERROR")</f>
        <v>1421</v>
      </c>
      <c r="O15" s="205">
        <f>IFERROR(VLOOKUP($B15,MMWR_TRAD_AGG_RO_COMP[],O$1,0),"ERROR")</f>
        <v>1215</v>
      </c>
      <c r="P15" s="216">
        <f t="shared" si="3"/>
        <v>0.85503166783954965</v>
      </c>
      <c r="Q15" s="201">
        <f>IFERROR(VLOOKUP($B15,MMWR_TRAD_AGG_RO_COMP[],Q$1,0),"ERROR")</f>
        <v>0</v>
      </c>
      <c r="R15" s="201">
        <f>IFERROR(VLOOKUP($B15,MMWR_TRAD_AGG_RO_COMP[],R$1,0),"ERROR")</f>
        <v>1</v>
      </c>
      <c r="S15" s="201">
        <f>IFERROR(VLOOKUP($B15,MMWR_APP_RO[],S$1,0),"ERROR")</f>
        <v>2442</v>
      </c>
      <c r="T15" s="25"/>
    </row>
    <row r="16" spans="1:20" x14ac:dyDescent="0.2">
      <c r="A16" s="107"/>
      <c r="B16" s="108" t="s">
        <v>63</v>
      </c>
      <c r="C16" s="209">
        <f>IFERROR(VLOOKUP($B16,MMWR_TRAD_AGG_RO_COMP[],C$1,0),"ERROR")</f>
        <v>4042</v>
      </c>
      <c r="D16" s="198">
        <f>IFERROR(VLOOKUP($B16,MMWR_TRAD_AGG_RO_COMP[],D$1,0),"ERROR")</f>
        <v>387.93567540819998</v>
      </c>
      <c r="E16" s="195">
        <f>IFERROR(VLOOKUP($B16,MMWR_TRAD_AGG_RO_COMP[],E$1,0),"ERROR")</f>
        <v>13564</v>
      </c>
      <c r="F16" s="191">
        <f>IFERROR(VLOOKUP($B16,MMWR_TRAD_AGG_RO_COMP[],F$1,0),"ERROR")</f>
        <v>3617</v>
      </c>
      <c r="G16" s="216">
        <f t="shared" si="0"/>
        <v>0.26666175169566497</v>
      </c>
      <c r="H16" s="190">
        <f>IFERROR(VLOOKUP($B16,MMWR_TRAD_AGG_RO_COMP[],H$1,0),"ERROR")</f>
        <v>8071</v>
      </c>
      <c r="I16" s="191">
        <f>IFERROR(VLOOKUP($B16,MMWR_TRAD_AGG_RO_COMP[],I$1,0),"ERROR")</f>
        <v>4131</v>
      </c>
      <c r="J16" s="216">
        <f t="shared" si="1"/>
        <v>0.51183248668070869</v>
      </c>
      <c r="K16" s="204">
        <f>IFERROR(VLOOKUP($B16,MMWR_TRAD_AGG_RO_COMP[],K$1,0),"ERROR")</f>
        <v>1672</v>
      </c>
      <c r="L16" s="205">
        <f>IFERROR(VLOOKUP($B16,MMWR_TRAD_AGG_RO_COMP[],L$1,0),"ERROR")</f>
        <v>1394</v>
      </c>
      <c r="M16" s="216">
        <f t="shared" si="2"/>
        <v>0.83373205741626799</v>
      </c>
      <c r="N16" s="204">
        <f>IFERROR(VLOOKUP($B16,MMWR_TRAD_AGG_RO_COMP[],N$1,0),"ERROR")</f>
        <v>6921</v>
      </c>
      <c r="O16" s="205">
        <f>IFERROR(VLOOKUP($B16,MMWR_TRAD_AGG_RO_COMP[],O$1,0),"ERROR")</f>
        <v>6334</v>
      </c>
      <c r="P16" s="216">
        <f t="shared" si="3"/>
        <v>0.91518566681115443</v>
      </c>
      <c r="Q16" s="201">
        <f>IFERROR(VLOOKUP($B16,MMWR_TRAD_AGG_RO_COMP[],Q$1,0),"ERROR")</f>
        <v>13981</v>
      </c>
      <c r="R16" s="201">
        <f>IFERROR(VLOOKUP($B16,MMWR_TRAD_AGG_RO_COMP[],R$1,0),"ERROR")</f>
        <v>0</v>
      </c>
      <c r="S16" s="201">
        <f>IFERROR(VLOOKUP($B16,MMWR_APP_RO[],S$1,0),"ERROR")</f>
        <v>5950</v>
      </c>
      <c r="T16" s="25"/>
    </row>
    <row r="17" spans="1:20" x14ac:dyDescent="0.2">
      <c r="A17" s="107"/>
      <c r="B17" s="108" t="s">
        <v>65</v>
      </c>
      <c r="C17" s="209">
        <f>IFERROR(VLOOKUP($B17,MMWR_TRAD_AGG_RO_COMP[],C$1,0),"ERROR")</f>
        <v>2819</v>
      </c>
      <c r="D17" s="198">
        <f>IFERROR(VLOOKUP($B17,MMWR_TRAD_AGG_RO_COMP[],D$1,0),"ERROR")</f>
        <v>358.65980844270001</v>
      </c>
      <c r="E17" s="195">
        <f>IFERROR(VLOOKUP($B17,MMWR_TRAD_AGG_RO_COMP[],E$1,0),"ERROR")</f>
        <v>4655</v>
      </c>
      <c r="F17" s="191">
        <f>IFERROR(VLOOKUP($B17,MMWR_TRAD_AGG_RO_COMP[],F$1,0),"ERROR")</f>
        <v>1405</v>
      </c>
      <c r="G17" s="216">
        <f t="shared" si="0"/>
        <v>0.30182599355531686</v>
      </c>
      <c r="H17" s="190">
        <f>IFERROR(VLOOKUP($B17,MMWR_TRAD_AGG_RO_COMP[],H$1,0),"ERROR")</f>
        <v>5382</v>
      </c>
      <c r="I17" s="191">
        <f>IFERROR(VLOOKUP($B17,MMWR_TRAD_AGG_RO_COMP[],I$1,0),"ERROR")</f>
        <v>2788</v>
      </c>
      <c r="J17" s="216">
        <f t="shared" si="1"/>
        <v>0.51802303976217023</v>
      </c>
      <c r="K17" s="204">
        <f>IFERROR(VLOOKUP($B17,MMWR_TRAD_AGG_RO_COMP[],K$1,0),"ERROR")</f>
        <v>592</v>
      </c>
      <c r="L17" s="205">
        <f>IFERROR(VLOOKUP($B17,MMWR_TRAD_AGG_RO_COMP[],L$1,0),"ERROR")</f>
        <v>479</v>
      </c>
      <c r="M17" s="216">
        <f t="shared" si="2"/>
        <v>0.8091216216216216</v>
      </c>
      <c r="N17" s="204">
        <f>IFERROR(VLOOKUP($B17,MMWR_TRAD_AGG_RO_COMP[],N$1,0),"ERROR")</f>
        <v>821</v>
      </c>
      <c r="O17" s="205">
        <f>IFERROR(VLOOKUP($B17,MMWR_TRAD_AGG_RO_COMP[],O$1,0),"ERROR")</f>
        <v>588</v>
      </c>
      <c r="P17" s="216">
        <f t="shared" si="3"/>
        <v>0.71619975639464073</v>
      </c>
      <c r="Q17" s="201">
        <f>IFERROR(VLOOKUP($B17,MMWR_TRAD_AGG_RO_COMP[],Q$1,0),"ERROR")</f>
        <v>0</v>
      </c>
      <c r="R17" s="201">
        <f>IFERROR(VLOOKUP($B17,MMWR_TRAD_AGG_RO_COMP[],R$1,0),"ERROR")</f>
        <v>1</v>
      </c>
      <c r="S17" s="201">
        <f>IFERROR(VLOOKUP($B17,MMWR_APP_RO[],S$1,0),"ERROR")</f>
        <v>4875</v>
      </c>
      <c r="T17" s="25"/>
    </row>
    <row r="18" spans="1:20" x14ac:dyDescent="0.2">
      <c r="A18" s="107"/>
      <c r="B18" s="108" t="s">
        <v>67</v>
      </c>
      <c r="C18" s="209">
        <f>IFERROR(VLOOKUP($B18,MMWR_TRAD_AGG_RO_COMP[],C$1,0),"ERROR")</f>
        <v>820</v>
      </c>
      <c r="D18" s="198">
        <f>IFERROR(VLOOKUP($B18,MMWR_TRAD_AGG_RO_COMP[],D$1,0),"ERROR")</f>
        <v>320.23292682930003</v>
      </c>
      <c r="E18" s="195">
        <f>IFERROR(VLOOKUP($B18,MMWR_TRAD_AGG_RO_COMP[],E$1,0),"ERROR")</f>
        <v>2555</v>
      </c>
      <c r="F18" s="191">
        <f>IFERROR(VLOOKUP($B18,MMWR_TRAD_AGG_RO_COMP[],F$1,0),"ERROR")</f>
        <v>364</v>
      </c>
      <c r="G18" s="216">
        <f t="shared" si="0"/>
        <v>0.14246575342465753</v>
      </c>
      <c r="H18" s="190">
        <f>IFERROR(VLOOKUP($B18,MMWR_TRAD_AGG_RO_COMP[],H$1,0),"ERROR")</f>
        <v>3015</v>
      </c>
      <c r="I18" s="191">
        <f>IFERROR(VLOOKUP($B18,MMWR_TRAD_AGG_RO_COMP[],I$1,0),"ERROR")</f>
        <v>824</v>
      </c>
      <c r="J18" s="216">
        <f t="shared" si="1"/>
        <v>0.27330016583747929</v>
      </c>
      <c r="K18" s="204">
        <f>IFERROR(VLOOKUP($B18,MMWR_TRAD_AGG_RO_COMP[],K$1,0),"ERROR")</f>
        <v>1445</v>
      </c>
      <c r="L18" s="205">
        <f>IFERROR(VLOOKUP($B18,MMWR_TRAD_AGG_RO_COMP[],L$1,0),"ERROR")</f>
        <v>1331</v>
      </c>
      <c r="M18" s="216">
        <f t="shared" si="2"/>
        <v>0.92110726643598617</v>
      </c>
      <c r="N18" s="204">
        <f>IFERROR(VLOOKUP($B18,MMWR_TRAD_AGG_RO_COMP[],N$1,0),"ERROR")</f>
        <v>429</v>
      </c>
      <c r="O18" s="205">
        <f>IFERROR(VLOOKUP($B18,MMWR_TRAD_AGG_RO_COMP[],O$1,0),"ERROR")</f>
        <v>247</v>
      </c>
      <c r="P18" s="216">
        <f t="shared" si="3"/>
        <v>0.5757575757575758</v>
      </c>
      <c r="Q18" s="201">
        <f>IFERROR(VLOOKUP($B18,MMWR_TRAD_AGG_RO_COMP[],Q$1,0),"ERROR")</f>
        <v>0</v>
      </c>
      <c r="R18" s="201">
        <f>IFERROR(VLOOKUP($B18,MMWR_TRAD_AGG_RO_COMP[],R$1,0),"ERROR")</f>
        <v>1</v>
      </c>
      <c r="S18" s="201">
        <f>IFERROR(VLOOKUP($B18,MMWR_APP_RO[],S$1,0),"ERROR")</f>
        <v>1078</v>
      </c>
      <c r="T18" s="25"/>
    </row>
    <row r="19" spans="1:20" x14ac:dyDescent="0.2">
      <c r="A19" s="107"/>
      <c r="B19" s="108" t="s">
        <v>69</v>
      </c>
      <c r="C19" s="209">
        <f>IFERROR(VLOOKUP($B19,MMWR_TRAD_AGG_RO_COMP[],C$1,0),"ERROR")</f>
        <v>14033</v>
      </c>
      <c r="D19" s="198">
        <f>IFERROR(VLOOKUP($B19,MMWR_TRAD_AGG_RO_COMP[],D$1,0),"ERROR")</f>
        <v>307.85085156420001</v>
      </c>
      <c r="E19" s="195">
        <f>IFERROR(VLOOKUP($B19,MMWR_TRAD_AGG_RO_COMP[],E$1,0),"ERROR")</f>
        <v>12035</v>
      </c>
      <c r="F19" s="191">
        <f>IFERROR(VLOOKUP($B19,MMWR_TRAD_AGG_RO_COMP[],F$1,0),"ERROR")</f>
        <v>2238</v>
      </c>
      <c r="G19" s="216">
        <f t="shared" si="0"/>
        <v>0.18595762359783963</v>
      </c>
      <c r="H19" s="190">
        <f>IFERROR(VLOOKUP($B19,MMWR_TRAD_AGG_RO_COMP[],H$1,0),"ERROR")</f>
        <v>19821</v>
      </c>
      <c r="I19" s="191">
        <f>IFERROR(VLOOKUP($B19,MMWR_TRAD_AGG_RO_COMP[],I$1,0),"ERROR")</f>
        <v>9580</v>
      </c>
      <c r="J19" s="216">
        <f t="shared" si="1"/>
        <v>0.48332576560213913</v>
      </c>
      <c r="K19" s="204">
        <f>IFERROR(VLOOKUP($B19,MMWR_TRAD_AGG_RO_COMP[],K$1,0),"ERROR")</f>
        <v>7957</v>
      </c>
      <c r="L19" s="205">
        <f>IFERROR(VLOOKUP($B19,MMWR_TRAD_AGG_RO_COMP[],L$1,0),"ERROR")</f>
        <v>6295</v>
      </c>
      <c r="M19" s="216">
        <f t="shared" si="2"/>
        <v>0.79112730928741992</v>
      </c>
      <c r="N19" s="204">
        <f>IFERROR(VLOOKUP($B19,MMWR_TRAD_AGG_RO_COMP[],N$1,0),"ERROR")</f>
        <v>4624</v>
      </c>
      <c r="O19" s="205">
        <f>IFERROR(VLOOKUP($B19,MMWR_TRAD_AGG_RO_COMP[],O$1,0),"ERROR")</f>
        <v>4057</v>
      </c>
      <c r="P19" s="216">
        <f t="shared" si="3"/>
        <v>0.87737889273356406</v>
      </c>
      <c r="Q19" s="201">
        <f>IFERROR(VLOOKUP($B19,MMWR_TRAD_AGG_RO_COMP[],Q$1,0),"ERROR")</f>
        <v>5</v>
      </c>
      <c r="R19" s="201">
        <f>IFERROR(VLOOKUP($B19,MMWR_TRAD_AGG_RO_COMP[],R$1,0),"ERROR")</f>
        <v>7</v>
      </c>
      <c r="S19" s="201">
        <f>IFERROR(VLOOKUP($B19,MMWR_APP_RO[],S$1,0),"ERROR")</f>
        <v>14802</v>
      </c>
      <c r="T19" s="25"/>
    </row>
    <row r="20" spans="1:20" x14ac:dyDescent="0.2">
      <c r="A20" s="107"/>
      <c r="B20" s="108" t="s">
        <v>78</v>
      </c>
      <c r="C20" s="209">
        <f>IFERROR(VLOOKUP($B20,MMWR_TRAD_AGG_RO_COMP[],C$1,0),"ERROR")</f>
        <v>1284</v>
      </c>
      <c r="D20" s="198">
        <f>IFERROR(VLOOKUP($B20,MMWR_TRAD_AGG_RO_COMP[],D$1,0),"ERROR")</f>
        <v>266.32710280369997</v>
      </c>
      <c r="E20" s="195">
        <f>IFERROR(VLOOKUP($B20,MMWR_TRAD_AGG_RO_COMP[],E$1,0),"ERROR")</f>
        <v>1545</v>
      </c>
      <c r="F20" s="191">
        <f>IFERROR(VLOOKUP($B20,MMWR_TRAD_AGG_RO_COMP[],F$1,0),"ERROR")</f>
        <v>185</v>
      </c>
      <c r="G20" s="216">
        <f t="shared" si="0"/>
        <v>0.11974110032362459</v>
      </c>
      <c r="H20" s="190">
        <f>IFERROR(VLOOKUP($B20,MMWR_TRAD_AGG_RO_COMP[],H$1,0),"ERROR")</f>
        <v>2438</v>
      </c>
      <c r="I20" s="191">
        <f>IFERROR(VLOOKUP($B20,MMWR_TRAD_AGG_RO_COMP[],I$1,0),"ERROR")</f>
        <v>1008</v>
      </c>
      <c r="J20" s="216">
        <f t="shared" si="1"/>
        <v>0.41345365053322397</v>
      </c>
      <c r="K20" s="204">
        <f>IFERROR(VLOOKUP($B20,MMWR_TRAD_AGG_RO_COMP[],K$1,0),"ERROR")</f>
        <v>853</v>
      </c>
      <c r="L20" s="205">
        <f>IFERROR(VLOOKUP($B20,MMWR_TRAD_AGG_RO_COMP[],L$1,0),"ERROR")</f>
        <v>631</v>
      </c>
      <c r="M20" s="216">
        <f t="shared" si="2"/>
        <v>0.73974208675263775</v>
      </c>
      <c r="N20" s="204">
        <f>IFERROR(VLOOKUP($B20,MMWR_TRAD_AGG_RO_COMP[],N$1,0),"ERROR")</f>
        <v>227</v>
      </c>
      <c r="O20" s="205">
        <f>IFERROR(VLOOKUP($B20,MMWR_TRAD_AGG_RO_COMP[],O$1,0),"ERROR")</f>
        <v>156</v>
      </c>
      <c r="P20" s="216">
        <f t="shared" si="3"/>
        <v>0.68722466960352424</v>
      </c>
      <c r="Q20" s="201">
        <f>IFERROR(VLOOKUP($B20,MMWR_TRAD_AGG_RO_COMP[],Q$1,0),"ERROR")</f>
        <v>1</v>
      </c>
      <c r="R20" s="201">
        <f>IFERROR(VLOOKUP($B20,MMWR_TRAD_AGG_RO_COMP[],R$1,0),"ERROR")</f>
        <v>0</v>
      </c>
      <c r="S20" s="201">
        <f>IFERROR(VLOOKUP($B20,MMWR_APP_RO[],S$1,0),"ERROR")</f>
        <v>946</v>
      </c>
      <c r="T20" s="25"/>
    </row>
    <row r="21" spans="1:20" x14ac:dyDescent="0.2">
      <c r="A21" s="107"/>
      <c r="B21" s="108" t="s">
        <v>429</v>
      </c>
      <c r="C21" s="209">
        <f>IFERROR(VLOOKUP($B21,MMWR_TRAD_AGG_RO_COMP[],C$1,0),"ERROR")</f>
        <v>5168</v>
      </c>
      <c r="D21" s="198">
        <f>IFERROR(VLOOKUP($B21,MMWR_TRAD_AGG_RO_COMP[],D$1,0),"ERROR")</f>
        <v>888.4200851393</v>
      </c>
      <c r="E21" s="195">
        <f>IFERROR(VLOOKUP($B21,MMWR_TRAD_AGG_RO_COMP[],E$1,0),"ERROR")</f>
        <v>819</v>
      </c>
      <c r="F21" s="191">
        <f>IFERROR(VLOOKUP($B21,MMWR_TRAD_AGG_RO_COMP[],F$1,0),"ERROR")</f>
        <v>110</v>
      </c>
      <c r="G21" s="216">
        <f t="shared" si="0"/>
        <v>0.1343101343101343</v>
      </c>
      <c r="H21" s="190">
        <f>IFERROR(VLOOKUP($B21,MMWR_TRAD_AGG_RO_COMP[],H$1,0),"ERROR")</f>
        <v>5551</v>
      </c>
      <c r="I21" s="191">
        <f>IFERROR(VLOOKUP($B21,MMWR_TRAD_AGG_RO_COMP[],I$1,0),"ERROR")</f>
        <v>4341</v>
      </c>
      <c r="J21" s="216">
        <f t="shared" si="1"/>
        <v>0.78202125743109352</v>
      </c>
      <c r="K21" s="204">
        <f>IFERROR(VLOOKUP($B21,MMWR_TRAD_AGG_RO_COMP[],K$1,0),"ERROR")</f>
        <v>1050</v>
      </c>
      <c r="L21" s="205">
        <f>IFERROR(VLOOKUP($B21,MMWR_TRAD_AGG_RO_COMP[],L$1,0),"ERROR")</f>
        <v>711</v>
      </c>
      <c r="M21" s="216">
        <f t="shared" si="2"/>
        <v>0.67714285714285716</v>
      </c>
      <c r="N21" s="204">
        <f>IFERROR(VLOOKUP($B21,MMWR_TRAD_AGG_RO_COMP[],N$1,0),"ERROR")</f>
        <v>1121</v>
      </c>
      <c r="O21" s="205">
        <f>IFERROR(VLOOKUP($B21,MMWR_TRAD_AGG_RO_COMP[],O$1,0),"ERROR")</f>
        <v>1110</v>
      </c>
      <c r="P21" s="216">
        <f t="shared" si="3"/>
        <v>0.99018733273862625</v>
      </c>
      <c r="Q21" s="201">
        <f>IFERROR(VLOOKUP($B21,MMWR_TRAD_AGG_RO_COMP[],Q$1,0),"ERROR")</f>
        <v>0</v>
      </c>
      <c r="R21" s="201">
        <f>IFERROR(VLOOKUP($B21,MMWR_TRAD_AGG_RO_COMP[],R$1,0),"ERROR")</f>
        <v>0</v>
      </c>
      <c r="S21" s="201">
        <f>IFERROR(VLOOKUP($B21,MMWR_APP_RO[],S$1,0),"ERROR")</f>
        <v>35</v>
      </c>
      <c r="T21" s="25"/>
    </row>
    <row r="22" spans="1:20" x14ac:dyDescent="0.2">
      <c r="A22" s="107"/>
      <c r="B22" s="108" t="s">
        <v>135</v>
      </c>
      <c r="C22" s="209">
        <f>IFERROR(VLOOKUP($B22,MMWR_TRAD_AGG_RO_COMP[],C$1,0),"ERROR")</f>
        <v>475</v>
      </c>
      <c r="D22" s="198">
        <f>IFERROR(VLOOKUP($B22,MMWR_TRAD_AGG_RO_COMP[],D$1,0),"ERROR")</f>
        <v>337.58105263160002</v>
      </c>
      <c r="E22" s="195">
        <f>IFERROR(VLOOKUP($B22,MMWR_TRAD_AGG_RO_COMP[],E$1,0),"ERROR")</f>
        <v>496</v>
      </c>
      <c r="F22" s="191">
        <f>IFERROR(VLOOKUP($B22,MMWR_TRAD_AGG_RO_COMP[],F$1,0),"ERROR")</f>
        <v>115</v>
      </c>
      <c r="G22" s="216">
        <f t="shared" si="0"/>
        <v>0.23185483870967741</v>
      </c>
      <c r="H22" s="190">
        <f>IFERROR(VLOOKUP($B22,MMWR_TRAD_AGG_RO_COMP[],H$1,0),"ERROR")</f>
        <v>1096</v>
      </c>
      <c r="I22" s="191">
        <f>IFERROR(VLOOKUP($B22,MMWR_TRAD_AGG_RO_COMP[],I$1,0),"ERROR")</f>
        <v>429</v>
      </c>
      <c r="J22" s="216">
        <f t="shared" si="1"/>
        <v>0.39142335766423358</v>
      </c>
      <c r="K22" s="204">
        <f>IFERROR(VLOOKUP($B22,MMWR_TRAD_AGG_RO_COMP[],K$1,0),"ERROR")</f>
        <v>215</v>
      </c>
      <c r="L22" s="205">
        <f>IFERROR(VLOOKUP($B22,MMWR_TRAD_AGG_RO_COMP[],L$1,0),"ERROR")</f>
        <v>128</v>
      </c>
      <c r="M22" s="216">
        <f t="shared" si="2"/>
        <v>0.59534883720930232</v>
      </c>
      <c r="N22" s="204">
        <f>IFERROR(VLOOKUP($B22,MMWR_TRAD_AGG_RO_COMP[],N$1,0),"ERROR")</f>
        <v>194</v>
      </c>
      <c r="O22" s="205">
        <f>IFERROR(VLOOKUP($B22,MMWR_TRAD_AGG_RO_COMP[],O$1,0),"ERROR")</f>
        <v>128</v>
      </c>
      <c r="P22" s="216">
        <f t="shared" si="3"/>
        <v>0.65979381443298968</v>
      </c>
      <c r="Q22" s="201">
        <f>IFERROR(VLOOKUP($B22,MMWR_TRAD_AGG_RO_COMP[],Q$1,0),"ERROR")</f>
        <v>1</v>
      </c>
      <c r="R22" s="201">
        <f>IFERROR(VLOOKUP($B22,MMWR_TRAD_AGG_RO_COMP[],R$1,0),"ERROR")</f>
        <v>2</v>
      </c>
      <c r="S22" s="201">
        <f>IFERROR(VLOOKUP($B22,MMWR_APP_RO[],S$1,0),"ERROR")</f>
        <v>199</v>
      </c>
      <c r="T22" s="25"/>
    </row>
    <row r="23" spans="1:20" x14ac:dyDescent="0.2">
      <c r="A23" s="107"/>
      <c r="B23" s="108" t="s">
        <v>82</v>
      </c>
      <c r="C23" s="209">
        <f>IFERROR(VLOOKUP($B23,MMWR_TRAD_AGG_RO_COMP[],C$1,0),"ERROR")</f>
        <v>452</v>
      </c>
      <c r="D23" s="198">
        <f>IFERROR(VLOOKUP($B23,MMWR_TRAD_AGG_RO_COMP[],D$1,0),"ERROR")</f>
        <v>386.435840708</v>
      </c>
      <c r="E23" s="195">
        <f>IFERROR(VLOOKUP($B23,MMWR_TRAD_AGG_RO_COMP[],E$1,0),"ERROR")</f>
        <v>807</v>
      </c>
      <c r="F23" s="191">
        <f>IFERROR(VLOOKUP($B23,MMWR_TRAD_AGG_RO_COMP[],F$1,0),"ERROR")</f>
        <v>186</v>
      </c>
      <c r="G23" s="216">
        <f t="shared" si="0"/>
        <v>0.23048327137546468</v>
      </c>
      <c r="H23" s="190">
        <f>IFERROR(VLOOKUP($B23,MMWR_TRAD_AGG_RO_COMP[],H$1,0),"ERROR")</f>
        <v>797</v>
      </c>
      <c r="I23" s="191">
        <f>IFERROR(VLOOKUP($B23,MMWR_TRAD_AGG_RO_COMP[],I$1,0),"ERROR")</f>
        <v>353</v>
      </c>
      <c r="J23" s="216">
        <f t="shared" si="1"/>
        <v>0.44291091593475534</v>
      </c>
      <c r="K23" s="204">
        <f>IFERROR(VLOOKUP($B23,MMWR_TRAD_AGG_RO_COMP[],K$1,0),"ERROR")</f>
        <v>49</v>
      </c>
      <c r="L23" s="205">
        <f>IFERROR(VLOOKUP($B23,MMWR_TRAD_AGG_RO_COMP[],L$1,0),"ERROR")</f>
        <v>46</v>
      </c>
      <c r="M23" s="216">
        <f t="shared" si="2"/>
        <v>0.93877551020408168</v>
      </c>
      <c r="N23" s="204">
        <f>IFERROR(VLOOKUP($B23,MMWR_TRAD_AGG_RO_COMP[],N$1,0),"ERROR")</f>
        <v>92</v>
      </c>
      <c r="O23" s="205">
        <f>IFERROR(VLOOKUP($B23,MMWR_TRAD_AGG_RO_COMP[],O$1,0),"ERROR")</f>
        <v>53</v>
      </c>
      <c r="P23" s="216">
        <f t="shared" si="3"/>
        <v>0.57608695652173914</v>
      </c>
      <c r="Q23" s="201">
        <f>IFERROR(VLOOKUP($B23,MMWR_TRAD_AGG_RO_COMP[],Q$1,0),"ERROR")</f>
        <v>0</v>
      </c>
      <c r="R23" s="201">
        <f>IFERROR(VLOOKUP($B23,MMWR_TRAD_AGG_RO_COMP[],R$1,0),"ERROR")</f>
        <v>0</v>
      </c>
      <c r="S23" s="201">
        <f>IFERROR(VLOOKUP($B23,MMWR_APP_RO[],S$1,0),"ERROR")</f>
        <v>147</v>
      </c>
      <c r="T23" s="25"/>
    </row>
    <row r="24" spans="1:20" x14ac:dyDescent="0.2">
      <c r="A24" s="92"/>
      <c r="B24" s="116" t="s">
        <v>83</v>
      </c>
      <c r="C24" s="210">
        <f>IFERROR(VLOOKUP($B24,MMWR_TRAD_AGG_RO_COMP[],C$1,0),"ERROR")</f>
        <v>15501</v>
      </c>
      <c r="D24" s="199">
        <f>IFERROR(VLOOKUP($B24,MMWR_TRAD_AGG_RO_COMP[],D$1,0),"ERROR")</f>
        <v>299.48912973360001</v>
      </c>
      <c r="E24" s="196">
        <f>IFERROR(VLOOKUP($B24,MMWR_TRAD_AGG_RO_COMP[],E$1,0),"ERROR")</f>
        <v>18763</v>
      </c>
      <c r="F24" s="193">
        <f>IFERROR(VLOOKUP($B24,MMWR_TRAD_AGG_RO_COMP[],F$1,0),"ERROR")</f>
        <v>4106</v>
      </c>
      <c r="G24" s="217">
        <f t="shared" si="0"/>
        <v>0.21883494110749879</v>
      </c>
      <c r="H24" s="192">
        <f>IFERROR(VLOOKUP($B24,MMWR_TRAD_AGG_RO_COMP[],H$1,0),"ERROR")</f>
        <v>27617</v>
      </c>
      <c r="I24" s="193">
        <f>IFERROR(VLOOKUP($B24,MMWR_TRAD_AGG_RO_COMP[],I$1,0),"ERROR")</f>
        <v>15627</v>
      </c>
      <c r="J24" s="217">
        <f t="shared" si="1"/>
        <v>0.56584712314878516</v>
      </c>
      <c r="K24" s="206">
        <f>IFERROR(VLOOKUP($B24,MMWR_TRAD_AGG_RO_COMP[],K$1,0),"ERROR")</f>
        <v>12676</v>
      </c>
      <c r="L24" s="207">
        <f>IFERROR(VLOOKUP($B24,MMWR_TRAD_AGG_RO_COMP[],L$1,0),"ERROR")</f>
        <v>9165</v>
      </c>
      <c r="M24" s="217">
        <f t="shared" si="2"/>
        <v>0.72301988008835594</v>
      </c>
      <c r="N24" s="206">
        <f>IFERROR(VLOOKUP($B24,MMWR_TRAD_AGG_RO_COMP[],N$1,0),"ERROR")</f>
        <v>4313</v>
      </c>
      <c r="O24" s="207">
        <f>IFERROR(VLOOKUP($B24,MMWR_TRAD_AGG_RO_COMP[],O$1,0),"ERROR")</f>
        <v>3214</v>
      </c>
      <c r="P24" s="217">
        <f t="shared" si="3"/>
        <v>0.74518896359842335</v>
      </c>
      <c r="Q24" s="202">
        <f>IFERROR(VLOOKUP($B24,MMWR_TRAD_AGG_RO_COMP[],Q$1,0),"ERROR")</f>
        <v>1</v>
      </c>
      <c r="R24" s="202">
        <f>IFERROR(VLOOKUP($B24,MMWR_TRAD_AGG_RO_COMP[],R$1,0),"ERROR")</f>
        <v>15</v>
      </c>
      <c r="S24" s="201">
        <f>IFERROR(VLOOKUP($B24,MMWR_APP_RO[],S$1,0),"ERROR")</f>
        <v>8469</v>
      </c>
      <c r="T24" s="25"/>
    </row>
    <row r="25" spans="1:20" x14ac:dyDescent="0.2">
      <c r="A25" s="107"/>
      <c r="B25" s="101" t="s">
        <v>389</v>
      </c>
      <c r="C25" s="212">
        <f>IFERROR(VLOOKUP($B25,MMWR_TRAD_AGG_DISTRICT_COMP[],C$1,0),"ERROR")</f>
        <v>31963</v>
      </c>
      <c r="D25" s="197">
        <f>IFERROR(VLOOKUP($B25,MMWR_TRAD_AGG_DISTRICT_COMP[],D$1,0),"ERROR")</f>
        <v>312.242561712</v>
      </c>
      <c r="E25" s="213">
        <f>IFERROR(VLOOKUP($B25,MMWR_TRAD_AGG_DISTRICT_COMP[],E$1,0),"ERROR")</f>
        <v>60062</v>
      </c>
      <c r="F25" s="218">
        <f>IFERROR(VLOOKUP($B25,MMWR_TRAD_AGG_DISTRICT_COMP[],F$1,0),"ERROR")</f>
        <v>11884</v>
      </c>
      <c r="G25" s="214">
        <f t="shared" si="0"/>
        <v>0.19786220905064766</v>
      </c>
      <c r="H25" s="218">
        <f>IFERROR(VLOOKUP($B25,MMWR_TRAD_AGG_DISTRICT_COMP[],H$1,0),"ERROR")</f>
        <v>72261</v>
      </c>
      <c r="I25" s="218">
        <f>IFERROR(VLOOKUP($B25,MMWR_TRAD_AGG_DISTRICT_COMP[],I$1,0),"ERROR")</f>
        <v>27377</v>
      </c>
      <c r="J25" s="214">
        <f t="shared" si="1"/>
        <v>0.37886273370144335</v>
      </c>
      <c r="K25" s="212">
        <f>IFERROR(VLOOKUP($B25,MMWR_TRAD_AGG_DISTRICT_COMP[],K$1,0),"ERROR")</f>
        <v>19021</v>
      </c>
      <c r="L25" s="212">
        <f>IFERROR(VLOOKUP($B25,MMWR_TRAD_AGG_DISTRICT_COMP[],L$1,0),"ERROR")</f>
        <v>14441</v>
      </c>
      <c r="M25" s="214">
        <f t="shared" si="2"/>
        <v>0.75921350086746231</v>
      </c>
      <c r="N25" s="212">
        <f>IFERROR(VLOOKUP($B25,MMWR_TRAD_AGG_DISTRICT_COMP[],N$1,0),"ERROR")</f>
        <v>12124</v>
      </c>
      <c r="O25" s="212">
        <f>IFERROR(VLOOKUP($B25,MMWR_TRAD_AGG_DISTRICT_COMP[],O$1,0),"ERROR")</f>
        <v>8514</v>
      </c>
      <c r="P25" s="214">
        <f t="shared" si="3"/>
        <v>0.70224348399868031</v>
      </c>
      <c r="Q25" s="212">
        <f>IFERROR(VLOOKUP($B25,MMWR_TRAD_AGG_DISTRICT_COMP[],Q$1,0),"ERROR")</f>
        <v>7560</v>
      </c>
      <c r="R25" s="215">
        <f>IFERROR(VLOOKUP($B25,MMWR_TRAD_AGG_DISTRICT_COMP[],R$1,0),"ERROR")</f>
        <v>1088</v>
      </c>
      <c r="S25" s="215">
        <f>IFERROR(VLOOKUP($B25,MMWR_APP_RO[],S$1,0),"ERROR")</f>
        <v>50278</v>
      </c>
      <c r="T25" s="25"/>
    </row>
    <row r="26" spans="1:20" x14ac:dyDescent="0.2">
      <c r="A26" s="107"/>
      <c r="B26" s="108" t="s">
        <v>37</v>
      </c>
      <c r="C26" s="209">
        <f>IFERROR(VLOOKUP($B26,MMWR_TRAD_AGG_RO_COMP[],C$1,0),"ERROR")</f>
        <v>4381</v>
      </c>
      <c r="D26" s="198">
        <f>IFERROR(VLOOKUP($B26,MMWR_TRAD_AGG_RO_COMP[],D$1,0),"ERROR")</f>
        <v>488.4382561059</v>
      </c>
      <c r="E26" s="195">
        <f>IFERROR(VLOOKUP($B26,MMWR_TRAD_AGG_RO_COMP[],E$1,0),"ERROR")</f>
        <v>6307</v>
      </c>
      <c r="F26" s="191">
        <f>IFERROR(VLOOKUP($B26,MMWR_TRAD_AGG_RO_COMP[],F$1,0),"ERROR")</f>
        <v>1773</v>
      </c>
      <c r="G26" s="216">
        <f t="shared" si="0"/>
        <v>0.28111622007293485</v>
      </c>
      <c r="H26" s="190">
        <f>IFERROR(VLOOKUP($B26,MMWR_TRAD_AGG_RO_COMP[],H$1,0),"ERROR")</f>
        <v>7687</v>
      </c>
      <c r="I26" s="191">
        <f>IFERROR(VLOOKUP($B26,MMWR_TRAD_AGG_RO_COMP[],I$1,0),"ERROR")</f>
        <v>4464</v>
      </c>
      <c r="J26" s="216">
        <f t="shared" si="1"/>
        <v>0.58072069728112397</v>
      </c>
      <c r="K26" s="204">
        <f>IFERROR(VLOOKUP($B26,MMWR_TRAD_AGG_RO_COMP[],K$1,0),"ERROR")</f>
        <v>1737</v>
      </c>
      <c r="L26" s="205">
        <f>IFERROR(VLOOKUP($B26,MMWR_TRAD_AGG_RO_COMP[],L$1,0),"ERROR")</f>
        <v>1615</v>
      </c>
      <c r="M26" s="216">
        <f t="shared" si="2"/>
        <v>0.92976396085204371</v>
      </c>
      <c r="N26" s="204">
        <f>IFERROR(VLOOKUP($B26,MMWR_TRAD_AGG_RO_COMP[],N$1,0),"ERROR")</f>
        <v>1486</v>
      </c>
      <c r="O26" s="205">
        <f>IFERROR(VLOOKUP($B26,MMWR_TRAD_AGG_RO_COMP[],O$1,0),"ERROR")</f>
        <v>955</v>
      </c>
      <c r="P26" s="216">
        <f t="shared" si="3"/>
        <v>0.64266487213997303</v>
      </c>
      <c r="Q26" s="201">
        <f>IFERROR(VLOOKUP($B26,MMWR_TRAD_AGG_RO_COMP[],Q$1,0),"ERROR")</f>
        <v>0</v>
      </c>
      <c r="R26" s="201">
        <f>IFERROR(VLOOKUP($B26,MMWR_TRAD_AGG_RO_COMP[],R$1,0),"ERROR")</f>
        <v>215</v>
      </c>
      <c r="S26" s="201">
        <f>IFERROR(VLOOKUP($B26,MMWR_APP_RO[],S$1,0),"ERROR")</f>
        <v>8209</v>
      </c>
      <c r="T26" s="25"/>
    </row>
    <row r="27" spans="1:20" x14ac:dyDescent="0.2">
      <c r="A27" s="107"/>
      <c r="B27" s="108" t="s">
        <v>38</v>
      </c>
      <c r="C27" s="209">
        <f>IFERROR(VLOOKUP($B27,MMWR_TRAD_AGG_RO_COMP[],C$1,0),"ERROR")</f>
        <v>4274</v>
      </c>
      <c r="D27" s="198">
        <f>IFERROR(VLOOKUP($B27,MMWR_TRAD_AGG_RO_COMP[],D$1,0),"ERROR")</f>
        <v>367.20074871309998</v>
      </c>
      <c r="E27" s="195">
        <f>IFERROR(VLOOKUP($B27,MMWR_TRAD_AGG_RO_COMP[],E$1,0),"ERROR")</f>
        <v>7663</v>
      </c>
      <c r="F27" s="191">
        <f>IFERROR(VLOOKUP($B27,MMWR_TRAD_AGG_RO_COMP[],F$1,0),"ERROR")</f>
        <v>1593</v>
      </c>
      <c r="G27" s="216">
        <f t="shared" si="0"/>
        <v>0.20788203053634347</v>
      </c>
      <c r="H27" s="190">
        <f>IFERROR(VLOOKUP($B27,MMWR_TRAD_AGG_RO_COMP[],H$1,0),"ERROR")</f>
        <v>7987</v>
      </c>
      <c r="I27" s="191">
        <f>IFERROR(VLOOKUP($B27,MMWR_TRAD_AGG_RO_COMP[],I$1,0),"ERROR")</f>
        <v>3270</v>
      </c>
      <c r="J27" s="216">
        <f t="shared" si="1"/>
        <v>0.40941529986227621</v>
      </c>
      <c r="K27" s="204">
        <f>IFERROR(VLOOKUP($B27,MMWR_TRAD_AGG_RO_COMP[],K$1,0),"ERROR")</f>
        <v>1974</v>
      </c>
      <c r="L27" s="205">
        <f>IFERROR(VLOOKUP($B27,MMWR_TRAD_AGG_RO_COMP[],L$1,0),"ERROR")</f>
        <v>1795</v>
      </c>
      <c r="M27" s="216">
        <f t="shared" si="2"/>
        <v>0.90932117527862211</v>
      </c>
      <c r="N27" s="204">
        <f>IFERROR(VLOOKUP($B27,MMWR_TRAD_AGG_RO_COMP[],N$1,0),"ERROR")</f>
        <v>2861</v>
      </c>
      <c r="O27" s="205">
        <f>IFERROR(VLOOKUP($B27,MMWR_TRAD_AGG_RO_COMP[],O$1,0),"ERROR")</f>
        <v>2282</v>
      </c>
      <c r="P27" s="216">
        <f t="shared" si="3"/>
        <v>0.79762320866829783</v>
      </c>
      <c r="Q27" s="201">
        <f>IFERROR(VLOOKUP($B27,MMWR_TRAD_AGG_RO_COMP[],Q$1,0),"ERROR")</f>
        <v>1</v>
      </c>
      <c r="R27" s="201">
        <f>IFERROR(VLOOKUP($B27,MMWR_TRAD_AGG_RO_COMP[],R$1,0),"ERROR")</f>
        <v>333</v>
      </c>
      <c r="S27" s="201">
        <f>IFERROR(VLOOKUP($B27,MMWR_APP_RO[],S$1,0),"ERROR")</f>
        <v>12289</v>
      </c>
      <c r="T27" s="25"/>
    </row>
    <row r="28" spans="1:20" x14ac:dyDescent="0.2">
      <c r="A28" s="107"/>
      <c r="B28" s="108" t="s">
        <v>41</v>
      </c>
      <c r="C28" s="209">
        <f>IFERROR(VLOOKUP($B28,MMWR_TRAD_AGG_RO_COMP[],C$1,0),"ERROR")</f>
        <v>618</v>
      </c>
      <c r="D28" s="198">
        <f>IFERROR(VLOOKUP($B28,MMWR_TRAD_AGG_RO_COMP[],D$1,0),"ERROR")</f>
        <v>116.2087378641</v>
      </c>
      <c r="E28" s="195">
        <f>IFERROR(VLOOKUP($B28,MMWR_TRAD_AGG_RO_COMP[],E$1,0),"ERROR")</f>
        <v>2678</v>
      </c>
      <c r="F28" s="191">
        <f>IFERROR(VLOOKUP($B28,MMWR_TRAD_AGG_RO_COMP[],F$1,0),"ERROR")</f>
        <v>370</v>
      </c>
      <c r="G28" s="216">
        <f t="shared" si="0"/>
        <v>0.13816280806572068</v>
      </c>
      <c r="H28" s="190">
        <f>IFERROR(VLOOKUP($B28,MMWR_TRAD_AGG_RO_COMP[],H$1,0),"ERROR")</f>
        <v>2087</v>
      </c>
      <c r="I28" s="191">
        <f>IFERROR(VLOOKUP($B28,MMWR_TRAD_AGG_RO_COMP[],I$1,0),"ERROR")</f>
        <v>258</v>
      </c>
      <c r="J28" s="216">
        <f t="shared" si="1"/>
        <v>0.12362242453282224</v>
      </c>
      <c r="K28" s="204">
        <f>IFERROR(VLOOKUP($B28,MMWR_TRAD_AGG_RO_COMP[],K$1,0),"ERROR")</f>
        <v>159</v>
      </c>
      <c r="L28" s="205">
        <f>IFERROR(VLOOKUP($B28,MMWR_TRAD_AGG_RO_COMP[],L$1,0),"ERROR")</f>
        <v>84</v>
      </c>
      <c r="M28" s="216">
        <f t="shared" si="2"/>
        <v>0.52830188679245282</v>
      </c>
      <c r="N28" s="204">
        <f>IFERROR(VLOOKUP($B28,MMWR_TRAD_AGG_RO_COMP[],N$1,0),"ERROR")</f>
        <v>221</v>
      </c>
      <c r="O28" s="205">
        <f>IFERROR(VLOOKUP($B28,MMWR_TRAD_AGG_RO_COMP[],O$1,0),"ERROR")</f>
        <v>99</v>
      </c>
      <c r="P28" s="216">
        <f t="shared" si="3"/>
        <v>0.44796380090497739</v>
      </c>
      <c r="Q28" s="201">
        <f>IFERROR(VLOOKUP($B28,MMWR_TRAD_AGG_RO_COMP[],Q$1,0),"ERROR")</f>
        <v>0</v>
      </c>
      <c r="R28" s="201">
        <f>IFERROR(VLOOKUP($B28,MMWR_TRAD_AGG_RO_COMP[],R$1,0),"ERROR")</f>
        <v>9</v>
      </c>
      <c r="S28" s="201">
        <f>IFERROR(VLOOKUP($B28,MMWR_APP_RO[],S$1,0),"ERROR")</f>
        <v>1492</v>
      </c>
      <c r="T28" s="25"/>
    </row>
    <row r="29" spans="1:20" x14ac:dyDescent="0.2">
      <c r="A29" s="107"/>
      <c r="B29" s="108" t="s">
        <v>42</v>
      </c>
      <c r="C29" s="209">
        <f>IFERROR(VLOOKUP($B29,MMWR_TRAD_AGG_RO_COMP[],C$1,0),"ERROR")</f>
        <v>2435</v>
      </c>
      <c r="D29" s="198">
        <f>IFERROR(VLOOKUP($B29,MMWR_TRAD_AGG_RO_COMP[],D$1,0),"ERROR")</f>
        <v>375.24312114989999</v>
      </c>
      <c r="E29" s="195">
        <f>IFERROR(VLOOKUP($B29,MMWR_TRAD_AGG_RO_COMP[],E$1,0),"ERROR")</f>
        <v>7112</v>
      </c>
      <c r="F29" s="191">
        <f>IFERROR(VLOOKUP($B29,MMWR_TRAD_AGG_RO_COMP[],F$1,0),"ERROR")</f>
        <v>1725</v>
      </c>
      <c r="G29" s="216">
        <f t="shared" si="0"/>
        <v>0.24254780652418448</v>
      </c>
      <c r="H29" s="190">
        <f>IFERROR(VLOOKUP($B29,MMWR_TRAD_AGG_RO_COMP[],H$1,0),"ERROR")</f>
        <v>7269</v>
      </c>
      <c r="I29" s="191">
        <f>IFERROR(VLOOKUP($B29,MMWR_TRAD_AGG_RO_COMP[],I$1,0),"ERROR")</f>
        <v>3126</v>
      </c>
      <c r="J29" s="216">
        <f t="shared" si="1"/>
        <v>0.43004539826661164</v>
      </c>
      <c r="K29" s="204">
        <f>IFERROR(VLOOKUP($B29,MMWR_TRAD_AGG_RO_COMP[],K$1,0),"ERROR")</f>
        <v>2425</v>
      </c>
      <c r="L29" s="205">
        <f>IFERROR(VLOOKUP($B29,MMWR_TRAD_AGG_RO_COMP[],L$1,0),"ERROR")</f>
        <v>2183</v>
      </c>
      <c r="M29" s="216">
        <f t="shared" si="2"/>
        <v>0.90020618556701026</v>
      </c>
      <c r="N29" s="204">
        <f>IFERROR(VLOOKUP($B29,MMWR_TRAD_AGG_RO_COMP[],N$1,0),"ERROR")</f>
        <v>1127</v>
      </c>
      <c r="O29" s="205">
        <f>IFERROR(VLOOKUP($B29,MMWR_TRAD_AGG_RO_COMP[],O$1,0),"ERROR")</f>
        <v>543</v>
      </c>
      <c r="P29" s="216">
        <f t="shared" si="3"/>
        <v>0.48181011535048801</v>
      </c>
      <c r="Q29" s="201">
        <f>IFERROR(VLOOKUP($B29,MMWR_TRAD_AGG_RO_COMP[],Q$1,0),"ERROR")</f>
        <v>1</v>
      </c>
      <c r="R29" s="201">
        <f>IFERROR(VLOOKUP($B29,MMWR_TRAD_AGG_RO_COMP[],R$1,0),"ERROR")</f>
        <v>212</v>
      </c>
      <c r="S29" s="201">
        <f>IFERROR(VLOOKUP($B29,MMWR_APP_RO[],S$1,0),"ERROR")</f>
        <v>4701</v>
      </c>
      <c r="T29" s="25"/>
    </row>
    <row r="30" spans="1:20" x14ac:dyDescent="0.2">
      <c r="A30" s="107"/>
      <c r="B30" s="108" t="s">
        <v>43</v>
      </c>
      <c r="C30" s="209">
        <f>IFERROR(VLOOKUP($B30,MMWR_TRAD_AGG_RO_COMP[],C$1,0),"ERROR")</f>
        <v>254</v>
      </c>
      <c r="D30" s="198">
        <f>IFERROR(VLOOKUP($B30,MMWR_TRAD_AGG_RO_COMP[],D$1,0),"ERROR")</f>
        <v>85.433070866099996</v>
      </c>
      <c r="E30" s="195">
        <f>IFERROR(VLOOKUP($B30,MMWR_TRAD_AGG_RO_COMP[],E$1,0),"ERROR")</f>
        <v>1087</v>
      </c>
      <c r="F30" s="191">
        <f>IFERROR(VLOOKUP($B30,MMWR_TRAD_AGG_RO_COMP[],F$1,0),"ERROR")</f>
        <v>138</v>
      </c>
      <c r="G30" s="216">
        <f t="shared" si="0"/>
        <v>0.12695492180312787</v>
      </c>
      <c r="H30" s="190">
        <f>IFERROR(VLOOKUP($B30,MMWR_TRAD_AGG_RO_COMP[],H$1,0),"ERROR")</f>
        <v>1048</v>
      </c>
      <c r="I30" s="191">
        <f>IFERROR(VLOOKUP($B30,MMWR_TRAD_AGG_RO_COMP[],I$1,0),"ERROR")</f>
        <v>50</v>
      </c>
      <c r="J30" s="216">
        <f t="shared" si="1"/>
        <v>4.7709923664122141E-2</v>
      </c>
      <c r="K30" s="204">
        <f>IFERROR(VLOOKUP($B30,MMWR_TRAD_AGG_RO_COMP[],K$1,0),"ERROR")</f>
        <v>171</v>
      </c>
      <c r="L30" s="205">
        <f>IFERROR(VLOOKUP($B30,MMWR_TRAD_AGG_RO_COMP[],L$1,0),"ERROR")</f>
        <v>74</v>
      </c>
      <c r="M30" s="216">
        <f t="shared" si="2"/>
        <v>0.43274853801169588</v>
      </c>
      <c r="N30" s="204">
        <f>IFERROR(VLOOKUP($B30,MMWR_TRAD_AGG_RO_COMP[],N$1,0),"ERROR")</f>
        <v>62</v>
      </c>
      <c r="O30" s="205">
        <f>IFERROR(VLOOKUP($B30,MMWR_TRAD_AGG_RO_COMP[],O$1,0),"ERROR")</f>
        <v>42</v>
      </c>
      <c r="P30" s="216">
        <f t="shared" si="3"/>
        <v>0.67741935483870963</v>
      </c>
      <c r="Q30" s="201">
        <f>IFERROR(VLOOKUP($B30,MMWR_TRAD_AGG_RO_COMP[],Q$1,0),"ERROR")</f>
        <v>0</v>
      </c>
      <c r="R30" s="201">
        <f>IFERROR(VLOOKUP($B30,MMWR_TRAD_AGG_RO_COMP[],R$1,0),"ERROR")</f>
        <v>0</v>
      </c>
      <c r="S30" s="201">
        <f>IFERROR(VLOOKUP($B30,MMWR_APP_RO[],S$1,0),"ERROR")</f>
        <v>578</v>
      </c>
      <c r="T30" s="25"/>
    </row>
    <row r="31" spans="1:20" x14ac:dyDescent="0.2">
      <c r="A31" s="107"/>
      <c r="B31" s="108" t="s">
        <v>48</v>
      </c>
      <c r="C31" s="209">
        <f>IFERROR(VLOOKUP($B31,MMWR_TRAD_AGG_RO_COMP[],C$1,0),"ERROR")</f>
        <v>5263</v>
      </c>
      <c r="D31" s="198">
        <f>IFERROR(VLOOKUP($B31,MMWR_TRAD_AGG_RO_COMP[],D$1,0),"ERROR")</f>
        <v>519.20634619040004</v>
      </c>
      <c r="E31" s="195">
        <f>IFERROR(VLOOKUP($B31,MMWR_TRAD_AGG_RO_COMP[],E$1,0),"ERROR")</f>
        <v>4851</v>
      </c>
      <c r="F31" s="191">
        <f>IFERROR(VLOOKUP($B31,MMWR_TRAD_AGG_RO_COMP[],F$1,0),"ERROR")</f>
        <v>869</v>
      </c>
      <c r="G31" s="216">
        <f t="shared" si="0"/>
        <v>0.17913832199546487</v>
      </c>
      <c r="H31" s="190">
        <f>IFERROR(VLOOKUP($B31,MMWR_TRAD_AGG_RO_COMP[],H$1,0),"ERROR")</f>
        <v>10156</v>
      </c>
      <c r="I31" s="191">
        <f>IFERROR(VLOOKUP($B31,MMWR_TRAD_AGG_RO_COMP[],I$1,0),"ERROR")</f>
        <v>6055</v>
      </c>
      <c r="J31" s="216">
        <f t="shared" si="1"/>
        <v>0.59619929105947223</v>
      </c>
      <c r="K31" s="204">
        <f>IFERROR(VLOOKUP($B31,MMWR_TRAD_AGG_RO_COMP[],K$1,0),"ERROR")</f>
        <v>2269</v>
      </c>
      <c r="L31" s="205">
        <f>IFERROR(VLOOKUP($B31,MMWR_TRAD_AGG_RO_COMP[],L$1,0),"ERROR")</f>
        <v>1655</v>
      </c>
      <c r="M31" s="216">
        <f t="shared" si="2"/>
        <v>0.72939620978404585</v>
      </c>
      <c r="N31" s="204">
        <f>IFERROR(VLOOKUP($B31,MMWR_TRAD_AGG_RO_COMP[],N$1,0),"ERROR")</f>
        <v>2619</v>
      </c>
      <c r="O31" s="205">
        <f>IFERROR(VLOOKUP($B31,MMWR_TRAD_AGG_RO_COMP[],O$1,0),"ERROR")</f>
        <v>2018</v>
      </c>
      <c r="P31" s="216">
        <f t="shared" si="3"/>
        <v>0.7705231004200076</v>
      </c>
      <c r="Q31" s="201">
        <f>IFERROR(VLOOKUP($B31,MMWR_TRAD_AGG_RO_COMP[],Q$1,0),"ERROR")</f>
        <v>1</v>
      </c>
      <c r="R31" s="201">
        <f>IFERROR(VLOOKUP($B31,MMWR_TRAD_AGG_RO_COMP[],R$1,0),"ERROR")</f>
        <v>238</v>
      </c>
      <c r="S31" s="201">
        <f>IFERROR(VLOOKUP($B31,MMWR_APP_RO[],S$1,0),"ERROR")</f>
        <v>8075</v>
      </c>
      <c r="T31" s="25"/>
    </row>
    <row r="32" spans="1:20" x14ac:dyDescent="0.2">
      <c r="A32" s="107"/>
      <c r="B32" s="108" t="s">
        <v>50</v>
      </c>
      <c r="C32" s="209">
        <f>IFERROR(VLOOKUP($B32,MMWR_TRAD_AGG_RO_COMP[],C$1,0),"ERROR")</f>
        <v>1501</v>
      </c>
      <c r="D32" s="198">
        <f>IFERROR(VLOOKUP($B32,MMWR_TRAD_AGG_RO_COMP[],D$1,0),"ERROR")</f>
        <v>123.7701532312</v>
      </c>
      <c r="E32" s="195">
        <f>IFERROR(VLOOKUP($B32,MMWR_TRAD_AGG_RO_COMP[],E$1,0),"ERROR")</f>
        <v>1924</v>
      </c>
      <c r="F32" s="191">
        <f>IFERROR(VLOOKUP($B32,MMWR_TRAD_AGG_RO_COMP[],F$1,0),"ERROR")</f>
        <v>220</v>
      </c>
      <c r="G32" s="216">
        <f t="shared" si="0"/>
        <v>0.11434511434511435</v>
      </c>
      <c r="H32" s="190">
        <f>IFERROR(VLOOKUP($B32,MMWR_TRAD_AGG_RO_COMP[],H$1,0),"ERROR")</f>
        <v>3242</v>
      </c>
      <c r="I32" s="191">
        <f>IFERROR(VLOOKUP($B32,MMWR_TRAD_AGG_RO_COMP[],I$1,0),"ERROR")</f>
        <v>829</v>
      </c>
      <c r="J32" s="216">
        <f t="shared" si="1"/>
        <v>0.25570635410240594</v>
      </c>
      <c r="K32" s="204">
        <f>IFERROR(VLOOKUP($B32,MMWR_TRAD_AGG_RO_COMP[],K$1,0),"ERROR")</f>
        <v>702</v>
      </c>
      <c r="L32" s="205">
        <f>IFERROR(VLOOKUP($B32,MMWR_TRAD_AGG_RO_COMP[],L$1,0),"ERROR")</f>
        <v>431</v>
      </c>
      <c r="M32" s="216">
        <f t="shared" si="2"/>
        <v>0.61396011396011396</v>
      </c>
      <c r="N32" s="204">
        <f>IFERROR(VLOOKUP($B32,MMWR_TRAD_AGG_RO_COMP[],N$1,0),"ERROR")</f>
        <v>577</v>
      </c>
      <c r="O32" s="205">
        <f>IFERROR(VLOOKUP($B32,MMWR_TRAD_AGG_RO_COMP[],O$1,0),"ERROR")</f>
        <v>372</v>
      </c>
      <c r="P32" s="216">
        <f t="shared" si="3"/>
        <v>0.64471403812824957</v>
      </c>
      <c r="Q32" s="201">
        <f>IFERROR(VLOOKUP($B32,MMWR_TRAD_AGG_RO_COMP[],Q$1,0),"ERROR")</f>
        <v>1</v>
      </c>
      <c r="R32" s="201">
        <f>IFERROR(VLOOKUP($B32,MMWR_TRAD_AGG_RO_COMP[],R$1,0),"ERROR")</f>
        <v>18</v>
      </c>
      <c r="S32" s="201">
        <f>IFERROR(VLOOKUP($B32,MMWR_APP_RO[],S$1,0),"ERROR")</f>
        <v>1119</v>
      </c>
      <c r="T32" s="25"/>
    </row>
    <row r="33" spans="1:20" x14ac:dyDescent="0.2">
      <c r="A33" s="107"/>
      <c r="B33" s="108" t="s">
        <v>56</v>
      </c>
      <c r="C33" s="209">
        <f>IFERROR(VLOOKUP($B33,MMWR_TRAD_AGG_RO_COMP[],C$1,0),"ERROR")</f>
        <v>4777</v>
      </c>
      <c r="D33" s="198">
        <f>IFERROR(VLOOKUP($B33,MMWR_TRAD_AGG_RO_COMP[],D$1,0),"ERROR")</f>
        <v>152.15114088339999</v>
      </c>
      <c r="E33" s="195">
        <f>IFERROR(VLOOKUP($B33,MMWR_TRAD_AGG_RO_COMP[],E$1,0),"ERROR")</f>
        <v>6846</v>
      </c>
      <c r="F33" s="191">
        <f>IFERROR(VLOOKUP($B33,MMWR_TRAD_AGG_RO_COMP[],F$1,0),"ERROR")</f>
        <v>1177</v>
      </c>
      <c r="G33" s="216">
        <f t="shared" si="0"/>
        <v>0.17192521180251241</v>
      </c>
      <c r="H33" s="190">
        <f>IFERROR(VLOOKUP($B33,MMWR_TRAD_AGG_RO_COMP[],H$1,0),"ERROR")</f>
        <v>8768</v>
      </c>
      <c r="I33" s="191">
        <f>IFERROR(VLOOKUP($B33,MMWR_TRAD_AGG_RO_COMP[],I$1,0),"ERROR")</f>
        <v>2159</v>
      </c>
      <c r="J33" s="216">
        <f t="shared" si="1"/>
        <v>0.24623631386861314</v>
      </c>
      <c r="K33" s="204">
        <f>IFERROR(VLOOKUP($B33,MMWR_TRAD_AGG_RO_COMP[],K$1,0),"ERROR")</f>
        <v>1097</v>
      </c>
      <c r="L33" s="205">
        <f>IFERROR(VLOOKUP($B33,MMWR_TRAD_AGG_RO_COMP[],L$1,0),"ERROR")</f>
        <v>698</v>
      </c>
      <c r="M33" s="216">
        <f t="shared" si="2"/>
        <v>0.63628076572470371</v>
      </c>
      <c r="N33" s="204">
        <f>IFERROR(VLOOKUP($B33,MMWR_TRAD_AGG_RO_COMP[],N$1,0),"ERROR")</f>
        <v>624</v>
      </c>
      <c r="O33" s="205">
        <f>IFERROR(VLOOKUP($B33,MMWR_TRAD_AGG_RO_COMP[],O$1,0),"ERROR")</f>
        <v>371</v>
      </c>
      <c r="P33" s="216">
        <f t="shared" si="3"/>
        <v>0.59455128205128205</v>
      </c>
      <c r="Q33" s="201">
        <f>IFERROR(VLOOKUP($B33,MMWR_TRAD_AGG_RO_COMP[],Q$1,0),"ERROR")</f>
        <v>7523</v>
      </c>
      <c r="R33" s="201">
        <f>IFERROR(VLOOKUP($B33,MMWR_TRAD_AGG_RO_COMP[],R$1,0),"ERROR")</f>
        <v>0</v>
      </c>
      <c r="S33" s="201">
        <f>IFERROR(VLOOKUP($B33,MMWR_APP_RO[],S$1,0),"ERROR")</f>
        <v>3034</v>
      </c>
      <c r="T33" s="25"/>
    </row>
    <row r="34" spans="1:20" x14ac:dyDescent="0.2">
      <c r="A34" s="107"/>
      <c r="B34" s="108" t="s">
        <v>74</v>
      </c>
      <c r="C34" s="209">
        <f>IFERROR(VLOOKUP($B34,MMWR_TRAD_AGG_RO_COMP[],C$1,0),"ERROR")</f>
        <v>283</v>
      </c>
      <c r="D34" s="198">
        <f>IFERROR(VLOOKUP($B34,MMWR_TRAD_AGG_RO_COMP[],D$1,0),"ERROR")</f>
        <v>90.424028268599997</v>
      </c>
      <c r="E34" s="195">
        <f>IFERROR(VLOOKUP($B34,MMWR_TRAD_AGG_RO_COMP[],E$1,0),"ERROR")</f>
        <v>1401</v>
      </c>
      <c r="F34" s="191">
        <f>IFERROR(VLOOKUP($B34,MMWR_TRAD_AGG_RO_COMP[],F$1,0),"ERROR")</f>
        <v>255</v>
      </c>
      <c r="G34" s="216">
        <f t="shared" si="0"/>
        <v>0.18201284796573874</v>
      </c>
      <c r="H34" s="190">
        <f>IFERROR(VLOOKUP($B34,MMWR_TRAD_AGG_RO_COMP[],H$1,0),"ERROR")</f>
        <v>1127</v>
      </c>
      <c r="I34" s="191">
        <f>IFERROR(VLOOKUP($B34,MMWR_TRAD_AGG_RO_COMP[],I$1,0),"ERROR")</f>
        <v>90</v>
      </c>
      <c r="J34" s="216">
        <f t="shared" si="1"/>
        <v>7.9858030168589181E-2</v>
      </c>
      <c r="K34" s="204">
        <f>IFERROR(VLOOKUP($B34,MMWR_TRAD_AGG_RO_COMP[],K$1,0),"ERROR")</f>
        <v>390</v>
      </c>
      <c r="L34" s="205">
        <f>IFERROR(VLOOKUP($B34,MMWR_TRAD_AGG_RO_COMP[],L$1,0),"ERROR")</f>
        <v>132</v>
      </c>
      <c r="M34" s="216">
        <f t="shared" si="2"/>
        <v>0.33846153846153848</v>
      </c>
      <c r="N34" s="204">
        <f>IFERROR(VLOOKUP($B34,MMWR_TRAD_AGG_RO_COMP[],N$1,0),"ERROR")</f>
        <v>30</v>
      </c>
      <c r="O34" s="205">
        <f>IFERROR(VLOOKUP($B34,MMWR_TRAD_AGG_RO_COMP[],O$1,0),"ERROR")</f>
        <v>17</v>
      </c>
      <c r="P34" s="216">
        <f t="shared" si="3"/>
        <v>0.56666666666666665</v>
      </c>
      <c r="Q34" s="201">
        <f>IFERROR(VLOOKUP($B34,MMWR_TRAD_AGG_RO_COMP[],Q$1,0),"ERROR")</f>
        <v>0</v>
      </c>
      <c r="R34" s="201">
        <f>IFERROR(VLOOKUP($B34,MMWR_TRAD_AGG_RO_COMP[],R$1,0),"ERROR")</f>
        <v>0</v>
      </c>
      <c r="S34" s="201">
        <f>IFERROR(VLOOKUP($B34,MMWR_APP_RO[],S$1,0),"ERROR")</f>
        <v>224</v>
      </c>
      <c r="T34" s="25"/>
    </row>
    <row r="35" spans="1:20" x14ac:dyDescent="0.2">
      <c r="A35" s="107"/>
      <c r="B35" s="108" t="s">
        <v>75</v>
      </c>
      <c r="C35" s="209">
        <f>IFERROR(VLOOKUP($B35,MMWR_TRAD_AGG_RO_COMP[],C$1,0),"ERROR")</f>
        <v>3295</v>
      </c>
      <c r="D35" s="198">
        <f>IFERROR(VLOOKUP($B35,MMWR_TRAD_AGG_RO_COMP[],D$1,0),"ERROR")</f>
        <v>231.62336874050001</v>
      </c>
      <c r="E35" s="195">
        <f>IFERROR(VLOOKUP($B35,MMWR_TRAD_AGG_RO_COMP[],E$1,0),"ERROR")</f>
        <v>6243</v>
      </c>
      <c r="F35" s="191">
        <f>IFERROR(VLOOKUP($B35,MMWR_TRAD_AGG_RO_COMP[],F$1,0),"ERROR")</f>
        <v>1332</v>
      </c>
      <c r="G35" s="216">
        <f t="shared" si="0"/>
        <v>0.21335896203748198</v>
      </c>
      <c r="H35" s="190">
        <f>IFERROR(VLOOKUP($B35,MMWR_TRAD_AGG_RO_COMP[],H$1,0),"ERROR")</f>
        <v>6757</v>
      </c>
      <c r="I35" s="191">
        <f>IFERROR(VLOOKUP($B35,MMWR_TRAD_AGG_RO_COMP[],I$1,0),"ERROR")</f>
        <v>2961</v>
      </c>
      <c r="J35" s="216">
        <f t="shared" si="1"/>
        <v>0.43821222435992302</v>
      </c>
      <c r="K35" s="204">
        <f>IFERROR(VLOOKUP($B35,MMWR_TRAD_AGG_RO_COMP[],K$1,0),"ERROR")</f>
        <v>2142</v>
      </c>
      <c r="L35" s="205">
        <f>IFERROR(VLOOKUP($B35,MMWR_TRAD_AGG_RO_COMP[],L$1,0),"ERROR")</f>
        <v>1826</v>
      </c>
      <c r="M35" s="216">
        <f t="shared" si="2"/>
        <v>0.85247432306255833</v>
      </c>
      <c r="N35" s="204">
        <f>IFERROR(VLOOKUP($B35,MMWR_TRAD_AGG_RO_COMP[],N$1,0),"ERROR")</f>
        <v>1228</v>
      </c>
      <c r="O35" s="205">
        <f>IFERROR(VLOOKUP($B35,MMWR_TRAD_AGG_RO_COMP[],O$1,0),"ERROR")</f>
        <v>1004</v>
      </c>
      <c r="P35" s="216">
        <f t="shared" si="3"/>
        <v>0.8175895765472313</v>
      </c>
      <c r="Q35" s="201">
        <f>IFERROR(VLOOKUP($B35,MMWR_TRAD_AGG_RO_COMP[],Q$1,0),"ERROR")</f>
        <v>0</v>
      </c>
      <c r="R35" s="201">
        <f>IFERROR(VLOOKUP($B35,MMWR_TRAD_AGG_RO_COMP[],R$1,0),"ERROR")</f>
        <v>55</v>
      </c>
      <c r="S35" s="201">
        <f>IFERROR(VLOOKUP($B35,MMWR_APP_RO[],S$1,0),"ERROR")</f>
        <v>5651</v>
      </c>
      <c r="T35" s="25"/>
    </row>
    <row r="36" spans="1:20" x14ac:dyDescent="0.2">
      <c r="A36" s="28"/>
      <c r="B36" s="108" t="s">
        <v>76</v>
      </c>
      <c r="C36" s="219">
        <f>IFERROR(VLOOKUP($B36,MMWR_TRAD_AGG_RO_COMP[],C$1,0),"ERROR")</f>
        <v>3256</v>
      </c>
      <c r="D36" s="220">
        <f>IFERROR(VLOOKUP($B36,MMWR_TRAD_AGG_RO_COMP[],D$1,0),"ERROR")</f>
        <v>152.8971130221</v>
      </c>
      <c r="E36" s="221">
        <f>IFERROR(VLOOKUP($B36,MMWR_TRAD_AGG_RO_COMP[],E$1,0),"ERROR")</f>
        <v>11350</v>
      </c>
      <c r="F36" s="222">
        <f>IFERROR(VLOOKUP($B36,MMWR_TRAD_AGG_RO_COMP[],F$1,0),"ERROR")</f>
        <v>2012</v>
      </c>
      <c r="G36" s="223">
        <f t="shared" si="0"/>
        <v>0.17726872246696035</v>
      </c>
      <c r="H36" s="224">
        <f>IFERROR(VLOOKUP($B36,MMWR_TRAD_AGG_RO_COMP[],H$1,0),"ERROR")</f>
        <v>12943</v>
      </c>
      <c r="I36" s="222">
        <f>IFERROR(VLOOKUP($B36,MMWR_TRAD_AGG_RO_COMP[],I$1,0),"ERROR")</f>
        <v>2977</v>
      </c>
      <c r="J36" s="223">
        <f t="shared" si="1"/>
        <v>0.23000849880244148</v>
      </c>
      <c r="K36" s="225">
        <f>IFERROR(VLOOKUP($B36,MMWR_TRAD_AGG_RO_COMP[],K$1,0),"ERROR")</f>
        <v>4919</v>
      </c>
      <c r="L36" s="226">
        <f>IFERROR(VLOOKUP($B36,MMWR_TRAD_AGG_RO_COMP[],L$1,0),"ERROR")</f>
        <v>3466</v>
      </c>
      <c r="M36" s="223">
        <f t="shared" si="2"/>
        <v>0.70461475909737747</v>
      </c>
      <c r="N36" s="225">
        <f>IFERROR(VLOOKUP($B36,MMWR_TRAD_AGG_RO_COMP[],N$1,0),"ERROR")</f>
        <v>1074</v>
      </c>
      <c r="O36" s="226">
        <f>IFERROR(VLOOKUP($B36,MMWR_TRAD_AGG_RO_COMP[],O$1,0),"ERROR")</f>
        <v>686</v>
      </c>
      <c r="P36" s="223">
        <f t="shared" si="3"/>
        <v>0.63873370577281197</v>
      </c>
      <c r="Q36" s="227">
        <f>IFERROR(VLOOKUP($B36,MMWR_TRAD_AGG_RO_COMP[],Q$1,0),"ERROR")</f>
        <v>33</v>
      </c>
      <c r="R36" s="227">
        <f>IFERROR(VLOOKUP($B36,MMWR_TRAD_AGG_RO_COMP[],R$1,0),"ERROR")</f>
        <v>0</v>
      </c>
      <c r="S36" s="201">
        <f>IFERROR(VLOOKUP($B36,MMWR_APP_RO[],S$1,0),"ERROR")</f>
        <v>3568</v>
      </c>
      <c r="T36" s="28"/>
    </row>
    <row r="37" spans="1:20" x14ac:dyDescent="0.2">
      <c r="A37" s="28"/>
      <c r="B37" s="116" t="s">
        <v>81</v>
      </c>
      <c r="C37" s="228">
        <f>IFERROR(VLOOKUP($B37,MMWR_TRAD_AGG_RO_COMP[],C$1,0),"ERROR")</f>
        <v>1626</v>
      </c>
      <c r="D37" s="229">
        <f>IFERROR(VLOOKUP($B37,MMWR_TRAD_AGG_RO_COMP[],D$1,0),"ERROR")</f>
        <v>204.12115621160001</v>
      </c>
      <c r="E37" s="230">
        <f>IFERROR(VLOOKUP($B37,MMWR_TRAD_AGG_RO_COMP[],E$1,0),"ERROR")</f>
        <v>2600</v>
      </c>
      <c r="F37" s="231">
        <f>IFERROR(VLOOKUP($B37,MMWR_TRAD_AGG_RO_COMP[],F$1,0),"ERROR")</f>
        <v>420</v>
      </c>
      <c r="G37" s="232">
        <f t="shared" si="0"/>
        <v>0.16153846153846155</v>
      </c>
      <c r="H37" s="233">
        <f>IFERROR(VLOOKUP($B37,MMWR_TRAD_AGG_RO_COMP[],H$1,0),"ERROR")</f>
        <v>3190</v>
      </c>
      <c r="I37" s="231">
        <f>IFERROR(VLOOKUP($B37,MMWR_TRAD_AGG_RO_COMP[],I$1,0),"ERROR")</f>
        <v>1138</v>
      </c>
      <c r="J37" s="232">
        <f t="shared" si="1"/>
        <v>0.3567398119122257</v>
      </c>
      <c r="K37" s="234">
        <f>IFERROR(VLOOKUP($B37,MMWR_TRAD_AGG_RO_COMP[],K$1,0),"ERROR")</f>
        <v>1036</v>
      </c>
      <c r="L37" s="235">
        <f>IFERROR(VLOOKUP($B37,MMWR_TRAD_AGG_RO_COMP[],L$1,0),"ERROR")</f>
        <v>482</v>
      </c>
      <c r="M37" s="232">
        <f t="shared" si="2"/>
        <v>0.46525096525096526</v>
      </c>
      <c r="N37" s="234">
        <f>IFERROR(VLOOKUP($B37,MMWR_TRAD_AGG_RO_COMP[],N$1,0),"ERROR")</f>
        <v>215</v>
      </c>
      <c r="O37" s="235">
        <f>IFERROR(VLOOKUP($B37,MMWR_TRAD_AGG_RO_COMP[],O$1,0),"ERROR")</f>
        <v>125</v>
      </c>
      <c r="P37" s="232">
        <f t="shared" si="3"/>
        <v>0.58139534883720934</v>
      </c>
      <c r="Q37" s="236">
        <f>IFERROR(VLOOKUP($B37,MMWR_TRAD_AGG_RO_COMP[],Q$1,0),"ERROR")</f>
        <v>0</v>
      </c>
      <c r="R37" s="236">
        <f>IFERROR(VLOOKUP($B37,MMWR_TRAD_AGG_RO_COMP[],R$1,0),"ERROR")</f>
        <v>8</v>
      </c>
      <c r="S37" s="201">
        <f>IFERROR(VLOOKUP($B37,MMWR_APP_RO[],S$1,0),"ERROR")</f>
        <v>1338</v>
      </c>
      <c r="T37" s="28"/>
    </row>
    <row r="38" spans="1:20" x14ac:dyDescent="0.2">
      <c r="A38" s="28"/>
      <c r="B38" s="101" t="s">
        <v>384</v>
      </c>
      <c r="C38" s="212">
        <f>IFERROR(VLOOKUP($B38,MMWR_TRAD_AGG_DISTRICT_COMP[],C$1,0),"ERROR")</f>
        <v>37807</v>
      </c>
      <c r="D38" s="197">
        <f>IFERROR(VLOOKUP($B38,MMWR_TRAD_AGG_DISTRICT_COMP[],D$1,0),"ERROR")</f>
        <v>325.52823551189999</v>
      </c>
      <c r="E38" s="213">
        <f>IFERROR(VLOOKUP($B38,MMWR_TRAD_AGG_DISTRICT_COMP[],E$1,0),"ERROR")</f>
        <v>66276</v>
      </c>
      <c r="F38" s="218">
        <f>IFERROR(VLOOKUP($B38,MMWR_TRAD_AGG_DISTRICT_COMP[],F$1,0),"ERROR")</f>
        <v>13441</v>
      </c>
      <c r="G38" s="214">
        <f t="shared" si="0"/>
        <v>0.20280342808859919</v>
      </c>
      <c r="H38" s="218">
        <f>IFERROR(VLOOKUP($B38,MMWR_TRAD_AGG_DISTRICT_COMP[],H$1,0),"ERROR")</f>
        <v>77383</v>
      </c>
      <c r="I38" s="218">
        <f>IFERROR(VLOOKUP($B38,MMWR_TRAD_AGG_DISTRICT_COMP[],I$1,0),"ERROR")</f>
        <v>33943</v>
      </c>
      <c r="J38" s="214">
        <f t="shared" si="1"/>
        <v>0.43863639300621582</v>
      </c>
      <c r="K38" s="212">
        <f>IFERROR(VLOOKUP($B38,MMWR_TRAD_AGG_DISTRICT_COMP[],K$1,0),"ERROR")</f>
        <v>21621</v>
      </c>
      <c r="L38" s="212">
        <f>IFERROR(VLOOKUP($B38,MMWR_TRAD_AGG_DISTRICT_COMP[],L$1,0),"ERROR")</f>
        <v>15766</v>
      </c>
      <c r="M38" s="214">
        <f t="shared" si="2"/>
        <v>0.72919846445585312</v>
      </c>
      <c r="N38" s="212">
        <f>IFERROR(VLOOKUP($B38,MMWR_TRAD_AGG_DISTRICT_COMP[],N$1,0),"ERROR")</f>
        <v>20005</v>
      </c>
      <c r="O38" s="212">
        <f>IFERROR(VLOOKUP($B38,MMWR_TRAD_AGG_DISTRICT_COMP[],O$1,0),"ERROR")</f>
        <v>12380</v>
      </c>
      <c r="P38" s="214">
        <f t="shared" si="3"/>
        <v>0.61884528867783051</v>
      </c>
      <c r="Q38" s="212">
        <f>IFERROR(VLOOKUP($B38,MMWR_TRAD_AGG_DISTRICT_COMP[],Q$1,0),"ERROR")</f>
        <v>55</v>
      </c>
      <c r="R38" s="215">
        <f>IFERROR(VLOOKUP($B38,MMWR_TRAD_AGG_DISTRICT_COMP[],R$1,0),"ERROR")</f>
        <v>1213</v>
      </c>
      <c r="S38" s="215">
        <f>IFERROR(VLOOKUP($B38,MMWR_APP_RO[],S$1,0),"ERROR")</f>
        <v>67395</v>
      </c>
      <c r="T38" s="28"/>
    </row>
    <row r="39" spans="1:20" x14ac:dyDescent="0.2">
      <c r="A39" s="28"/>
      <c r="B39" s="108" t="s">
        <v>36</v>
      </c>
      <c r="C39" s="219">
        <f>IFERROR(VLOOKUP($B39,MMWR_TRAD_AGG_RO_COMP[],C$1,0),"ERROR")</f>
        <v>164</v>
      </c>
      <c r="D39" s="220">
        <f>IFERROR(VLOOKUP($B39,MMWR_TRAD_AGG_RO_COMP[],D$1,0),"ERROR")</f>
        <v>285.47560975610003</v>
      </c>
      <c r="E39" s="221">
        <f>IFERROR(VLOOKUP($B39,MMWR_TRAD_AGG_RO_COMP[],E$1,0),"ERROR")</f>
        <v>743</v>
      </c>
      <c r="F39" s="222">
        <f>IFERROR(VLOOKUP($B39,MMWR_TRAD_AGG_RO_COMP[],F$1,0),"ERROR")</f>
        <v>79</v>
      </c>
      <c r="G39" s="223">
        <f t="shared" si="0"/>
        <v>0.10632570659488561</v>
      </c>
      <c r="H39" s="224">
        <f>IFERROR(VLOOKUP($B39,MMWR_TRAD_AGG_RO_COMP[],H$1,0),"ERROR")</f>
        <v>609</v>
      </c>
      <c r="I39" s="222">
        <f>IFERROR(VLOOKUP($B39,MMWR_TRAD_AGG_RO_COMP[],I$1,0),"ERROR")</f>
        <v>177</v>
      </c>
      <c r="J39" s="223">
        <f t="shared" si="1"/>
        <v>0.29064039408866993</v>
      </c>
      <c r="K39" s="225">
        <f>IFERROR(VLOOKUP($B39,MMWR_TRAD_AGG_RO_COMP[],K$1,0),"ERROR")</f>
        <v>163</v>
      </c>
      <c r="L39" s="226">
        <f>IFERROR(VLOOKUP($B39,MMWR_TRAD_AGG_RO_COMP[],L$1,0),"ERROR")</f>
        <v>99</v>
      </c>
      <c r="M39" s="223">
        <f t="shared" si="2"/>
        <v>0.6073619631901841</v>
      </c>
      <c r="N39" s="225">
        <f>IFERROR(VLOOKUP($B39,MMWR_TRAD_AGG_RO_COMP[],N$1,0),"ERROR")</f>
        <v>117</v>
      </c>
      <c r="O39" s="226">
        <f>IFERROR(VLOOKUP($B39,MMWR_TRAD_AGG_RO_COMP[],O$1,0),"ERROR")</f>
        <v>50</v>
      </c>
      <c r="P39" s="223">
        <f t="shared" si="3"/>
        <v>0.42735042735042733</v>
      </c>
      <c r="Q39" s="227">
        <f>IFERROR(VLOOKUP($B39,MMWR_TRAD_AGG_RO_COMP[],Q$1,0),"ERROR")</f>
        <v>2</v>
      </c>
      <c r="R39" s="227">
        <f>IFERROR(VLOOKUP($B39,MMWR_TRAD_AGG_RO_COMP[],R$1,0),"ERROR")</f>
        <v>4</v>
      </c>
      <c r="S39" s="201">
        <f>IFERROR(VLOOKUP($B39,MMWR_APP_RO[],S$1,0),"ERROR")</f>
        <v>304</v>
      </c>
      <c r="T39" s="28"/>
    </row>
    <row r="40" spans="1:20" x14ac:dyDescent="0.2">
      <c r="A40" s="28"/>
      <c r="B40" s="108" t="s">
        <v>40</v>
      </c>
      <c r="C40" s="219">
        <f>IFERROR(VLOOKUP($B40,MMWR_TRAD_AGG_RO_COMP[],C$1,0),"ERROR")</f>
        <v>4700</v>
      </c>
      <c r="D40" s="220">
        <f>IFERROR(VLOOKUP($B40,MMWR_TRAD_AGG_RO_COMP[],D$1,0),"ERROR")</f>
        <v>395.28659574469998</v>
      </c>
      <c r="E40" s="221">
        <f>IFERROR(VLOOKUP($B40,MMWR_TRAD_AGG_RO_COMP[],E$1,0),"ERROR")</f>
        <v>7144</v>
      </c>
      <c r="F40" s="222">
        <f>IFERROR(VLOOKUP($B40,MMWR_TRAD_AGG_RO_COMP[],F$1,0),"ERROR")</f>
        <v>2085</v>
      </c>
      <c r="G40" s="223">
        <f t="shared" si="0"/>
        <v>0.29185330347144456</v>
      </c>
      <c r="H40" s="224">
        <f>IFERROR(VLOOKUP($B40,MMWR_TRAD_AGG_RO_COMP[],H$1,0),"ERROR")</f>
        <v>9303</v>
      </c>
      <c r="I40" s="222">
        <f>IFERROR(VLOOKUP($B40,MMWR_TRAD_AGG_RO_COMP[],I$1,0),"ERROR")</f>
        <v>4879</v>
      </c>
      <c r="J40" s="223">
        <f t="shared" si="1"/>
        <v>0.52445447705041381</v>
      </c>
      <c r="K40" s="225">
        <f>IFERROR(VLOOKUP($B40,MMWR_TRAD_AGG_RO_COMP[],K$1,0),"ERROR")</f>
        <v>3918</v>
      </c>
      <c r="L40" s="226">
        <f>IFERROR(VLOOKUP($B40,MMWR_TRAD_AGG_RO_COMP[],L$1,0),"ERROR")</f>
        <v>3307</v>
      </c>
      <c r="M40" s="223">
        <f t="shared" si="2"/>
        <v>0.84405308831036241</v>
      </c>
      <c r="N40" s="225">
        <f>IFERROR(VLOOKUP($B40,MMWR_TRAD_AGG_RO_COMP[],N$1,0),"ERROR")</f>
        <v>690</v>
      </c>
      <c r="O40" s="226">
        <f>IFERROR(VLOOKUP($B40,MMWR_TRAD_AGG_RO_COMP[],O$1,0),"ERROR")</f>
        <v>482</v>
      </c>
      <c r="P40" s="223">
        <f t="shared" si="3"/>
        <v>0.6985507246376812</v>
      </c>
      <c r="Q40" s="227">
        <f>IFERROR(VLOOKUP($B40,MMWR_TRAD_AGG_RO_COMP[],Q$1,0),"ERROR")</f>
        <v>0</v>
      </c>
      <c r="R40" s="227">
        <f>IFERROR(VLOOKUP($B40,MMWR_TRAD_AGG_RO_COMP[],R$1,0),"ERROR")</f>
        <v>52</v>
      </c>
      <c r="S40" s="201">
        <f>IFERROR(VLOOKUP($B40,MMWR_APP_RO[],S$1,0),"ERROR")</f>
        <v>6375</v>
      </c>
      <c r="T40" s="28"/>
    </row>
    <row r="41" spans="1:20" x14ac:dyDescent="0.2">
      <c r="A41" s="28"/>
      <c r="B41" s="108" t="s">
        <v>181</v>
      </c>
      <c r="C41" s="219">
        <f>IFERROR(VLOOKUP($B41,MMWR_TRAD_AGG_RO_COMP[],C$1,0),"ERROR")</f>
        <v>288</v>
      </c>
      <c r="D41" s="220">
        <f>IFERROR(VLOOKUP($B41,MMWR_TRAD_AGG_RO_COMP[],D$1,0),"ERROR")</f>
        <v>183.2326388889</v>
      </c>
      <c r="E41" s="221">
        <f>IFERROR(VLOOKUP($B41,MMWR_TRAD_AGG_RO_COMP[],E$1,0),"ERROR")</f>
        <v>662</v>
      </c>
      <c r="F41" s="222">
        <f>IFERROR(VLOOKUP($B41,MMWR_TRAD_AGG_RO_COMP[],F$1,0),"ERROR")</f>
        <v>58</v>
      </c>
      <c r="G41" s="223">
        <f t="shared" si="0"/>
        <v>8.7613293051359523E-2</v>
      </c>
      <c r="H41" s="224">
        <f>IFERROR(VLOOKUP($B41,MMWR_TRAD_AGG_RO_COMP[],H$1,0),"ERROR")</f>
        <v>1127</v>
      </c>
      <c r="I41" s="222">
        <f>IFERROR(VLOOKUP($B41,MMWR_TRAD_AGG_RO_COMP[],I$1,0),"ERROR")</f>
        <v>95</v>
      </c>
      <c r="J41" s="223">
        <f t="shared" si="1"/>
        <v>8.4294587400177465E-2</v>
      </c>
      <c r="K41" s="225">
        <f>IFERROR(VLOOKUP($B41,MMWR_TRAD_AGG_RO_COMP[],K$1,0),"ERROR")</f>
        <v>365</v>
      </c>
      <c r="L41" s="226">
        <f>IFERROR(VLOOKUP($B41,MMWR_TRAD_AGG_RO_COMP[],L$1,0),"ERROR")</f>
        <v>181</v>
      </c>
      <c r="M41" s="223">
        <f t="shared" si="2"/>
        <v>0.49589041095890413</v>
      </c>
      <c r="N41" s="225">
        <f>IFERROR(VLOOKUP($B41,MMWR_TRAD_AGG_RO_COMP[],N$1,0),"ERROR")</f>
        <v>245</v>
      </c>
      <c r="O41" s="226">
        <f>IFERROR(VLOOKUP($B41,MMWR_TRAD_AGG_RO_COMP[],O$1,0),"ERROR")</f>
        <v>128</v>
      </c>
      <c r="P41" s="223">
        <f t="shared" si="3"/>
        <v>0.52244897959183678</v>
      </c>
      <c r="Q41" s="227">
        <f>IFERROR(VLOOKUP($B41,MMWR_TRAD_AGG_RO_COMP[],Q$1,0),"ERROR")</f>
        <v>0</v>
      </c>
      <c r="R41" s="227">
        <f>IFERROR(VLOOKUP($B41,MMWR_TRAD_AGG_RO_COMP[],R$1,0),"ERROR")</f>
        <v>2</v>
      </c>
      <c r="S41" s="201">
        <f>IFERROR(VLOOKUP($B41,MMWR_APP_RO[],S$1,0),"ERROR")</f>
        <v>461</v>
      </c>
      <c r="T41" s="28"/>
    </row>
    <row r="42" spans="1:20" x14ac:dyDescent="0.2">
      <c r="A42" s="28"/>
      <c r="B42" s="108" t="s">
        <v>46</v>
      </c>
      <c r="C42" s="219">
        <f>IFERROR(VLOOKUP($B42,MMWR_TRAD_AGG_RO_COMP[],C$1,0),"ERROR")</f>
        <v>9583</v>
      </c>
      <c r="D42" s="220">
        <f>IFERROR(VLOOKUP($B42,MMWR_TRAD_AGG_RO_COMP[],D$1,0),"ERROR")</f>
        <v>363.85808202020002</v>
      </c>
      <c r="E42" s="221">
        <f>IFERROR(VLOOKUP($B42,MMWR_TRAD_AGG_RO_COMP[],E$1,0),"ERROR")</f>
        <v>17607</v>
      </c>
      <c r="F42" s="222">
        <f>IFERROR(VLOOKUP($B42,MMWR_TRAD_AGG_RO_COMP[],F$1,0),"ERROR")</f>
        <v>4193</v>
      </c>
      <c r="G42" s="223">
        <f t="shared" si="0"/>
        <v>0.23814392003180554</v>
      </c>
      <c r="H42" s="224">
        <f>IFERROR(VLOOKUP($B42,MMWR_TRAD_AGG_RO_COMP[],H$1,0),"ERROR")</f>
        <v>17496</v>
      </c>
      <c r="I42" s="222">
        <f>IFERROR(VLOOKUP($B42,MMWR_TRAD_AGG_RO_COMP[],I$1,0),"ERROR")</f>
        <v>9314</v>
      </c>
      <c r="J42" s="223">
        <f t="shared" si="1"/>
        <v>0.53235025148605397</v>
      </c>
      <c r="K42" s="225">
        <f>IFERROR(VLOOKUP($B42,MMWR_TRAD_AGG_RO_COMP[],K$1,0),"ERROR")</f>
        <v>3625</v>
      </c>
      <c r="L42" s="226">
        <f>IFERROR(VLOOKUP($B42,MMWR_TRAD_AGG_RO_COMP[],L$1,0),"ERROR")</f>
        <v>2941</v>
      </c>
      <c r="M42" s="223">
        <f t="shared" si="2"/>
        <v>0.81131034482758624</v>
      </c>
      <c r="N42" s="225">
        <f>IFERROR(VLOOKUP($B42,MMWR_TRAD_AGG_RO_COMP[],N$1,0),"ERROR")</f>
        <v>3441</v>
      </c>
      <c r="O42" s="226">
        <f>IFERROR(VLOOKUP($B42,MMWR_TRAD_AGG_RO_COMP[],O$1,0),"ERROR")</f>
        <v>2845</v>
      </c>
      <c r="P42" s="223">
        <f t="shared" si="3"/>
        <v>0.82679453647195578</v>
      </c>
      <c r="Q42" s="227">
        <f>IFERROR(VLOOKUP($B42,MMWR_TRAD_AGG_RO_COMP[],Q$1,0),"ERROR")</f>
        <v>1</v>
      </c>
      <c r="R42" s="227">
        <f>IFERROR(VLOOKUP($B42,MMWR_TRAD_AGG_RO_COMP[],R$1,0),"ERROR")</f>
        <v>253</v>
      </c>
      <c r="S42" s="201">
        <f>IFERROR(VLOOKUP($B42,MMWR_APP_RO[],S$1,0),"ERROR")</f>
        <v>19578</v>
      </c>
      <c r="T42" s="28"/>
    </row>
    <row r="43" spans="1:20" x14ac:dyDescent="0.2">
      <c r="A43" s="28"/>
      <c r="B43" s="108" t="s">
        <v>49</v>
      </c>
      <c r="C43" s="219">
        <f>IFERROR(VLOOKUP($B43,MMWR_TRAD_AGG_RO_COMP[],C$1,0),"ERROR")</f>
        <v>2463</v>
      </c>
      <c r="D43" s="220">
        <f>IFERROR(VLOOKUP($B43,MMWR_TRAD_AGG_RO_COMP[],D$1,0),"ERROR")</f>
        <v>404.70483150630002</v>
      </c>
      <c r="E43" s="221">
        <f>IFERROR(VLOOKUP($B43,MMWR_TRAD_AGG_RO_COMP[],E$1,0),"ERROR")</f>
        <v>4595</v>
      </c>
      <c r="F43" s="222">
        <f>IFERROR(VLOOKUP($B43,MMWR_TRAD_AGG_RO_COMP[],F$1,0),"ERROR")</f>
        <v>1413</v>
      </c>
      <c r="G43" s="223">
        <f t="shared" si="0"/>
        <v>0.3075081610446137</v>
      </c>
      <c r="H43" s="224">
        <f>IFERROR(VLOOKUP($B43,MMWR_TRAD_AGG_RO_COMP[],H$1,0),"ERROR")</f>
        <v>6373</v>
      </c>
      <c r="I43" s="222">
        <f>IFERROR(VLOOKUP($B43,MMWR_TRAD_AGG_RO_COMP[],I$1,0),"ERROR")</f>
        <v>3532</v>
      </c>
      <c r="J43" s="223">
        <f t="shared" si="1"/>
        <v>0.55421308645849676</v>
      </c>
      <c r="K43" s="225">
        <f>IFERROR(VLOOKUP($B43,MMWR_TRAD_AGG_RO_COMP[],K$1,0),"ERROR")</f>
        <v>2638</v>
      </c>
      <c r="L43" s="226">
        <f>IFERROR(VLOOKUP($B43,MMWR_TRAD_AGG_RO_COMP[],L$1,0),"ERROR")</f>
        <v>2054</v>
      </c>
      <c r="M43" s="223">
        <f t="shared" si="2"/>
        <v>0.77862016679302504</v>
      </c>
      <c r="N43" s="225">
        <f>IFERROR(VLOOKUP($B43,MMWR_TRAD_AGG_RO_COMP[],N$1,0),"ERROR")</f>
        <v>841</v>
      </c>
      <c r="O43" s="226">
        <f>IFERROR(VLOOKUP($B43,MMWR_TRAD_AGG_RO_COMP[],O$1,0),"ERROR")</f>
        <v>673</v>
      </c>
      <c r="P43" s="223">
        <f t="shared" si="3"/>
        <v>0.8002378121284186</v>
      </c>
      <c r="Q43" s="227">
        <f>IFERROR(VLOOKUP($B43,MMWR_TRAD_AGG_RO_COMP[],Q$1,0),"ERROR")</f>
        <v>46</v>
      </c>
      <c r="R43" s="227">
        <f>IFERROR(VLOOKUP($B43,MMWR_TRAD_AGG_RO_COMP[],R$1,0),"ERROR")</f>
        <v>293</v>
      </c>
      <c r="S43" s="201">
        <f>IFERROR(VLOOKUP($B43,MMWR_APP_RO[],S$1,0),"ERROR")</f>
        <v>4607</v>
      </c>
      <c r="T43" s="28"/>
    </row>
    <row r="44" spans="1:20" x14ac:dyDescent="0.2">
      <c r="A44" s="28"/>
      <c r="B44" s="108" t="s">
        <v>51</v>
      </c>
      <c r="C44" s="219">
        <f>IFERROR(VLOOKUP($B44,MMWR_TRAD_AGG_RO_COMP[],C$1,0),"ERROR")</f>
        <v>3114</v>
      </c>
      <c r="D44" s="220">
        <f>IFERROR(VLOOKUP($B44,MMWR_TRAD_AGG_RO_COMP[],D$1,0),"ERROR")</f>
        <v>259.76396917149998</v>
      </c>
      <c r="E44" s="221">
        <f>IFERROR(VLOOKUP($B44,MMWR_TRAD_AGG_RO_COMP[],E$1,0),"ERROR")</f>
        <v>3366</v>
      </c>
      <c r="F44" s="222">
        <f>IFERROR(VLOOKUP($B44,MMWR_TRAD_AGG_RO_COMP[],F$1,0),"ERROR")</f>
        <v>483</v>
      </c>
      <c r="G44" s="223">
        <f t="shared" si="0"/>
        <v>0.14349376114081996</v>
      </c>
      <c r="H44" s="224">
        <f>IFERROR(VLOOKUP($B44,MMWR_TRAD_AGG_RO_COMP[],H$1,0),"ERROR")</f>
        <v>7348</v>
      </c>
      <c r="I44" s="222">
        <f>IFERROR(VLOOKUP($B44,MMWR_TRAD_AGG_RO_COMP[],I$1,0),"ERROR")</f>
        <v>3249</v>
      </c>
      <c r="J44" s="223">
        <f t="shared" si="1"/>
        <v>0.44216113228089277</v>
      </c>
      <c r="K44" s="225">
        <f>IFERROR(VLOOKUP($B44,MMWR_TRAD_AGG_RO_COMP[],K$1,0),"ERROR")</f>
        <v>3497</v>
      </c>
      <c r="L44" s="226">
        <f>IFERROR(VLOOKUP($B44,MMWR_TRAD_AGG_RO_COMP[],L$1,0),"ERROR")</f>
        <v>2659</v>
      </c>
      <c r="M44" s="223">
        <f t="shared" si="2"/>
        <v>0.76036602802402053</v>
      </c>
      <c r="N44" s="225">
        <f>IFERROR(VLOOKUP($B44,MMWR_TRAD_AGG_RO_COMP[],N$1,0),"ERROR")</f>
        <v>1738</v>
      </c>
      <c r="O44" s="226">
        <f>IFERROR(VLOOKUP($B44,MMWR_TRAD_AGG_RO_COMP[],O$1,0),"ERROR")</f>
        <v>1141</v>
      </c>
      <c r="P44" s="223">
        <f t="shared" si="3"/>
        <v>0.65650172612197932</v>
      </c>
      <c r="Q44" s="227">
        <f>IFERROR(VLOOKUP($B44,MMWR_TRAD_AGG_RO_COMP[],Q$1,0),"ERROR")</f>
        <v>0</v>
      </c>
      <c r="R44" s="227">
        <f>IFERROR(VLOOKUP($B44,MMWR_TRAD_AGG_RO_COMP[],R$1,0),"ERROR")</f>
        <v>92</v>
      </c>
      <c r="S44" s="201">
        <f>IFERROR(VLOOKUP($B44,MMWR_APP_RO[],S$1,0),"ERROR")</f>
        <v>5297</v>
      </c>
      <c r="T44" s="28"/>
    </row>
    <row r="45" spans="1:20" x14ac:dyDescent="0.2">
      <c r="A45" s="28"/>
      <c r="B45" s="108" t="s">
        <v>27</v>
      </c>
      <c r="C45" s="219">
        <f>IFERROR(VLOOKUP($B45,MMWR_TRAD_AGG_RO_COMP[],C$1,0),"ERROR")</f>
        <v>1002</v>
      </c>
      <c r="D45" s="220">
        <f>IFERROR(VLOOKUP($B45,MMWR_TRAD_AGG_RO_COMP[],D$1,0),"ERROR")</f>
        <v>86.459081836300001</v>
      </c>
      <c r="E45" s="221">
        <f>IFERROR(VLOOKUP($B45,MMWR_TRAD_AGG_RO_COMP[],E$1,0),"ERROR")</f>
        <v>6718</v>
      </c>
      <c r="F45" s="222">
        <f>IFERROR(VLOOKUP($B45,MMWR_TRAD_AGG_RO_COMP[],F$1,0),"ERROR")</f>
        <v>578</v>
      </c>
      <c r="G45" s="223">
        <f t="shared" si="0"/>
        <v>8.603751116403692E-2</v>
      </c>
      <c r="H45" s="224">
        <f>IFERROR(VLOOKUP($B45,MMWR_TRAD_AGG_RO_COMP[],H$1,0),"ERROR")</f>
        <v>5503</v>
      </c>
      <c r="I45" s="222">
        <f>IFERROR(VLOOKUP($B45,MMWR_TRAD_AGG_RO_COMP[],I$1,0),"ERROR")</f>
        <v>695</v>
      </c>
      <c r="J45" s="223">
        <f t="shared" si="1"/>
        <v>0.12629474831909868</v>
      </c>
      <c r="K45" s="225">
        <f>IFERROR(VLOOKUP($B45,MMWR_TRAD_AGG_RO_COMP[],K$1,0),"ERROR")</f>
        <v>970</v>
      </c>
      <c r="L45" s="226">
        <f>IFERROR(VLOOKUP($B45,MMWR_TRAD_AGG_RO_COMP[],L$1,0),"ERROR")</f>
        <v>419</v>
      </c>
      <c r="M45" s="223">
        <f t="shared" si="2"/>
        <v>0.43195876288659796</v>
      </c>
      <c r="N45" s="225">
        <f>IFERROR(VLOOKUP($B45,MMWR_TRAD_AGG_RO_COMP[],N$1,0),"ERROR")</f>
        <v>1625</v>
      </c>
      <c r="O45" s="226">
        <f>IFERROR(VLOOKUP($B45,MMWR_TRAD_AGG_RO_COMP[],O$1,0),"ERROR")</f>
        <v>1054</v>
      </c>
      <c r="P45" s="223">
        <f t="shared" si="3"/>
        <v>0.64861538461538459</v>
      </c>
      <c r="Q45" s="227">
        <f>IFERROR(VLOOKUP($B45,MMWR_TRAD_AGG_RO_COMP[],Q$1,0),"ERROR")</f>
        <v>1</v>
      </c>
      <c r="R45" s="227">
        <f>IFERROR(VLOOKUP($B45,MMWR_TRAD_AGG_RO_COMP[],R$1,0),"ERROR")</f>
        <v>17</v>
      </c>
      <c r="S45" s="201">
        <f>IFERROR(VLOOKUP($B45,MMWR_APP_RO[],S$1,0),"ERROR")</f>
        <v>3747</v>
      </c>
      <c r="T45" s="28"/>
    </row>
    <row r="46" spans="1:20" x14ac:dyDescent="0.2">
      <c r="A46" s="28"/>
      <c r="B46" s="108" t="s">
        <v>59</v>
      </c>
      <c r="C46" s="219">
        <f>IFERROR(VLOOKUP($B46,MMWR_TRAD_AGG_RO_COMP[],C$1,0),"ERROR")</f>
        <v>3398</v>
      </c>
      <c r="D46" s="220">
        <f>IFERROR(VLOOKUP($B46,MMWR_TRAD_AGG_RO_COMP[],D$1,0),"ERROR")</f>
        <v>423.96203649210003</v>
      </c>
      <c r="E46" s="221">
        <f>IFERROR(VLOOKUP($B46,MMWR_TRAD_AGG_RO_COMP[],E$1,0),"ERROR")</f>
        <v>4985</v>
      </c>
      <c r="F46" s="222">
        <f>IFERROR(VLOOKUP($B46,MMWR_TRAD_AGG_RO_COMP[],F$1,0),"ERROR")</f>
        <v>1013</v>
      </c>
      <c r="G46" s="223">
        <f t="shared" si="0"/>
        <v>0.20320962888665997</v>
      </c>
      <c r="H46" s="224">
        <f>IFERROR(VLOOKUP($B46,MMWR_TRAD_AGG_RO_COMP[],H$1,0),"ERROR")</f>
        <v>6347</v>
      </c>
      <c r="I46" s="222">
        <f>IFERROR(VLOOKUP($B46,MMWR_TRAD_AGG_RO_COMP[],I$1,0),"ERROR")</f>
        <v>3024</v>
      </c>
      <c r="J46" s="223">
        <f t="shared" si="1"/>
        <v>0.47644556483377976</v>
      </c>
      <c r="K46" s="225">
        <f>IFERROR(VLOOKUP($B46,MMWR_TRAD_AGG_RO_COMP[],K$1,0),"ERROR")</f>
        <v>1254</v>
      </c>
      <c r="L46" s="226">
        <f>IFERROR(VLOOKUP($B46,MMWR_TRAD_AGG_RO_COMP[],L$1,0),"ERROR")</f>
        <v>891</v>
      </c>
      <c r="M46" s="223">
        <f t="shared" si="2"/>
        <v>0.71052631578947367</v>
      </c>
      <c r="N46" s="225">
        <f>IFERROR(VLOOKUP($B46,MMWR_TRAD_AGG_RO_COMP[],N$1,0),"ERROR")</f>
        <v>1884</v>
      </c>
      <c r="O46" s="226">
        <f>IFERROR(VLOOKUP($B46,MMWR_TRAD_AGG_RO_COMP[],O$1,0),"ERROR")</f>
        <v>1345</v>
      </c>
      <c r="P46" s="223">
        <f t="shared" si="3"/>
        <v>0.71390658174097665</v>
      </c>
      <c r="Q46" s="227">
        <f>IFERROR(VLOOKUP($B46,MMWR_TRAD_AGG_RO_COMP[],Q$1,0),"ERROR")</f>
        <v>2</v>
      </c>
      <c r="R46" s="227">
        <f>IFERROR(VLOOKUP($B46,MMWR_TRAD_AGG_RO_COMP[],R$1,0),"ERROR")</f>
        <v>273</v>
      </c>
      <c r="S46" s="201">
        <f>IFERROR(VLOOKUP($B46,MMWR_APP_RO[],S$1,0),"ERROR")</f>
        <v>5871</v>
      </c>
      <c r="T46" s="28"/>
    </row>
    <row r="47" spans="1:20" x14ac:dyDescent="0.2">
      <c r="A47" s="28"/>
      <c r="B47" s="108" t="s">
        <v>70</v>
      </c>
      <c r="C47" s="219">
        <f>IFERROR(VLOOKUP($B47,MMWR_TRAD_AGG_RO_COMP[],C$1,0),"ERROR")</f>
        <v>3062</v>
      </c>
      <c r="D47" s="220">
        <f>IFERROR(VLOOKUP($B47,MMWR_TRAD_AGG_RO_COMP[],D$1,0),"ERROR")</f>
        <v>214.83082952320001</v>
      </c>
      <c r="E47" s="221">
        <f>IFERROR(VLOOKUP($B47,MMWR_TRAD_AGG_RO_COMP[],E$1,0),"ERROR")</f>
        <v>3349</v>
      </c>
      <c r="F47" s="222">
        <f>IFERROR(VLOOKUP($B47,MMWR_TRAD_AGG_RO_COMP[],F$1,0),"ERROR")</f>
        <v>500</v>
      </c>
      <c r="G47" s="223">
        <f t="shared" si="0"/>
        <v>0.14929829799940281</v>
      </c>
      <c r="H47" s="224">
        <f>IFERROR(VLOOKUP($B47,MMWR_TRAD_AGG_RO_COMP[],H$1,0),"ERROR")</f>
        <v>6503</v>
      </c>
      <c r="I47" s="222">
        <f>IFERROR(VLOOKUP($B47,MMWR_TRAD_AGG_RO_COMP[],I$1,0),"ERROR")</f>
        <v>2083</v>
      </c>
      <c r="J47" s="223">
        <f t="shared" si="1"/>
        <v>0.3203137013685991</v>
      </c>
      <c r="K47" s="225">
        <f>IFERROR(VLOOKUP($B47,MMWR_TRAD_AGG_RO_COMP[],K$1,0),"ERROR")</f>
        <v>1482</v>
      </c>
      <c r="L47" s="226">
        <f>IFERROR(VLOOKUP($B47,MMWR_TRAD_AGG_RO_COMP[],L$1,0),"ERROR")</f>
        <v>688</v>
      </c>
      <c r="M47" s="223">
        <f t="shared" si="2"/>
        <v>0.46423751686909581</v>
      </c>
      <c r="N47" s="225">
        <f>IFERROR(VLOOKUP($B47,MMWR_TRAD_AGG_RO_COMP[],N$1,0),"ERROR")</f>
        <v>527</v>
      </c>
      <c r="O47" s="226">
        <f>IFERROR(VLOOKUP($B47,MMWR_TRAD_AGG_RO_COMP[],O$1,0),"ERROR")</f>
        <v>266</v>
      </c>
      <c r="P47" s="223">
        <f t="shared" si="3"/>
        <v>0.50474383301707781</v>
      </c>
      <c r="Q47" s="227">
        <f>IFERROR(VLOOKUP($B47,MMWR_TRAD_AGG_RO_COMP[],Q$1,0),"ERROR")</f>
        <v>0</v>
      </c>
      <c r="R47" s="227">
        <f>IFERROR(VLOOKUP($B47,MMWR_TRAD_AGG_RO_COMP[],R$1,0),"ERROR")</f>
        <v>2</v>
      </c>
      <c r="S47" s="201">
        <f>IFERROR(VLOOKUP($B47,MMWR_APP_RO[],S$1,0),"ERROR")</f>
        <v>948</v>
      </c>
      <c r="T47" s="28"/>
    </row>
    <row r="48" spans="1:20" x14ac:dyDescent="0.2">
      <c r="A48" s="28"/>
      <c r="B48" s="116" t="s">
        <v>79</v>
      </c>
      <c r="C48" s="228">
        <f>IFERROR(VLOOKUP($B48,MMWR_TRAD_AGG_RO_COMP[],C$1,0),"ERROR")</f>
        <v>10033</v>
      </c>
      <c r="D48" s="229">
        <f>IFERROR(VLOOKUP($B48,MMWR_TRAD_AGG_RO_COMP[],D$1,0),"ERROR")</f>
        <v>286.27509219580003</v>
      </c>
      <c r="E48" s="230">
        <f>IFERROR(VLOOKUP($B48,MMWR_TRAD_AGG_RO_COMP[],E$1,0),"ERROR")</f>
        <v>17107</v>
      </c>
      <c r="F48" s="231">
        <f>IFERROR(VLOOKUP($B48,MMWR_TRAD_AGG_RO_COMP[],F$1,0),"ERROR")</f>
        <v>3039</v>
      </c>
      <c r="G48" s="232">
        <f t="shared" si="0"/>
        <v>0.17764657742444614</v>
      </c>
      <c r="H48" s="233">
        <f>IFERROR(VLOOKUP($B48,MMWR_TRAD_AGG_RO_COMP[],H$1,0),"ERROR")</f>
        <v>16774</v>
      </c>
      <c r="I48" s="231">
        <f>IFERROR(VLOOKUP($B48,MMWR_TRAD_AGG_RO_COMP[],I$1,0),"ERROR")</f>
        <v>6895</v>
      </c>
      <c r="J48" s="232">
        <f t="shared" si="1"/>
        <v>0.4110528198402289</v>
      </c>
      <c r="K48" s="234">
        <f>IFERROR(VLOOKUP($B48,MMWR_TRAD_AGG_RO_COMP[],K$1,0),"ERROR")</f>
        <v>3709</v>
      </c>
      <c r="L48" s="235">
        <f>IFERROR(VLOOKUP($B48,MMWR_TRAD_AGG_RO_COMP[],L$1,0),"ERROR")</f>
        <v>2527</v>
      </c>
      <c r="M48" s="232">
        <f t="shared" si="2"/>
        <v>0.68131571852251283</v>
      </c>
      <c r="N48" s="234">
        <f>IFERROR(VLOOKUP($B48,MMWR_TRAD_AGG_RO_COMP[],N$1,0),"ERROR")</f>
        <v>8897</v>
      </c>
      <c r="O48" s="235">
        <f>IFERROR(VLOOKUP($B48,MMWR_TRAD_AGG_RO_COMP[],O$1,0),"ERROR")</f>
        <v>4396</v>
      </c>
      <c r="P48" s="232">
        <f t="shared" si="3"/>
        <v>0.49409913453973248</v>
      </c>
      <c r="Q48" s="236">
        <f>IFERROR(VLOOKUP($B48,MMWR_TRAD_AGG_RO_COMP[],Q$1,0),"ERROR")</f>
        <v>3</v>
      </c>
      <c r="R48" s="236">
        <f>IFERROR(VLOOKUP($B48,MMWR_TRAD_AGG_RO_COMP[],R$1,0),"ERROR")</f>
        <v>225</v>
      </c>
      <c r="S48" s="201">
        <f>IFERROR(VLOOKUP($B48,MMWR_APP_RO[],S$1,0),"ERROR")</f>
        <v>20207</v>
      </c>
      <c r="T48" s="28"/>
    </row>
    <row r="49" spans="1:20" x14ac:dyDescent="0.2">
      <c r="A49" s="28"/>
      <c r="B49" s="101" t="s">
        <v>403</v>
      </c>
      <c r="C49" s="212">
        <f>IFERROR(VLOOKUP($B49,MMWR_TRAD_AGG_DISTRICT_COMP[],C$1,0),"ERROR")</f>
        <v>41398</v>
      </c>
      <c r="D49" s="197">
        <f>IFERROR(VLOOKUP($B49,MMWR_TRAD_AGG_DISTRICT_COMP[],D$1,0),"ERROR")</f>
        <v>378.0646649597</v>
      </c>
      <c r="E49" s="213">
        <f>IFERROR(VLOOKUP($B49,MMWR_TRAD_AGG_DISTRICT_COMP[],E$1,0),"ERROR")</f>
        <v>65109</v>
      </c>
      <c r="F49" s="218">
        <f>IFERROR(VLOOKUP($B49,MMWR_TRAD_AGG_DISTRICT_COMP[],F$1,0),"ERROR")</f>
        <v>13253</v>
      </c>
      <c r="G49" s="214">
        <f t="shared" si="0"/>
        <v>0.20355096837610775</v>
      </c>
      <c r="H49" s="218">
        <f>IFERROR(VLOOKUP($B49,MMWR_TRAD_AGG_DISTRICT_COMP[],H$1,0),"ERROR")</f>
        <v>84624</v>
      </c>
      <c r="I49" s="218">
        <f>IFERROR(VLOOKUP($B49,MMWR_TRAD_AGG_DISTRICT_COMP[],I$1,0),"ERROR")</f>
        <v>41056</v>
      </c>
      <c r="J49" s="214">
        <f t="shared" si="1"/>
        <v>0.4851578748345623</v>
      </c>
      <c r="K49" s="212">
        <f>IFERROR(VLOOKUP($B49,MMWR_TRAD_AGG_DISTRICT_COMP[],K$1,0),"ERROR")</f>
        <v>25493</v>
      </c>
      <c r="L49" s="212">
        <f>IFERROR(VLOOKUP($B49,MMWR_TRAD_AGG_DISTRICT_COMP[],L$1,0),"ERROR")</f>
        <v>18604</v>
      </c>
      <c r="M49" s="214">
        <f t="shared" si="2"/>
        <v>0.72976895618405058</v>
      </c>
      <c r="N49" s="212">
        <f>IFERROR(VLOOKUP($B49,MMWR_TRAD_AGG_DISTRICT_COMP[],N$1,0),"ERROR")</f>
        <v>18916</v>
      </c>
      <c r="O49" s="212">
        <f>IFERROR(VLOOKUP($B49,MMWR_TRAD_AGG_DISTRICT_COMP[],O$1,0),"ERROR")</f>
        <v>14733</v>
      </c>
      <c r="P49" s="214">
        <f t="shared" si="3"/>
        <v>0.77886445337280608</v>
      </c>
      <c r="Q49" s="212">
        <f>IFERROR(VLOOKUP($B49,MMWR_TRAD_AGG_DISTRICT_COMP[],Q$1,0),"ERROR")</f>
        <v>457</v>
      </c>
      <c r="R49" s="215">
        <f>IFERROR(VLOOKUP($B49,MMWR_TRAD_AGG_DISTRICT_COMP[],R$1,0),"ERROR")</f>
        <v>776</v>
      </c>
      <c r="S49" s="215">
        <f>IFERROR(VLOOKUP($B49,MMWR_APP_RO[],S$1,0),"ERROR")</f>
        <v>40026</v>
      </c>
      <c r="T49" s="28"/>
    </row>
    <row r="50" spans="1:20" x14ac:dyDescent="0.2">
      <c r="A50" s="28"/>
      <c r="B50" s="108" t="s">
        <v>31</v>
      </c>
      <c r="C50" s="219">
        <f>IFERROR(VLOOKUP($B50,MMWR_TRAD_AGG_RO_COMP[],C$1,0),"ERROR")</f>
        <v>605</v>
      </c>
      <c r="D50" s="220">
        <f>IFERROR(VLOOKUP($B50,MMWR_TRAD_AGG_RO_COMP[],D$1,0),"ERROR")</f>
        <v>160.4066115702</v>
      </c>
      <c r="E50" s="221">
        <f>IFERROR(VLOOKUP($B50,MMWR_TRAD_AGG_RO_COMP[],E$1,0),"ERROR")</f>
        <v>2954</v>
      </c>
      <c r="F50" s="222">
        <f>IFERROR(VLOOKUP($B50,MMWR_TRAD_AGG_RO_COMP[],F$1,0),"ERROR")</f>
        <v>700</v>
      </c>
      <c r="G50" s="223">
        <f t="shared" si="0"/>
        <v>0.23696682464454977</v>
      </c>
      <c r="H50" s="224">
        <f>IFERROR(VLOOKUP($B50,MMWR_TRAD_AGG_RO_COMP[],H$1,0),"ERROR")</f>
        <v>1704</v>
      </c>
      <c r="I50" s="222">
        <f>IFERROR(VLOOKUP($B50,MMWR_TRAD_AGG_RO_COMP[],I$1,0),"ERROR")</f>
        <v>366</v>
      </c>
      <c r="J50" s="223">
        <f t="shared" si="1"/>
        <v>0.21478873239436619</v>
      </c>
      <c r="K50" s="225">
        <f>IFERROR(VLOOKUP($B50,MMWR_TRAD_AGG_RO_COMP[],K$1,0),"ERROR")</f>
        <v>313</v>
      </c>
      <c r="L50" s="226">
        <f>IFERROR(VLOOKUP($B50,MMWR_TRAD_AGG_RO_COMP[],L$1,0),"ERROR")</f>
        <v>134</v>
      </c>
      <c r="M50" s="223">
        <f t="shared" si="2"/>
        <v>0.4281150159744409</v>
      </c>
      <c r="N50" s="225">
        <f>IFERROR(VLOOKUP($B50,MMWR_TRAD_AGG_RO_COMP[],N$1,0),"ERROR")</f>
        <v>409</v>
      </c>
      <c r="O50" s="226">
        <f>IFERROR(VLOOKUP($B50,MMWR_TRAD_AGG_RO_COMP[],O$1,0),"ERROR")</f>
        <v>258</v>
      </c>
      <c r="P50" s="223">
        <f t="shared" si="3"/>
        <v>0.63080684596577019</v>
      </c>
      <c r="Q50" s="227">
        <f>IFERROR(VLOOKUP($B50,MMWR_TRAD_AGG_RO_COMP[],Q$1,0),"ERROR")</f>
        <v>0</v>
      </c>
      <c r="R50" s="227">
        <f>IFERROR(VLOOKUP($B50,MMWR_TRAD_AGG_RO_COMP[],R$1,0),"ERROR")</f>
        <v>9</v>
      </c>
      <c r="S50" s="201">
        <f>IFERROR(VLOOKUP($B50,MMWR_APP_RO[],S$1,0),"ERROR")</f>
        <v>1470</v>
      </c>
      <c r="T50" s="28"/>
    </row>
    <row r="51" spans="1:20" x14ac:dyDescent="0.2">
      <c r="A51" s="28"/>
      <c r="B51" s="108" t="s">
        <v>32</v>
      </c>
      <c r="C51" s="219">
        <f>IFERROR(VLOOKUP($B51,MMWR_TRAD_AGG_RO_COMP[],C$1,0),"ERROR")</f>
        <v>1996</v>
      </c>
      <c r="D51" s="220">
        <f>IFERROR(VLOOKUP($B51,MMWR_TRAD_AGG_RO_COMP[],D$1,0),"ERROR")</f>
        <v>483.40180360720001</v>
      </c>
      <c r="E51" s="221">
        <f>IFERROR(VLOOKUP($B51,MMWR_TRAD_AGG_RO_COMP[],E$1,0),"ERROR")</f>
        <v>993</v>
      </c>
      <c r="F51" s="222">
        <f>IFERROR(VLOOKUP($B51,MMWR_TRAD_AGG_RO_COMP[],F$1,0),"ERROR")</f>
        <v>275</v>
      </c>
      <c r="G51" s="223">
        <f t="shared" si="0"/>
        <v>0.2769385699899295</v>
      </c>
      <c r="H51" s="224">
        <f>IFERROR(VLOOKUP($B51,MMWR_TRAD_AGG_RO_COMP[],H$1,0),"ERROR")</f>
        <v>3125</v>
      </c>
      <c r="I51" s="222">
        <f>IFERROR(VLOOKUP($B51,MMWR_TRAD_AGG_RO_COMP[],I$1,0),"ERROR")</f>
        <v>2072</v>
      </c>
      <c r="J51" s="223">
        <f t="shared" si="1"/>
        <v>0.66303999999999996</v>
      </c>
      <c r="K51" s="225">
        <f>IFERROR(VLOOKUP($B51,MMWR_TRAD_AGG_RO_COMP[],K$1,0),"ERROR")</f>
        <v>1632</v>
      </c>
      <c r="L51" s="226">
        <f>IFERROR(VLOOKUP($B51,MMWR_TRAD_AGG_RO_COMP[],L$1,0),"ERROR")</f>
        <v>1289</v>
      </c>
      <c r="M51" s="223">
        <f t="shared" si="2"/>
        <v>0.78982843137254899</v>
      </c>
      <c r="N51" s="225">
        <f>IFERROR(VLOOKUP($B51,MMWR_TRAD_AGG_RO_COMP[],N$1,0),"ERROR")</f>
        <v>185</v>
      </c>
      <c r="O51" s="226">
        <f>IFERROR(VLOOKUP($B51,MMWR_TRAD_AGG_RO_COMP[],O$1,0),"ERROR")</f>
        <v>145</v>
      </c>
      <c r="P51" s="223">
        <f t="shared" si="3"/>
        <v>0.78378378378378377</v>
      </c>
      <c r="Q51" s="227">
        <f>IFERROR(VLOOKUP($B51,MMWR_TRAD_AGG_RO_COMP[],Q$1,0),"ERROR")</f>
        <v>0</v>
      </c>
      <c r="R51" s="227">
        <f>IFERROR(VLOOKUP($B51,MMWR_TRAD_AGG_RO_COMP[],R$1,0),"ERROR")</f>
        <v>3</v>
      </c>
      <c r="S51" s="201">
        <f>IFERROR(VLOOKUP($B51,MMWR_APP_RO[],S$1,0),"ERROR")</f>
        <v>168</v>
      </c>
      <c r="T51" s="28"/>
    </row>
    <row r="52" spans="1:20" x14ac:dyDescent="0.2">
      <c r="A52" s="28"/>
      <c r="B52" s="108" t="s">
        <v>34</v>
      </c>
      <c r="C52" s="219">
        <f>IFERROR(VLOOKUP($B52,MMWR_TRAD_AGG_RO_COMP[],C$1,0),"ERROR")</f>
        <v>393</v>
      </c>
      <c r="D52" s="220">
        <f>IFERROR(VLOOKUP($B52,MMWR_TRAD_AGG_RO_COMP[],D$1,0),"ERROR")</f>
        <v>88.984732824399998</v>
      </c>
      <c r="E52" s="221">
        <f>IFERROR(VLOOKUP($B52,MMWR_TRAD_AGG_RO_COMP[],E$1,0),"ERROR")</f>
        <v>1704</v>
      </c>
      <c r="F52" s="222">
        <f>IFERROR(VLOOKUP($B52,MMWR_TRAD_AGG_RO_COMP[],F$1,0),"ERROR")</f>
        <v>446</v>
      </c>
      <c r="G52" s="223">
        <f t="shared" si="0"/>
        <v>0.26173708920187794</v>
      </c>
      <c r="H52" s="224">
        <f>IFERROR(VLOOKUP($B52,MMWR_TRAD_AGG_RO_COMP[],H$1,0),"ERROR")</f>
        <v>1286</v>
      </c>
      <c r="I52" s="222">
        <f>IFERROR(VLOOKUP($B52,MMWR_TRAD_AGG_RO_COMP[],I$1,0),"ERROR")</f>
        <v>145</v>
      </c>
      <c r="J52" s="223">
        <f t="shared" si="1"/>
        <v>0.11275272161741835</v>
      </c>
      <c r="K52" s="225">
        <f>IFERROR(VLOOKUP($B52,MMWR_TRAD_AGG_RO_COMP[],K$1,0),"ERROR")</f>
        <v>249</v>
      </c>
      <c r="L52" s="226">
        <f>IFERROR(VLOOKUP($B52,MMWR_TRAD_AGG_RO_COMP[],L$1,0),"ERROR")</f>
        <v>72</v>
      </c>
      <c r="M52" s="223">
        <f t="shared" si="2"/>
        <v>0.28915662650602408</v>
      </c>
      <c r="N52" s="225">
        <f>IFERROR(VLOOKUP($B52,MMWR_TRAD_AGG_RO_COMP[],N$1,0),"ERROR")</f>
        <v>122</v>
      </c>
      <c r="O52" s="226">
        <f>IFERROR(VLOOKUP($B52,MMWR_TRAD_AGG_RO_COMP[],O$1,0),"ERROR")</f>
        <v>81</v>
      </c>
      <c r="P52" s="223">
        <f t="shared" si="3"/>
        <v>0.66393442622950816</v>
      </c>
      <c r="Q52" s="227">
        <f>IFERROR(VLOOKUP($B52,MMWR_TRAD_AGG_RO_COMP[],Q$1,0),"ERROR")</f>
        <v>0</v>
      </c>
      <c r="R52" s="227">
        <f>IFERROR(VLOOKUP($B52,MMWR_TRAD_AGG_RO_COMP[],R$1,0),"ERROR")</f>
        <v>5</v>
      </c>
      <c r="S52" s="201">
        <f>IFERROR(VLOOKUP($B52,MMWR_APP_RO[],S$1,0),"ERROR")</f>
        <v>767</v>
      </c>
      <c r="T52" s="28"/>
    </row>
    <row r="53" spans="1:20" x14ac:dyDescent="0.2">
      <c r="A53" s="28"/>
      <c r="B53" s="108" t="s">
        <v>45</v>
      </c>
      <c r="C53" s="219">
        <f>IFERROR(VLOOKUP($B53,MMWR_TRAD_AGG_RO_COMP[],C$1,0),"ERROR")</f>
        <v>982</v>
      </c>
      <c r="D53" s="220">
        <f>IFERROR(VLOOKUP($B53,MMWR_TRAD_AGG_RO_COMP[],D$1,0),"ERROR")</f>
        <v>198.37881873730001</v>
      </c>
      <c r="E53" s="221">
        <f>IFERROR(VLOOKUP($B53,MMWR_TRAD_AGG_RO_COMP[],E$1,0),"ERROR")</f>
        <v>2529</v>
      </c>
      <c r="F53" s="222">
        <f>IFERROR(VLOOKUP($B53,MMWR_TRAD_AGG_RO_COMP[],F$1,0),"ERROR")</f>
        <v>424</v>
      </c>
      <c r="G53" s="223">
        <f t="shared" si="0"/>
        <v>0.16765519968366943</v>
      </c>
      <c r="H53" s="224">
        <f>IFERROR(VLOOKUP($B53,MMWR_TRAD_AGG_RO_COMP[],H$1,0),"ERROR")</f>
        <v>2142</v>
      </c>
      <c r="I53" s="222">
        <f>IFERROR(VLOOKUP($B53,MMWR_TRAD_AGG_RO_COMP[],I$1,0),"ERROR")</f>
        <v>550</v>
      </c>
      <c r="J53" s="223">
        <f t="shared" si="1"/>
        <v>0.25676937441643322</v>
      </c>
      <c r="K53" s="225">
        <f>IFERROR(VLOOKUP($B53,MMWR_TRAD_AGG_RO_COMP[],K$1,0),"ERROR")</f>
        <v>958</v>
      </c>
      <c r="L53" s="226">
        <f>IFERROR(VLOOKUP($B53,MMWR_TRAD_AGG_RO_COMP[],L$1,0),"ERROR")</f>
        <v>512</v>
      </c>
      <c r="M53" s="223">
        <f t="shared" si="2"/>
        <v>0.53444676409185798</v>
      </c>
      <c r="N53" s="225">
        <f>IFERROR(VLOOKUP($B53,MMWR_TRAD_AGG_RO_COMP[],N$1,0),"ERROR")</f>
        <v>182</v>
      </c>
      <c r="O53" s="226">
        <f>IFERROR(VLOOKUP($B53,MMWR_TRAD_AGG_RO_COMP[],O$1,0),"ERROR")</f>
        <v>101</v>
      </c>
      <c r="P53" s="223">
        <f t="shared" si="3"/>
        <v>0.55494505494505497</v>
      </c>
      <c r="Q53" s="227">
        <f>IFERROR(VLOOKUP($B53,MMWR_TRAD_AGG_RO_COMP[],Q$1,0),"ERROR")</f>
        <v>0</v>
      </c>
      <c r="R53" s="227">
        <f>IFERROR(VLOOKUP($B53,MMWR_TRAD_AGG_RO_COMP[],R$1,0),"ERROR")</f>
        <v>1</v>
      </c>
      <c r="S53" s="201">
        <f>IFERROR(VLOOKUP($B53,MMWR_APP_RO[],S$1,0),"ERROR")</f>
        <v>1322</v>
      </c>
      <c r="T53" s="28"/>
    </row>
    <row r="54" spans="1:20" x14ac:dyDescent="0.2">
      <c r="A54" s="28"/>
      <c r="B54" s="108" t="s">
        <v>52</v>
      </c>
      <c r="C54" s="219">
        <f>IFERROR(VLOOKUP($B54,MMWR_TRAD_AGG_RO_COMP[],C$1,0),"ERROR")</f>
        <v>5872</v>
      </c>
      <c r="D54" s="220">
        <f>IFERROR(VLOOKUP($B54,MMWR_TRAD_AGG_RO_COMP[],D$1,0),"ERROR")</f>
        <v>434.51566757490002</v>
      </c>
      <c r="E54" s="221">
        <f>IFERROR(VLOOKUP($B54,MMWR_TRAD_AGG_RO_COMP[],E$1,0),"ERROR")</f>
        <v>10867</v>
      </c>
      <c r="F54" s="222">
        <f>IFERROR(VLOOKUP($B54,MMWR_TRAD_AGG_RO_COMP[],F$1,0),"ERROR")</f>
        <v>2114</v>
      </c>
      <c r="G54" s="223">
        <f t="shared" si="0"/>
        <v>0.19453391000276066</v>
      </c>
      <c r="H54" s="224">
        <f>IFERROR(VLOOKUP($B54,MMWR_TRAD_AGG_RO_COMP[],H$1,0),"ERROR")</f>
        <v>10349</v>
      </c>
      <c r="I54" s="222">
        <f>IFERROR(VLOOKUP($B54,MMWR_TRAD_AGG_RO_COMP[],I$1,0),"ERROR")</f>
        <v>5098</v>
      </c>
      <c r="J54" s="223">
        <f t="shared" si="1"/>
        <v>0.49260798144748286</v>
      </c>
      <c r="K54" s="225">
        <f>IFERROR(VLOOKUP($B54,MMWR_TRAD_AGG_RO_COMP[],K$1,0),"ERROR")</f>
        <v>1022</v>
      </c>
      <c r="L54" s="226">
        <f>IFERROR(VLOOKUP($B54,MMWR_TRAD_AGG_RO_COMP[],L$1,0),"ERROR")</f>
        <v>856</v>
      </c>
      <c r="M54" s="223">
        <f t="shared" si="2"/>
        <v>0.83757338551859095</v>
      </c>
      <c r="N54" s="225">
        <f>IFERROR(VLOOKUP($B54,MMWR_TRAD_AGG_RO_COMP[],N$1,0),"ERROR")</f>
        <v>3982</v>
      </c>
      <c r="O54" s="226">
        <f>IFERROR(VLOOKUP($B54,MMWR_TRAD_AGG_RO_COMP[],O$1,0),"ERROR")</f>
        <v>3288</v>
      </c>
      <c r="P54" s="223">
        <f t="shared" si="3"/>
        <v>0.82571572074334509</v>
      </c>
      <c r="Q54" s="227">
        <f>IFERROR(VLOOKUP($B54,MMWR_TRAD_AGG_RO_COMP[],Q$1,0),"ERROR")</f>
        <v>4</v>
      </c>
      <c r="R54" s="227">
        <f>IFERROR(VLOOKUP($B54,MMWR_TRAD_AGG_RO_COMP[],R$1,0),"ERROR")</f>
        <v>36</v>
      </c>
      <c r="S54" s="201">
        <f>IFERROR(VLOOKUP($B54,MMWR_APP_RO[],S$1,0),"ERROR")</f>
        <v>4888</v>
      </c>
      <c r="T54" s="28"/>
    </row>
    <row r="55" spans="1:20" x14ac:dyDescent="0.2">
      <c r="A55" s="28"/>
      <c r="B55" s="108" t="s">
        <v>55</v>
      </c>
      <c r="C55" s="219">
        <f>IFERROR(VLOOKUP($B55,MMWR_TRAD_AGG_RO_COMP[],C$1,0),"ERROR")</f>
        <v>448</v>
      </c>
      <c r="D55" s="220">
        <f>IFERROR(VLOOKUP($B55,MMWR_TRAD_AGG_RO_COMP[],D$1,0),"ERROR")</f>
        <v>205.3147321429</v>
      </c>
      <c r="E55" s="221">
        <f>IFERROR(VLOOKUP($B55,MMWR_TRAD_AGG_RO_COMP[],E$1,0),"ERROR")</f>
        <v>824</v>
      </c>
      <c r="F55" s="222">
        <f>IFERROR(VLOOKUP($B55,MMWR_TRAD_AGG_RO_COMP[],F$1,0),"ERROR")</f>
        <v>234</v>
      </c>
      <c r="G55" s="223">
        <f t="shared" si="0"/>
        <v>0.28398058252427183</v>
      </c>
      <c r="H55" s="224">
        <f>IFERROR(VLOOKUP($B55,MMWR_TRAD_AGG_RO_COMP[],H$1,0),"ERROR")</f>
        <v>792</v>
      </c>
      <c r="I55" s="222">
        <f>IFERROR(VLOOKUP($B55,MMWR_TRAD_AGG_RO_COMP[],I$1,0),"ERROR")</f>
        <v>332</v>
      </c>
      <c r="J55" s="223">
        <f t="shared" si="1"/>
        <v>0.41919191919191917</v>
      </c>
      <c r="K55" s="225">
        <f>IFERROR(VLOOKUP($B55,MMWR_TRAD_AGG_RO_COMP[],K$1,0),"ERROR")</f>
        <v>384</v>
      </c>
      <c r="L55" s="226">
        <f>IFERROR(VLOOKUP($B55,MMWR_TRAD_AGG_RO_COMP[],L$1,0),"ERROR")</f>
        <v>319</v>
      </c>
      <c r="M55" s="223">
        <f t="shared" si="2"/>
        <v>0.83072916666666663</v>
      </c>
      <c r="N55" s="225">
        <f>IFERROR(VLOOKUP($B55,MMWR_TRAD_AGG_RO_COMP[],N$1,0),"ERROR")</f>
        <v>288</v>
      </c>
      <c r="O55" s="226">
        <f>IFERROR(VLOOKUP($B55,MMWR_TRAD_AGG_RO_COMP[],O$1,0),"ERROR")</f>
        <v>145</v>
      </c>
      <c r="P55" s="223">
        <f t="shared" si="3"/>
        <v>0.50347222222222221</v>
      </c>
      <c r="Q55" s="227">
        <f>IFERROR(VLOOKUP($B55,MMWR_TRAD_AGG_RO_COMP[],Q$1,0),"ERROR")</f>
        <v>448</v>
      </c>
      <c r="R55" s="227">
        <f>IFERROR(VLOOKUP($B55,MMWR_TRAD_AGG_RO_COMP[],R$1,0),"ERROR")</f>
        <v>132</v>
      </c>
      <c r="S55" s="201">
        <f>IFERROR(VLOOKUP($B55,MMWR_APP_RO[],S$1,0),"ERROR")</f>
        <v>791</v>
      </c>
      <c r="T55" s="28"/>
    </row>
    <row r="56" spans="1:20" x14ac:dyDescent="0.2">
      <c r="A56" s="28"/>
      <c r="B56" s="108" t="s">
        <v>62</v>
      </c>
      <c r="C56" s="219">
        <f>IFERROR(VLOOKUP($B56,MMWR_TRAD_AGG_RO_COMP[],C$1,0),"ERROR")</f>
        <v>6571</v>
      </c>
      <c r="D56" s="220">
        <f>IFERROR(VLOOKUP($B56,MMWR_TRAD_AGG_RO_COMP[],D$1,0),"ERROR")</f>
        <v>454.95221427479999</v>
      </c>
      <c r="E56" s="221">
        <f>IFERROR(VLOOKUP($B56,MMWR_TRAD_AGG_RO_COMP[],E$1,0),"ERROR")</f>
        <v>11513</v>
      </c>
      <c r="F56" s="222">
        <f>IFERROR(VLOOKUP($B56,MMWR_TRAD_AGG_RO_COMP[],F$1,0),"ERROR")</f>
        <v>2853</v>
      </c>
      <c r="G56" s="223">
        <f t="shared" si="0"/>
        <v>0.24780682706505688</v>
      </c>
      <c r="H56" s="224">
        <f>IFERROR(VLOOKUP($B56,MMWR_TRAD_AGG_RO_COMP[],H$1,0),"ERROR")</f>
        <v>12089</v>
      </c>
      <c r="I56" s="222">
        <f>IFERROR(VLOOKUP($B56,MMWR_TRAD_AGG_RO_COMP[],I$1,0),"ERROR")</f>
        <v>7342</v>
      </c>
      <c r="J56" s="223">
        <f t="shared" si="1"/>
        <v>0.60732897675572839</v>
      </c>
      <c r="K56" s="225">
        <f>IFERROR(VLOOKUP($B56,MMWR_TRAD_AGG_RO_COMP[],K$1,0),"ERROR")</f>
        <v>3711</v>
      </c>
      <c r="L56" s="226">
        <f>IFERROR(VLOOKUP($B56,MMWR_TRAD_AGG_RO_COMP[],L$1,0),"ERROR")</f>
        <v>3334</v>
      </c>
      <c r="M56" s="223">
        <f t="shared" si="2"/>
        <v>0.8984101320398814</v>
      </c>
      <c r="N56" s="225">
        <f>IFERROR(VLOOKUP($B56,MMWR_TRAD_AGG_RO_COMP[],N$1,0),"ERROR")</f>
        <v>2701</v>
      </c>
      <c r="O56" s="226">
        <f>IFERROR(VLOOKUP($B56,MMWR_TRAD_AGG_RO_COMP[],O$1,0),"ERROR")</f>
        <v>2150</v>
      </c>
      <c r="P56" s="223">
        <f t="shared" si="3"/>
        <v>0.79600148093298784</v>
      </c>
      <c r="Q56" s="227">
        <f>IFERROR(VLOOKUP($B56,MMWR_TRAD_AGG_RO_COMP[],Q$1,0),"ERROR")</f>
        <v>0</v>
      </c>
      <c r="R56" s="227">
        <f>IFERROR(VLOOKUP($B56,MMWR_TRAD_AGG_RO_COMP[],R$1,0),"ERROR")</f>
        <v>50</v>
      </c>
      <c r="S56" s="201">
        <f>IFERROR(VLOOKUP($B56,MMWR_APP_RO[],S$1,0),"ERROR")</f>
        <v>8297</v>
      </c>
      <c r="T56" s="28"/>
    </row>
    <row r="57" spans="1:20" x14ac:dyDescent="0.2">
      <c r="A57" s="28"/>
      <c r="B57" s="108" t="s">
        <v>64</v>
      </c>
      <c r="C57" s="219">
        <f>IFERROR(VLOOKUP($B57,MMWR_TRAD_AGG_RO_COMP[],C$1,0),"ERROR")</f>
        <v>3190</v>
      </c>
      <c r="D57" s="220">
        <f>IFERROR(VLOOKUP($B57,MMWR_TRAD_AGG_RO_COMP[],D$1,0),"ERROR")</f>
        <v>230.94827586209999</v>
      </c>
      <c r="E57" s="221">
        <f>IFERROR(VLOOKUP($B57,MMWR_TRAD_AGG_RO_COMP[],E$1,0),"ERROR")</f>
        <v>4890</v>
      </c>
      <c r="F57" s="222">
        <f>IFERROR(VLOOKUP($B57,MMWR_TRAD_AGG_RO_COMP[],F$1,0),"ERROR")</f>
        <v>698</v>
      </c>
      <c r="G57" s="223">
        <f t="shared" si="0"/>
        <v>0.1427402862985685</v>
      </c>
      <c r="H57" s="224">
        <f>IFERROR(VLOOKUP($B57,MMWR_TRAD_AGG_RO_COMP[],H$1,0),"ERROR")</f>
        <v>6340</v>
      </c>
      <c r="I57" s="222">
        <f>IFERROR(VLOOKUP($B57,MMWR_TRAD_AGG_RO_COMP[],I$1,0),"ERROR")</f>
        <v>1992</v>
      </c>
      <c r="J57" s="223">
        <f t="shared" si="1"/>
        <v>0.31419558359621452</v>
      </c>
      <c r="K57" s="225">
        <f>IFERROR(VLOOKUP($B57,MMWR_TRAD_AGG_RO_COMP[],K$1,0),"ERROR")</f>
        <v>1886</v>
      </c>
      <c r="L57" s="226">
        <f>IFERROR(VLOOKUP($B57,MMWR_TRAD_AGG_RO_COMP[],L$1,0),"ERROR")</f>
        <v>1117</v>
      </c>
      <c r="M57" s="223">
        <f t="shared" si="2"/>
        <v>0.59225874867444328</v>
      </c>
      <c r="N57" s="225">
        <f>IFERROR(VLOOKUP($B57,MMWR_TRAD_AGG_RO_COMP[],N$1,0),"ERROR")</f>
        <v>1223</v>
      </c>
      <c r="O57" s="226">
        <f>IFERROR(VLOOKUP($B57,MMWR_TRAD_AGG_RO_COMP[],O$1,0),"ERROR")</f>
        <v>786</v>
      </c>
      <c r="P57" s="223">
        <f t="shared" si="3"/>
        <v>0.64268192968111204</v>
      </c>
      <c r="Q57" s="227">
        <f>IFERROR(VLOOKUP($B57,MMWR_TRAD_AGG_RO_COMP[],Q$1,0),"ERROR")</f>
        <v>0</v>
      </c>
      <c r="R57" s="227">
        <f>IFERROR(VLOOKUP($B57,MMWR_TRAD_AGG_RO_COMP[],R$1,0),"ERROR")</f>
        <v>82</v>
      </c>
      <c r="S57" s="201">
        <f>IFERROR(VLOOKUP($B57,MMWR_APP_RO[],S$1,0),"ERROR")</f>
        <v>6611</v>
      </c>
      <c r="T57" s="28"/>
    </row>
    <row r="58" spans="1:20" x14ac:dyDescent="0.2">
      <c r="A58" s="28"/>
      <c r="B58" s="108" t="s">
        <v>66</v>
      </c>
      <c r="C58" s="219">
        <f>IFERROR(VLOOKUP($B58,MMWR_TRAD_AGG_RO_COMP[],C$1,0),"ERROR")</f>
        <v>5262</v>
      </c>
      <c r="D58" s="220">
        <f>IFERROR(VLOOKUP($B58,MMWR_TRAD_AGG_RO_COMP[],D$1,0),"ERROR")</f>
        <v>365.03534777649998</v>
      </c>
      <c r="E58" s="221">
        <f>IFERROR(VLOOKUP($B58,MMWR_TRAD_AGG_RO_COMP[],E$1,0),"ERROR")</f>
        <v>4679</v>
      </c>
      <c r="F58" s="222">
        <f>IFERROR(VLOOKUP($B58,MMWR_TRAD_AGG_RO_COMP[],F$1,0),"ERROR")</f>
        <v>937</v>
      </c>
      <c r="G58" s="223">
        <f t="shared" si="0"/>
        <v>0.20025646505663602</v>
      </c>
      <c r="H58" s="224">
        <f>IFERROR(VLOOKUP($B58,MMWR_TRAD_AGG_RO_COMP[],H$1,0),"ERROR")</f>
        <v>8041</v>
      </c>
      <c r="I58" s="222">
        <f>IFERROR(VLOOKUP($B58,MMWR_TRAD_AGG_RO_COMP[],I$1,0),"ERROR")</f>
        <v>4352</v>
      </c>
      <c r="J58" s="223">
        <f t="shared" si="1"/>
        <v>0.54122621564482032</v>
      </c>
      <c r="K58" s="225">
        <f>IFERROR(VLOOKUP($B58,MMWR_TRAD_AGG_RO_COMP[],K$1,0),"ERROR")</f>
        <v>3316</v>
      </c>
      <c r="L58" s="226">
        <f>IFERROR(VLOOKUP($B58,MMWR_TRAD_AGG_RO_COMP[],L$1,0),"ERROR")</f>
        <v>2773</v>
      </c>
      <c r="M58" s="223">
        <f t="shared" si="2"/>
        <v>0.83624849215922803</v>
      </c>
      <c r="N58" s="225">
        <f>IFERROR(VLOOKUP($B58,MMWR_TRAD_AGG_RO_COMP[],N$1,0),"ERROR")</f>
        <v>2190</v>
      </c>
      <c r="O58" s="226">
        <f>IFERROR(VLOOKUP($B58,MMWR_TRAD_AGG_RO_COMP[],O$1,0),"ERROR")</f>
        <v>1691</v>
      </c>
      <c r="P58" s="223">
        <f t="shared" si="3"/>
        <v>0.77214611872146122</v>
      </c>
      <c r="Q58" s="227">
        <f>IFERROR(VLOOKUP($B58,MMWR_TRAD_AGG_RO_COMP[],Q$1,0),"ERROR")</f>
        <v>0</v>
      </c>
      <c r="R58" s="227">
        <f>IFERROR(VLOOKUP($B58,MMWR_TRAD_AGG_RO_COMP[],R$1,0),"ERROR")</f>
        <v>109</v>
      </c>
      <c r="S58" s="201">
        <f>IFERROR(VLOOKUP($B58,MMWR_APP_RO[],S$1,0),"ERROR")</f>
        <v>4583</v>
      </c>
      <c r="T58" s="28"/>
    </row>
    <row r="59" spans="1:20" x14ac:dyDescent="0.2">
      <c r="A59" s="28"/>
      <c r="B59" s="108" t="s">
        <v>68</v>
      </c>
      <c r="C59" s="219">
        <f>IFERROR(VLOOKUP($B59,MMWR_TRAD_AGG_RO_COMP[],C$1,0),"ERROR")</f>
        <v>2204</v>
      </c>
      <c r="D59" s="220">
        <f>IFERROR(VLOOKUP($B59,MMWR_TRAD_AGG_RO_COMP[],D$1,0),"ERROR")</f>
        <v>455.75317604359998</v>
      </c>
      <c r="E59" s="221">
        <f>IFERROR(VLOOKUP($B59,MMWR_TRAD_AGG_RO_COMP[],E$1,0),"ERROR")</f>
        <v>3555</v>
      </c>
      <c r="F59" s="222">
        <f>IFERROR(VLOOKUP($B59,MMWR_TRAD_AGG_RO_COMP[],F$1,0),"ERROR")</f>
        <v>965</v>
      </c>
      <c r="G59" s="223">
        <f t="shared" si="0"/>
        <v>0.27144866385372712</v>
      </c>
      <c r="H59" s="224">
        <f>IFERROR(VLOOKUP($B59,MMWR_TRAD_AGG_RO_COMP[],H$1,0),"ERROR")</f>
        <v>3519</v>
      </c>
      <c r="I59" s="222">
        <f>IFERROR(VLOOKUP($B59,MMWR_TRAD_AGG_RO_COMP[],I$1,0),"ERROR")</f>
        <v>1969</v>
      </c>
      <c r="J59" s="223">
        <f t="shared" si="1"/>
        <v>0.55953395851094057</v>
      </c>
      <c r="K59" s="225">
        <f>IFERROR(VLOOKUP($B59,MMWR_TRAD_AGG_RO_COMP[],K$1,0),"ERROR")</f>
        <v>617</v>
      </c>
      <c r="L59" s="226">
        <f>IFERROR(VLOOKUP($B59,MMWR_TRAD_AGG_RO_COMP[],L$1,0),"ERROR")</f>
        <v>465</v>
      </c>
      <c r="M59" s="223">
        <f t="shared" si="2"/>
        <v>0.75364667747163694</v>
      </c>
      <c r="N59" s="225">
        <f>IFERROR(VLOOKUP($B59,MMWR_TRAD_AGG_RO_COMP[],N$1,0),"ERROR")</f>
        <v>1137</v>
      </c>
      <c r="O59" s="226">
        <f>IFERROR(VLOOKUP($B59,MMWR_TRAD_AGG_RO_COMP[],O$1,0),"ERROR")</f>
        <v>942</v>
      </c>
      <c r="P59" s="223">
        <f t="shared" si="3"/>
        <v>0.82849604221635886</v>
      </c>
      <c r="Q59" s="227">
        <f>IFERROR(VLOOKUP($B59,MMWR_TRAD_AGG_RO_COMP[],Q$1,0),"ERROR")</f>
        <v>0</v>
      </c>
      <c r="R59" s="227">
        <f>IFERROR(VLOOKUP($B59,MMWR_TRAD_AGG_RO_COMP[],R$1,0),"ERROR")</f>
        <v>126</v>
      </c>
      <c r="S59" s="201">
        <f>IFERROR(VLOOKUP($B59,MMWR_APP_RO[],S$1,0),"ERROR")</f>
        <v>2887</v>
      </c>
      <c r="T59" s="28"/>
    </row>
    <row r="60" spans="1:20" x14ac:dyDescent="0.2">
      <c r="A60" s="28"/>
      <c r="B60" s="108" t="s">
        <v>71</v>
      </c>
      <c r="C60" s="219">
        <f>IFERROR(VLOOKUP($B60,MMWR_TRAD_AGG_RO_COMP[],C$1,0),"ERROR")</f>
        <v>4849</v>
      </c>
      <c r="D60" s="220">
        <f>IFERROR(VLOOKUP($B60,MMWR_TRAD_AGG_RO_COMP[],D$1,0),"ERROR")</f>
        <v>327.78614147249999</v>
      </c>
      <c r="E60" s="221">
        <f>IFERROR(VLOOKUP($B60,MMWR_TRAD_AGG_RO_COMP[],E$1,0),"ERROR")</f>
        <v>12681</v>
      </c>
      <c r="F60" s="222">
        <f>IFERROR(VLOOKUP($B60,MMWR_TRAD_AGG_RO_COMP[],F$1,0),"ERROR")</f>
        <v>2139</v>
      </c>
      <c r="G60" s="223">
        <f t="shared" si="0"/>
        <v>0.16867754908918856</v>
      </c>
      <c r="H60" s="224">
        <f>IFERROR(VLOOKUP($B60,MMWR_TRAD_AGG_RO_COMP[],H$1,0),"ERROR")</f>
        <v>17345</v>
      </c>
      <c r="I60" s="222">
        <f>IFERROR(VLOOKUP($B60,MMWR_TRAD_AGG_RO_COMP[],I$1,0),"ERROR")</f>
        <v>7739</v>
      </c>
      <c r="J60" s="223">
        <f t="shared" si="1"/>
        <v>0.44618045546266938</v>
      </c>
      <c r="K60" s="225">
        <f>IFERROR(VLOOKUP($B60,MMWR_TRAD_AGG_RO_COMP[],K$1,0),"ERROR")</f>
        <v>6597</v>
      </c>
      <c r="L60" s="226">
        <f>IFERROR(VLOOKUP($B60,MMWR_TRAD_AGG_RO_COMP[],L$1,0),"ERROR")</f>
        <v>4563</v>
      </c>
      <c r="M60" s="223">
        <f t="shared" si="2"/>
        <v>0.69167803547066853</v>
      </c>
      <c r="N60" s="225">
        <f>IFERROR(VLOOKUP($B60,MMWR_TRAD_AGG_RO_COMP[],N$1,0),"ERROR")</f>
        <v>2359</v>
      </c>
      <c r="O60" s="226">
        <f>IFERROR(VLOOKUP($B60,MMWR_TRAD_AGG_RO_COMP[],O$1,0),"ERROR")</f>
        <v>1644</v>
      </c>
      <c r="P60" s="223">
        <f t="shared" si="3"/>
        <v>0.69690546841882151</v>
      </c>
      <c r="Q60" s="227">
        <f>IFERROR(VLOOKUP($B60,MMWR_TRAD_AGG_RO_COMP[],Q$1,0),"ERROR")</f>
        <v>0</v>
      </c>
      <c r="R60" s="227">
        <f>IFERROR(VLOOKUP($B60,MMWR_TRAD_AGG_RO_COMP[],R$1,0),"ERROR")</f>
        <v>63</v>
      </c>
      <c r="S60" s="201">
        <f>IFERROR(VLOOKUP($B60,MMWR_APP_RO[],S$1,0),"ERROR")</f>
        <v>3696</v>
      </c>
      <c r="T60" s="28"/>
    </row>
    <row r="61" spans="1:20" x14ac:dyDescent="0.2">
      <c r="A61" s="28"/>
      <c r="B61" s="116" t="s">
        <v>73</v>
      </c>
      <c r="C61" s="228">
        <f>IFERROR(VLOOKUP($B61,MMWR_TRAD_AGG_RO_COMP[],C$1,0),"ERROR")</f>
        <v>9026</v>
      </c>
      <c r="D61" s="229">
        <f>IFERROR(VLOOKUP($B61,MMWR_TRAD_AGG_RO_COMP[],D$1,0),"ERROR")</f>
        <v>385.00132949260001</v>
      </c>
      <c r="E61" s="230">
        <f>IFERROR(VLOOKUP($B61,MMWR_TRAD_AGG_RO_COMP[],E$1,0),"ERROR")</f>
        <v>7920</v>
      </c>
      <c r="F61" s="231">
        <f>IFERROR(VLOOKUP($B61,MMWR_TRAD_AGG_RO_COMP[],F$1,0),"ERROR")</f>
        <v>1468</v>
      </c>
      <c r="G61" s="232">
        <f t="shared" si="0"/>
        <v>0.18535353535353535</v>
      </c>
      <c r="H61" s="233">
        <f>IFERROR(VLOOKUP($B61,MMWR_TRAD_AGG_RO_COMP[],H$1,0),"ERROR")</f>
        <v>17892</v>
      </c>
      <c r="I61" s="231">
        <f>IFERROR(VLOOKUP($B61,MMWR_TRAD_AGG_RO_COMP[],I$1,0),"ERROR")</f>
        <v>9099</v>
      </c>
      <c r="J61" s="232">
        <f t="shared" si="1"/>
        <v>0.50855130784708247</v>
      </c>
      <c r="K61" s="234">
        <f>IFERROR(VLOOKUP($B61,MMWR_TRAD_AGG_RO_COMP[],K$1,0),"ERROR")</f>
        <v>4808</v>
      </c>
      <c r="L61" s="235">
        <f>IFERROR(VLOOKUP($B61,MMWR_TRAD_AGG_RO_COMP[],L$1,0),"ERROR")</f>
        <v>3170</v>
      </c>
      <c r="M61" s="232">
        <f t="shared" si="2"/>
        <v>0.65931780366056569</v>
      </c>
      <c r="N61" s="234">
        <f>IFERROR(VLOOKUP($B61,MMWR_TRAD_AGG_RO_COMP[],N$1,0),"ERROR")</f>
        <v>4138</v>
      </c>
      <c r="O61" s="235">
        <f>IFERROR(VLOOKUP($B61,MMWR_TRAD_AGG_RO_COMP[],O$1,0),"ERROR")</f>
        <v>3502</v>
      </c>
      <c r="P61" s="232">
        <f t="shared" si="3"/>
        <v>0.84630256162397288</v>
      </c>
      <c r="Q61" s="236">
        <f>IFERROR(VLOOKUP($B61,MMWR_TRAD_AGG_RO_COMP[],Q$1,0),"ERROR")</f>
        <v>5</v>
      </c>
      <c r="R61" s="236">
        <f>IFERROR(VLOOKUP($B61,MMWR_TRAD_AGG_RO_COMP[],R$1,0),"ERROR")</f>
        <v>160</v>
      </c>
      <c r="S61" s="201">
        <f>IFERROR(VLOOKUP($B61,MMWR_APP_RO[],S$1,0),"ERROR")</f>
        <v>4546</v>
      </c>
      <c r="T61" s="28"/>
    </row>
    <row r="62" spans="1:20" x14ac:dyDescent="0.2">
      <c r="A62" s="28"/>
      <c r="B62" s="101" t="s">
        <v>379</v>
      </c>
      <c r="C62" s="212">
        <f>IFERROR(VLOOKUP($B62,MMWR_TRAD_AGG_DISTRICT_COMP[],C$1,0),"ERROR")</f>
        <v>54443</v>
      </c>
      <c r="D62" s="197">
        <f>IFERROR(VLOOKUP($B62,MMWR_TRAD_AGG_DISTRICT_COMP[],D$1,0),"ERROR")</f>
        <v>341.60334661939999</v>
      </c>
      <c r="E62" s="213">
        <f>IFERROR(VLOOKUP($B62,MMWR_TRAD_AGG_DISTRICT_COMP[],E$1,0),"ERROR")</f>
        <v>74578</v>
      </c>
      <c r="F62" s="218">
        <f>IFERROR(VLOOKUP($B62,MMWR_TRAD_AGG_DISTRICT_COMP[],F$1,0),"ERROR")</f>
        <v>17706</v>
      </c>
      <c r="G62" s="214">
        <f t="shared" si="0"/>
        <v>0.23741585990506583</v>
      </c>
      <c r="H62" s="218">
        <f>IFERROR(VLOOKUP($B62,MMWR_TRAD_AGG_DISTRICT_COMP[],H$1,0),"ERROR")</f>
        <v>94838</v>
      </c>
      <c r="I62" s="218">
        <f>IFERROR(VLOOKUP($B62,MMWR_TRAD_AGG_DISTRICT_COMP[],I$1,0),"ERROR")</f>
        <v>50291</v>
      </c>
      <c r="J62" s="214">
        <f t="shared" si="1"/>
        <v>0.53028321980640669</v>
      </c>
      <c r="K62" s="212">
        <f>IFERROR(VLOOKUP($B62,MMWR_TRAD_AGG_DISTRICT_COMP[],K$1,0),"ERROR")</f>
        <v>27934</v>
      </c>
      <c r="L62" s="212">
        <f>IFERROR(VLOOKUP($B62,MMWR_TRAD_AGG_DISTRICT_COMP[],L$1,0),"ERROR")</f>
        <v>23285</v>
      </c>
      <c r="M62" s="214">
        <f t="shared" si="2"/>
        <v>0.83357199112193026</v>
      </c>
      <c r="N62" s="212">
        <f>IFERROR(VLOOKUP($B62,MMWR_TRAD_AGG_DISTRICT_COMP[],N$1,0),"ERROR")</f>
        <v>24390</v>
      </c>
      <c r="O62" s="212">
        <f>IFERROR(VLOOKUP($B62,MMWR_TRAD_AGG_DISTRICT_COMP[],O$1,0),"ERROR")</f>
        <v>17995</v>
      </c>
      <c r="P62" s="214">
        <f t="shared" si="3"/>
        <v>0.73780237802378024</v>
      </c>
      <c r="Q62" s="212">
        <f>IFERROR(VLOOKUP($B62,MMWR_TRAD_AGG_DISTRICT_COMP[],Q$1,0),"ERROR")</f>
        <v>180</v>
      </c>
      <c r="R62" s="215">
        <f>IFERROR(VLOOKUP($B62,MMWR_TRAD_AGG_DISTRICT_COMP[],R$1,0),"ERROR")</f>
        <v>1397</v>
      </c>
      <c r="S62" s="215">
        <f>IFERROR(VLOOKUP($B62,MMWR_APP_RO[],S$1,0),"ERROR")</f>
        <v>84243</v>
      </c>
      <c r="T62" s="28"/>
    </row>
    <row r="63" spans="1:20" x14ac:dyDescent="0.2">
      <c r="A63" s="28"/>
      <c r="B63" s="108" t="s">
        <v>25</v>
      </c>
      <c r="C63" s="219">
        <f>IFERROR(VLOOKUP($B63,MMWR_TRAD_AGG_RO_COMP[],C$1,0),"ERROR")</f>
        <v>11612</v>
      </c>
      <c r="D63" s="220">
        <f>IFERROR(VLOOKUP($B63,MMWR_TRAD_AGG_RO_COMP[],D$1,0),"ERROR")</f>
        <v>339.02686875649999</v>
      </c>
      <c r="E63" s="221">
        <f>IFERROR(VLOOKUP($B63,MMWR_TRAD_AGG_RO_COMP[],E$1,0),"ERROR")</f>
        <v>17906</v>
      </c>
      <c r="F63" s="222">
        <f>IFERROR(VLOOKUP($B63,MMWR_TRAD_AGG_RO_COMP[],F$1,0),"ERROR")</f>
        <v>4910</v>
      </c>
      <c r="G63" s="223">
        <f t="shared" si="0"/>
        <v>0.27420976209091924</v>
      </c>
      <c r="H63" s="224">
        <f>IFERROR(VLOOKUP($B63,MMWR_TRAD_AGG_RO_COMP[],H$1,0),"ERROR")</f>
        <v>21197</v>
      </c>
      <c r="I63" s="222">
        <f>IFERROR(VLOOKUP($B63,MMWR_TRAD_AGG_RO_COMP[],I$1,0),"ERROR")</f>
        <v>11653</v>
      </c>
      <c r="J63" s="223">
        <f t="shared" si="1"/>
        <v>0.54974760579327264</v>
      </c>
      <c r="K63" s="225">
        <f>IFERROR(VLOOKUP($B63,MMWR_TRAD_AGG_RO_COMP[],K$1,0),"ERROR")</f>
        <v>8413</v>
      </c>
      <c r="L63" s="226">
        <f>IFERROR(VLOOKUP($B63,MMWR_TRAD_AGG_RO_COMP[],L$1,0),"ERROR")</f>
        <v>6811</v>
      </c>
      <c r="M63" s="223">
        <f t="shared" si="2"/>
        <v>0.80958041126827529</v>
      </c>
      <c r="N63" s="225">
        <f>IFERROR(VLOOKUP($B63,MMWR_TRAD_AGG_RO_COMP[],N$1,0),"ERROR")</f>
        <v>4115</v>
      </c>
      <c r="O63" s="226">
        <f>IFERROR(VLOOKUP($B63,MMWR_TRAD_AGG_RO_COMP[],O$1,0),"ERROR")</f>
        <v>3143</v>
      </c>
      <c r="P63" s="223">
        <f t="shared" si="3"/>
        <v>0.76379100850546777</v>
      </c>
      <c r="Q63" s="227">
        <f>IFERROR(VLOOKUP($B63,MMWR_TRAD_AGG_RO_COMP[],Q$1,0),"ERROR")</f>
        <v>78</v>
      </c>
      <c r="R63" s="227">
        <f>IFERROR(VLOOKUP($B63,MMWR_TRAD_AGG_RO_COMP[],R$1,0),"ERROR")</f>
        <v>28</v>
      </c>
      <c r="S63" s="201">
        <f>IFERROR(VLOOKUP($B63,MMWR_APP_RO[],S$1,0),"ERROR")</f>
        <v>17983</v>
      </c>
      <c r="T63" s="28"/>
    </row>
    <row r="64" spans="1:20" x14ac:dyDescent="0.2">
      <c r="A64" s="28"/>
      <c r="B64" s="108" t="s">
        <v>39</v>
      </c>
      <c r="C64" s="219">
        <f>IFERROR(VLOOKUP($B64,MMWR_TRAD_AGG_RO_COMP[],C$1,0),"ERROR")</f>
        <v>7004</v>
      </c>
      <c r="D64" s="220">
        <f>IFERROR(VLOOKUP($B64,MMWR_TRAD_AGG_RO_COMP[],D$1,0),"ERROR")</f>
        <v>316.90134209019999</v>
      </c>
      <c r="E64" s="221">
        <f>IFERROR(VLOOKUP($B64,MMWR_TRAD_AGG_RO_COMP[],E$1,0),"ERROR")</f>
        <v>9559</v>
      </c>
      <c r="F64" s="222">
        <f>IFERROR(VLOOKUP($B64,MMWR_TRAD_AGG_RO_COMP[],F$1,0),"ERROR")</f>
        <v>2467</v>
      </c>
      <c r="G64" s="223">
        <f t="shared" si="0"/>
        <v>0.25808138926665969</v>
      </c>
      <c r="H64" s="224">
        <f>IFERROR(VLOOKUP($B64,MMWR_TRAD_AGG_RO_COMP[],H$1,0),"ERROR")</f>
        <v>13711</v>
      </c>
      <c r="I64" s="222">
        <f>IFERROR(VLOOKUP($B64,MMWR_TRAD_AGG_RO_COMP[],I$1,0),"ERROR")</f>
        <v>7826</v>
      </c>
      <c r="J64" s="223">
        <f t="shared" si="1"/>
        <v>0.57078258332725551</v>
      </c>
      <c r="K64" s="225">
        <f>IFERROR(VLOOKUP($B64,MMWR_TRAD_AGG_RO_COMP[],K$1,0),"ERROR")</f>
        <v>2975</v>
      </c>
      <c r="L64" s="226">
        <f>IFERROR(VLOOKUP($B64,MMWR_TRAD_AGG_RO_COMP[],L$1,0),"ERROR")</f>
        <v>2325</v>
      </c>
      <c r="M64" s="223">
        <f t="shared" si="2"/>
        <v>0.78151260504201681</v>
      </c>
      <c r="N64" s="225">
        <f>IFERROR(VLOOKUP($B64,MMWR_TRAD_AGG_RO_COMP[],N$1,0),"ERROR")</f>
        <v>1564</v>
      </c>
      <c r="O64" s="226">
        <f>IFERROR(VLOOKUP($B64,MMWR_TRAD_AGG_RO_COMP[],O$1,0),"ERROR")</f>
        <v>1072</v>
      </c>
      <c r="P64" s="223">
        <f t="shared" si="3"/>
        <v>0.68542199488491051</v>
      </c>
      <c r="Q64" s="227">
        <f>IFERROR(VLOOKUP($B64,MMWR_TRAD_AGG_RO_COMP[],Q$1,0),"ERROR")</f>
        <v>1</v>
      </c>
      <c r="R64" s="227">
        <f>IFERROR(VLOOKUP($B64,MMWR_TRAD_AGG_RO_COMP[],R$1,0),"ERROR")</f>
        <v>61</v>
      </c>
      <c r="S64" s="201">
        <f>IFERROR(VLOOKUP($B64,MMWR_APP_RO[],S$1,0),"ERROR")</f>
        <v>13010</v>
      </c>
      <c r="T64" s="28"/>
    </row>
    <row r="65" spans="1:20" x14ac:dyDescent="0.2">
      <c r="A65" s="28"/>
      <c r="B65" s="108" t="s">
        <v>53</v>
      </c>
      <c r="C65" s="219">
        <f>IFERROR(VLOOKUP($B65,MMWR_TRAD_AGG_RO_COMP[],C$1,0),"ERROR")</f>
        <v>6115</v>
      </c>
      <c r="D65" s="220">
        <f>IFERROR(VLOOKUP($B65,MMWR_TRAD_AGG_RO_COMP[],D$1,0),"ERROR")</f>
        <v>476.13998364679998</v>
      </c>
      <c r="E65" s="221">
        <f>IFERROR(VLOOKUP($B65,MMWR_TRAD_AGG_RO_COMP[],E$1,0),"ERROR")</f>
        <v>4248</v>
      </c>
      <c r="F65" s="222">
        <f>IFERROR(VLOOKUP($B65,MMWR_TRAD_AGG_RO_COMP[],F$1,0),"ERROR")</f>
        <v>977</v>
      </c>
      <c r="G65" s="223">
        <f t="shared" si="0"/>
        <v>0.22999058380414314</v>
      </c>
      <c r="H65" s="224">
        <f>IFERROR(VLOOKUP($B65,MMWR_TRAD_AGG_RO_COMP[],H$1,0),"ERROR")</f>
        <v>9749</v>
      </c>
      <c r="I65" s="222">
        <f>IFERROR(VLOOKUP($B65,MMWR_TRAD_AGG_RO_COMP[],I$1,0),"ERROR")</f>
        <v>6325</v>
      </c>
      <c r="J65" s="223">
        <f t="shared" si="1"/>
        <v>0.64878449071699662</v>
      </c>
      <c r="K65" s="225">
        <f>IFERROR(VLOOKUP($B65,MMWR_TRAD_AGG_RO_COMP[],K$1,0),"ERROR")</f>
        <v>3366</v>
      </c>
      <c r="L65" s="226">
        <f>IFERROR(VLOOKUP($B65,MMWR_TRAD_AGG_RO_COMP[],L$1,0),"ERROR")</f>
        <v>3166</v>
      </c>
      <c r="M65" s="223">
        <f t="shared" si="2"/>
        <v>0.94058229352347</v>
      </c>
      <c r="N65" s="225">
        <f>IFERROR(VLOOKUP($B65,MMWR_TRAD_AGG_RO_COMP[],N$1,0),"ERROR")</f>
        <v>1709</v>
      </c>
      <c r="O65" s="226">
        <f>IFERROR(VLOOKUP($B65,MMWR_TRAD_AGG_RO_COMP[],O$1,0),"ERROR")</f>
        <v>1319</v>
      </c>
      <c r="P65" s="223">
        <f t="shared" si="3"/>
        <v>0.77179637214745467</v>
      </c>
      <c r="Q65" s="227">
        <f>IFERROR(VLOOKUP($B65,MMWR_TRAD_AGG_RO_COMP[],Q$1,0),"ERROR")</f>
        <v>93</v>
      </c>
      <c r="R65" s="227">
        <f>IFERROR(VLOOKUP($B65,MMWR_TRAD_AGG_RO_COMP[],R$1,0),"ERROR")</f>
        <v>316</v>
      </c>
      <c r="S65" s="201">
        <f>IFERROR(VLOOKUP($B65,MMWR_APP_RO[],S$1,0),"ERROR")</f>
        <v>2906</v>
      </c>
      <c r="T65" s="28"/>
    </row>
    <row r="66" spans="1:20" x14ac:dyDescent="0.2">
      <c r="A66" s="28"/>
      <c r="B66" s="108" t="s">
        <v>57</v>
      </c>
      <c r="C66" s="219">
        <f>IFERROR(VLOOKUP($B66,MMWR_TRAD_AGG_RO_COMP[],C$1,0),"ERROR")</f>
        <v>9837</v>
      </c>
      <c r="D66" s="220">
        <f>IFERROR(VLOOKUP($B66,MMWR_TRAD_AGG_RO_COMP[],D$1,0),"ERROR")</f>
        <v>342.79007827589999</v>
      </c>
      <c r="E66" s="221">
        <f>IFERROR(VLOOKUP($B66,MMWR_TRAD_AGG_RO_COMP[],E$1,0),"ERROR")</f>
        <v>7788</v>
      </c>
      <c r="F66" s="222">
        <f>IFERROR(VLOOKUP($B66,MMWR_TRAD_AGG_RO_COMP[],F$1,0),"ERROR")</f>
        <v>1888</v>
      </c>
      <c r="G66" s="223">
        <f t="shared" si="0"/>
        <v>0.24242424242424243</v>
      </c>
      <c r="H66" s="224">
        <f>IFERROR(VLOOKUP($B66,MMWR_TRAD_AGG_RO_COMP[],H$1,0),"ERROR")</f>
        <v>13723</v>
      </c>
      <c r="I66" s="222">
        <f>IFERROR(VLOOKUP($B66,MMWR_TRAD_AGG_RO_COMP[],I$1,0),"ERROR")</f>
        <v>7812</v>
      </c>
      <c r="J66" s="223">
        <f t="shared" si="1"/>
        <v>0.5692632806237703</v>
      </c>
      <c r="K66" s="225">
        <f>IFERROR(VLOOKUP($B66,MMWR_TRAD_AGG_RO_COMP[],K$1,0),"ERROR")</f>
        <v>4103</v>
      </c>
      <c r="L66" s="226">
        <f>IFERROR(VLOOKUP($B66,MMWR_TRAD_AGG_RO_COMP[],L$1,0),"ERROR")</f>
        <v>3728</v>
      </c>
      <c r="M66" s="223">
        <f t="shared" si="2"/>
        <v>0.90860346088228128</v>
      </c>
      <c r="N66" s="225">
        <f>IFERROR(VLOOKUP($B66,MMWR_TRAD_AGG_RO_COMP[],N$1,0),"ERROR")</f>
        <v>1754</v>
      </c>
      <c r="O66" s="226">
        <f>IFERROR(VLOOKUP($B66,MMWR_TRAD_AGG_RO_COMP[],O$1,0),"ERROR")</f>
        <v>753</v>
      </c>
      <c r="P66" s="223">
        <f t="shared" si="3"/>
        <v>0.42930444697833525</v>
      </c>
      <c r="Q66" s="227">
        <f>IFERROR(VLOOKUP($B66,MMWR_TRAD_AGG_RO_COMP[],Q$1,0),"ERROR")</f>
        <v>1</v>
      </c>
      <c r="R66" s="227">
        <f>IFERROR(VLOOKUP($B66,MMWR_TRAD_AGG_RO_COMP[],R$1,0),"ERROR")</f>
        <v>420</v>
      </c>
      <c r="S66" s="201">
        <f>IFERROR(VLOOKUP($B66,MMWR_APP_RO[],S$1,0),"ERROR")</f>
        <v>9191</v>
      </c>
      <c r="T66" s="28"/>
    </row>
    <row r="67" spans="1:20" x14ac:dyDescent="0.2">
      <c r="A67" s="28"/>
      <c r="B67" s="108" t="s">
        <v>58</v>
      </c>
      <c r="C67" s="219">
        <f>IFERROR(VLOOKUP($B67,MMWR_TRAD_AGG_RO_COMP[],C$1,0),"ERROR")</f>
        <v>3665</v>
      </c>
      <c r="D67" s="220">
        <f>IFERROR(VLOOKUP($B67,MMWR_TRAD_AGG_RO_COMP[],D$1,0),"ERROR")</f>
        <v>277.05948158249998</v>
      </c>
      <c r="E67" s="221">
        <f>IFERROR(VLOOKUP($B67,MMWR_TRAD_AGG_RO_COMP[],E$1,0),"ERROR")</f>
        <v>9514</v>
      </c>
      <c r="F67" s="222">
        <f>IFERROR(VLOOKUP($B67,MMWR_TRAD_AGG_RO_COMP[],F$1,0),"ERROR")</f>
        <v>1556</v>
      </c>
      <c r="G67" s="223">
        <f t="shared" si="0"/>
        <v>0.16354845490855582</v>
      </c>
      <c r="H67" s="224">
        <f>IFERROR(VLOOKUP($B67,MMWR_TRAD_AGG_RO_COMP[],H$1,0),"ERROR")</f>
        <v>9098</v>
      </c>
      <c r="I67" s="222">
        <f>IFERROR(VLOOKUP($B67,MMWR_TRAD_AGG_RO_COMP[],I$1,0),"ERROR")</f>
        <v>3116</v>
      </c>
      <c r="J67" s="223">
        <f t="shared" si="1"/>
        <v>0.34249285557265335</v>
      </c>
      <c r="K67" s="225">
        <f>IFERROR(VLOOKUP($B67,MMWR_TRAD_AGG_RO_COMP[],K$1,0),"ERROR")</f>
        <v>3202</v>
      </c>
      <c r="L67" s="226">
        <f>IFERROR(VLOOKUP($B67,MMWR_TRAD_AGG_RO_COMP[],L$1,0),"ERROR")</f>
        <v>2517</v>
      </c>
      <c r="M67" s="223">
        <f t="shared" si="2"/>
        <v>0.78607120549656462</v>
      </c>
      <c r="N67" s="225">
        <f>IFERROR(VLOOKUP($B67,MMWR_TRAD_AGG_RO_COMP[],N$1,0),"ERROR")</f>
        <v>1427</v>
      </c>
      <c r="O67" s="226">
        <f>IFERROR(VLOOKUP($B67,MMWR_TRAD_AGG_RO_COMP[],O$1,0),"ERROR")</f>
        <v>1122</v>
      </c>
      <c r="P67" s="223">
        <f t="shared" si="3"/>
        <v>0.78626489138051858</v>
      </c>
      <c r="Q67" s="227">
        <f>IFERROR(VLOOKUP($B67,MMWR_TRAD_AGG_RO_COMP[],Q$1,0),"ERROR")</f>
        <v>1</v>
      </c>
      <c r="R67" s="227">
        <f>IFERROR(VLOOKUP($B67,MMWR_TRAD_AGG_RO_COMP[],R$1,0),"ERROR")</f>
        <v>282</v>
      </c>
      <c r="S67" s="201">
        <f>IFERROR(VLOOKUP($B67,MMWR_APP_RO[],S$1,0),"ERROR")</f>
        <v>6729</v>
      </c>
      <c r="T67" s="28"/>
    </row>
    <row r="68" spans="1:20" x14ac:dyDescent="0.2">
      <c r="A68" s="28"/>
      <c r="B68" s="108" t="s">
        <v>72</v>
      </c>
      <c r="C68" s="219">
        <f>IFERROR(VLOOKUP($B68,MMWR_TRAD_AGG_RO_COMP[],C$1,0),"ERROR")</f>
        <v>708</v>
      </c>
      <c r="D68" s="220">
        <f>IFERROR(VLOOKUP($B68,MMWR_TRAD_AGG_RO_COMP[],D$1,0),"ERROR")</f>
        <v>251</v>
      </c>
      <c r="E68" s="221">
        <f>IFERROR(VLOOKUP($B68,MMWR_TRAD_AGG_RO_COMP[],E$1,0),"ERROR")</f>
        <v>1885</v>
      </c>
      <c r="F68" s="222">
        <f>IFERROR(VLOOKUP($B68,MMWR_TRAD_AGG_RO_COMP[],F$1,0),"ERROR")</f>
        <v>639</v>
      </c>
      <c r="G68" s="223">
        <f t="shared" si="0"/>
        <v>0.33899204244031828</v>
      </c>
      <c r="H68" s="224">
        <f>IFERROR(VLOOKUP($B68,MMWR_TRAD_AGG_RO_COMP[],H$1,0),"ERROR")</f>
        <v>3452</v>
      </c>
      <c r="I68" s="222">
        <f>IFERROR(VLOOKUP($B68,MMWR_TRAD_AGG_RO_COMP[],I$1,0),"ERROR")</f>
        <v>931</v>
      </c>
      <c r="J68" s="223">
        <f t="shared" si="1"/>
        <v>0.26969872537659328</v>
      </c>
      <c r="K68" s="225">
        <f>IFERROR(VLOOKUP($B68,MMWR_TRAD_AGG_RO_COMP[],K$1,0),"ERROR")</f>
        <v>822</v>
      </c>
      <c r="L68" s="226">
        <f>IFERROR(VLOOKUP($B68,MMWR_TRAD_AGG_RO_COMP[],L$1,0),"ERROR")</f>
        <v>742</v>
      </c>
      <c r="M68" s="223">
        <f t="shared" si="2"/>
        <v>0.902676399026764</v>
      </c>
      <c r="N68" s="225">
        <f>IFERROR(VLOOKUP($B68,MMWR_TRAD_AGG_RO_COMP[],N$1,0),"ERROR")</f>
        <v>804</v>
      </c>
      <c r="O68" s="226">
        <f>IFERROR(VLOOKUP($B68,MMWR_TRAD_AGG_RO_COMP[],O$1,0),"ERROR")</f>
        <v>678</v>
      </c>
      <c r="P68" s="223">
        <f t="shared" si="3"/>
        <v>0.84328358208955223</v>
      </c>
      <c r="Q68" s="227">
        <f>IFERROR(VLOOKUP($B68,MMWR_TRAD_AGG_RO_COMP[],Q$1,0),"ERROR")</f>
        <v>0</v>
      </c>
      <c r="R68" s="227">
        <f>IFERROR(VLOOKUP($B68,MMWR_TRAD_AGG_RO_COMP[],R$1,0),"ERROR")</f>
        <v>2</v>
      </c>
      <c r="S68" s="201">
        <f>IFERROR(VLOOKUP($B68,MMWR_APP_RO[],S$1,0),"ERROR")</f>
        <v>4930</v>
      </c>
      <c r="T68" s="28"/>
    </row>
    <row r="69" spans="1:20" x14ac:dyDescent="0.2">
      <c r="A69" s="28"/>
      <c r="B69" s="116" t="s">
        <v>77</v>
      </c>
      <c r="C69" s="228">
        <f>IFERROR(VLOOKUP($B69,MMWR_TRAD_AGG_RO_COMP[],C$1,0),"ERROR")</f>
        <v>15502</v>
      </c>
      <c r="D69" s="229">
        <f>IFERROR(VLOOKUP($B69,MMWR_TRAD_AGG_RO_COMP[],D$1,0),"ERROR")</f>
        <v>320.2684169785</v>
      </c>
      <c r="E69" s="230">
        <f>IFERROR(VLOOKUP($B69,MMWR_TRAD_AGG_RO_COMP[],E$1,0),"ERROR")</f>
        <v>23678</v>
      </c>
      <c r="F69" s="231">
        <f>IFERROR(VLOOKUP($B69,MMWR_TRAD_AGG_RO_COMP[],F$1,0),"ERROR")</f>
        <v>5269</v>
      </c>
      <c r="G69" s="232">
        <f t="shared" si="0"/>
        <v>0.22252724047639158</v>
      </c>
      <c r="H69" s="233">
        <f>IFERROR(VLOOKUP($B69,MMWR_TRAD_AGG_RO_COMP[],H$1,0),"ERROR")</f>
        <v>23908</v>
      </c>
      <c r="I69" s="231">
        <f>IFERROR(VLOOKUP($B69,MMWR_TRAD_AGG_RO_COMP[],I$1,0),"ERROR")</f>
        <v>12628</v>
      </c>
      <c r="J69" s="232">
        <f t="shared" si="1"/>
        <v>0.52819140036807766</v>
      </c>
      <c r="K69" s="234">
        <f>IFERROR(VLOOKUP($B69,MMWR_TRAD_AGG_RO_COMP[],K$1,0),"ERROR")</f>
        <v>5053</v>
      </c>
      <c r="L69" s="235">
        <f>IFERROR(VLOOKUP($B69,MMWR_TRAD_AGG_RO_COMP[],L$1,0),"ERROR")</f>
        <v>3996</v>
      </c>
      <c r="M69" s="232">
        <f t="shared" si="2"/>
        <v>0.79081733623589945</v>
      </c>
      <c r="N69" s="234">
        <f>IFERROR(VLOOKUP($B69,MMWR_TRAD_AGG_RO_COMP[],N$1,0),"ERROR")</f>
        <v>13017</v>
      </c>
      <c r="O69" s="235">
        <f>IFERROR(VLOOKUP($B69,MMWR_TRAD_AGG_RO_COMP[],O$1,0),"ERROR")</f>
        <v>9908</v>
      </c>
      <c r="P69" s="232">
        <f t="shared" si="3"/>
        <v>0.7611584850580011</v>
      </c>
      <c r="Q69" s="236">
        <f>IFERROR(VLOOKUP($B69,MMWR_TRAD_AGG_RO_COMP[],Q$1,0),"ERROR")</f>
        <v>6</v>
      </c>
      <c r="R69" s="236">
        <f>IFERROR(VLOOKUP($B69,MMWR_TRAD_AGG_RO_COMP[],R$1,0),"ERROR")</f>
        <v>288</v>
      </c>
      <c r="S69" s="201">
        <f>IFERROR(VLOOKUP($B69,MMWR_APP_RO[],S$1,0),"ERROR")</f>
        <v>29494</v>
      </c>
      <c r="T69" s="28"/>
    </row>
    <row r="70" spans="1:20" x14ac:dyDescent="0.2">
      <c r="A70" s="28"/>
      <c r="B70" s="101" t="s">
        <v>8</v>
      </c>
      <c r="C70" s="212">
        <f>IFERROR(VLOOKUP($B70,MMWR_TRAD_AGG_RO_COMP[],C$1,0),"ERROR")</f>
        <v>79</v>
      </c>
      <c r="D70" s="197">
        <f>IFERROR(VLOOKUP($B70,MMWR_TRAD_AGG_RO_COMP[],D$1,0),"ERROR")</f>
        <v>367.34177215189999</v>
      </c>
      <c r="E70" s="213">
        <f>IFERROR(VLOOKUP($B70,MMWR_TRAD_AGG_RO_COMP[],E$1,0),"ERROR")</f>
        <v>63</v>
      </c>
      <c r="F70" s="218">
        <f>IFERROR(VLOOKUP($B70,MMWR_TRAD_AGG_RO_COMP[],F$1,0),"ERROR")</f>
        <v>54</v>
      </c>
      <c r="G70" s="214">
        <f>IFERROR(F70/E70,"0%")</f>
        <v>0.8571428571428571</v>
      </c>
      <c r="H70" s="218">
        <f>IFERROR(VLOOKUP($B70,MMWR_TRAD_AGG_RO_COMP[],H$1,0),"ERROR")</f>
        <v>283</v>
      </c>
      <c r="I70" s="218">
        <f>IFERROR(VLOOKUP($B70,MMWR_TRAD_AGG_RO_COMP[],I$1,0),"ERROR")</f>
        <v>95</v>
      </c>
      <c r="J70" s="214">
        <f>IFERROR(I70/H70,"0%")</f>
        <v>0.33568904593639576</v>
      </c>
      <c r="K70" s="212">
        <f>IFERROR(VLOOKUP($B70,MMWR_TRAD_AGG_RO_COMP[],K$1,0),"ERROR")</f>
        <v>136</v>
      </c>
      <c r="L70" s="212">
        <f>IFERROR(VLOOKUP($B70,MMWR_TRAD_AGG_RO_COMP[],L$1,0),"ERROR")</f>
        <v>80</v>
      </c>
      <c r="M70" s="214">
        <f>IFERROR(L70/K70,"0%")</f>
        <v>0.58823529411764708</v>
      </c>
      <c r="N70" s="212">
        <f>IFERROR(VLOOKUP($B70,MMWR_TRAD_AGG_RO_COMP[],N$1,0),"ERROR")</f>
        <v>66493</v>
      </c>
      <c r="O70" s="212">
        <f>IFERROR(VLOOKUP($B70,MMWR_TRAD_AGG_RO_COMP[],O$1,0),"ERROR")</f>
        <v>40090</v>
      </c>
      <c r="P70" s="214">
        <f>IFERROR(O70/N70,"0%")</f>
        <v>0.60292060818432014</v>
      </c>
      <c r="Q70" s="212">
        <f>IFERROR(VLOOKUP($B70,MMWR_TRAD_AGG_RO_COMP[],Q$1,0),"ERROR")</f>
        <v>0</v>
      </c>
      <c r="R70" s="215">
        <f>IFERROR(VLOOKUP($B70,MMWR_TRAD_AGG_RO_COMP[],R$1,0),"ERROR")</f>
        <v>0</v>
      </c>
      <c r="S70" s="215">
        <f>IFERROR(VLOOKUP($B70,MMWR_APP_RO[],S$1,0),"ERROR")</f>
        <v>11258</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486</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225</v>
      </c>
      <c r="D73" s="458"/>
      <c r="E73" s="459" t="s">
        <v>205</v>
      </c>
      <c r="F73" s="460"/>
      <c r="G73" s="461"/>
      <c r="H73" s="459" t="s">
        <v>7</v>
      </c>
      <c r="I73" s="460"/>
      <c r="J73" s="461"/>
      <c r="K73" s="459" t="s">
        <v>30</v>
      </c>
      <c r="L73" s="460"/>
      <c r="M73" s="461"/>
      <c r="N73" s="459" t="s">
        <v>8</v>
      </c>
      <c r="O73" s="460"/>
      <c r="P73" s="461"/>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487</v>
      </c>
      <c r="T74" s="28"/>
    </row>
    <row r="75" spans="1:20" x14ac:dyDescent="0.2">
      <c r="A75" s="25"/>
      <c r="B75" s="101" t="s">
        <v>461</v>
      </c>
      <c r="C75" s="237">
        <f>IFERROR(VLOOKUP($B75,MMWR_TRAD_AGG_RO_PEN[],C$1,0),"ERROR")</f>
        <v>21291</v>
      </c>
      <c r="D75" s="238">
        <f>IFERROR(VLOOKUP($B75,MMWR_TRAD_AGG_RO_PEN[],D$1,0),"ERROR")</f>
        <v>89.368277676000005</v>
      </c>
      <c r="E75" s="237">
        <f>IFERROR(VLOOKUP($B75,MMWR_TRAD_AGG_RO_PEN[],E$1,0),"ERROR")</f>
        <v>28944</v>
      </c>
      <c r="F75" s="237">
        <f>IFERROR(VLOOKUP($B75,MMWR_TRAD_AGG_RO_PEN[],F$1,0),"ERROR")</f>
        <v>3813</v>
      </c>
      <c r="G75" s="239">
        <f>IFERROR(F75/E75,"0%")</f>
        <v>0.13173714759535654</v>
      </c>
      <c r="H75" s="237">
        <f>IFERROR(VLOOKUP($B75,MMWR_TRAD_AGG_RO_PEN[],H$1,0),"ERROR")</f>
        <v>31533</v>
      </c>
      <c r="I75" s="237">
        <f>IFERROR(VLOOKUP($B75,MMWR_TRAD_AGG_RO_PEN[],I$1,0),"ERROR")</f>
        <v>7165</v>
      </c>
      <c r="J75" s="239">
        <f>IFERROR(I75/H75,"0%")</f>
        <v>0.22722227507690357</v>
      </c>
      <c r="K75" s="237">
        <f>IFERROR(VLOOKUP($B75,MMWR_TRAD_AGG_RO_PEN[],K$1,0),"ERROR")</f>
        <v>239</v>
      </c>
      <c r="L75" s="237">
        <f>IFERROR(VLOOKUP($B75,MMWR_TRAD_AGG_RO_PEN[],L$1,0),"ERROR")</f>
        <v>230</v>
      </c>
      <c r="M75" s="239">
        <f>IFERROR(L75/K75,"0%")</f>
        <v>0.96234309623430958</v>
      </c>
      <c r="N75" s="237">
        <f>IFERROR(VLOOKUP($B75,MMWR_TRAD_AGG_RO_PEN[],N$1,0),"ERROR")</f>
        <v>1693</v>
      </c>
      <c r="O75" s="237">
        <f>IFERROR(VLOOKUP($B75,MMWR_TRAD_AGG_RO_PEN[],O$1,0),"ERROR")</f>
        <v>567</v>
      </c>
      <c r="P75" s="239">
        <f>IFERROR(O75/N75,"0%")</f>
        <v>0.3349084465445954</v>
      </c>
      <c r="Q75" s="237">
        <f>IFERROR(VLOOKUP($B75,MMWR_TRAD_AGG_RO_PEN[],Q$1,0),"ERROR")</f>
        <v>11708</v>
      </c>
      <c r="R75" s="240">
        <f>IFERROR(VLOOKUP($B75,MMWR_TRAD_AGG_RO_PEN[],R$1,0),"ERROR")</f>
        <v>6032</v>
      </c>
      <c r="S75" s="240">
        <f>IFERROR(VLOOKUP($B75,MMWR_APP_RO[],S$1,0),"ERROR")</f>
        <v>4823</v>
      </c>
      <c r="T75" s="28"/>
    </row>
    <row r="76" spans="1:20" x14ac:dyDescent="0.2">
      <c r="A76" s="107"/>
      <c r="B76" s="122" t="s">
        <v>210</v>
      </c>
      <c r="C76" s="241">
        <f>IFERROR(VLOOKUP($B76,MMWR_TRAD_AGG_RO_PEN[],C$1,0),"ERROR")</f>
        <v>13011</v>
      </c>
      <c r="D76" s="242">
        <f>IFERROR(VLOOKUP($B76,MMWR_TRAD_AGG_RO_PEN[],D$1,0),"ERROR")</f>
        <v>107.43932057489999</v>
      </c>
      <c r="E76" s="241">
        <f>IFERROR(VLOOKUP($B76,MMWR_TRAD_AGG_RO_PEN[],E$1,0),"ERROR")</f>
        <v>14827</v>
      </c>
      <c r="F76" s="241">
        <f>IFERROR(VLOOKUP($B76,MMWR_TRAD_AGG_RO_PEN[],F$1,0),"ERROR")</f>
        <v>2391</v>
      </c>
      <c r="G76" s="223">
        <f>IFERROR(F76/E76,"0%")</f>
        <v>0.1612598637620557</v>
      </c>
      <c r="H76" s="241">
        <f>IFERROR(VLOOKUP($B76,MMWR_TRAD_AGG_RO_PEN[],H$1,0),"ERROR")</f>
        <v>15920</v>
      </c>
      <c r="I76" s="241">
        <f>IFERROR(VLOOKUP($B76,MMWR_TRAD_AGG_RO_PEN[],I$1,0),"ERROR")</f>
        <v>5193</v>
      </c>
      <c r="J76" s="223">
        <f>IFERROR(I76/H76,"0%")</f>
        <v>0.32619346733668342</v>
      </c>
      <c r="K76" s="241">
        <f>IFERROR(VLOOKUP($B76,MMWR_TRAD_AGG_RO_PEN[],K$1,0),"ERROR")</f>
        <v>15</v>
      </c>
      <c r="L76" s="241">
        <f>IFERROR(VLOOKUP($B76,MMWR_TRAD_AGG_RO_PEN[],L$1,0),"ERROR")</f>
        <v>15</v>
      </c>
      <c r="M76" s="223">
        <f>IFERROR(L76/K76,"0%")</f>
        <v>1</v>
      </c>
      <c r="N76" s="241">
        <f>IFERROR(VLOOKUP($B76,MMWR_TRAD_AGG_RO_PEN[],N$1,0),"ERROR")</f>
        <v>599</v>
      </c>
      <c r="O76" s="241">
        <f>IFERROR(VLOOKUP($B76,MMWR_TRAD_AGG_RO_PEN[],O$1,0),"ERROR")</f>
        <v>205</v>
      </c>
      <c r="P76" s="223">
        <f>IFERROR(O76/N76,"0%")</f>
        <v>0.34223706176961605</v>
      </c>
      <c r="Q76" s="241">
        <f>IFERROR(VLOOKUP($B76,MMWR_TRAD_AGG_RO_PEN[],Q$1,0),"ERROR")</f>
        <v>1959</v>
      </c>
      <c r="R76" s="241">
        <f>IFERROR(VLOOKUP($B76,MMWR_TRAD_AGG_RO_PEN[],R$1,0),"ERROR")</f>
        <v>2937</v>
      </c>
      <c r="S76" s="243">
        <f>IFERROR(VLOOKUP($B76,MMWR_APP_RO[],S$1,0),"ERROR")</f>
        <v>1582</v>
      </c>
      <c r="T76" s="28"/>
    </row>
    <row r="77" spans="1:20" x14ac:dyDescent="0.2">
      <c r="A77" s="107"/>
      <c r="B77" s="122" t="s">
        <v>209</v>
      </c>
      <c r="C77" s="241">
        <f>IFERROR(VLOOKUP($B77,MMWR_TRAD_AGG_RO_PEN[],C$1,0),"ERROR")</f>
        <v>4232</v>
      </c>
      <c r="D77" s="242">
        <f>IFERROR(VLOOKUP($B77,MMWR_TRAD_AGG_RO_PEN[],D$1,0),"ERROR")</f>
        <v>56.506616257099999</v>
      </c>
      <c r="E77" s="241">
        <f>IFERROR(VLOOKUP($B77,MMWR_TRAD_AGG_RO_PEN[],E$1,0),"ERROR")</f>
        <v>7692</v>
      </c>
      <c r="F77" s="241">
        <f>IFERROR(VLOOKUP($B77,MMWR_TRAD_AGG_RO_PEN[],F$1,0),"ERROR")</f>
        <v>1038</v>
      </c>
      <c r="G77" s="223">
        <f>IFERROR(F77/E77,"0%")</f>
        <v>0.13494539781591264</v>
      </c>
      <c r="H77" s="241">
        <f>IFERROR(VLOOKUP($B77,MMWR_TRAD_AGG_RO_PEN[],H$1,0),"ERROR")</f>
        <v>6438</v>
      </c>
      <c r="I77" s="241">
        <f>IFERROR(VLOOKUP($B77,MMWR_TRAD_AGG_RO_PEN[],I$1,0),"ERROR")</f>
        <v>426</v>
      </c>
      <c r="J77" s="223">
        <f>IFERROR(I77/H77,"0%")</f>
        <v>6.6169617893755819E-2</v>
      </c>
      <c r="K77" s="241">
        <f>IFERROR(VLOOKUP($B77,MMWR_TRAD_AGG_RO_PEN[],K$1,0),"ERROR")</f>
        <v>3</v>
      </c>
      <c r="L77" s="241">
        <f>IFERROR(VLOOKUP($B77,MMWR_TRAD_AGG_RO_PEN[],L$1,0),"ERROR")</f>
        <v>3</v>
      </c>
      <c r="M77" s="223">
        <f>IFERROR(L77/K77,"0%")</f>
        <v>1</v>
      </c>
      <c r="N77" s="241">
        <f>IFERROR(VLOOKUP($B77,MMWR_TRAD_AGG_RO_PEN[],N$1,0),"ERROR")</f>
        <v>588</v>
      </c>
      <c r="O77" s="241">
        <f>IFERROR(VLOOKUP($B77,MMWR_TRAD_AGG_RO_PEN[],O$1,0),"ERROR")</f>
        <v>140</v>
      </c>
      <c r="P77" s="223">
        <f>IFERROR(O77/N77,"0%")</f>
        <v>0.23809523809523808</v>
      </c>
      <c r="Q77" s="241">
        <f>IFERROR(VLOOKUP($B77,MMWR_TRAD_AGG_RO_PEN[],Q$1,0),"ERROR")</f>
        <v>1233</v>
      </c>
      <c r="R77" s="241">
        <f>IFERROR(VLOOKUP($B77,MMWR_TRAD_AGG_RO_PEN[],R$1,0),"ERROR")</f>
        <v>1068</v>
      </c>
      <c r="S77" s="243">
        <f>IFERROR(VLOOKUP($B77,MMWR_APP_RO[],S$1,0),"ERROR")</f>
        <v>2288</v>
      </c>
      <c r="T77" s="28"/>
    </row>
    <row r="78" spans="1:20" x14ac:dyDescent="0.2">
      <c r="A78" s="107"/>
      <c r="B78" s="122" t="s">
        <v>212</v>
      </c>
      <c r="C78" s="241">
        <f>IFERROR(VLOOKUP($B78,MMWR_TRAD_AGG_RO_PEN[],C$1,0),"ERROR")</f>
        <v>4048</v>
      </c>
      <c r="D78" s="242">
        <f>IFERROR(VLOOKUP($B78,MMWR_TRAD_AGG_RO_PEN[],D$1,0),"ERROR")</f>
        <v>65.640069170000004</v>
      </c>
      <c r="E78" s="241">
        <f>IFERROR(VLOOKUP($B78,MMWR_TRAD_AGG_RO_PEN[],E$1,0),"ERROR")</f>
        <v>6108</v>
      </c>
      <c r="F78" s="241">
        <f>IFERROR(VLOOKUP($B78,MMWR_TRAD_AGG_RO_PEN[],F$1,0),"ERROR")</f>
        <v>272</v>
      </c>
      <c r="G78" s="223">
        <f>IFERROR(F78/E78,"0%")</f>
        <v>4.4531761624099539E-2</v>
      </c>
      <c r="H78" s="241">
        <f>IFERROR(VLOOKUP($B78,MMWR_TRAD_AGG_RO_PEN[],H$1,0),"ERROR")</f>
        <v>6049</v>
      </c>
      <c r="I78" s="241">
        <f>IFERROR(VLOOKUP($B78,MMWR_TRAD_AGG_RO_PEN[],I$1,0),"ERROR")</f>
        <v>548</v>
      </c>
      <c r="J78" s="223">
        <f>IFERROR(I78/H78,"0%")</f>
        <v>9.059348652669863E-2</v>
      </c>
      <c r="K78" s="241">
        <f>IFERROR(VLOOKUP($B78,MMWR_TRAD_AGG_RO_PEN[],K$1,0),"ERROR")</f>
        <v>20</v>
      </c>
      <c r="L78" s="241">
        <f>IFERROR(VLOOKUP($B78,MMWR_TRAD_AGG_RO_PEN[],L$1,0),"ERROR")</f>
        <v>14</v>
      </c>
      <c r="M78" s="223">
        <f>IFERROR(L78/K78,"0%")</f>
        <v>0.7</v>
      </c>
      <c r="N78" s="241">
        <f>IFERROR(VLOOKUP($B78,MMWR_TRAD_AGG_RO_PEN[],N$1,0),"ERROR")</f>
        <v>312</v>
      </c>
      <c r="O78" s="241">
        <f>IFERROR(VLOOKUP($B78,MMWR_TRAD_AGG_RO_PEN[],O$1,0),"ERROR")</f>
        <v>110</v>
      </c>
      <c r="P78" s="223">
        <f>IFERROR(O78/N78,"0%")</f>
        <v>0.35256410256410259</v>
      </c>
      <c r="Q78" s="241">
        <f>IFERROR(VLOOKUP($B78,MMWR_TRAD_AGG_RO_PEN[],Q$1,0),"ERROR")</f>
        <v>8508</v>
      </c>
      <c r="R78" s="241">
        <f>IFERROR(VLOOKUP($B78,MMWR_TRAD_AGG_RO_PEN[],R$1,0),"ERROR")</f>
        <v>2027</v>
      </c>
      <c r="S78" s="243">
        <f>IFERROR(VLOOKUP($B78,MMWR_APP_RO[],S$1,0),"ERROR")</f>
        <v>953</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317</v>
      </c>
      <c r="F79" s="218">
        <f>IFERROR(VLOOKUP($B79,MMWR_TRAD_AGG_RO_PEN[],F$1,0),"ERROR")</f>
        <v>112</v>
      </c>
      <c r="G79" s="214">
        <f>IFERROR(F79/E79,"0%")</f>
        <v>0.35331230283911674</v>
      </c>
      <c r="H79" s="218">
        <f>IFERROR(VLOOKUP($B79,MMWR_TRAD_AGG_RO_PEN[],H$1,0),"ERROR")</f>
        <v>3126</v>
      </c>
      <c r="I79" s="218">
        <f>IFERROR(VLOOKUP($B79,MMWR_TRAD_AGG_RO_PEN[],I$1,0),"ERROR")</f>
        <v>998</v>
      </c>
      <c r="J79" s="214">
        <f>IFERROR(I79/H79,"0%")</f>
        <v>0.31925783749200254</v>
      </c>
      <c r="K79" s="218">
        <f>IFERROR(VLOOKUP($B79,MMWR_TRAD_AGG_RO_PEN[],K$1,0),"ERROR")</f>
        <v>201</v>
      </c>
      <c r="L79" s="218">
        <f>IFERROR(VLOOKUP($B79,MMWR_TRAD_AGG_RO_PEN[],L$1,0),"ERROR")</f>
        <v>198</v>
      </c>
      <c r="M79" s="214">
        <f>IFERROR(L79/K79,"0%")</f>
        <v>0.9850746268656716</v>
      </c>
      <c r="N79" s="218">
        <f>IFERROR(VLOOKUP($B79,MMWR_TRAD_AGG_RO_PEN[],N$1,0),"ERROR")</f>
        <v>194</v>
      </c>
      <c r="O79" s="218">
        <f>IFERROR(VLOOKUP($B79,MMWR_TRAD_AGG_RO_PEN[],O$1,0),"ERROR")</f>
        <v>112</v>
      </c>
      <c r="P79" s="214">
        <f>IFERROR(O79/N79,"0%")</f>
        <v>0.57731958762886593</v>
      </c>
      <c r="Q79" s="218">
        <f>IFERROR(VLOOKUP($B79,MMWR_TRAD_AGG_RO_PEN[],Q$1,0),"ERROR")</f>
        <v>8</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AUGUST 20, 2016</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225</v>
      </c>
      <c r="D3" s="462"/>
      <c r="E3" s="459" t="s">
        <v>205</v>
      </c>
      <c r="F3" s="460"/>
      <c r="G3" s="461"/>
      <c r="H3" s="459" t="s">
        <v>7</v>
      </c>
      <c r="I3" s="460"/>
      <c r="J3" s="461"/>
      <c r="K3" s="459" t="s">
        <v>30</v>
      </c>
      <c r="L3" s="460"/>
      <c r="M3" s="461"/>
      <c r="N3" s="459" t="s">
        <v>8</v>
      </c>
      <c r="O3" s="460"/>
      <c r="P3" s="461"/>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487</v>
      </c>
      <c r="T4" s="28"/>
    </row>
    <row r="5" spans="1:20" s="123" customFormat="1" ht="26.25" x14ac:dyDescent="0.4">
      <c r="A5" s="25"/>
      <c r="B5" s="124"/>
      <c r="C5" s="454" t="s">
        <v>485</v>
      </c>
      <c r="D5" s="455"/>
      <c r="E5" s="455"/>
      <c r="F5" s="455"/>
      <c r="G5" s="455"/>
      <c r="H5" s="455"/>
      <c r="I5" s="455"/>
      <c r="J5" s="455"/>
      <c r="K5" s="455"/>
      <c r="L5" s="455"/>
      <c r="M5" s="455"/>
      <c r="N5" s="455"/>
      <c r="O5" s="455"/>
      <c r="P5" s="455"/>
      <c r="Q5" s="455"/>
      <c r="R5" s="455"/>
      <c r="S5" s="456"/>
      <c r="T5" s="28"/>
    </row>
    <row r="6" spans="1:20" s="123" customFormat="1" x14ac:dyDescent="0.2">
      <c r="A6" s="92"/>
      <c r="B6" s="125" t="s">
        <v>460</v>
      </c>
      <c r="C6" s="94">
        <f>IFERROR(VLOOKUP($B6,MMWR_TRAD_AGG_ST_DISTRICT_COMP[],C$1,0),"ERROR")</f>
        <v>227342</v>
      </c>
      <c r="D6" s="95">
        <f>IFERROR(VLOOKUP($B6,MMWR_TRAD_AGG_ST_DISTRICT_COMP[],D$1,0),"ERROR")</f>
        <v>362.46770944219998</v>
      </c>
      <c r="E6" s="96">
        <f>IFERROR(VLOOKUP($B6,MMWR_TRAD_AGG_ST_DISTRICT_COMP[],E$1,0),"ERROR")</f>
        <v>346357</v>
      </c>
      <c r="F6" s="97">
        <f>IFERROR(VLOOKUP($B6,MMWR_TRAD_AGG_ST_DISTRICT_COMP[],F$1,0),"ERROR")</f>
        <v>74478</v>
      </c>
      <c r="G6" s="98">
        <f t="shared" ref="G6:G37" si="0">IFERROR(F6/E6,"0%")</f>
        <v>0.21503246650132665</v>
      </c>
      <c r="H6" s="96">
        <f>IFERROR(VLOOKUP($B6,MMWR_TRAD_AGG_ST_DISTRICT_COMP[],H$1,0),"ERROR")</f>
        <v>436937</v>
      </c>
      <c r="I6" s="97">
        <f>IFERROR(VLOOKUP($B6,MMWR_TRAD_AGG_ST_DISTRICT_COMP[],I$1,0),"ERROR")</f>
        <v>208611</v>
      </c>
      <c r="J6" s="99">
        <f t="shared" ref="J6:J37" si="1">IFERROR(I6/H6,"0%")</f>
        <v>0.47743953933862321</v>
      </c>
      <c r="K6" s="96">
        <f>IFERROR(VLOOKUP($B6,MMWR_TRAD_AGG_ST_DISTRICT_COMP[],K$1,0),"ERROR")</f>
        <v>131106</v>
      </c>
      <c r="L6" s="97">
        <f>IFERROR(VLOOKUP($B6,MMWR_TRAD_AGG_ST_DISTRICT_COMP[],L$1,0),"ERROR")</f>
        <v>100987</v>
      </c>
      <c r="M6" s="99">
        <f t="shared" ref="M6:M37" si="2">IFERROR(L6/K6,"0%")</f>
        <v>0.77026985797751435</v>
      </c>
      <c r="N6" s="96">
        <f>IFERROR(VLOOKUP($B6,MMWR_TRAD_AGG_ST_DISTRICT_COMP[],N$1,0),"ERROR")</f>
        <v>170483</v>
      </c>
      <c r="O6" s="97">
        <f>IFERROR(VLOOKUP($B6,MMWR_TRAD_AGG_ST_DISTRICT_COMP[],O$1,0),"ERROR")</f>
        <v>117515</v>
      </c>
      <c r="P6" s="99">
        <f t="shared" ref="P6:P37" si="3">IFERROR(O6/N6,"0%")</f>
        <v>0.68930626514080584</v>
      </c>
      <c r="Q6" s="100">
        <f>IFERROR(VLOOKUP($B6,MMWR_TRAD_AGG_ST_DISTRICT_COMP[],Q$1,0),"ERROR")</f>
        <v>22241</v>
      </c>
      <c r="R6" s="100">
        <f>IFERROR(VLOOKUP($B6,MMWR_TRAD_AGG_ST_DISTRICT_COMP[],R$1,0),"ERROR")</f>
        <v>4524</v>
      </c>
      <c r="S6" s="100">
        <f>S7+S23+S36+S46+S56+S64</f>
        <v>305803</v>
      </c>
      <c r="T6" s="28"/>
    </row>
    <row r="7" spans="1:20" s="123" customFormat="1" x14ac:dyDescent="0.2">
      <c r="A7" s="92"/>
      <c r="B7" s="126" t="s">
        <v>368</v>
      </c>
      <c r="C7" s="102">
        <f>IF(SUM(C8:C22)&lt;&gt;VLOOKUP($B7,MMWR_TRAD_AGG_ST_DISTRICT_COMP[],C$1,0),"ERROR",
VLOOKUP($B7,MMWR_TRAD_AGG_ST_DISTRICT_COMP[],C$1,0))</f>
        <v>54784</v>
      </c>
      <c r="D7" s="103">
        <f>IFERROR(VLOOKUP($B7,MMWR_TRAD_AGG_ST_DISTRICT_COMP[],D$1,0),"ERROR")</f>
        <v>388.7526650117</v>
      </c>
      <c r="E7" s="102">
        <f>IF(SUM(E8:E22)&lt;&gt;VLOOKUP($B7,MMWR_TRAD_AGG_ST_DISTRICT_COMP[],E$1,0),"ERROR",
VLOOKUP($B7,MMWR_TRAD_AGG_ST_DISTRICT_COMP[],E$1,0))</f>
        <v>75160</v>
      </c>
      <c r="F7" s="102">
        <f>IFERROR(VLOOKUP($B7,MMWR_TRAD_AGG_ST_DISTRICT_COMP[],F$1,0),"ERROR")</f>
        <v>16961</v>
      </c>
      <c r="G7" s="104">
        <f t="shared" si="0"/>
        <v>0.2256652474720596</v>
      </c>
      <c r="H7" s="102">
        <f>IF(SUM(H8:H22)&lt;&gt;VLOOKUP($B7,MMWR_TRAD_AGG_ST_DISTRICT_COMP[],H$1,0),"ERROR",
VLOOKUP($B7,MMWR_TRAD_AGG_ST_DISTRICT_COMP[],H$1,0))</f>
        <v>100485</v>
      </c>
      <c r="I7" s="102">
        <f>IF(SUM(I8:I22)&lt;&gt;VLOOKUP($B7,MMWR_TRAD_AGG_ST_DISTRICT_COMP[],I$1,0),"ERROR",
VLOOKUP($B7,MMWR_TRAD_AGG_ST_DISTRICT_COMP[],I$1,0))</f>
        <v>48421</v>
      </c>
      <c r="J7" s="105">
        <f t="shared" si="1"/>
        <v>0.48187291635567497</v>
      </c>
      <c r="K7" s="102">
        <f>IF(SUM(K8:K22)&lt;&gt;VLOOKUP($B7,MMWR_TRAD_AGG_ST_DISTRICT_COMP[],K$1,0),"ERROR",
VLOOKUP($B7,MMWR_TRAD_AGG_ST_DISTRICT_COMP[],K$1,0))</f>
        <v>34333</v>
      </c>
      <c r="L7" s="102">
        <f>IF(SUM(L8:L22)&lt;&gt;VLOOKUP($B7,MMWR_TRAD_AGG_ST_DISTRICT_COMP[],L$1,0),"ERROR",
VLOOKUP($B7,MMWR_TRAD_AGG_ST_DISTRICT_COMP[],L$1,0))</f>
        <v>27227</v>
      </c>
      <c r="M7" s="105">
        <f t="shared" si="2"/>
        <v>0.79302711676812399</v>
      </c>
      <c r="N7" s="102">
        <f>IF(SUM(N8:N22)&lt;&gt;VLOOKUP($B7,MMWR_TRAD_AGG_ST_DISTRICT_COMP[],N$1,0),"ERROR",
VLOOKUP($B7,MMWR_TRAD_AGG_ST_DISTRICT_COMP[],N$1,0))</f>
        <v>39733</v>
      </c>
      <c r="O7" s="102">
        <f>IF(SUM(O8:O22)&lt;&gt;VLOOKUP($B7,MMWR_TRAD_AGG_ST_DISTRICT_COMP[],O$1,0),"ERROR",
VLOOKUP($B7,MMWR_TRAD_AGG_ST_DISTRICT_COMP[],O$1,0))</f>
        <v>29387</v>
      </c>
      <c r="P7" s="105">
        <f t="shared" si="3"/>
        <v>0.73961190949588507</v>
      </c>
      <c r="Q7" s="102">
        <f>IF(SUM(Q8:Q22)&lt;&gt;VLOOKUP($B7,MMWR_TRAD_AGG_ST_DISTRICT_COMP[],Q$1,0),"ERROR",
VLOOKUP($B7,MMWR_TRAD_AGG_ST_DISTRICT_COMP[],Q$1,0))</f>
        <v>9468</v>
      </c>
      <c r="R7" s="106">
        <f>IFERROR(VLOOKUP($B7,MMWR_TRAD_AGG_ST_DISTRICT_COMP[],R$1,0),"ERROR")</f>
        <v>143</v>
      </c>
      <c r="S7" s="106">
        <f>SUM(S8:S22)</f>
        <v>56549</v>
      </c>
      <c r="T7" s="28"/>
    </row>
    <row r="8" spans="1:20" s="123" customFormat="1" x14ac:dyDescent="0.2">
      <c r="A8" s="107"/>
      <c r="B8" s="127" t="s">
        <v>372</v>
      </c>
      <c r="C8" s="109">
        <f>IFERROR(VLOOKUP($B8,MMWR_TRAD_AGG_STATE_COMP[],C$1,0),"ERROR")</f>
        <v>687</v>
      </c>
      <c r="D8" s="110">
        <f>IFERROR(VLOOKUP($B8,MMWR_TRAD_AGG_STATE_COMP[],D$1,0),"ERROR")</f>
        <v>279.54439592429998</v>
      </c>
      <c r="E8" s="111">
        <f>IFERROR(VLOOKUP($B8,MMWR_TRAD_AGG_STATE_COMP[],E$1,0),"ERROR")</f>
        <v>1856</v>
      </c>
      <c r="F8" s="112">
        <f>IFERROR(VLOOKUP($B8,MMWR_TRAD_AGG_STATE_COMP[],F$1,0),"ERROR")</f>
        <v>332</v>
      </c>
      <c r="G8" s="113">
        <f t="shared" si="0"/>
        <v>0.1788793103448276</v>
      </c>
      <c r="H8" s="111">
        <f>IFERROR(VLOOKUP($B8,MMWR_TRAD_AGG_STATE_COMP[],H$1,0),"ERROR")</f>
        <v>2492</v>
      </c>
      <c r="I8" s="112">
        <f>IFERROR(VLOOKUP($B8,MMWR_TRAD_AGG_STATE_COMP[],I$1,0),"ERROR")</f>
        <v>729</v>
      </c>
      <c r="J8" s="114">
        <f t="shared" si="1"/>
        <v>0.29253611556982345</v>
      </c>
      <c r="K8" s="111">
        <f>IFERROR(VLOOKUP($B8,MMWR_TRAD_AGG_STATE_COMP[],K$1,0),"ERROR")</f>
        <v>574</v>
      </c>
      <c r="L8" s="112">
        <f>IFERROR(VLOOKUP($B8,MMWR_TRAD_AGG_STATE_COMP[],L$1,0),"ERROR")</f>
        <v>378</v>
      </c>
      <c r="M8" s="114">
        <f t="shared" si="2"/>
        <v>0.65853658536585369</v>
      </c>
      <c r="N8" s="111">
        <f>IFERROR(VLOOKUP($B8,MMWR_TRAD_AGG_STATE_COMP[],N$1,0),"ERROR")</f>
        <v>873</v>
      </c>
      <c r="O8" s="112">
        <f>IFERROR(VLOOKUP($B8,MMWR_TRAD_AGG_STATE_COMP[],O$1,0),"ERROR")</f>
        <v>618</v>
      </c>
      <c r="P8" s="114">
        <f t="shared" si="3"/>
        <v>0.70790378006872856</v>
      </c>
      <c r="Q8" s="115">
        <f>IFERROR(VLOOKUP($B8,MMWR_TRAD_AGG_STATE_COMP[],Q$1,0),"ERROR")</f>
        <v>312</v>
      </c>
      <c r="R8" s="115">
        <f>IFERROR(VLOOKUP($B8,MMWR_TRAD_AGG_STATE_COMP[],R$1,0),"ERROR")</f>
        <v>6</v>
      </c>
      <c r="S8" s="115">
        <f>IFERROR(VLOOKUP($B8,MMWR_APP_STATE_COMP[],S$1,0),"ERROR")</f>
        <v>1358</v>
      </c>
      <c r="T8" s="28"/>
    </row>
    <row r="9" spans="1:20" s="123" customFormat="1" x14ac:dyDescent="0.2">
      <c r="A9" s="107"/>
      <c r="B9" s="127" t="s">
        <v>422</v>
      </c>
      <c r="C9" s="109">
        <f>IFERROR(VLOOKUP($B9,MMWR_TRAD_AGG_STATE_COMP[],C$1,0),"ERROR")</f>
        <v>620</v>
      </c>
      <c r="D9" s="110">
        <f>IFERROR(VLOOKUP($B9,MMWR_TRAD_AGG_STATE_COMP[],D$1,0),"ERROR")</f>
        <v>386.07903225810003</v>
      </c>
      <c r="E9" s="111">
        <f>IFERROR(VLOOKUP($B9,MMWR_TRAD_AGG_STATE_COMP[],E$1,0),"ERROR")</f>
        <v>989</v>
      </c>
      <c r="F9" s="112">
        <f>IFERROR(VLOOKUP($B9,MMWR_TRAD_AGG_STATE_COMP[],F$1,0),"ERROR")</f>
        <v>231</v>
      </c>
      <c r="G9" s="113">
        <f t="shared" si="0"/>
        <v>0.23356926188068755</v>
      </c>
      <c r="H9" s="111">
        <f>IFERROR(VLOOKUP($B9,MMWR_TRAD_AGG_STATE_COMP[],H$1,0),"ERROR")</f>
        <v>1247</v>
      </c>
      <c r="I9" s="112">
        <f>IFERROR(VLOOKUP($B9,MMWR_TRAD_AGG_STATE_COMP[],I$1,0),"ERROR")</f>
        <v>534</v>
      </c>
      <c r="J9" s="114">
        <f t="shared" si="1"/>
        <v>0.42822774659182039</v>
      </c>
      <c r="K9" s="111">
        <f>IFERROR(VLOOKUP($B9,MMWR_TRAD_AGG_STATE_COMP[],K$1,0),"ERROR")</f>
        <v>271</v>
      </c>
      <c r="L9" s="112">
        <f>IFERROR(VLOOKUP($B9,MMWR_TRAD_AGG_STATE_COMP[],L$1,0),"ERROR")</f>
        <v>193</v>
      </c>
      <c r="M9" s="114">
        <f t="shared" si="2"/>
        <v>0.71217712177121772</v>
      </c>
      <c r="N9" s="111">
        <f>IFERROR(VLOOKUP($B9,MMWR_TRAD_AGG_STATE_COMP[],N$1,0),"ERROR")</f>
        <v>404</v>
      </c>
      <c r="O9" s="112">
        <f>IFERROR(VLOOKUP($B9,MMWR_TRAD_AGG_STATE_COMP[],O$1,0),"ERROR")</f>
        <v>245</v>
      </c>
      <c r="P9" s="114">
        <f t="shared" si="3"/>
        <v>0.60643564356435642</v>
      </c>
      <c r="Q9" s="115">
        <f>IFERROR(VLOOKUP($B9,MMWR_TRAD_AGG_STATE_COMP[],Q$1,0),"ERROR")</f>
        <v>82</v>
      </c>
      <c r="R9" s="115">
        <f>IFERROR(VLOOKUP($B9,MMWR_TRAD_AGG_STATE_COMP[],R$1,0),"ERROR")</f>
        <v>0</v>
      </c>
      <c r="S9" s="115">
        <f>IFERROR(VLOOKUP($B9,MMWR_APP_STATE_COMP[],S$1,0),"ERROR")</f>
        <v>629</v>
      </c>
      <c r="T9" s="28"/>
    </row>
    <row r="10" spans="1:20" s="123" customFormat="1" x14ac:dyDescent="0.2">
      <c r="A10" s="107"/>
      <c r="B10" s="127" t="s">
        <v>413</v>
      </c>
      <c r="C10" s="109">
        <f>IFERROR(VLOOKUP($B10,MMWR_TRAD_AGG_STATE_COMP[],C$1,0),"ERROR")</f>
        <v>381</v>
      </c>
      <c r="D10" s="110">
        <f>IFERROR(VLOOKUP($B10,MMWR_TRAD_AGG_STATE_COMP[],D$1,0),"ERROR")</f>
        <v>541.73228346459996</v>
      </c>
      <c r="E10" s="111">
        <f>IFERROR(VLOOKUP($B10,MMWR_TRAD_AGG_STATE_COMP[],E$1,0),"ERROR")</f>
        <v>441</v>
      </c>
      <c r="F10" s="112">
        <f>IFERROR(VLOOKUP($B10,MMWR_TRAD_AGG_STATE_COMP[],F$1,0),"ERROR")</f>
        <v>98</v>
      </c>
      <c r="G10" s="113">
        <f t="shared" si="0"/>
        <v>0.22222222222222221</v>
      </c>
      <c r="H10" s="111">
        <f>IFERROR(VLOOKUP($B10,MMWR_TRAD_AGG_STATE_COMP[],H$1,0),"ERROR")</f>
        <v>726</v>
      </c>
      <c r="I10" s="112">
        <f>IFERROR(VLOOKUP($B10,MMWR_TRAD_AGG_STATE_COMP[],I$1,0),"ERROR")</f>
        <v>358</v>
      </c>
      <c r="J10" s="114">
        <f t="shared" si="1"/>
        <v>0.49311294765840219</v>
      </c>
      <c r="K10" s="111">
        <f>IFERROR(VLOOKUP($B10,MMWR_TRAD_AGG_STATE_COMP[],K$1,0),"ERROR")</f>
        <v>203</v>
      </c>
      <c r="L10" s="112">
        <f>IFERROR(VLOOKUP($B10,MMWR_TRAD_AGG_STATE_COMP[],L$1,0),"ERROR")</f>
        <v>168</v>
      </c>
      <c r="M10" s="114">
        <f t="shared" si="2"/>
        <v>0.82758620689655171</v>
      </c>
      <c r="N10" s="111">
        <f>IFERROR(VLOOKUP($B10,MMWR_TRAD_AGG_STATE_COMP[],N$1,0),"ERROR")</f>
        <v>372</v>
      </c>
      <c r="O10" s="112">
        <f>IFERROR(VLOOKUP($B10,MMWR_TRAD_AGG_STATE_COMP[],O$1,0),"ERROR")</f>
        <v>288</v>
      </c>
      <c r="P10" s="114">
        <f t="shared" si="3"/>
        <v>0.77419354838709675</v>
      </c>
      <c r="Q10" s="115">
        <f>IFERROR(VLOOKUP($B10,MMWR_TRAD_AGG_STATE_COMP[],Q$1,0),"ERROR")</f>
        <v>27</v>
      </c>
      <c r="R10" s="115">
        <f>IFERROR(VLOOKUP($B10,MMWR_TRAD_AGG_STATE_COMP[],R$1,0),"ERROR")</f>
        <v>0</v>
      </c>
      <c r="S10" s="115">
        <f>IFERROR(VLOOKUP($B10,MMWR_APP_STATE_COMP[],S$1,0),"ERROR")</f>
        <v>600</v>
      </c>
      <c r="T10" s="28"/>
    </row>
    <row r="11" spans="1:20" s="123" customFormat="1" x14ac:dyDescent="0.2">
      <c r="A11" s="107"/>
      <c r="B11" s="127" t="s">
        <v>415</v>
      </c>
      <c r="C11" s="109">
        <f>IFERROR(VLOOKUP($B11,MMWR_TRAD_AGG_STATE_COMP[],C$1,0),"ERROR")</f>
        <v>1088</v>
      </c>
      <c r="D11" s="110">
        <f>IFERROR(VLOOKUP($B11,MMWR_TRAD_AGG_STATE_COMP[],D$1,0),"ERROR")</f>
        <v>284.7729779412</v>
      </c>
      <c r="E11" s="111">
        <f>IFERROR(VLOOKUP($B11,MMWR_TRAD_AGG_STATE_COMP[],E$1,0),"ERROR")</f>
        <v>1326</v>
      </c>
      <c r="F11" s="112">
        <f>IFERROR(VLOOKUP($B11,MMWR_TRAD_AGG_STATE_COMP[],F$1,0),"ERROR")</f>
        <v>194</v>
      </c>
      <c r="G11" s="113">
        <f t="shared" si="0"/>
        <v>0.14630467571644043</v>
      </c>
      <c r="H11" s="111">
        <f>IFERROR(VLOOKUP($B11,MMWR_TRAD_AGG_STATE_COMP[],H$1,0),"ERROR")</f>
        <v>2031</v>
      </c>
      <c r="I11" s="112">
        <f>IFERROR(VLOOKUP($B11,MMWR_TRAD_AGG_STATE_COMP[],I$1,0),"ERROR")</f>
        <v>825</v>
      </c>
      <c r="J11" s="114">
        <f t="shared" si="1"/>
        <v>0.40620384047267355</v>
      </c>
      <c r="K11" s="111">
        <f>IFERROR(VLOOKUP($B11,MMWR_TRAD_AGG_STATE_COMP[],K$1,0),"ERROR")</f>
        <v>840</v>
      </c>
      <c r="L11" s="112">
        <f>IFERROR(VLOOKUP($B11,MMWR_TRAD_AGG_STATE_COMP[],L$1,0),"ERROR")</f>
        <v>641</v>
      </c>
      <c r="M11" s="114">
        <f t="shared" si="2"/>
        <v>0.76309523809523805</v>
      </c>
      <c r="N11" s="111">
        <f>IFERROR(VLOOKUP($B11,MMWR_TRAD_AGG_STATE_COMP[],N$1,0),"ERROR")</f>
        <v>477</v>
      </c>
      <c r="O11" s="112">
        <f>IFERROR(VLOOKUP($B11,MMWR_TRAD_AGG_STATE_COMP[],O$1,0),"ERROR")</f>
        <v>318</v>
      </c>
      <c r="P11" s="114">
        <f t="shared" si="3"/>
        <v>0.66666666666666663</v>
      </c>
      <c r="Q11" s="115">
        <f>IFERROR(VLOOKUP($B11,MMWR_TRAD_AGG_STATE_COMP[],Q$1,0),"ERROR")</f>
        <v>391</v>
      </c>
      <c r="R11" s="115">
        <f>IFERROR(VLOOKUP($B11,MMWR_TRAD_AGG_STATE_COMP[],R$1,0),"ERROR")</f>
        <v>2</v>
      </c>
      <c r="S11" s="115">
        <f>IFERROR(VLOOKUP($B11,MMWR_APP_STATE_COMP[],S$1,0),"ERROR")</f>
        <v>505</v>
      </c>
      <c r="T11" s="28"/>
    </row>
    <row r="12" spans="1:20" s="123" customFormat="1" x14ac:dyDescent="0.2">
      <c r="A12" s="107"/>
      <c r="B12" s="127" t="s">
        <v>375</v>
      </c>
      <c r="C12" s="109">
        <f>IFERROR(VLOOKUP($B12,MMWR_TRAD_AGG_STATE_COMP[],C$1,0),"ERROR")</f>
        <v>7708</v>
      </c>
      <c r="D12" s="110">
        <f>IFERROR(VLOOKUP($B12,MMWR_TRAD_AGG_STATE_COMP[],D$1,0),"ERROR")</f>
        <v>629.86312921640001</v>
      </c>
      <c r="E12" s="111">
        <f>IFERROR(VLOOKUP($B12,MMWR_TRAD_AGG_STATE_COMP[],E$1,0),"ERROR")</f>
        <v>6334</v>
      </c>
      <c r="F12" s="112">
        <f>IFERROR(VLOOKUP($B12,MMWR_TRAD_AGG_STATE_COMP[],F$1,0),"ERROR")</f>
        <v>1503</v>
      </c>
      <c r="G12" s="113">
        <f t="shared" si="0"/>
        <v>0.23729081149352699</v>
      </c>
      <c r="H12" s="111">
        <f>IFERROR(VLOOKUP($B12,MMWR_TRAD_AGG_STATE_COMP[],H$1,0),"ERROR")</f>
        <v>11958</v>
      </c>
      <c r="I12" s="112">
        <f>IFERROR(VLOOKUP($B12,MMWR_TRAD_AGG_STATE_COMP[],I$1,0),"ERROR")</f>
        <v>7250</v>
      </c>
      <c r="J12" s="114">
        <f t="shared" si="1"/>
        <v>0.60628867703629374</v>
      </c>
      <c r="K12" s="111">
        <f>IFERROR(VLOOKUP($B12,MMWR_TRAD_AGG_STATE_COMP[],K$1,0),"ERROR")</f>
        <v>4258</v>
      </c>
      <c r="L12" s="112">
        <f>IFERROR(VLOOKUP($B12,MMWR_TRAD_AGG_STATE_COMP[],L$1,0),"ERROR")</f>
        <v>3678</v>
      </c>
      <c r="M12" s="114">
        <f t="shared" si="2"/>
        <v>0.8637858149365899</v>
      </c>
      <c r="N12" s="111">
        <f>IFERROR(VLOOKUP($B12,MMWR_TRAD_AGG_STATE_COMP[],N$1,0),"ERROR")</f>
        <v>3341</v>
      </c>
      <c r="O12" s="112">
        <f>IFERROR(VLOOKUP($B12,MMWR_TRAD_AGG_STATE_COMP[],O$1,0),"ERROR")</f>
        <v>2360</v>
      </c>
      <c r="P12" s="114">
        <f t="shared" si="3"/>
        <v>0.70637533672553132</v>
      </c>
      <c r="Q12" s="115">
        <f>IFERROR(VLOOKUP($B12,MMWR_TRAD_AGG_STATE_COMP[],Q$1,0),"ERROR")</f>
        <v>494</v>
      </c>
      <c r="R12" s="115">
        <f>IFERROR(VLOOKUP($B12,MMWR_TRAD_AGG_STATE_COMP[],R$1,0),"ERROR")</f>
        <v>7</v>
      </c>
      <c r="S12" s="115">
        <f>IFERROR(VLOOKUP($B12,MMWR_APP_STATE_COMP[],S$1,0),"ERROR")</f>
        <v>5584</v>
      </c>
      <c r="T12" s="28"/>
    </row>
    <row r="13" spans="1:20" s="123" customFormat="1" x14ac:dyDescent="0.2">
      <c r="A13" s="107"/>
      <c r="B13" s="127" t="s">
        <v>370</v>
      </c>
      <c r="C13" s="109">
        <f>IFERROR(VLOOKUP($B13,MMWR_TRAD_AGG_STATE_COMP[],C$1,0),"ERROR")</f>
        <v>3257</v>
      </c>
      <c r="D13" s="110">
        <f>IFERROR(VLOOKUP($B13,MMWR_TRAD_AGG_STATE_COMP[],D$1,0),"ERROR")</f>
        <v>553.4930918023</v>
      </c>
      <c r="E13" s="111">
        <f>IFERROR(VLOOKUP($B13,MMWR_TRAD_AGG_STATE_COMP[],E$1,0),"ERROR")</f>
        <v>4431</v>
      </c>
      <c r="F13" s="112">
        <f>IFERROR(VLOOKUP($B13,MMWR_TRAD_AGG_STATE_COMP[],F$1,0),"ERROR")</f>
        <v>922</v>
      </c>
      <c r="G13" s="113">
        <f t="shared" si="0"/>
        <v>0.20807944030692846</v>
      </c>
      <c r="H13" s="111">
        <f>IFERROR(VLOOKUP($B13,MMWR_TRAD_AGG_STATE_COMP[],H$1,0),"ERROR")</f>
        <v>7393</v>
      </c>
      <c r="I13" s="112">
        <f>IFERROR(VLOOKUP($B13,MMWR_TRAD_AGG_STATE_COMP[],I$1,0),"ERROR")</f>
        <v>3556</v>
      </c>
      <c r="J13" s="114">
        <f t="shared" si="1"/>
        <v>0.48099553631813879</v>
      </c>
      <c r="K13" s="111">
        <f>IFERROR(VLOOKUP($B13,MMWR_TRAD_AGG_STATE_COMP[],K$1,0),"ERROR")</f>
        <v>2545</v>
      </c>
      <c r="L13" s="112">
        <f>IFERROR(VLOOKUP($B13,MMWR_TRAD_AGG_STATE_COMP[],L$1,0),"ERROR")</f>
        <v>2120</v>
      </c>
      <c r="M13" s="114">
        <f t="shared" si="2"/>
        <v>0.83300589390962676</v>
      </c>
      <c r="N13" s="111">
        <f>IFERROR(VLOOKUP($B13,MMWR_TRAD_AGG_STATE_COMP[],N$1,0),"ERROR")</f>
        <v>1265</v>
      </c>
      <c r="O13" s="112">
        <f>IFERROR(VLOOKUP($B13,MMWR_TRAD_AGG_STATE_COMP[],O$1,0),"ERROR")</f>
        <v>927</v>
      </c>
      <c r="P13" s="114">
        <f t="shared" si="3"/>
        <v>0.73280632411067192</v>
      </c>
      <c r="Q13" s="115">
        <f>IFERROR(VLOOKUP($B13,MMWR_TRAD_AGG_STATE_COMP[],Q$1,0),"ERROR")</f>
        <v>798</v>
      </c>
      <c r="R13" s="115">
        <f>IFERROR(VLOOKUP($B13,MMWR_TRAD_AGG_STATE_COMP[],R$1,0),"ERROR")</f>
        <v>13</v>
      </c>
      <c r="S13" s="115">
        <f>IFERROR(VLOOKUP($B13,MMWR_APP_STATE_COMP[],S$1,0),"ERROR")</f>
        <v>3323</v>
      </c>
      <c r="T13" s="28"/>
    </row>
    <row r="14" spans="1:20" s="123" customFormat="1" x14ac:dyDescent="0.2">
      <c r="A14" s="107"/>
      <c r="B14" s="127" t="s">
        <v>414</v>
      </c>
      <c r="C14" s="109">
        <f>IFERROR(VLOOKUP($B14,MMWR_TRAD_AGG_STATE_COMP[],C$1,0),"ERROR")</f>
        <v>945</v>
      </c>
      <c r="D14" s="110">
        <f>IFERROR(VLOOKUP($B14,MMWR_TRAD_AGG_STATE_COMP[],D$1,0),"ERROR")</f>
        <v>253.3227513228</v>
      </c>
      <c r="E14" s="111">
        <f>IFERROR(VLOOKUP($B14,MMWR_TRAD_AGG_STATE_COMP[],E$1,0),"ERROR")</f>
        <v>1350</v>
      </c>
      <c r="F14" s="112">
        <f>IFERROR(VLOOKUP($B14,MMWR_TRAD_AGG_STATE_COMP[],F$1,0),"ERROR")</f>
        <v>227</v>
      </c>
      <c r="G14" s="113">
        <f t="shared" si="0"/>
        <v>0.16814814814814816</v>
      </c>
      <c r="H14" s="111">
        <f>IFERROR(VLOOKUP($B14,MMWR_TRAD_AGG_STATE_COMP[],H$1,0),"ERROR")</f>
        <v>1938</v>
      </c>
      <c r="I14" s="112">
        <f>IFERROR(VLOOKUP($B14,MMWR_TRAD_AGG_STATE_COMP[],I$1,0),"ERROR")</f>
        <v>809</v>
      </c>
      <c r="J14" s="114">
        <f t="shared" si="1"/>
        <v>0.41744066047471623</v>
      </c>
      <c r="K14" s="111">
        <f>IFERROR(VLOOKUP($B14,MMWR_TRAD_AGG_STATE_COMP[],K$1,0),"ERROR")</f>
        <v>381</v>
      </c>
      <c r="L14" s="112">
        <f>IFERROR(VLOOKUP($B14,MMWR_TRAD_AGG_STATE_COMP[],L$1,0),"ERROR")</f>
        <v>264</v>
      </c>
      <c r="M14" s="114">
        <f t="shared" si="2"/>
        <v>0.69291338582677164</v>
      </c>
      <c r="N14" s="111">
        <f>IFERROR(VLOOKUP($B14,MMWR_TRAD_AGG_STATE_COMP[],N$1,0),"ERROR")</f>
        <v>335</v>
      </c>
      <c r="O14" s="112">
        <f>IFERROR(VLOOKUP($B14,MMWR_TRAD_AGG_STATE_COMP[],O$1,0),"ERROR")</f>
        <v>200</v>
      </c>
      <c r="P14" s="114">
        <f t="shared" si="3"/>
        <v>0.59701492537313428</v>
      </c>
      <c r="Q14" s="115">
        <f>IFERROR(VLOOKUP($B14,MMWR_TRAD_AGG_STATE_COMP[],Q$1,0),"ERROR")</f>
        <v>212</v>
      </c>
      <c r="R14" s="115">
        <f>IFERROR(VLOOKUP($B14,MMWR_TRAD_AGG_STATE_COMP[],R$1,0),"ERROR")</f>
        <v>4</v>
      </c>
      <c r="S14" s="115">
        <f>IFERROR(VLOOKUP($B14,MMWR_APP_STATE_COMP[],S$1,0),"ERROR")</f>
        <v>609</v>
      </c>
      <c r="T14" s="28"/>
    </row>
    <row r="15" spans="1:20" s="123" customFormat="1" x14ac:dyDescent="0.2">
      <c r="A15" s="107"/>
      <c r="B15" s="127" t="s">
        <v>373</v>
      </c>
      <c r="C15" s="109">
        <f>IFERROR(VLOOKUP($B15,MMWR_TRAD_AGG_STATE_COMP[],C$1,0),"ERROR")</f>
        <v>1526</v>
      </c>
      <c r="D15" s="110">
        <f>IFERROR(VLOOKUP($B15,MMWR_TRAD_AGG_STATE_COMP[],D$1,0),"ERROR")</f>
        <v>295.08846657930002</v>
      </c>
      <c r="E15" s="111">
        <f>IFERROR(VLOOKUP($B15,MMWR_TRAD_AGG_STATE_COMP[],E$1,0),"ERROR")</f>
        <v>4533</v>
      </c>
      <c r="F15" s="112">
        <f>IFERROR(VLOOKUP($B15,MMWR_TRAD_AGG_STATE_COMP[],F$1,0),"ERROR")</f>
        <v>1237</v>
      </c>
      <c r="G15" s="113">
        <f t="shared" si="0"/>
        <v>0.2728877123317891</v>
      </c>
      <c r="H15" s="111">
        <f>IFERROR(VLOOKUP($B15,MMWR_TRAD_AGG_STATE_COMP[],H$1,0),"ERROR")</f>
        <v>4205</v>
      </c>
      <c r="I15" s="112">
        <f>IFERROR(VLOOKUP($B15,MMWR_TRAD_AGG_STATE_COMP[],I$1,0),"ERROR")</f>
        <v>1607</v>
      </c>
      <c r="J15" s="114">
        <f t="shared" si="1"/>
        <v>0.38216409036860882</v>
      </c>
      <c r="K15" s="111">
        <f>IFERROR(VLOOKUP($B15,MMWR_TRAD_AGG_STATE_COMP[],K$1,0),"ERROR")</f>
        <v>1330</v>
      </c>
      <c r="L15" s="112">
        <f>IFERROR(VLOOKUP($B15,MMWR_TRAD_AGG_STATE_COMP[],L$1,0),"ERROR")</f>
        <v>1120</v>
      </c>
      <c r="M15" s="114">
        <f t="shared" si="2"/>
        <v>0.84210526315789469</v>
      </c>
      <c r="N15" s="111">
        <f>IFERROR(VLOOKUP($B15,MMWR_TRAD_AGG_STATE_COMP[],N$1,0),"ERROR")</f>
        <v>2443</v>
      </c>
      <c r="O15" s="112">
        <f>IFERROR(VLOOKUP($B15,MMWR_TRAD_AGG_STATE_COMP[],O$1,0),"ERROR")</f>
        <v>1834</v>
      </c>
      <c r="P15" s="114">
        <f t="shared" si="3"/>
        <v>0.75071633237822355</v>
      </c>
      <c r="Q15" s="115">
        <f>IFERROR(VLOOKUP($B15,MMWR_TRAD_AGG_STATE_COMP[],Q$1,0),"ERROR")</f>
        <v>806</v>
      </c>
      <c r="R15" s="115">
        <f>IFERROR(VLOOKUP($B15,MMWR_TRAD_AGG_STATE_COMP[],R$1,0),"ERROR")</f>
        <v>6</v>
      </c>
      <c r="S15" s="115">
        <f>IFERROR(VLOOKUP($B15,MMWR_APP_STATE_COMP[],S$1,0),"ERROR")</f>
        <v>3815</v>
      </c>
      <c r="T15" s="28"/>
    </row>
    <row r="16" spans="1:20" s="123" customFormat="1" x14ac:dyDescent="0.2">
      <c r="A16" s="107"/>
      <c r="B16" s="127" t="s">
        <v>60</v>
      </c>
      <c r="C16" s="109">
        <f>IFERROR(VLOOKUP($B16,MMWR_TRAD_AGG_STATE_COMP[],C$1,0),"ERROR")</f>
        <v>3329</v>
      </c>
      <c r="D16" s="110">
        <f>IFERROR(VLOOKUP($B16,MMWR_TRAD_AGG_STATE_COMP[],D$1,0),"ERROR")</f>
        <v>274.04656052870001</v>
      </c>
      <c r="E16" s="111">
        <f>IFERROR(VLOOKUP($B16,MMWR_TRAD_AGG_STATE_COMP[],E$1,0),"ERROR")</f>
        <v>9112</v>
      </c>
      <c r="F16" s="112">
        <f>IFERROR(VLOOKUP($B16,MMWR_TRAD_AGG_STATE_COMP[],F$1,0),"ERROR")</f>
        <v>2235</v>
      </c>
      <c r="G16" s="113">
        <f t="shared" si="0"/>
        <v>0.2452809482001756</v>
      </c>
      <c r="H16" s="111">
        <f>IFERROR(VLOOKUP($B16,MMWR_TRAD_AGG_STATE_COMP[],H$1,0),"ERROR")</f>
        <v>9050</v>
      </c>
      <c r="I16" s="112">
        <f>IFERROR(VLOOKUP($B16,MMWR_TRAD_AGG_STATE_COMP[],I$1,0),"ERROR")</f>
        <v>3424</v>
      </c>
      <c r="J16" s="114">
        <f t="shared" si="1"/>
        <v>0.37834254143646406</v>
      </c>
      <c r="K16" s="111">
        <f>IFERROR(VLOOKUP($B16,MMWR_TRAD_AGG_STATE_COMP[],K$1,0),"ERROR")</f>
        <v>3112</v>
      </c>
      <c r="L16" s="112">
        <f>IFERROR(VLOOKUP($B16,MMWR_TRAD_AGG_STATE_COMP[],L$1,0),"ERROR")</f>
        <v>2444</v>
      </c>
      <c r="M16" s="114">
        <f t="shared" si="2"/>
        <v>0.78534704370179953</v>
      </c>
      <c r="N16" s="111">
        <f>IFERROR(VLOOKUP($B16,MMWR_TRAD_AGG_STATE_COMP[],N$1,0),"ERROR")</f>
        <v>6120</v>
      </c>
      <c r="O16" s="112">
        <f>IFERROR(VLOOKUP($B16,MMWR_TRAD_AGG_STATE_COMP[],O$1,0),"ERROR")</f>
        <v>4600</v>
      </c>
      <c r="P16" s="114">
        <f t="shared" si="3"/>
        <v>0.75163398692810457</v>
      </c>
      <c r="Q16" s="115">
        <f>IFERROR(VLOOKUP($B16,MMWR_TRAD_AGG_STATE_COMP[],Q$1,0),"ERROR")</f>
        <v>1732</v>
      </c>
      <c r="R16" s="115">
        <f>IFERROR(VLOOKUP($B16,MMWR_TRAD_AGG_STATE_COMP[],R$1,0),"ERROR")</f>
        <v>11</v>
      </c>
      <c r="S16" s="115">
        <f>IFERROR(VLOOKUP($B16,MMWR_APP_STATE_COMP[],S$1,0),"ERROR")</f>
        <v>5502</v>
      </c>
      <c r="T16" s="28"/>
    </row>
    <row r="17" spans="1:20" s="123" customFormat="1" x14ac:dyDescent="0.2">
      <c r="A17" s="107"/>
      <c r="B17" s="127" t="s">
        <v>381</v>
      </c>
      <c r="C17" s="109">
        <f>IFERROR(VLOOKUP($B17,MMWR_TRAD_AGG_STATE_COMP[],C$1,0),"ERROR")</f>
        <v>13068</v>
      </c>
      <c r="D17" s="110">
        <f>IFERROR(VLOOKUP($B17,MMWR_TRAD_AGG_STATE_COMP[],D$1,0),"ERROR")</f>
        <v>339.59067952250001</v>
      </c>
      <c r="E17" s="111">
        <f>IFERROR(VLOOKUP($B17,MMWR_TRAD_AGG_STATE_COMP[],E$1,0),"ERROR")</f>
        <v>18236</v>
      </c>
      <c r="F17" s="112">
        <f>IFERROR(VLOOKUP($B17,MMWR_TRAD_AGG_STATE_COMP[],F$1,0),"ERROR")</f>
        <v>4131</v>
      </c>
      <c r="G17" s="113">
        <f t="shared" si="0"/>
        <v>0.22652994077648608</v>
      </c>
      <c r="H17" s="111">
        <f>IFERROR(VLOOKUP($B17,MMWR_TRAD_AGG_STATE_COMP[],H$1,0),"ERROR")</f>
        <v>20484</v>
      </c>
      <c r="I17" s="112">
        <f>IFERROR(VLOOKUP($B17,MMWR_TRAD_AGG_STATE_COMP[],I$1,0),"ERROR")</f>
        <v>11184</v>
      </c>
      <c r="J17" s="114">
        <f t="shared" si="1"/>
        <v>0.5459871118922085</v>
      </c>
      <c r="K17" s="111">
        <f>IFERROR(VLOOKUP($B17,MMWR_TRAD_AGG_STATE_COMP[],K$1,0),"ERROR")</f>
        <v>8929</v>
      </c>
      <c r="L17" s="112">
        <f>IFERROR(VLOOKUP($B17,MMWR_TRAD_AGG_STATE_COMP[],L$1,0),"ERROR")</f>
        <v>7016</v>
      </c>
      <c r="M17" s="114">
        <f t="shared" si="2"/>
        <v>0.78575428379437784</v>
      </c>
      <c r="N17" s="111">
        <f>IFERROR(VLOOKUP($B17,MMWR_TRAD_AGG_STATE_COMP[],N$1,0),"ERROR")</f>
        <v>7609</v>
      </c>
      <c r="O17" s="112">
        <f>IFERROR(VLOOKUP($B17,MMWR_TRAD_AGG_STATE_COMP[],O$1,0),"ERROR")</f>
        <v>5234</v>
      </c>
      <c r="P17" s="114">
        <f t="shared" si="3"/>
        <v>0.68786962807202001</v>
      </c>
      <c r="Q17" s="115">
        <f>IFERROR(VLOOKUP($B17,MMWR_TRAD_AGG_STATE_COMP[],Q$1,0),"ERROR")</f>
        <v>1242</v>
      </c>
      <c r="R17" s="115">
        <f>IFERROR(VLOOKUP($B17,MMWR_TRAD_AGG_STATE_COMP[],R$1,0),"ERROR")</f>
        <v>42</v>
      </c>
      <c r="S17" s="115">
        <f>IFERROR(VLOOKUP($B17,MMWR_APP_STATE_COMP[],S$1,0),"ERROR")</f>
        <v>9317</v>
      </c>
      <c r="T17" s="28"/>
    </row>
    <row r="18" spans="1:20" s="123" customFormat="1" x14ac:dyDescent="0.2">
      <c r="A18" s="107"/>
      <c r="B18" s="127" t="s">
        <v>374</v>
      </c>
      <c r="C18" s="109">
        <f>IFERROR(VLOOKUP($B18,MMWR_TRAD_AGG_STATE_COMP[],C$1,0),"ERROR")</f>
        <v>4852</v>
      </c>
      <c r="D18" s="110">
        <f>IFERROR(VLOOKUP($B18,MMWR_TRAD_AGG_STATE_COMP[],D$1,0),"ERROR")</f>
        <v>493.92827699920002</v>
      </c>
      <c r="E18" s="111">
        <f>IFERROR(VLOOKUP($B18,MMWR_TRAD_AGG_STATE_COMP[],E$1,0),"ERROR")</f>
        <v>9712</v>
      </c>
      <c r="F18" s="112">
        <f>IFERROR(VLOOKUP($B18,MMWR_TRAD_AGG_STATE_COMP[],F$1,0),"ERROR")</f>
        <v>2827</v>
      </c>
      <c r="G18" s="113">
        <f t="shared" si="0"/>
        <v>0.29108319604612848</v>
      </c>
      <c r="H18" s="111">
        <f>IFERROR(VLOOKUP($B18,MMWR_TRAD_AGG_STATE_COMP[],H$1,0),"ERROR")</f>
        <v>10967</v>
      </c>
      <c r="I18" s="112">
        <f>IFERROR(VLOOKUP($B18,MMWR_TRAD_AGG_STATE_COMP[],I$1,0),"ERROR")</f>
        <v>5083</v>
      </c>
      <c r="J18" s="114">
        <f t="shared" si="1"/>
        <v>0.46348135315036015</v>
      </c>
      <c r="K18" s="111">
        <f>IFERROR(VLOOKUP($B18,MMWR_TRAD_AGG_STATE_COMP[],K$1,0),"ERROR")</f>
        <v>2367</v>
      </c>
      <c r="L18" s="112">
        <f>IFERROR(VLOOKUP($B18,MMWR_TRAD_AGG_STATE_COMP[],L$1,0),"ERROR")</f>
        <v>1958</v>
      </c>
      <c r="M18" s="114">
        <f t="shared" si="2"/>
        <v>0.82720743557245457</v>
      </c>
      <c r="N18" s="111">
        <f>IFERROR(VLOOKUP($B18,MMWR_TRAD_AGG_STATE_COMP[],N$1,0),"ERROR")</f>
        <v>6503</v>
      </c>
      <c r="O18" s="112">
        <f>IFERROR(VLOOKUP($B18,MMWR_TRAD_AGG_STATE_COMP[],O$1,0),"ERROR")</f>
        <v>5311</v>
      </c>
      <c r="P18" s="114">
        <f t="shared" si="3"/>
        <v>0.81669998462248194</v>
      </c>
      <c r="Q18" s="115">
        <f>IFERROR(VLOOKUP($B18,MMWR_TRAD_AGG_STATE_COMP[],Q$1,0),"ERROR")</f>
        <v>1640</v>
      </c>
      <c r="R18" s="115">
        <f>IFERROR(VLOOKUP($B18,MMWR_TRAD_AGG_STATE_COMP[],R$1,0),"ERROR")</f>
        <v>16</v>
      </c>
      <c r="S18" s="115">
        <f>IFERROR(VLOOKUP($B18,MMWR_APP_STATE_COMP[],S$1,0),"ERROR")</f>
        <v>7249</v>
      </c>
      <c r="T18" s="28"/>
    </row>
    <row r="19" spans="1:20" s="123" customFormat="1" x14ac:dyDescent="0.2">
      <c r="A19" s="107"/>
      <c r="B19" s="127" t="s">
        <v>371</v>
      </c>
      <c r="C19" s="109">
        <f>IFERROR(VLOOKUP($B19,MMWR_TRAD_AGG_STATE_COMP[],C$1,0),"ERROR")</f>
        <v>235</v>
      </c>
      <c r="D19" s="110">
        <f>IFERROR(VLOOKUP($B19,MMWR_TRAD_AGG_STATE_COMP[],D$1,0),"ERROR")</f>
        <v>221.08936170210001</v>
      </c>
      <c r="E19" s="111">
        <f>IFERROR(VLOOKUP($B19,MMWR_TRAD_AGG_STATE_COMP[],E$1,0),"ERROR")</f>
        <v>930</v>
      </c>
      <c r="F19" s="112">
        <f>IFERROR(VLOOKUP($B19,MMWR_TRAD_AGG_STATE_COMP[],F$1,0),"ERROR")</f>
        <v>175</v>
      </c>
      <c r="G19" s="113">
        <f t="shared" si="0"/>
        <v>0.18817204301075269</v>
      </c>
      <c r="H19" s="111">
        <f>IFERROR(VLOOKUP($B19,MMWR_TRAD_AGG_STATE_COMP[],H$1,0),"ERROR")</f>
        <v>993</v>
      </c>
      <c r="I19" s="112">
        <f>IFERROR(VLOOKUP($B19,MMWR_TRAD_AGG_STATE_COMP[],I$1,0),"ERROR")</f>
        <v>228</v>
      </c>
      <c r="J19" s="114">
        <f t="shared" si="1"/>
        <v>0.22960725075528701</v>
      </c>
      <c r="K19" s="111">
        <f>IFERROR(VLOOKUP($B19,MMWR_TRAD_AGG_STATE_COMP[],K$1,0),"ERROR")</f>
        <v>230</v>
      </c>
      <c r="L19" s="112">
        <f>IFERROR(VLOOKUP($B19,MMWR_TRAD_AGG_STATE_COMP[],L$1,0),"ERROR")</f>
        <v>159</v>
      </c>
      <c r="M19" s="114">
        <f t="shared" si="2"/>
        <v>0.69130434782608696</v>
      </c>
      <c r="N19" s="111">
        <f>IFERROR(VLOOKUP($B19,MMWR_TRAD_AGG_STATE_COMP[],N$1,0),"ERROR")</f>
        <v>232</v>
      </c>
      <c r="O19" s="112">
        <f>IFERROR(VLOOKUP($B19,MMWR_TRAD_AGG_STATE_COMP[],O$1,0),"ERROR")</f>
        <v>130</v>
      </c>
      <c r="P19" s="114">
        <f t="shared" si="3"/>
        <v>0.56034482758620685</v>
      </c>
      <c r="Q19" s="115">
        <f>IFERROR(VLOOKUP($B19,MMWR_TRAD_AGG_STATE_COMP[],Q$1,0),"ERROR")</f>
        <v>194</v>
      </c>
      <c r="R19" s="115">
        <f>IFERROR(VLOOKUP($B19,MMWR_TRAD_AGG_STATE_COMP[],R$1,0),"ERROR")</f>
        <v>3</v>
      </c>
      <c r="S19" s="115">
        <f>IFERROR(VLOOKUP($B19,MMWR_APP_STATE_COMP[],S$1,0),"ERROR")</f>
        <v>309</v>
      </c>
      <c r="T19" s="28"/>
    </row>
    <row r="20" spans="1:20" s="123" customFormat="1" x14ac:dyDescent="0.2">
      <c r="A20" s="107"/>
      <c r="B20" s="127" t="s">
        <v>416</v>
      </c>
      <c r="C20" s="109">
        <f>IFERROR(VLOOKUP($B20,MMWR_TRAD_AGG_STATE_COMP[],C$1,0),"ERROR")</f>
        <v>415</v>
      </c>
      <c r="D20" s="110">
        <f>IFERROR(VLOOKUP($B20,MMWR_TRAD_AGG_STATE_COMP[],D$1,0),"ERROR")</f>
        <v>321.21445783130002</v>
      </c>
      <c r="E20" s="111">
        <f>IFERROR(VLOOKUP($B20,MMWR_TRAD_AGG_STATE_COMP[],E$1,0),"ERROR")</f>
        <v>539</v>
      </c>
      <c r="F20" s="112">
        <f>IFERROR(VLOOKUP($B20,MMWR_TRAD_AGG_STATE_COMP[],F$1,0),"ERROR")</f>
        <v>123</v>
      </c>
      <c r="G20" s="113">
        <f t="shared" si="0"/>
        <v>0.22820037105751392</v>
      </c>
      <c r="H20" s="111">
        <f>IFERROR(VLOOKUP($B20,MMWR_TRAD_AGG_STATE_COMP[],H$1,0),"ERROR")</f>
        <v>1087</v>
      </c>
      <c r="I20" s="112">
        <f>IFERROR(VLOOKUP($B20,MMWR_TRAD_AGG_STATE_COMP[],I$1,0),"ERROR")</f>
        <v>403</v>
      </c>
      <c r="J20" s="114">
        <f t="shared" si="1"/>
        <v>0.37074517019319225</v>
      </c>
      <c r="K20" s="111">
        <f>IFERROR(VLOOKUP($B20,MMWR_TRAD_AGG_STATE_COMP[],K$1,0),"ERROR")</f>
        <v>282</v>
      </c>
      <c r="L20" s="112">
        <f>IFERROR(VLOOKUP($B20,MMWR_TRAD_AGG_STATE_COMP[],L$1,0),"ERROR")</f>
        <v>184</v>
      </c>
      <c r="M20" s="114">
        <f t="shared" si="2"/>
        <v>0.65248226950354615</v>
      </c>
      <c r="N20" s="111">
        <f>IFERROR(VLOOKUP($B20,MMWR_TRAD_AGG_STATE_COMP[],N$1,0),"ERROR")</f>
        <v>203</v>
      </c>
      <c r="O20" s="112">
        <f>IFERROR(VLOOKUP($B20,MMWR_TRAD_AGG_STATE_COMP[],O$1,0),"ERROR")</f>
        <v>124</v>
      </c>
      <c r="P20" s="114">
        <f t="shared" si="3"/>
        <v>0.61083743842364535</v>
      </c>
      <c r="Q20" s="115">
        <f>IFERROR(VLOOKUP($B20,MMWR_TRAD_AGG_STATE_COMP[],Q$1,0),"ERROR")</f>
        <v>85</v>
      </c>
      <c r="R20" s="115">
        <f>IFERROR(VLOOKUP($B20,MMWR_TRAD_AGG_STATE_COMP[],R$1,0),"ERROR")</f>
        <v>3</v>
      </c>
      <c r="S20" s="115">
        <f>IFERROR(VLOOKUP($B20,MMWR_APP_STATE_COMP[],S$1,0),"ERROR")</f>
        <v>113</v>
      </c>
      <c r="T20" s="28"/>
    </row>
    <row r="21" spans="1:20" s="123" customFormat="1" x14ac:dyDescent="0.2">
      <c r="A21" s="107"/>
      <c r="B21" s="127" t="s">
        <v>377</v>
      </c>
      <c r="C21" s="109">
        <f>IFERROR(VLOOKUP($B21,MMWR_TRAD_AGG_STATE_COMP[],C$1,0),"ERROR")</f>
        <v>14833</v>
      </c>
      <c r="D21" s="110">
        <f>IFERROR(VLOOKUP($B21,MMWR_TRAD_AGG_STATE_COMP[],D$1,0),"ERROR")</f>
        <v>308.13025011799999</v>
      </c>
      <c r="E21" s="111">
        <f>IFERROR(VLOOKUP($B21,MMWR_TRAD_AGG_STATE_COMP[],E$1,0),"ERROR")</f>
        <v>12816</v>
      </c>
      <c r="F21" s="112">
        <f>IFERROR(VLOOKUP($B21,MMWR_TRAD_AGG_STATE_COMP[],F$1,0),"ERROR")</f>
        <v>2300</v>
      </c>
      <c r="G21" s="113">
        <f t="shared" si="0"/>
        <v>0.17946317103620474</v>
      </c>
      <c r="H21" s="111">
        <f>IFERROR(VLOOKUP($B21,MMWR_TRAD_AGG_STATE_COMP[],H$1,0),"ERROR")</f>
        <v>22573</v>
      </c>
      <c r="I21" s="112">
        <f>IFERROR(VLOOKUP($B21,MMWR_TRAD_AGG_STATE_COMP[],I$1,0),"ERROR")</f>
        <v>10705</v>
      </c>
      <c r="J21" s="114">
        <f t="shared" si="1"/>
        <v>0.47423913525007755</v>
      </c>
      <c r="K21" s="111">
        <f>IFERROR(VLOOKUP($B21,MMWR_TRAD_AGG_STATE_COMP[],K$1,0),"ERROR")</f>
        <v>8526</v>
      </c>
      <c r="L21" s="112">
        <f>IFERROR(VLOOKUP($B21,MMWR_TRAD_AGG_STATE_COMP[],L$1,0),"ERROR")</f>
        <v>6538</v>
      </c>
      <c r="M21" s="114">
        <f t="shared" si="2"/>
        <v>0.76683087027914609</v>
      </c>
      <c r="N21" s="111">
        <f>IFERROR(VLOOKUP($B21,MMWR_TRAD_AGG_STATE_COMP[],N$1,0),"ERROR")</f>
        <v>7982</v>
      </c>
      <c r="O21" s="112">
        <f>IFERROR(VLOOKUP($B21,MMWR_TRAD_AGG_STATE_COMP[],O$1,0),"ERROR")</f>
        <v>6109</v>
      </c>
      <c r="P21" s="114">
        <f t="shared" si="3"/>
        <v>0.76534703081934352</v>
      </c>
      <c r="Q21" s="115">
        <f>IFERROR(VLOOKUP($B21,MMWR_TRAD_AGG_STATE_COMP[],Q$1,0),"ERROR")</f>
        <v>1068</v>
      </c>
      <c r="R21" s="115">
        <f>IFERROR(VLOOKUP($B21,MMWR_TRAD_AGG_STATE_COMP[],R$1,0),"ERROR")</f>
        <v>23</v>
      </c>
      <c r="S21" s="115">
        <f>IFERROR(VLOOKUP($B21,MMWR_APP_STATE_COMP[],S$1,0),"ERROR")</f>
        <v>15215</v>
      </c>
      <c r="T21" s="28"/>
    </row>
    <row r="22" spans="1:20" s="123" customFormat="1" x14ac:dyDescent="0.2">
      <c r="A22" s="107"/>
      <c r="B22" s="127" t="s">
        <v>378</v>
      </c>
      <c r="C22" s="109">
        <f>IFERROR(VLOOKUP($B22,MMWR_TRAD_AGG_STATE_COMP[],C$1,0),"ERROR")</f>
        <v>1840</v>
      </c>
      <c r="D22" s="110">
        <f>IFERROR(VLOOKUP($B22,MMWR_TRAD_AGG_STATE_COMP[],D$1,0),"ERROR")</f>
        <v>271.74021739130001</v>
      </c>
      <c r="E22" s="111">
        <f>IFERROR(VLOOKUP($B22,MMWR_TRAD_AGG_STATE_COMP[],E$1,0),"ERROR")</f>
        <v>2555</v>
      </c>
      <c r="F22" s="112">
        <f>IFERROR(VLOOKUP($B22,MMWR_TRAD_AGG_STATE_COMP[],F$1,0),"ERROR")</f>
        <v>426</v>
      </c>
      <c r="G22" s="113">
        <f t="shared" si="0"/>
        <v>0.16673189823874757</v>
      </c>
      <c r="H22" s="111">
        <f>IFERROR(VLOOKUP($B22,MMWR_TRAD_AGG_STATE_COMP[],H$1,0),"ERROR")</f>
        <v>3341</v>
      </c>
      <c r="I22" s="112">
        <f>IFERROR(VLOOKUP($B22,MMWR_TRAD_AGG_STATE_COMP[],I$1,0),"ERROR")</f>
        <v>1726</v>
      </c>
      <c r="J22" s="114">
        <f t="shared" si="1"/>
        <v>0.51661179287638437</v>
      </c>
      <c r="K22" s="111">
        <f>IFERROR(VLOOKUP($B22,MMWR_TRAD_AGG_STATE_COMP[],K$1,0),"ERROR")</f>
        <v>485</v>
      </c>
      <c r="L22" s="112">
        <f>IFERROR(VLOOKUP($B22,MMWR_TRAD_AGG_STATE_COMP[],L$1,0),"ERROR")</f>
        <v>366</v>
      </c>
      <c r="M22" s="114">
        <f t="shared" si="2"/>
        <v>0.75463917525773194</v>
      </c>
      <c r="N22" s="111">
        <f>IFERROR(VLOOKUP($B22,MMWR_TRAD_AGG_STATE_COMP[],N$1,0),"ERROR")</f>
        <v>1574</v>
      </c>
      <c r="O22" s="112">
        <f>IFERROR(VLOOKUP($B22,MMWR_TRAD_AGG_STATE_COMP[],O$1,0),"ERROR")</f>
        <v>1089</v>
      </c>
      <c r="P22" s="114">
        <f t="shared" si="3"/>
        <v>0.69186785260482841</v>
      </c>
      <c r="Q22" s="115">
        <f>IFERROR(VLOOKUP($B22,MMWR_TRAD_AGG_STATE_COMP[],Q$1,0),"ERROR")</f>
        <v>385</v>
      </c>
      <c r="R22" s="115">
        <f>IFERROR(VLOOKUP($B22,MMWR_TRAD_AGG_STATE_COMP[],R$1,0),"ERROR")</f>
        <v>7</v>
      </c>
      <c r="S22" s="115">
        <f>IFERROR(VLOOKUP($B22,MMWR_APP_STATE_COMP[],S$1,0),"ERROR")</f>
        <v>2421</v>
      </c>
      <c r="T22" s="28"/>
    </row>
    <row r="23" spans="1:20" s="123" customFormat="1" x14ac:dyDescent="0.2">
      <c r="A23" s="107"/>
      <c r="B23" s="126" t="s">
        <v>389</v>
      </c>
      <c r="C23" s="102">
        <f>IF(SUM(C24:C35)&lt;&gt;VLOOKUP($B23,MMWR_TRAD_AGG_ST_DISTRICT_COMP[],C$1,0),"ERROR",
VLOOKUP($B23,MMWR_TRAD_AGG_ST_DISTRICT_COMP[],C$1,0))</f>
        <v>29208</v>
      </c>
      <c r="D23" s="103">
        <f>IFERROR(VLOOKUP($B23,MMWR_TRAD_AGG_ST_DISTRICT_COMP[],D$1,0),"ERROR")</f>
        <v>369.14540536840002</v>
      </c>
      <c r="E23" s="102">
        <f>IF(SUM(E24:E35)&lt;&gt;VLOOKUP($B23,MMWR_TRAD_AGG_ST_DISTRICT_COMP[],E$1,0),"ERROR",
VLOOKUP($B23,MMWR_TRAD_AGG_ST_DISTRICT_COMP[],E$1,0))</f>
        <v>53801</v>
      </c>
      <c r="F23" s="102">
        <f>IF(SUM(F24:F35)&lt;&gt;VLOOKUP($B23,MMWR_TRAD_AGG_ST_DISTRICT_COMP[],F$1,0),"ERROR",
VLOOKUP($B23,MMWR_TRAD_AGG_ST_DISTRICT_COMP[],F$1,0))</f>
        <v>10728</v>
      </c>
      <c r="G23" s="104">
        <f t="shared" si="0"/>
        <v>0.19940149811341798</v>
      </c>
      <c r="H23" s="102">
        <f>IF(SUM(H24:H35)&lt;&gt;VLOOKUP($B23,MMWR_TRAD_AGG_ST_DISTRICT_COMP[],H$1,0),"ERROR",
VLOOKUP($B23,MMWR_TRAD_AGG_ST_DISTRICT_COMP[],H$1,0))</f>
        <v>64231</v>
      </c>
      <c r="I23" s="102">
        <f>IF(SUM(I24:I35)&lt;&gt;VLOOKUP($B23,MMWR_TRAD_AGG_ST_DISTRICT_COMP[],I$1,0),"ERROR",
VLOOKUP($B23,MMWR_TRAD_AGG_ST_DISTRICT_COMP[],I$1,0))</f>
        <v>26131</v>
      </c>
      <c r="J23" s="105">
        <f t="shared" si="1"/>
        <v>0.40682847846055642</v>
      </c>
      <c r="K23" s="102">
        <f>IF(SUM(K24:K35)&lt;&gt;VLOOKUP($B23,MMWR_TRAD_AGG_ST_DISTRICT_COMP[],K$1,0),"ERROR",
VLOOKUP($B23,MMWR_TRAD_AGG_ST_DISTRICT_COMP[],K$1,0))</f>
        <v>17118</v>
      </c>
      <c r="L23" s="102">
        <f>IF(SUM(L24:L35)&lt;&gt;VLOOKUP($B23,MMWR_TRAD_AGG_ST_DISTRICT_COMP[],L$1,0),"ERROR",
VLOOKUP($B23,MMWR_TRAD_AGG_ST_DISTRICT_COMP[],L$1,0))</f>
        <v>13166</v>
      </c>
      <c r="M23" s="105">
        <f t="shared" si="2"/>
        <v>0.76913190793316977</v>
      </c>
      <c r="N23" s="102">
        <f>IF(SUM(N24:N35)&lt;&gt;VLOOKUP($B23,MMWR_TRAD_AGG_ST_DISTRICT_COMP[],N$1,0),"ERROR",
VLOOKUP($B23,MMWR_TRAD_AGG_ST_DISTRICT_COMP[],N$1,0))</f>
        <v>22791</v>
      </c>
      <c r="O23" s="102">
        <f>IF(SUM(O24:O35)&lt;&gt;VLOOKUP($B23,MMWR_TRAD_AGG_ST_DISTRICT_COMP[],O$1,0),"ERROR",
VLOOKUP($B23,MMWR_TRAD_AGG_ST_DISTRICT_COMP[],O$1,0))</f>
        <v>15346</v>
      </c>
      <c r="P23" s="105">
        <f t="shared" si="3"/>
        <v>0.67333596595147205</v>
      </c>
      <c r="Q23" s="102">
        <f>IF(SUM(Q24:Q35)&lt;&gt;VLOOKUP($B23,MMWR_TRAD_AGG_ST_DISTRICT_COMP[],Q$1,0),"ERROR",
VLOOKUP($B23,MMWR_TRAD_AGG_ST_DISTRICT_COMP[],Q$1,0))</f>
        <v>4835</v>
      </c>
      <c r="R23" s="102">
        <f>IF(SUM(R24:R35)&lt;&gt;VLOOKUP($B23,MMWR_TRAD_AGG_ST_DISTRICT_COMP[],R$1,0),"ERROR",
VLOOKUP($B23,MMWR_TRAD_AGG_ST_DISTRICT_COMP[],R$1,0))</f>
        <v>1129</v>
      </c>
      <c r="S23" s="106">
        <f>SUM(S24:S35)</f>
        <v>49412</v>
      </c>
      <c r="T23" s="28"/>
    </row>
    <row r="24" spans="1:20" s="123" customFormat="1" x14ac:dyDescent="0.2">
      <c r="A24" s="92"/>
      <c r="B24" s="127" t="s">
        <v>393</v>
      </c>
      <c r="C24" s="109">
        <f>IFERROR(VLOOKUP($B24,MMWR_TRAD_AGG_STATE_COMP[],C$1,0),"ERROR")</f>
        <v>5203</v>
      </c>
      <c r="D24" s="110">
        <f>IFERROR(VLOOKUP($B24,MMWR_TRAD_AGG_STATE_COMP[],D$1,0),"ERROR")</f>
        <v>444.7428406688</v>
      </c>
      <c r="E24" s="111">
        <f>IFERROR(VLOOKUP($B24,MMWR_TRAD_AGG_STATE_COMP[],E$1,0),"ERROR")</f>
        <v>7696</v>
      </c>
      <c r="F24" s="112">
        <f>IFERROR(VLOOKUP($B24,MMWR_TRAD_AGG_STATE_COMP[],F$1,0),"ERROR")</f>
        <v>1930</v>
      </c>
      <c r="G24" s="113">
        <f t="shared" si="0"/>
        <v>0.25077962577962576</v>
      </c>
      <c r="H24" s="111">
        <f>IFERROR(VLOOKUP($B24,MMWR_TRAD_AGG_STATE_COMP[],H$1,0),"ERROR")</f>
        <v>9453</v>
      </c>
      <c r="I24" s="112">
        <f>IFERROR(VLOOKUP($B24,MMWR_TRAD_AGG_STATE_COMP[],I$1,0),"ERROR")</f>
        <v>5084</v>
      </c>
      <c r="J24" s="114">
        <f t="shared" si="1"/>
        <v>0.53781868189992599</v>
      </c>
      <c r="K24" s="111">
        <f>IFERROR(VLOOKUP($B24,MMWR_TRAD_AGG_STATE_COMP[],K$1,0),"ERROR")</f>
        <v>2249</v>
      </c>
      <c r="L24" s="112">
        <f>IFERROR(VLOOKUP($B24,MMWR_TRAD_AGG_STATE_COMP[],L$1,0),"ERROR")</f>
        <v>1969</v>
      </c>
      <c r="M24" s="114">
        <f t="shared" si="2"/>
        <v>0.87550022232103153</v>
      </c>
      <c r="N24" s="111">
        <f>IFERROR(VLOOKUP($B24,MMWR_TRAD_AGG_STATE_COMP[],N$1,0),"ERROR")</f>
        <v>3312</v>
      </c>
      <c r="O24" s="112">
        <f>IFERROR(VLOOKUP($B24,MMWR_TRAD_AGG_STATE_COMP[],O$1,0),"ERROR")</f>
        <v>2085</v>
      </c>
      <c r="P24" s="114">
        <f t="shared" si="3"/>
        <v>0.62952898550724634</v>
      </c>
      <c r="Q24" s="115">
        <f>IFERROR(VLOOKUP($B24,MMWR_TRAD_AGG_STATE_COMP[],Q$1,0),"ERROR")</f>
        <v>826</v>
      </c>
      <c r="R24" s="115">
        <f>IFERROR(VLOOKUP($B24,MMWR_TRAD_AGG_STATE_COMP[],R$1,0),"ERROR")</f>
        <v>218</v>
      </c>
      <c r="S24" s="115">
        <f>IFERROR(VLOOKUP($B24,MMWR_APP_STATE_COMP[],S$1,0),"ERROR")</f>
        <v>8350</v>
      </c>
      <c r="T24" s="28"/>
    </row>
    <row r="25" spans="1:20" s="123" customFormat="1" x14ac:dyDescent="0.2">
      <c r="A25" s="107"/>
      <c r="B25" s="127" t="s">
        <v>391</v>
      </c>
      <c r="C25" s="109">
        <f>IFERROR(VLOOKUP($B25,MMWR_TRAD_AGG_STATE_COMP[],C$1,0),"ERROR")</f>
        <v>4208</v>
      </c>
      <c r="D25" s="110">
        <f>IFERROR(VLOOKUP($B25,MMWR_TRAD_AGG_STATE_COMP[],D$1,0),"ERROR")</f>
        <v>610.68084600760005</v>
      </c>
      <c r="E25" s="111">
        <f>IFERROR(VLOOKUP($B25,MMWR_TRAD_AGG_STATE_COMP[],E$1,0),"ERROR")</f>
        <v>5274</v>
      </c>
      <c r="F25" s="112">
        <f>IFERROR(VLOOKUP($B25,MMWR_TRAD_AGG_STATE_COMP[],F$1,0),"ERROR")</f>
        <v>947</v>
      </c>
      <c r="G25" s="113">
        <f t="shared" si="0"/>
        <v>0.17956010618126658</v>
      </c>
      <c r="H25" s="111">
        <f>IFERROR(VLOOKUP($B25,MMWR_TRAD_AGG_STATE_COMP[],H$1,0),"ERROR")</f>
        <v>8866</v>
      </c>
      <c r="I25" s="112">
        <f>IFERROR(VLOOKUP($B25,MMWR_TRAD_AGG_STATE_COMP[],I$1,0),"ERROR")</f>
        <v>4839</v>
      </c>
      <c r="J25" s="114">
        <f t="shared" si="1"/>
        <v>0.54579291676065866</v>
      </c>
      <c r="K25" s="111">
        <f>IFERROR(VLOOKUP($B25,MMWR_TRAD_AGG_STATE_COMP[],K$1,0),"ERROR")</f>
        <v>2694</v>
      </c>
      <c r="L25" s="112">
        <f>IFERROR(VLOOKUP($B25,MMWR_TRAD_AGG_STATE_COMP[],L$1,0),"ERROR")</f>
        <v>2269</v>
      </c>
      <c r="M25" s="114">
        <f t="shared" si="2"/>
        <v>0.84224201930215292</v>
      </c>
      <c r="N25" s="111">
        <f>IFERROR(VLOOKUP($B25,MMWR_TRAD_AGG_STATE_COMP[],N$1,0),"ERROR")</f>
        <v>3045</v>
      </c>
      <c r="O25" s="112">
        <f>IFERROR(VLOOKUP($B25,MMWR_TRAD_AGG_STATE_COMP[],O$1,0),"ERROR")</f>
        <v>2308</v>
      </c>
      <c r="P25" s="114">
        <f t="shared" si="3"/>
        <v>0.75796387520525454</v>
      </c>
      <c r="Q25" s="115">
        <f>IFERROR(VLOOKUP($B25,MMWR_TRAD_AGG_STATE_COMP[],Q$1,0),"ERROR")</f>
        <v>634</v>
      </c>
      <c r="R25" s="115">
        <f>IFERROR(VLOOKUP($B25,MMWR_TRAD_AGG_STATE_COMP[],R$1,0),"ERROR")</f>
        <v>234</v>
      </c>
      <c r="S25" s="115">
        <f>IFERROR(VLOOKUP($B25,MMWR_APP_STATE_COMP[],S$1,0),"ERROR")</f>
        <v>8132</v>
      </c>
      <c r="T25" s="28"/>
    </row>
    <row r="26" spans="1:20" s="123" customFormat="1" x14ac:dyDescent="0.2">
      <c r="A26" s="107"/>
      <c r="B26" s="127" t="s">
        <v>398</v>
      </c>
      <c r="C26" s="109">
        <f>IFERROR(VLOOKUP($B26,MMWR_TRAD_AGG_STATE_COMP[],C$1,0),"ERROR")</f>
        <v>859</v>
      </c>
      <c r="D26" s="110">
        <f>IFERROR(VLOOKUP($B26,MMWR_TRAD_AGG_STATE_COMP[],D$1,0),"ERROR")</f>
        <v>178.13969732250001</v>
      </c>
      <c r="E26" s="111">
        <f>IFERROR(VLOOKUP($B26,MMWR_TRAD_AGG_STATE_COMP[],E$1,0),"ERROR")</f>
        <v>2920</v>
      </c>
      <c r="F26" s="112">
        <f>IFERROR(VLOOKUP($B26,MMWR_TRAD_AGG_STATE_COMP[],F$1,0),"ERROR")</f>
        <v>402</v>
      </c>
      <c r="G26" s="113">
        <f t="shared" si="0"/>
        <v>0.13767123287671232</v>
      </c>
      <c r="H26" s="111">
        <f>IFERROR(VLOOKUP($B26,MMWR_TRAD_AGG_STATE_COMP[],H$1,0),"ERROR")</f>
        <v>2472</v>
      </c>
      <c r="I26" s="112">
        <f>IFERROR(VLOOKUP($B26,MMWR_TRAD_AGG_STATE_COMP[],I$1,0),"ERROR")</f>
        <v>420</v>
      </c>
      <c r="J26" s="114">
        <f t="shared" si="1"/>
        <v>0.16990291262135923</v>
      </c>
      <c r="K26" s="111">
        <f>IFERROR(VLOOKUP($B26,MMWR_TRAD_AGG_STATE_COMP[],K$1,0),"ERROR")</f>
        <v>347</v>
      </c>
      <c r="L26" s="112">
        <f>IFERROR(VLOOKUP($B26,MMWR_TRAD_AGG_STATE_COMP[],L$1,0),"ERROR")</f>
        <v>209</v>
      </c>
      <c r="M26" s="114">
        <f t="shared" si="2"/>
        <v>0.60230547550432278</v>
      </c>
      <c r="N26" s="111">
        <f>IFERROR(VLOOKUP($B26,MMWR_TRAD_AGG_STATE_COMP[],N$1,0),"ERROR")</f>
        <v>588</v>
      </c>
      <c r="O26" s="112">
        <f>IFERROR(VLOOKUP($B26,MMWR_TRAD_AGG_STATE_COMP[],O$1,0),"ERROR")</f>
        <v>341</v>
      </c>
      <c r="P26" s="114">
        <f t="shared" si="3"/>
        <v>0.57993197278911568</v>
      </c>
      <c r="Q26" s="115">
        <f>IFERROR(VLOOKUP($B26,MMWR_TRAD_AGG_STATE_COMP[],Q$1,0),"ERROR")</f>
        <v>2</v>
      </c>
      <c r="R26" s="115">
        <f>IFERROR(VLOOKUP($B26,MMWR_TRAD_AGG_STATE_COMP[],R$1,0),"ERROR")</f>
        <v>10</v>
      </c>
      <c r="S26" s="115">
        <f>IFERROR(VLOOKUP($B26,MMWR_APP_STATE_COMP[],S$1,0),"ERROR")</f>
        <v>1526</v>
      </c>
      <c r="T26" s="28"/>
    </row>
    <row r="27" spans="1:20" s="123" customFormat="1" x14ac:dyDescent="0.2">
      <c r="A27" s="107"/>
      <c r="B27" s="127" t="s">
        <v>421</v>
      </c>
      <c r="C27" s="109">
        <f>IFERROR(VLOOKUP($B27,MMWR_TRAD_AGG_STATE_COMP[],C$1,0),"ERROR")</f>
        <v>1679</v>
      </c>
      <c r="D27" s="110">
        <f>IFERROR(VLOOKUP($B27,MMWR_TRAD_AGG_STATE_COMP[],D$1,0),"ERROR")</f>
        <v>222.43537820130001</v>
      </c>
      <c r="E27" s="111">
        <f>IFERROR(VLOOKUP($B27,MMWR_TRAD_AGG_STATE_COMP[],E$1,0),"ERROR")</f>
        <v>2411</v>
      </c>
      <c r="F27" s="112">
        <f>IFERROR(VLOOKUP($B27,MMWR_TRAD_AGG_STATE_COMP[],F$1,0),"ERROR")</f>
        <v>415</v>
      </c>
      <c r="G27" s="113">
        <f t="shared" si="0"/>
        <v>0.1721277478224803</v>
      </c>
      <c r="H27" s="111">
        <f>IFERROR(VLOOKUP($B27,MMWR_TRAD_AGG_STATE_COMP[],H$1,0),"ERROR")</f>
        <v>3374</v>
      </c>
      <c r="I27" s="112">
        <f>IFERROR(VLOOKUP($B27,MMWR_TRAD_AGG_STATE_COMP[],I$1,0),"ERROR")</f>
        <v>1258</v>
      </c>
      <c r="J27" s="114">
        <f t="shared" si="1"/>
        <v>0.37285121517486663</v>
      </c>
      <c r="K27" s="111">
        <f>IFERROR(VLOOKUP($B27,MMWR_TRAD_AGG_STATE_COMP[],K$1,0),"ERROR")</f>
        <v>1093</v>
      </c>
      <c r="L27" s="112">
        <f>IFERROR(VLOOKUP($B27,MMWR_TRAD_AGG_STATE_COMP[],L$1,0),"ERROR")</f>
        <v>549</v>
      </c>
      <c r="M27" s="114">
        <f t="shared" si="2"/>
        <v>0.50228728270814271</v>
      </c>
      <c r="N27" s="111">
        <f>IFERROR(VLOOKUP($B27,MMWR_TRAD_AGG_STATE_COMP[],N$1,0),"ERROR")</f>
        <v>858</v>
      </c>
      <c r="O27" s="112">
        <f>IFERROR(VLOOKUP($B27,MMWR_TRAD_AGG_STATE_COMP[],O$1,0),"ERROR")</f>
        <v>525</v>
      </c>
      <c r="P27" s="114">
        <f t="shared" si="3"/>
        <v>0.61188811188811187</v>
      </c>
      <c r="Q27" s="115">
        <f>IFERROR(VLOOKUP($B27,MMWR_TRAD_AGG_STATE_COMP[],Q$1,0),"ERROR")</f>
        <v>2</v>
      </c>
      <c r="R27" s="115">
        <f>IFERROR(VLOOKUP($B27,MMWR_TRAD_AGG_STATE_COMP[],R$1,0),"ERROR")</f>
        <v>14</v>
      </c>
      <c r="S27" s="115">
        <f>IFERROR(VLOOKUP($B27,MMWR_APP_STATE_COMP[],S$1,0),"ERROR")</f>
        <v>1360</v>
      </c>
      <c r="T27" s="28"/>
    </row>
    <row r="28" spans="1:20" s="123" customFormat="1" x14ac:dyDescent="0.2">
      <c r="A28" s="107"/>
      <c r="B28" s="127" t="s">
        <v>394</v>
      </c>
      <c r="C28" s="109">
        <f>IFERROR(VLOOKUP($B28,MMWR_TRAD_AGG_STATE_COMP[],C$1,0),"ERROR")</f>
        <v>2937</v>
      </c>
      <c r="D28" s="110">
        <f>IFERROR(VLOOKUP($B28,MMWR_TRAD_AGG_STATE_COMP[],D$1,0),"ERROR")</f>
        <v>351.48246510040002</v>
      </c>
      <c r="E28" s="111">
        <f>IFERROR(VLOOKUP($B28,MMWR_TRAD_AGG_STATE_COMP[],E$1,0),"ERROR")</f>
        <v>7709</v>
      </c>
      <c r="F28" s="112">
        <f>IFERROR(VLOOKUP($B28,MMWR_TRAD_AGG_STATE_COMP[],F$1,0),"ERROR")</f>
        <v>1852</v>
      </c>
      <c r="G28" s="113">
        <f t="shared" si="0"/>
        <v>0.24023868205992996</v>
      </c>
      <c r="H28" s="111">
        <f>IFERROR(VLOOKUP($B28,MMWR_TRAD_AGG_STATE_COMP[],H$1,0),"ERROR")</f>
        <v>7435</v>
      </c>
      <c r="I28" s="112">
        <f>IFERROR(VLOOKUP($B28,MMWR_TRAD_AGG_STATE_COMP[],I$1,0),"ERROR")</f>
        <v>3395</v>
      </c>
      <c r="J28" s="114">
        <f t="shared" si="1"/>
        <v>0.45662407531943511</v>
      </c>
      <c r="K28" s="111">
        <f>IFERROR(VLOOKUP($B28,MMWR_TRAD_AGG_STATE_COMP[],K$1,0),"ERROR")</f>
        <v>2100</v>
      </c>
      <c r="L28" s="112">
        <f>IFERROR(VLOOKUP($B28,MMWR_TRAD_AGG_STATE_COMP[],L$1,0),"ERROR")</f>
        <v>1782</v>
      </c>
      <c r="M28" s="114">
        <f t="shared" si="2"/>
        <v>0.84857142857142853</v>
      </c>
      <c r="N28" s="111">
        <f>IFERROR(VLOOKUP($B28,MMWR_TRAD_AGG_STATE_COMP[],N$1,0),"ERROR")</f>
        <v>2877</v>
      </c>
      <c r="O28" s="112">
        <f>IFERROR(VLOOKUP($B28,MMWR_TRAD_AGG_STATE_COMP[],O$1,0),"ERROR")</f>
        <v>1635</v>
      </c>
      <c r="P28" s="114">
        <f t="shared" si="3"/>
        <v>0.56830031282586024</v>
      </c>
      <c r="Q28" s="115">
        <f>IFERROR(VLOOKUP($B28,MMWR_TRAD_AGG_STATE_COMP[],Q$1,0),"ERROR")</f>
        <v>918</v>
      </c>
      <c r="R28" s="115">
        <f>IFERROR(VLOOKUP($B28,MMWR_TRAD_AGG_STATE_COMP[],R$1,0),"ERROR")</f>
        <v>218</v>
      </c>
      <c r="S28" s="115">
        <f>IFERROR(VLOOKUP($B28,MMWR_APP_STATE_COMP[],S$1,0),"ERROR")</f>
        <v>4845</v>
      </c>
      <c r="T28" s="28"/>
    </row>
    <row r="29" spans="1:20" s="123" customFormat="1" x14ac:dyDescent="0.2">
      <c r="A29" s="107"/>
      <c r="B29" s="127" t="s">
        <v>400</v>
      </c>
      <c r="C29" s="109">
        <f>IFERROR(VLOOKUP($B29,MMWR_TRAD_AGG_STATE_COMP[],C$1,0),"ERROR")</f>
        <v>1412</v>
      </c>
      <c r="D29" s="110">
        <f>IFERROR(VLOOKUP($B29,MMWR_TRAD_AGG_STATE_COMP[],D$1,0),"ERROR")</f>
        <v>166.10835694049999</v>
      </c>
      <c r="E29" s="111">
        <f>IFERROR(VLOOKUP($B29,MMWR_TRAD_AGG_STATE_COMP[],E$1,0),"ERROR")</f>
        <v>5223</v>
      </c>
      <c r="F29" s="112">
        <f>IFERROR(VLOOKUP($B29,MMWR_TRAD_AGG_STATE_COMP[],F$1,0),"ERROR")</f>
        <v>747</v>
      </c>
      <c r="G29" s="113">
        <f t="shared" si="0"/>
        <v>0.14302125215393452</v>
      </c>
      <c r="H29" s="111">
        <f>IFERROR(VLOOKUP($B29,MMWR_TRAD_AGG_STATE_COMP[],H$1,0),"ERROR")</f>
        <v>5231</v>
      </c>
      <c r="I29" s="112">
        <f>IFERROR(VLOOKUP($B29,MMWR_TRAD_AGG_STATE_COMP[],I$1,0),"ERROR")</f>
        <v>828</v>
      </c>
      <c r="J29" s="114">
        <f t="shared" si="1"/>
        <v>0.15828713439112979</v>
      </c>
      <c r="K29" s="111">
        <f>IFERROR(VLOOKUP($B29,MMWR_TRAD_AGG_STATE_COMP[],K$1,0),"ERROR")</f>
        <v>1170</v>
      </c>
      <c r="L29" s="112">
        <f>IFERROR(VLOOKUP($B29,MMWR_TRAD_AGG_STATE_COMP[],L$1,0),"ERROR")</f>
        <v>570</v>
      </c>
      <c r="M29" s="114">
        <f t="shared" si="2"/>
        <v>0.48717948717948717</v>
      </c>
      <c r="N29" s="111">
        <f>IFERROR(VLOOKUP($B29,MMWR_TRAD_AGG_STATE_COMP[],N$1,0),"ERROR")</f>
        <v>1163</v>
      </c>
      <c r="O29" s="112">
        <f>IFERROR(VLOOKUP($B29,MMWR_TRAD_AGG_STATE_COMP[],O$1,0),"ERROR")</f>
        <v>717</v>
      </c>
      <c r="P29" s="114">
        <f t="shared" si="3"/>
        <v>0.61650902837489252</v>
      </c>
      <c r="Q29" s="115">
        <f>IFERROR(VLOOKUP($B29,MMWR_TRAD_AGG_STATE_COMP[],Q$1,0),"ERROR")</f>
        <v>7</v>
      </c>
      <c r="R29" s="115">
        <f>IFERROR(VLOOKUP($B29,MMWR_TRAD_AGG_STATE_COMP[],R$1,0),"ERROR")</f>
        <v>7</v>
      </c>
      <c r="S29" s="115">
        <f>IFERROR(VLOOKUP($B29,MMWR_APP_STATE_COMP[],S$1,0),"ERROR")</f>
        <v>2030</v>
      </c>
      <c r="T29" s="28"/>
    </row>
    <row r="30" spans="1:20" s="123" customFormat="1" x14ac:dyDescent="0.2">
      <c r="A30" s="107"/>
      <c r="B30" s="127" t="s">
        <v>396</v>
      </c>
      <c r="C30" s="109">
        <f>IFERROR(VLOOKUP($B30,MMWR_TRAD_AGG_STATE_COMP[],C$1,0),"ERROR")</f>
        <v>3653</v>
      </c>
      <c r="D30" s="110">
        <f>IFERROR(VLOOKUP($B30,MMWR_TRAD_AGG_STATE_COMP[],D$1,0),"ERROR")</f>
        <v>241.38187790859999</v>
      </c>
      <c r="E30" s="111">
        <f>IFERROR(VLOOKUP($B30,MMWR_TRAD_AGG_STATE_COMP[],E$1,0),"ERROR")</f>
        <v>6345</v>
      </c>
      <c r="F30" s="112">
        <f>IFERROR(VLOOKUP($B30,MMWR_TRAD_AGG_STATE_COMP[],F$1,0),"ERROR")</f>
        <v>1402</v>
      </c>
      <c r="G30" s="113">
        <f t="shared" si="0"/>
        <v>0.22096138691883374</v>
      </c>
      <c r="H30" s="111">
        <f>IFERROR(VLOOKUP($B30,MMWR_TRAD_AGG_STATE_COMP[],H$1,0),"ERROR")</f>
        <v>7557</v>
      </c>
      <c r="I30" s="112">
        <f>IFERROR(VLOOKUP($B30,MMWR_TRAD_AGG_STATE_COMP[],I$1,0),"ERROR")</f>
        <v>3251</v>
      </c>
      <c r="J30" s="114">
        <f t="shared" si="1"/>
        <v>0.43019716818843456</v>
      </c>
      <c r="K30" s="111">
        <f>IFERROR(VLOOKUP($B30,MMWR_TRAD_AGG_STATE_COMP[],K$1,0),"ERROR")</f>
        <v>2474</v>
      </c>
      <c r="L30" s="112">
        <f>IFERROR(VLOOKUP($B30,MMWR_TRAD_AGG_STATE_COMP[],L$1,0),"ERROR")</f>
        <v>2073</v>
      </c>
      <c r="M30" s="114">
        <f t="shared" si="2"/>
        <v>0.83791430881164108</v>
      </c>
      <c r="N30" s="111">
        <f>IFERROR(VLOOKUP($B30,MMWR_TRAD_AGG_STATE_COMP[],N$1,0),"ERROR")</f>
        <v>4515</v>
      </c>
      <c r="O30" s="112">
        <f>IFERROR(VLOOKUP($B30,MMWR_TRAD_AGG_STATE_COMP[],O$1,0),"ERROR")</f>
        <v>3330</v>
      </c>
      <c r="P30" s="114">
        <f t="shared" si="3"/>
        <v>0.7375415282392026</v>
      </c>
      <c r="Q30" s="115">
        <f>IFERROR(VLOOKUP($B30,MMWR_TRAD_AGG_STATE_COMP[],Q$1,0),"ERROR")</f>
        <v>815</v>
      </c>
      <c r="R30" s="115">
        <f>IFERROR(VLOOKUP($B30,MMWR_TRAD_AGG_STATE_COMP[],R$1,0),"ERROR")</f>
        <v>65</v>
      </c>
      <c r="S30" s="115">
        <f>IFERROR(VLOOKUP($B30,MMWR_APP_STATE_COMP[],S$1,0),"ERROR")</f>
        <v>5983</v>
      </c>
      <c r="T30" s="28"/>
    </row>
    <row r="31" spans="1:20" s="123" customFormat="1" x14ac:dyDescent="0.2">
      <c r="A31" s="107"/>
      <c r="B31" s="127" t="s">
        <v>399</v>
      </c>
      <c r="C31" s="109">
        <f>IFERROR(VLOOKUP($B31,MMWR_TRAD_AGG_STATE_COMP[],C$1,0),"ERROR")</f>
        <v>773</v>
      </c>
      <c r="D31" s="110">
        <f>IFERROR(VLOOKUP($B31,MMWR_TRAD_AGG_STATE_COMP[],D$1,0),"ERROR")</f>
        <v>168.51228978009999</v>
      </c>
      <c r="E31" s="111">
        <f>IFERROR(VLOOKUP($B31,MMWR_TRAD_AGG_STATE_COMP[],E$1,0),"ERROR")</f>
        <v>1962</v>
      </c>
      <c r="F31" s="112">
        <f>IFERROR(VLOOKUP($B31,MMWR_TRAD_AGG_STATE_COMP[],F$1,0),"ERROR")</f>
        <v>237</v>
      </c>
      <c r="G31" s="113">
        <f t="shared" si="0"/>
        <v>0.12079510703363915</v>
      </c>
      <c r="H31" s="111">
        <f>IFERROR(VLOOKUP($B31,MMWR_TRAD_AGG_STATE_COMP[],H$1,0),"ERROR")</f>
        <v>2212</v>
      </c>
      <c r="I31" s="112">
        <f>IFERROR(VLOOKUP($B31,MMWR_TRAD_AGG_STATE_COMP[],I$1,0),"ERROR")</f>
        <v>419</v>
      </c>
      <c r="J31" s="114">
        <f t="shared" si="1"/>
        <v>0.18942133815551537</v>
      </c>
      <c r="K31" s="111">
        <f>IFERROR(VLOOKUP($B31,MMWR_TRAD_AGG_STATE_COMP[],K$1,0),"ERROR")</f>
        <v>701</v>
      </c>
      <c r="L31" s="112">
        <f>IFERROR(VLOOKUP($B31,MMWR_TRAD_AGG_STATE_COMP[],L$1,0),"ERROR")</f>
        <v>422</v>
      </c>
      <c r="M31" s="114">
        <f t="shared" si="2"/>
        <v>0.60199714693295292</v>
      </c>
      <c r="N31" s="111">
        <f>IFERROR(VLOOKUP($B31,MMWR_TRAD_AGG_STATE_COMP[],N$1,0),"ERROR")</f>
        <v>737</v>
      </c>
      <c r="O31" s="112">
        <f>IFERROR(VLOOKUP($B31,MMWR_TRAD_AGG_STATE_COMP[],O$1,0),"ERROR")</f>
        <v>371</v>
      </c>
      <c r="P31" s="114">
        <f t="shared" si="3"/>
        <v>0.50339213025780194</v>
      </c>
      <c r="Q31" s="115">
        <f>IFERROR(VLOOKUP($B31,MMWR_TRAD_AGG_STATE_COMP[],Q$1,0),"ERROR")</f>
        <v>4</v>
      </c>
      <c r="R31" s="115">
        <f>IFERROR(VLOOKUP($B31,MMWR_TRAD_AGG_STATE_COMP[],R$1,0),"ERROR")</f>
        <v>15</v>
      </c>
      <c r="S31" s="115">
        <f>IFERROR(VLOOKUP($B31,MMWR_APP_STATE_COMP[],S$1,0),"ERROR")</f>
        <v>1041</v>
      </c>
      <c r="T31" s="28"/>
    </row>
    <row r="32" spans="1:20" s="123" customFormat="1" x14ac:dyDescent="0.2">
      <c r="A32" s="107"/>
      <c r="B32" s="127" t="s">
        <v>418</v>
      </c>
      <c r="C32" s="109">
        <f>IFERROR(VLOOKUP($B32,MMWR_TRAD_AGG_STATE_COMP[],C$1,0),"ERROR")</f>
        <v>243</v>
      </c>
      <c r="D32" s="110">
        <f>IFERROR(VLOOKUP($B32,MMWR_TRAD_AGG_STATE_COMP[],D$1,0),"ERROR")</f>
        <v>149.7037037037</v>
      </c>
      <c r="E32" s="111">
        <f>IFERROR(VLOOKUP($B32,MMWR_TRAD_AGG_STATE_COMP[],E$1,0),"ERROR")</f>
        <v>623</v>
      </c>
      <c r="F32" s="112">
        <f>IFERROR(VLOOKUP($B32,MMWR_TRAD_AGG_STATE_COMP[],F$1,0),"ERROR")</f>
        <v>93</v>
      </c>
      <c r="G32" s="113">
        <f t="shared" si="0"/>
        <v>0.1492776886035313</v>
      </c>
      <c r="H32" s="111">
        <f>IFERROR(VLOOKUP($B32,MMWR_TRAD_AGG_STATE_COMP[],H$1,0),"ERROR")</f>
        <v>879</v>
      </c>
      <c r="I32" s="112">
        <f>IFERROR(VLOOKUP($B32,MMWR_TRAD_AGG_STATE_COMP[],I$1,0),"ERROR")</f>
        <v>115</v>
      </c>
      <c r="J32" s="114">
        <f t="shared" si="1"/>
        <v>0.13083048919226395</v>
      </c>
      <c r="K32" s="111">
        <f>IFERROR(VLOOKUP($B32,MMWR_TRAD_AGG_STATE_COMP[],K$1,0),"ERROR")</f>
        <v>163</v>
      </c>
      <c r="L32" s="112">
        <f>IFERROR(VLOOKUP($B32,MMWR_TRAD_AGG_STATE_COMP[],L$1,0),"ERROR")</f>
        <v>76</v>
      </c>
      <c r="M32" s="114">
        <f t="shared" si="2"/>
        <v>0.46625766871165641</v>
      </c>
      <c r="N32" s="111">
        <f>IFERROR(VLOOKUP($B32,MMWR_TRAD_AGG_STATE_COMP[],N$1,0),"ERROR")</f>
        <v>155</v>
      </c>
      <c r="O32" s="112">
        <f>IFERROR(VLOOKUP($B32,MMWR_TRAD_AGG_STATE_COMP[],O$1,0),"ERROR")</f>
        <v>98</v>
      </c>
      <c r="P32" s="114">
        <f t="shared" si="3"/>
        <v>0.63225806451612898</v>
      </c>
      <c r="Q32" s="115">
        <f>IFERROR(VLOOKUP($B32,MMWR_TRAD_AGG_STATE_COMP[],Q$1,0),"ERROR")</f>
        <v>2</v>
      </c>
      <c r="R32" s="115">
        <f>IFERROR(VLOOKUP($B32,MMWR_TRAD_AGG_STATE_COMP[],R$1,0),"ERROR")</f>
        <v>2</v>
      </c>
      <c r="S32" s="115">
        <f>IFERROR(VLOOKUP($B32,MMWR_APP_STATE_COMP[],S$1,0),"ERROR")</f>
        <v>451</v>
      </c>
      <c r="T32" s="28"/>
    </row>
    <row r="33" spans="1:20" s="123" customFormat="1" x14ac:dyDescent="0.2">
      <c r="A33" s="107"/>
      <c r="B33" s="127" t="s">
        <v>390</v>
      </c>
      <c r="C33" s="109">
        <f>IFERROR(VLOOKUP($B33,MMWR_TRAD_AGG_STATE_COMP[],C$1,0),"ERROR")</f>
        <v>4809</v>
      </c>
      <c r="D33" s="110">
        <f>IFERROR(VLOOKUP($B33,MMWR_TRAD_AGG_STATE_COMP[],D$1,0),"ERROR")</f>
        <v>489.14992721980002</v>
      </c>
      <c r="E33" s="111">
        <f>IFERROR(VLOOKUP($B33,MMWR_TRAD_AGG_STATE_COMP[],E$1,0),"ERROR")</f>
        <v>8501</v>
      </c>
      <c r="F33" s="112">
        <f>IFERROR(VLOOKUP($B33,MMWR_TRAD_AGG_STATE_COMP[],F$1,0),"ERROR")</f>
        <v>1795</v>
      </c>
      <c r="G33" s="113">
        <f t="shared" si="0"/>
        <v>0.21115162922009176</v>
      </c>
      <c r="H33" s="111">
        <f>IFERROR(VLOOKUP($B33,MMWR_TRAD_AGG_STATE_COMP[],H$1,0),"ERROR")</f>
        <v>9654</v>
      </c>
      <c r="I33" s="112">
        <f>IFERROR(VLOOKUP($B33,MMWR_TRAD_AGG_STATE_COMP[],I$1,0),"ERROR")</f>
        <v>4438</v>
      </c>
      <c r="J33" s="114">
        <f t="shared" si="1"/>
        <v>0.45970582142117256</v>
      </c>
      <c r="K33" s="111">
        <f>IFERROR(VLOOKUP($B33,MMWR_TRAD_AGG_STATE_COMP[],K$1,0),"ERROR")</f>
        <v>2863</v>
      </c>
      <c r="L33" s="112">
        <f>IFERROR(VLOOKUP($B33,MMWR_TRAD_AGG_STATE_COMP[],L$1,0),"ERROR")</f>
        <v>2535</v>
      </c>
      <c r="M33" s="114">
        <f t="shared" si="2"/>
        <v>0.88543485853999304</v>
      </c>
      <c r="N33" s="111">
        <f>IFERROR(VLOOKUP($B33,MMWR_TRAD_AGG_STATE_COMP[],N$1,0),"ERROR")</f>
        <v>4331</v>
      </c>
      <c r="O33" s="112">
        <f>IFERROR(VLOOKUP($B33,MMWR_TRAD_AGG_STATE_COMP[],O$1,0),"ERROR")</f>
        <v>3179</v>
      </c>
      <c r="P33" s="114">
        <f t="shared" si="3"/>
        <v>0.73401062110367121</v>
      </c>
      <c r="Q33" s="115">
        <f>IFERROR(VLOOKUP($B33,MMWR_TRAD_AGG_STATE_COMP[],Q$1,0),"ERROR")</f>
        <v>1040</v>
      </c>
      <c r="R33" s="115">
        <f>IFERROR(VLOOKUP($B33,MMWR_TRAD_AGG_STATE_COMP[],R$1,0),"ERROR")</f>
        <v>338</v>
      </c>
      <c r="S33" s="115">
        <f>IFERROR(VLOOKUP($B33,MMWR_APP_STATE_COMP[],S$1,0),"ERROR")</f>
        <v>12380</v>
      </c>
      <c r="T33" s="28"/>
    </row>
    <row r="34" spans="1:20" s="123" customFormat="1" x14ac:dyDescent="0.2">
      <c r="A34" s="107"/>
      <c r="B34" s="127" t="s">
        <v>419</v>
      </c>
      <c r="C34" s="109">
        <f>IFERROR(VLOOKUP($B34,MMWR_TRAD_AGG_STATE_COMP[],C$1,0),"ERROR")</f>
        <v>337</v>
      </c>
      <c r="D34" s="110">
        <f>IFERROR(VLOOKUP($B34,MMWR_TRAD_AGG_STATE_COMP[],D$1,0),"ERROR")</f>
        <v>165.8724035608</v>
      </c>
      <c r="E34" s="111">
        <f>IFERROR(VLOOKUP($B34,MMWR_TRAD_AGG_STATE_COMP[],E$1,0),"ERROR")</f>
        <v>1065</v>
      </c>
      <c r="F34" s="112">
        <f>IFERROR(VLOOKUP($B34,MMWR_TRAD_AGG_STATE_COMP[],F$1,0),"ERROR")</f>
        <v>264</v>
      </c>
      <c r="G34" s="113">
        <f t="shared" si="0"/>
        <v>0.24788732394366197</v>
      </c>
      <c r="H34" s="111">
        <f>IFERROR(VLOOKUP($B34,MMWR_TRAD_AGG_STATE_COMP[],H$1,0),"ERROR")</f>
        <v>1174</v>
      </c>
      <c r="I34" s="112">
        <f>IFERROR(VLOOKUP($B34,MMWR_TRAD_AGG_STATE_COMP[],I$1,0),"ERROR")</f>
        <v>148</v>
      </c>
      <c r="J34" s="114">
        <f t="shared" si="1"/>
        <v>0.12606473594548551</v>
      </c>
      <c r="K34" s="111">
        <f>IFERROR(VLOOKUP($B34,MMWR_TRAD_AGG_STATE_COMP[],K$1,0),"ERROR")</f>
        <v>322</v>
      </c>
      <c r="L34" s="112">
        <f>IFERROR(VLOOKUP($B34,MMWR_TRAD_AGG_STATE_COMP[],L$1,0),"ERROR")</f>
        <v>127</v>
      </c>
      <c r="M34" s="114">
        <f t="shared" si="2"/>
        <v>0.39440993788819878</v>
      </c>
      <c r="N34" s="111">
        <f>IFERROR(VLOOKUP($B34,MMWR_TRAD_AGG_STATE_COMP[],N$1,0),"ERROR")</f>
        <v>165</v>
      </c>
      <c r="O34" s="112">
        <f>IFERROR(VLOOKUP($B34,MMWR_TRAD_AGG_STATE_COMP[],O$1,0),"ERROR")</f>
        <v>97</v>
      </c>
      <c r="P34" s="114">
        <f t="shared" si="3"/>
        <v>0.58787878787878789</v>
      </c>
      <c r="Q34" s="115">
        <f>IFERROR(VLOOKUP($B34,MMWR_TRAD_AGG_STATE_COMP[],Q$1,0),"ERROR")</f>
        <v>4</v>
      </c>
      <c r="R34" s="115">
        <f>IFERROR(VLOOKUP($B34,MMWR_TRAD_AGG_STATE_COMP[],R$1,0),"ERROR")</f>
        <v>2</v>
      </c>
      <c r="S34" s="115">
        <f>IFERROR(VLOOKUP($B34,MMWR_APP_STATE_COMP[],S$1,0),"ERROR")</f>
        <v>187</v>
      </c>
      <c r="T34" s="28"/>
    </row>
    <row r="35" spans="1:20" s="123" customFormat="1" x14ac:dyDescent="0.2">
      <c r="A35" s="107"/>
      <c r="B35" s="127" t="s">
        <v>395</v>
      </c>
      <c r="C35" s="109">
        <f>IFERROR(VLOOKUP($B35,MMWR_TRAD_AGG_STATE_COMP[],C$1,0),"ERROR")</f>
        <v>3095</v>
      </c>
      <c r="D35" s="110">
        <f>IFERROR(VLOOKUP($B35,MMWR_TRAD_AGG_STATE_COMP[],D$1,0),"ERROR")</f>
        <v>209.4636510501</v>
      </c>
      <c r="E35" s="111">
        <f>IFERROR(VLOOKUP($B35,MMWR_TRAD_AGG_STATE_COMP[],E$1,0),"ERROR")</f>
        <v>4072</v>
      </c>
      <c r="F35" s="112">
        <f>IFERROR(VLOOKUP($B35,MMWR_TRAD_AGG_STATE_COMP[],F$1,0),"ERROR")</f>
        <v>644</v>
      </c>
      <c r="G35" s="113">
        <f t="shared" si="0"/>
        <v>0.15815324165029471</v>
      </c>
      <c r="H35" s="111">
        <f>IFERROR(VLOOKUP($B35,MMWR_TRAD_AGG_STATE_COMP[],H$1,0),"ERROR")</f>
        <v>5924</v>
      </c>
      <c r="I35" s="112">
        <f>IFERROR(VLOOKUP($B35,MMWR_TRAD_AGG_STATE_COMP[],I$1,0),"ERROR")</f>
        <v>1936</v>
      </c>
      <c r="J35" s="114">
        <f t="shared" si="1"/>
        <v>0.32680621201890614</v>
      </c>
      <c r="K35" s="111">
        <f>IFERROR(VLOOKUP($B35,MMWR_TRAD_AGG_STATE_COMP[],K$1,0),"ERROR")</f>
        <v>942</v>
      </c>
      <c r="L35" s="112">
        <f>IFERROR(VLOOKUP($B35,MMWR_TRAD_AGG_STATE_COMP[],L$1,0),"ERROR")</f>
        <v>585</v>
      </c>
      <c r="M35" s="114">
        <f t="shared" si="2"/>
        <v>0.62101910828025475</v>
      </c>
      <c r="N35" s="111">
        <f>IFERROR(VLOOKUP($B35,MMWR_TRAD_AGG_STATE_COMP[],N$1,0),"ERROR")</f>
        <v>1045</v>
      </c>
      <c r="O35" s="112">
        <f>IFERROR(VLOOKUP($B35,MMWR_TRAD_AGG_STATE_COMP[],O$1,0),"ERROR")</f>
        <v>660</v>
      </c>
      <c r="P35" s="114">
        <f t="shared" si="3"/>
        <v>0.63157894736842102</v>
      </c>
      <c r="Q35" s="115">
        <f>IFERROR(VLOOKUP($B35,MMWR_TRAD_AGG_STATE_COMP[],Q$1,0),"ERROR")</f>
        <v>581</v>
      </c>
      <c r="R35" s="115">
        <f>IFERROR(VLOOKUP($B35,MMWR_TRAD_AGG_STATE_COMP[],R$1,0),"ERROR")</f>
        <v>6</v>
      </c>
      <c r="S35" s="115">
        <f>IFERROR(VLOOKUP($B35,MMWR_APP_STATE_COMP[],S$1,0),"ERROR")</f>
        <v>3127</v>
      </c>
      <c r="T35" s="28"/>
    </row>
    <row r="36" spans="1:20" s="123" customFormat="1" x14ac:dyDescent="0.2">
      <c r="A36" s="28"/>
      <c r="B36" s="126" t="s">
        <v>384</v>
      </c>
      <c r="C36" s="102">
        <f>IF(SUM(C37:C45)&lt;&gt;VLOOKUP($B36,MMWR_TRAD_AGG_ST_DISTRICT_COMP[],C$1,0),"ERROR",
VLOOKUP($B36,MMWR_TRAD_AGG_ST_DISTRICT_COMP[],C$1,0))</f>
        <v>39833</v>
      </c>
      <c r="D36" s="103">
        <f>IFERROR(VLOOKUP($B36,MMWR_TRAD_AGG_ST_DISTRICT_COMP[],D$1,0),"ERROR")</f>
        <v>325.33045464819998</v>
      </c>
      <c r="E36" s="102">
        <f>IFERROR(VLOOKUP($B36,MMWR_TRAD_AGG_ST_DISTRICT_COMP[],E$1,0),"ERROR")</f>
        <v>68106</v>
      </c>
      <c r="F36" s="102">
        <f>IFERROR(VLOOKUP($B36,MMWR_TRAD_AGG_ST_DISTRICT_COMP[],F$1,0),"ERROR")</f>
        <v>13227</v>
      </c>
      <c r="G36" s="104">
        <f t="shared" si="0"/>
        <v>0.19421196370363844</v>
      </c>
      <c r="H36" s="102">
        <f>IFERROR(VLOOKUP($B36,MMWR_TRAD_AGG_ST_DISTRICT_COMP[],H$1,0),"ERROR")</f>
        <v>79560</v>
      </c>
      <c r="I36" s="102">
        <f>IFERROR(VLOOKUP($B36,MMWR_TRAD_AGG_ST_DISTRICT_COMP[],I$1,0),"ERROR")</f>
        <v>35005</v>
      </c>
      <c r="J36" s="105">
        <f t="shared" si="1"/>
        <v>0.43998240321769733</v>
      </c>
      <c r="K36" s="102">
        <f>IFERROR(VLOOKUP($B36,MMWR_TRAD_AGG_ST_DISTRICT_COMP[],K$1,0),"ERROR")</f>
        <v>21901</v>
      </c>
      <c r="L36" s="102">
        <f>IFERROR(VLOOKUP($B36,MMWR_TRAD_AGG_ST_DISTRICT_COMP[],L$1,0),"ERROR")</f>
        <v>15915</v>
      </c>
      <c r="M36" s="105">
        <f t="shared" si="2"/>
        <v>0.72667914707090997</v>
      </c>
      <c r="N36" s="102">
        <f>IFERROR(VLOOKUP($B36,MMWR_TRAD_AGG_ST_DISTRICT_COMP[],N$1,0),"ERROR")</f>
        <v>33779</v>
      </c>
      <c r="O36" s="102">
        <f>IFERROR(VLOOKUP($B36,MMWR_TRAD_AGG_ST_DISTRICT_COMP[],O$1,0),"ERROR")</f>
        <v>20735</v>
      </c>
      <c r="P36" s="105">
        <f t="shared" si="3"/>
        <v>0.61384292015749431</v>
      </c>
      <c r="Q36" s="102">
        <f>IFERROR(VLOOKUP($B36,MMWR_TRAD_AGG_ST_DISTRICT_COMP[],Q$1,0),"ERROR")</f>
        <v>1141</v>
      </c>
      <c r="R36" s="106">
        <f>IFERROR(VLOOKUP($B36,MMWR_TRAD_AGG_ST_DISTRICT_COMP[],R$1,0),"ERROR")</f>
        <v>1157</v>
      </c>
      <c r="S36" s="106">
        <f>SUM(S37:S45)</f>
        <v>69962</v>
      </c>
      <c r="T36" s="28"/>
    </row>
    <row r="37" spans="1:20" s="123" customFormat="1" x14ac:dyDescent="0.2">
      <c r="A37" s="28"/>
      <c r="B37" s="127" t="s">
        <v>410</v>
      </c>
      <c r="C37" s="109">
        <f>IFERROR(VLOOKUP($B37,MMWR_TRAD_AGG_STATE_COMP[],C$1,0),"ERROR")</f>
        <v>3183</v>
      </c>
      <c r="D37" s="110">
        <f>IFERROR(VLOOKUP($B37,MMWR_TRAD_AGG_STATE_COMP[],D$1,0),"ERROR")</f>
        <v>266.61702796100002</v>
      </c>
      <c r="E37" s="111">
        <f>IFERROR(VLOOKUP($B37,MMWR_TRAD_AGG_STATE_COMP[],E$1,0),"ERROR")</f>
        <v>3590</v>
      </c>
      <c r="F37" s="112">
        <f>IFERROR(VLOOKUP($B37,MMWR_TRAD_AGG_STATE_COMP[],F$1,0),"ERROR")</f>
        <v>563</v>
      </c>
      <c r="G37" s="113">
        <f t="shared" si="0"/>
        <v>0.15682451253481894</v>
      </c>
      <c r="H37" s="111">
        <f>IFERROR(VLOOKUP($B37,MMWR_TRAD_AGG_STATE_COMP[],H$1,0),"ERROR")</f>
        <v>6114</v>
      </c>
      <c r="I37" s="112">
        <f>IFERROR(VLOOKUP($B37,MMWR_TRAD_AGG_STATE_COMP[],I$1,0),"ERROR")</f>
        <v>2494</v>
      </c>
      <c r="J37" s="114">
        <f t="shared" si="1"/>
        <v>0.4079162577690546</v>
      </c>
      <c r="K37" s="111">
        <f>IFERROR(VLOOKUP($B37,MMWR_TRAD_AGG_STATE_COMP[],K$1,0),"ERROR")</f>
        <v>2229</v>
      </c>
      <c r="L37" s="112">
        <f>IFERROR(VLOOKUP($B37,MMWR_TRAD_AGG_STATE_COMP[],L$1,0),"ERROR")</f>
        <v>1598</v>
      </c>
      <c r="M37" s="114">
        <f t="shared" si="2"/>
        <v>0.71691341408703457</v>
      </c>
      <c r="N37" s="111">
        <f>IFERROR(VLOOKUP($B37,MMWR_TRAD_AGG_STATE_COMP[],N$1,0),"ERROR")</f>
        <v>2802</v>
      </c>
      <c r="O37" s="112">
        <f>IFERROR(VLOOKUP($B37,MMWR_TRAD_AGG_STATE_COMP[],O$1,0),"ERROR")</f>
        <v>1782</v>
      </c>
      <c r="P37" s="114">
        <f t="shared" si="3"/>
        <v>0.63597430406852251</v>
      </c>
      <c r="Q37" s="115">
        <f>IFERROR(VLOOKUP($B37,MMWR_TRAD_AGG_STATE_COMP[],Q$1,0),"ERROR")</f>
        <v>388</v>
      </c>
      <c r="R37" s="115">
        <f>IFERROR(VLOOKUP($B37,MMWR_TRAD_AGG_STATE_COMP[],R$1,0),"ERROR")</f>
        <v>97</v>
      </c>
      <c r="S37" s="115">
        <f>IFERROR(VLOOKUP($B37,MMWR_APP_STATE_COMP[],S$1,0),"ERROR")</f>
        <v>5337</v>
      </c>
      <c r="T37" s="28"/>
    </row>
    <row r="38" spans="1:20" s="123" customFormat="1" x14ac:dyDescent="0.2">
      <c r="A38" s="28"/>
      <c r="B38" s="127" t="s">
        <v>402</v>
      </c>
      <c r="C38" s="109">
        <f>IFERROR(VLOOKUP($B38,MMWR_TRAD_AGG_STATE_COMP[],C$1,0),"ERROR")</f>
        <v>5069</v>
      </c>
      <c r="D38" s="110">
        <f>IFERROR(VLOOKUP($B38,MMWR_TRAD_AGG_STATE_COMP[],D$1,0),"ERROR")</f>
        <v>361.49694219769998</v>
      </c>
      <c r="E38" s="111">
        <f>IFERROR(VLOOKUP($B38,MMWR_TRAD_AGG_STATE_COMP[],E$1,0),"ERROR")</f>
        <v>6336</v>
      </c>
      <c r="F38" s="112">
        <f>IFERROR(VLOOKUP($B38,MMWR_TRAD_AGG_STATE_COMP[],F$1,0),"ERROR")</f>
        <v>1298</v>
      </c>
      <c r="G38" s="113">
        <f t="shared" ref="G38:G64" si="4">IFERROR(F38/E38,"0%")</f>
        <v>0.2048611111111111</v>
      </c>
      <c r="H38" s="111">
        <f>IFERROR(VLOOKUP($B38,MMWR_TRAD_AGG_STATE_COMP[],H$1,0),"ERROR")</f>
        <v>10080</v>
      </c>
      <c r="I38" s="112">
        <f>IFERROR(VLOOKUP($B38,MMWR_TRAD_AGG_STATE_COMP[],I$1,0),"ERROR")</f>
        <v>4792</v>
      </c>
      <c r="J38" s="114">
        <f t="shared" ref="J38:J64" si="5">IFERROR(I38/H38,"0%")</f>
        <v>0.47539682539682537</v>
      </c>
      <c r="K38" s="111">
        <f>IFERROR(VLOOKUP($B38,MMWR_TRAD_AGG_STATE_COMP[],K$1,0),"ERROR")</f>
        <v>4070</v>
      </c>
      <c r="L38" s="112">
        <f>IFERROR(VLOOKUP($B38,MMWR_TRAD_AGG_STATE_COMP[],L$1,0),"ERROR")</f>
        <v>3306</v>
      </c>
      <c r="M38" s="114">
        <f t="shared" ref="M38:M64" si="6">IFERROR(L38/K38,"0%")</f>
        <v>0.81228501228501226</v>
      </c>
      <c r="N38" s="111">
        <f>IFERROR(VLOOKUP($B38,MMWR_TRAD_AGG_STATE_COMP[],N$1,0),"ERROR")</f>
        <v>1851</v>
      </c>
      <c r="O38" s="112">
        <f>IFERROR(VLOOKUP($B38,MMWR_TRAD_AGG_STATE_COMP[],O$1,0),"ERROR")</f>
        <v>1204</v>
      </c>
      <c r="P38" s="114">
        <f t="shared" ref="P38:P64" si="7">IFERROR(O38/N38,"0%")</f>
        <v>0.6504592112371691</v>
      </c>
      <c r="Q38" s="115">
        <f>IFERROR(VLOOKUP($B38,MMWR_TRAD_AGG_STATE_COMP[],Q$1,0),"ERROR")</f>
        <v>3</v>
      </c>
      <c r="R38" s="115">
        <f>IFERROR(VLOOKUP($B38,MMWR_TRAD_AGG_STATE_COMP[],R$1,0),"ERROR")</f>
        <v>57</v>
      </c>
      <c r="S38" s="115">
        <f>IFERROR(VLOOKUP($B38,MMWR_APP_STATE_COMP[],S$1,0),"ERROR")</f>
        <v>6660</v>
      </c>
      <c r="T38" s="28"/>
    </row>
    <row r="39" spans="1:20" s="123" customFormat="1" x14ac:dyDescent="0.2">
      <c r="A39" s="28"/>
      <c r="B39" s="127" t="s">
        <v>386</v>
      </c>
      <c r="C39" s="109">
        <f>IFERROR(VLOOKUP($B39,MMWR_TRAD_AGG_STATE_COMP[],C$1,0),"ERROR")</f>
        <v>3795</v>
      </c>
      <c r="D39" s="110">
        <f>IFERROR(VLOOKUP($B39,MMWR_TRAD_AGG_STATE_COMP[],D$1,0),"ERROR")</f>
        <v>395.877997365</v>
      </c>
      <c r="E39" s="111">
        <f>IFERROR(VLOOKUP($B39,MMWR_TRAD_AGG_STATE_COMP[],E$1,0),"ERROR")</f>
        <v>5624</v>
      </c>
      <c r="F39" s="112">
        <f>IFERROR(VLOOKUP($B39,MMWR_TRAD_AGG_STATE_COMP[],F$1,0),"ERROR")</f>
        <v>1094</v>
      </c>
      <c r="G39" s="113">
        <f t="shared" si="4"/>
        <v>0.1945234708392603</v>
      </c>
      <c r="H39" s="111">
        <f>IFERROR(VLOOKUP($B39,MMWR_TRAD_AGG_STATE_COMP[],H$1,0),"ERROR")</f>
        <v>7318</v>
      </c>
      <c r="I39" s="112">
        <f>IFERROR(VLOOKUP($B39,MMWR_TRAD_AGG_STATE_COMP[],I$1,0),"ERROR")</f>
        <v>3428</v>
      </c>
      <c r="J39" s="114">
        <f t="shared" si="5"/>
        <v>0.46843399836020772</v>
      </c>
      <c r="K39" s="111">
        <f>IFERROR(VLOOKUP($B39,MMWR_TRAD_AGG_STATE_COMP[],K$1,0),"ERROR")</f>
        <v>1707</v>
      </c>
      <c r="L39" s="112">
        <f>IFERROR(VLOOKUP($B39,MMWR_TRAD_AGG_STATE_COMP[],L$1,0),"ERROR")</f>
        <v>1214</v>
      </c>
      <c r="M39" s="114">
        <f t="shared" si="6"/>
        <v>0.71118922085530167</v>
      </c>
      <c r="N39" s="111">
        <f>IFERROR(VLOOKUP($B39,MMWR_TRAD_AGG_STATE_COMP[],N$1,0),"ERROR")</f>
        <v>3080</v>
      </c>
      <c r="O39" s="112">
        <f>IFERROR(VLOOKUP($B39,MMWR_TRAD_AGG_STATE_COMP[],O$1,0),"ERROR")</f>
        <v>2053</v>
      </c>
      <c r="P39" s="114">
        <f t="shared" si="7"/>
        <v>0.66655844155844157</v>
      </c>
      <c r="Q39" s="115">
        <f>IFERROR(VLOOKUP($B39,MMWR_TRAD_AGG_STATE_COMP[],Q$1,0),"ERROR")</f>
        <v>317</v>
      </c>
      <c r="R39" s="115">
        <f>IFERROR(VLOOKUP($B39,MMWR_TRAD_AGG_STATE_COMP[],R$1,0),"ERROR")</f>
        <v>271</v>
      </c>
      <c r="S39" s="115">
        <f>IFERROR(VLOOKUP($B39,MMWR_APP_STATE_COMP[],S$1,0),"ERROR")</f>
        <v>6055</v>
      </c>
      <c r="T39" s="28"/>
    </row>
    <row r="40" spans="1:20" s="123" customFormat="1" x14ac:dyDescent="0.2">
      <c r="A40" s="28"/>
      <c r="B40" s="127" t="s">
        <v>388</v>
      </c>
      <c r="C40" s="109">
        <f>IFERROR(VLOOKUP($B40,MMWR_TRAD_AGG_STATE_COMP[],C$1,0),"ERROR")</f>
        <v>2877</v>
      </c>
      <c r="D40" s="110">
        <f>IFERROR(VLOOKUP($B40,MMWR_TRAD_AGG_STATE_COMP[],D$1,0),"ERROR")</f>
        <v>395.42961418139998</v>
      </c>
      <c r="E40" s="111">
        <f>IFERROR(VLOOKUP($B40,MMWR_TRAD_AGG_STATE_COMP[],E$1,0),"ERROR")</f>
        <v>4899</v>
      </c>
      <c r="F40" s="112">
        <f>IFERROR(VLOOKUP($B40,MMWR_TRAD_AGG_STATE_COMP[],F$1,0),"ERROR")</f>
        <v>1433</v>
      </c>
      <c r="G40" s="113">
        <f t="shared" si="4"/>
        <v>0.29250867523984486</v>
      </c>
      <c r="H40" s="111">
        <f>IFERROR(VLOOKUP($B40,MMWR_TRAD_AGG_STATE_COMP[],H$1,0),"ERROR")</f>
        <v>6558</v>
      </c>
      <c r="I40" s="112">
        <f>IFERROR(VLOOKUP($B40,MMWR_TRAD_AGG_STATE_COMP[],I$1,0),"ERROR")</f>
        <v>3538</v>
      </c>
      <c r="J40" s="114">
        <f t="shared" si="5"/>
        <v>0.53949374809393102</v>
      </c>
      <c r="K40" s="111">
        <f>IFERROR(VLOOKUP($B40,MMWR_TRAD_AGG_STATE_COMP[],K$1,0),"ERROR")</f>
        <v>1950</v>
      </c>
      <c r="L40" s="112">
        <f>IFERROR(VLOOKUP($B40,MMWR_TRAD_AGG_STATE_COMP[],L$1,0),"ERROR")</f>
        <v>1385</v>
      </c>
      <c r="M40" s="114">
        <f t="shared" si="6"/>
        <v>0.71025641025641029</v>
      </c>
      <c r="N40" s="111">
        <f>IFERROR(VLOOKUP($B40,MMWR_TRAD_AGG_STATE_COMP[],N$1,0),"ERROR")</f>
        <v>1828</v>
      </c>
      <c r="O40" s="112">
        <f>IFERROR(VLOOKUP($B40,MMWR_TRAD_AGG_STATE_COMP[],O$1,0),"ERROR")</f>
        <v>1257</v>
      </c>
      <c r="P40" s="114">
        <f t="shared" si="7"/>
        <v>0.68763676148796504</v>
      </c>
      <c r="Q40" s="115">
        <f>IFERROR(VLOOKUP($B40,MMWR_TRAD_AGG_STATE_COMP[],Q$1,0),"ERROR")</f>
        <v>401</v>
      </c>
      <c r="R40" s="115">
        <f>IFERROR(VLOOKUP($B40,MMWR_TRAD_AGG_STATE_COMP[],R$1,0),"ERROR")</f>
        <v>253</v>
      </c>
      <c r="S40" s="115">
        <f>IFERROR(VLOOKUP($B40,MMWR_APP_STATE_COMP[],S$1,0),"ERROR")</f>
        <v>4896</v>
      </c>
      <c r="T40" s="28"/>
    </row>
    <row r="41" spans="1:20" s="123" customFormat="1" x14ac:dyDescent="0.2">
      <c r="A41" s="28"/>
      <c r="B41" s="127" t="s">
        <v>417</v>
      </c>
      <c r="C41" s="109">
        <f>IFERROR(VLOOKUP($B41,MMWR_TRAD_AGG_STATE_COMP[],C$1,0),"ERROR")</f>
        <v>409</v>
      </c>
      <c r="D41" s="110">
        <f>IFERROR(VLOOKUP($B41,MMWR_TRAD_AGG_STATE_COMP[],D$1,0),"ERROR")</f>
        <v>240.69682151590001</v>
      </c>
      <c r="E41" s="111">
        <f>IFERROR(VLOOKUP($B41,MMWR_TRAD_AGG_STATE_COMP[],E$1,0),"ERROR")</f>
        <v>750</v>
      </c>
      <c r="F41" s="112">
        <f>IFERROR(VLOOKUP($B41,MMWR_TRAD_AGG_STATE_COMP[],F$1,0),"ERROR")</f>
        <v>64</v>
      </c>
      <c r="G41" s="113">
        <f t="shared" si="4"/>
        <v>8.533333333333333E-2</v>
      </c>
      <c r="H41" s="111">
        <f>IFERROR(VLOOKUP($B41,MMWR_TRAD_AGG_STATE_COMP[],H$1,0),"ERROR")</f>
        <v>1278</v>
      </c>
      <c r="I41" s="112">
        <f>IFERROR(VLOOKUP($B41,MMWR_TRAD_AGG_STATE_COMP[],I$1,0),"ERROR")</f>
        <v>280</v>
      </c>
      <c r="J41" s="114">
        <f t="shared" si="5"/>
        <v>0.2190923317683881</v>
      </c>
      <c r="K41" s="111">
        <f>IFERROR(VLOOKUP($B41,MMWR_TRAD_AGG_STATE_COMP[],K$1,0),"ERROR")</f>
        <v>365</v>
      </c>
      <c r="L41" s="112">
        <f>IFERROR(VLOOKUP($B41,MMWR_TRAD_AGG_STATE_COMP[],L$1,0),"ERROR")</f>
        <v>203</v>
      </c>
      <c r="M41" s="114">
        <f t="shared" si="6"/>
        <v>0.55616438356164388</v>
      </c>
      <c r="N41" s="111">
        <f>IFERROR(VLOOKUP($B41,MMWR_TRAD_AGG_STATE_COMP[],N$1,0),"ERROR")</f>
        <v>468</v>
      </c>
      <c r="O41" s="112">
        <f>IFERROR(VLOOKUP($B41,MMWR_TRAD_AGG_STATE_COMP[],O$1,0),"ERROR")</f>
        <v>259</v>
      </c>
      <c r="P41" s="114">
        <f t="shared" si="7"/>
        <v>0.55341880341880345</v>
      </c>
      <c r="Q41" s="115">
        <f>IFERROR(VLOOKUP($B41,MMWR_TRAD_AGG_STATE_COMP[],Q$1,0),"ERROR")</f>
        <v>1</v>
      </c>
      <c r="R41" s="115">
        <f>IFERROR(VLOOKUP($B41,MMWR_TRAD_AGG_STATE_COMP[],R$1,0),"ERROR")</f>
        <v>3</v>
      </c>
      <c r="S41" s="115">
        <f>IFERROR(VLOOKUP($B41,MMWR_APP_STATE_COMP[],S$1,0),"ERROR")</f>
        <v>325</v>
      </c>
      <c r="T41" s="28"/>
    </row>
    <row r="42" spans="1:20" s="123" customFormat="1" x14ac:dyDescent="0.2">
      <c r="A42" s="28"/>
      <c r="B42" s="127" t="s">
        <v>411</v>
      </c>
      <c r="C42" s="109">
        <f>IFERROR(VLOOKUP($B42,MMWR_TRAD_AGG_STATE_COMP[],C$1,0),"ERROR")</f>
        <v>1439</v>
      </c>
      <c r="D42" s="110">
        <f>IFERROR(VLOOKUP($B42,MMWR_TRAD_AGG_STATE_COMP[],D$1,0),"ERROR")</f>
        <v>166.93745656710001</v>
      </c>
      <c r="E42" s="111">
        <f>IFERROR(VLOOKUP($B42,MMWR_TRAD_AGG_STATE_COMP[],E$1,0),"ERROR")</f>
        <v>7001</v>
      </c>
      <c r="F42" s="112">
        <f>IFERROR(VLOOKUP($B42,MMWR_TRAD_AGG_STATE_COMP[],F$1,0),"ERROR")</f>
        <v>648</v>
      </c>
      <c r="G42" s="113">
        <f t="shared" si="4"/>
        <v>9.2558205970575638E-2</v>
      </c>
      <c r="H42" s="111">
        <f>IFERROR(VLOOKUP($B42,MMWR_TRAD_AGG_STATE_COMP[],H$1,0),"ERROR")</f>
        <v>4646</v>
      </c>
      <c r="I42" s="112">
        <f>IFERROR(VLOOKUP($B42,MMWR_TRAD_AGG_STATE_COMP[],I$1,0),"ERROR")</f>
        <v>688</v>
      </c>
      <c r="J42" s="114">
        <f t="shared" si="5"/>
        <v>0.14808437365475677</v>
      </c>
      <c r="K42" s="111">
        <f>IFERROR(VLOOKUP($B42,MMWR_TRAD_AGG_STATE_COMP[],K$1,0),"ERROR")</f>
        <v>1070</v>
      </c>
      <c r="L42" s="112">
        <f>IFERROR(VLOOKUP($B42,MMWR_TRAD_AGG_STATE_COMP[],L$1,0),"ERROR")</f>
        <v>551</v>
      </c>
      <c r="M42" s="114">
        <f t="shared" si="6"/>
        <v>0.51495327102803734</v>
      </c>
      <c r="N42" s="111">
        <f>IFERROR(VLOOKUP($B42,MMWR_TRAD_AGG_STATE_COMP[],N$1,0),"ERROR")</f>
        <v>2960</v>
      </c>
      <c r="O42" s="112">
        <f>IFERROR(VLOOKUP($B42,MMWR_TRAD_AGG_STATE_COMP[],O$1,0),"ERROR")</f>
        <v>1849</v>
      </c>
      <c r="P42" s="114">
        <f t="shared" si="7"/>
        <v>0.62466216216216219</v>
      </c>
      <c r="Q42" s="115">
        <f>IFERROR(VLOOKUP($B42,MMWR_TRAD_AGG_STATE_COMP[],Q$1,0),"ERROR")</f>
        <v>9</v>
      </c>
      <c r="R42" s="115">
        <f>IFERROR(VLOOKUP($B42,MMWR_TRAD_AGG_STATE_COMP[],R$1,0),"ERROR")</f>
        <v>22</v>
      </c>
      <c r="S42" s="115">
        <f>IFERROR(VLOOKUP($B42,MMWR_APP_STATE_COMP[],S$1,0),"ERROR")</f>
        <v>4105</v>
      </c>
      <c r="T42" s="28"/>
    </row>
    <row r="43" spans="1:20" s="123" customFormat="1" x14ac:dyDescent="0.2">
      <c r="A43" s="28"/>
      <c r="B43" s="127" t="s">
        <v>409</v>
      </c>
      <c r="C43" s="109">
        <f>IFERROR(VLOOKUP($B43,MMWR_TRAD_AGG_STATE_COMP[],C$1,0),"ERROR")</f>
        <v>22095</v>
      </c>
      <c r="D43" s="110">
        <f>IFERROR(VLOOKUP($B43,MMWR_TRAD_AGG_STATE_COMP[],D$1,0),"ERROR")</f>
        <v>319.89391264990002</v>
      </c>
      <c r="E43" s="111">
        <f>IFERROR(VLOOKUP($B43,MMWR_TRAD_AGG_STATE_COMP[],E$1,0),"ERROR")</f>
        <v>37254</v>
      </c>
      <c r="F43" s="112">
        <f>IFERROR(VLOOKUP($B43,MMWR_TRAD_AGG_STATE_COMP[],F$1,0),"ERROR")</f>
        <v>7619</v>
      </c>
      <c r="G43" s="113">
        <f t="shared" si="4"/>
        <v>0.20451495141461321</v>
      </c>
      <c r="H43" s="111">
        <f>IFERROR(VLOOKUP($B43,MMWR_TRAD_AGG_STATE_COMP[],H$1,0),"ERROR")</f>
        <v>40744</v>
      </c>
      <c r="I43" s="112">
        <f>IFERROR(VLOOKUP($B43,MMWR_TRAD_AGG_STATE_COMP[],I$1,0),"ERROR")</f>
        <v>19051</v>
      </c>
      <c r="J43" s="114">
        <f t="shared" si="5"/>
        <v>0.46757804830159044</v>
      </c>
      <c r="K43" s="111">
        <f>IFERROR(VLOOKUP($B43,MMWR_TRAD_AGG_STATE_COMP[],K$1,0),"ERROR")</f>
        <v>9675</v>
      </c>
      <c r="L43" s="112">
        <f>IFERROR(VLOOKUP($B43,MMWR_TRAD_AGG_STATE_COMP[],L$1,0),"ERROR")</f>
        <v>7221</v>
      </c>
      <c r="M43" s="114">
        <f t="shared" si="6"/>
        <v>0.74635658914728686</v>
      </c>
      <c r="N43" s="111">
        <f>IFERROR(VLOOKUP($B43,MMWR_TRAD_AGG_STATE_COMP[],N$1,0),"ERROR")</f>
        <v>20001</v>
      </c>
      <c r="O43" s="112">
        <f>IFERROR(VLOOKUP($B43,MMWR_TRAD_AGG_STATE_COMP[],O$1,0),"ERROR")</f>
        <v>11887</v>
      </c>
      <c r="P43" s="114">
        <f t="shared" si="7"/>
        <v>0.59432028398580072</v>
      </c>
      <c r="Q43" s="115">
        <f>IFERROR(VLOOKUP($B43,MMWR_TRAD_AGG_STATE_COMP[],Q$1,0),"ERROR")</f>
        <v>20</v>
      </c>
      <c r="R43" s="115">
        <f>IFERROR(VLOOKUP($B43,MMWR_TRAD_AGG_STATE_COMP[],R$1,0),"ERROR")</f>
        <v>449</v>
      </c>
      <c r="S43" s="115">
        <f>IFERROR(VLOOKUP($B43,MMWR_APP_STATE_COMP[],S$1,0),"ERROR")</f>
        <v>41835</v>
      </c>
      <c r="T43" s="28"/>
    </row>
    <row r="44" spans="1:20" s="123" customFormat="1" x14ac:dyDescent="0.2">
      <c r="A44" s="28"/>
      <c r="B44" s="127" t="s">
        <v>405</v>
      </c>
      <c r="C44" s="109">
        <f>IFERROR(VLOOKUP($B44,MMWR_TRAD_AGG_STATE_COMP[],C$1,0),"ERROR")</f>
        <v>708</v>
      </c>
      <c r="D44" s="110">
        <f>IFERROR(VLOOKUP($B44,MMWR_TRAD_AGG_STATE_COMP[],D$1,0),"ERROR")</f>
        <v>208.68079096049999</v>
      </c>
      <c r="E44" s="111">
        <f>IFERROR(VLOOKUP($B44,MMWR_TRAD_AGG_STATE_COMP[],E$1,0),"ERROR")</f>
        <v>1862</v>
      </c>
      <c r="F44" s="112">
        <f>IFERROR(VLOOKUP($B44,MMWR_TRAD_AGG_STATE_COMP[],F$1,0),"ERROR")</f>
        <v>427</v>
      </c>
      <c r="G44" s="113">
        <f t="shared" si="4"/>
        <v>0.22932330827067668</v>
      </c>
      <c r="H44" s="111">
        <f>IFERROR(VLOOKUP($B44,MMWR_TRAD_AGG_STATE_COMP[],H$1,0),"ERROR")</f>
        <v>2067</v>
      </c>
      <c r="I44" s="112">
        <f>IFERROR(VLOOKUP($B44,MMWR_TRAD_AGG_STATE_COMP[],I$1,0),"ERROR")</f>
        <v>443</v>
      </c>
      <c r="J44" s="114">
        <f t="shared" si="5"/>
        <v>0.21432027092404451</v>
      </c>
      <c r="K44" s="111">
        <f>IFERROR(VLOOKUP($B44,MMWR_TRAD_AGG_STATE_COMP[],K$1,0),"ERROR")</f>
        <v>619</v>
      </c>
      <c r="L44" s="112">
        <f>IFERROR(VLOOKUP($B44,MMWR_TRAD_AGG_STATE_COMP[],L$1,0),"ERROR")</f>
        <v>297</v>
      </c>
      <c r="M44" s="114">
        <f t="shared" si="6"/>
        <v>0.47980613893376411</v>
      </c>
      <c r="N44" s="111">
        <f>IFERROR(VLOOKUP($B44,MMWR_TRAD_AGG_STATE_COMP[],N$1,0),"ERROR")</f>
        <v>600</v>
      </c>
      <c r="O44" s="112">
        <f>IFERROR(VLOOKUP($B44,MMWR_TRAD_AGG_STATE_COMP[],O$1,0),"ERROR")</f>
        <v>330</v>
      </c>
      <c r="P44" s="114">
        <f t="shared" si="7"/>
        <v>0.55000000000000004</v>
      </c>
      <c r="Q44" s="115">
        <f>IFERROR(VLOOKUP($B44,MMWR_TRAD_AGG_STATE_COMP[],Q$1,0),"ERROR")</f>
        <v>0</v>
      </c>
      <c r="R44" s="115">
        <f>IFERROR(VLOOKUP($B44,MMWR_TRAD_AGG_STATE_COMP[],R$1,0),"ERROR")</f>
        <v>4</v>
      </c>
      <c r="S44" s="115">
        <f>IFERROR(VLOOKUP($B44,MMWR_APP_STATE_COMP[],S$1,0),"ERROR")</f>
        <v>549</v>
      </c>
      <c r="T44" s="28"/>
    </row>
    <row r="45" spans="1:20" s="123" customFormat="1" x14ac:dyDescent="0.2">
      <c r="A45" s="28"/>
      <c r="B45" s="127" t="s">
        <v>420</v>
      </c>
      <c r="C45" s="109">
        <f>IFERROR(VLOOKUP($B45,MMWR_TRAD_AGG_STATE_COMP[],C$1,0),"ERROR")</f>
        <v>258</v>
      </c>
      <c r="D45" s="110">
        <f>IFERROR(VLOOKUP($B45,MMWR_TRAD_AGG_STATE_COMP[],D$1,0),"ERROR")</f>
        <v>323.02325581399998</v>
      </c>
      <c r="E45" s="111">
        <f>IFERROR(VLOOKUP($B45,MMWR_TRAD_AGG_STATE_COMP[],E$1,0),"ERROR")</f>
        <v>790</v>
      </c>
      <c r="F45" s="112">
        <f>IFERROR(VLOOKUP($B45,MMWR_TRAD_AGG_STATE_COMP[],F$1,0),"ERROR")</f>
        <v>81</v>
      </c>
      <c r="G45" s="113">
        <f t="shared" si="4"/>
        <v>0.10253164556962026</v>
      </c>
      <c r="H45" s="111">
        <f>IFERROR(VLOOKUP($B45,MMWR_TRAD_AGG_STATE_COMP[],H$1,0),"ERROR")</f>
        <v>755</v>
      </c>
      <c r="I45" s="112">
        <f>IFERROR(VLOOKUP($B45,MMWR_TRAD_AGG_STATE_COMP[],I$1,0),"ERROR")</f>
        <v>291</v>
      </c>
      <c r="J45" s="114">
        <f t="shared" si="5"/>
        <v>0.38543046357615895</v>
      </c>
      <c r="K45" s="111">
        <f>IFERROR(VLOOKUP($B45,MMWR_TRAD_AGG_STATE_COMP[],K$1,0),"ERROR")</f>
        <v>216</v>
      </c>
      <c r="L45" s="112">
        <f>IFERROR(VLOOKUP($B45,MMWR_TRAD_AGG_STATE_COMP[],L$1,0),"ERROR")</f>
        <v>140</v>
      </c>
      <c r="M45" s="114">
        <f t="shared" si="6"/>
        <v>0.64814814814814814</v>
      </c>
      <c r="N45" s="111">
        <f>IFERROR(VLOOKUP($B45,MMWR_TRAD_AGG_STATE_COMP[],N$1,0),"ERROR")</f>
        <v>189</v>
      </c>
      <c r="O45" s="112">
        <f>IFERROR(VLOOKUP($B45,MMWR_TRAD_AGG_STATE_COMP[],O$1,0),"ERROR")</f>
        <v>114</v>
      </c>
      <c r="P45" s="114">
        <f t="shared" si="7"/>
        <v>0.60317460317460314</v>
      </c>
      <c r="Q45" s="115">
        <f>IFERROR(VLOOKUP($B45,MMWR_TRAD_AGG_STATE_COMP[],Q$1,0),"ERROR")</f>
        <v>2</v>
      </c>
      <c r="R45" s="115">
        <f>IFERROR(VLOOKUP($B45,MMWR_TRAD_AGG_STATE_COMP[],R$1,0),"ERROR")</f>
        <v>1</v>
      </c>
      <c r="S45" s="115">
        <f>IFERROR(VLOOKUP($B45,MMWR_APP_STATE_COMP[],S$1,0),"ERROR")</f>
        <v>200</v>
      </c>
      <c r="T45" s="28"/>
    </row>
    <row r="46" spans="1:20" s="123" customFormat="1" x14ac:dyDescent="0.2">
      <c r="A46" s="28"/>
      <c r="B46" s="126" t="s">
        <v>403</v>
      </c>
      <c r="C46" s="102">
        <f>IFERROR(VLOOKUP($B46,MMWR_TRAD_AGG_ST_DISTRICT_COMP[],C$1,0),"ERROR")</f>
        <v>42314</v>
      </c>
      <c r="D46" s="103">
        <f>IFERROR(VLOOKUP($B46,MMWR_TRAD_AGG_ST_DISTRICT_COMP[],D$1,0),"ERROR")</f>
        <v>387.0657701943</v>
      </c>
      <c r="E46" s="102">
        <f>IFERROR(VLOOKUP($B46,MMWR_TRAD_AGG_ST_DISTRICT_COMP[],E$1,0),"ERROR")</f>
        <v>64523</v>
      </c>
      <c r="F46" s="102">
        <f>IFERROR(VLOOKUP($B46,MMWR_TRAD_AGG_ST_DISTRICT_COMP[],F$1,0),"ERROR")</f>
        <v>13178</v>
      </c>
      <c r="G46" s="104">
        <f t="shared" si="4"/>
        <v>0.20423724873300994</v>
      </c>
      <c r="H46" s="102">
        <f>IFERROR(VLOOKUP($B46,MMWR_TRAD_AGG_ST_DISTRICT_COMP[],H$1,0),"ERROR")</f>
        <v>82475</v>
      </c>
      <c r="I46" s="102">
        <f>IFERROR(VLOOKUP($B46,MMWR_TRAD_AGG_ST_DISTRICT_COMP[],I$1,0),"ERROR")</f>
        <v>40559</v>
      </c>
      <c r="J46" s="105">
        <f t="shared" si="5"/>
        <v>0.49177326462564414</v>
      </c>
      <c r="K46" s="102">
        <f>IFERROR(VLOOKUP($B46,MMWR_TRAD_AGG_ST_DISTRICT_COMP[],K$1,0),"ERROR")</f>
        <v>25199</v>
      </c>
      <c r="L46" s="102">
        <f>IFERROR(VLOOKUP($B46,MMWR_TRAD_AGG_ST_DISTRICT_COMP[],L$1,0),"ERROR")</f>
        <v>18531</v>
      </c>
      <c r="M46" s="105">
        <f t="shared" si="6"/>
        <v>0.73538632485416089</v>
      </c>
      <c r="N46" s="102">
        <f>IFERROR(VLOOKUP($B46,MMWR_TRAD_AGG_ST_DISTRICT_COMP[],N$1,0),"ERROR")</f>
        <v>31487</v>
      </c>
      <c r="O46" s="102">
        <f>IFERROR(VLOOKUP($B46,MMWR_TRAD_AGG_ST_DISTRICT_COMP[],O$1,0),"ERROR")</f>
        <v>22473</v>
      </c>
      <c r="P46" s="105">
        <f t="shared" si="7"/>
        <v>0.71372312382888181</v>
      </c>
      <c r="Q46" s="102">
        <f>IFERROR(VLOOKUP($B46,MMWR_TRAD_AGG_ST_DISTRICT_COMP[],Q$1,0),"ERROR")</f>
        <v>97</v>
      </c>
      <c r="R46" s="106">
        <f>IFERROR(VLOOKUP($B46,MMWR_TRAD_AGG_ST_DISTRICT_COMP[],R$1,0),"ERROR")</f>
        <v>673</v>
      </c>
      <c r="S46" s="106">
        <f>SUM(S47:S55)</f>
        <v>40986</v>
      </c>
      <c r="T46" s="28"/>
    </row>
    <row r="47" spans="1:20" s="123" customFormat="1" x14ac:dyDescent="0.2">
      <c r="A47" s="28"/>
      <c r="B47" s="127" t="s">
        <v>423</v>
      </c>
      <c r="C47" s="109">
        <f>IFERROR(VLOOKUP($B47,MMWR_TRAD_AGG_STATE_COMP[],C$1,0),"ERROR")</f>
        <v>1811</v>
      </c>
      <c r="D47" s="110">
        <f>IFERROR(VLOOKUP($B47,MMWR_TRAD_AGG_STATE_COMP[],D$1,0),"ERROR")</f>
        <v>466.09884041970002</v>
      </c>
      <c r="E47" s="111">
        <f>IFERROR(VLOOKUP($B47,MMWR_TRAD_AGG_STATE_COMP[],E$1,0),"ERROR")</f>
        <v>1050</v>
      </c>
      <c r="F47" s="112">
        <f>IFERROR(VLOOKUP($B47,MMWR_TRAD_AGG_STATE_COMP[],F$1,0),"ERROR")</f>
        <v>278</v>
      </c>
      <c r="G47" s="113">
        <f t="shared" si="4"/>
        <v>0.26476190476190475</v>
      </c>
      <c r="H47" s="111">
        <f>IFERROR(VLOOKUP($B47,MMWR_TRAD_AGG_STATE_COMP[],H$1,0),"ERROR")</f>
        <v>3043</v>
      </c>
      <c r="I47" s="112">
        <f>IFERROR(VLOOKUP($B47,MMWR_TRAD_AGG_STATE_COMP[],I$1,0),"ERROR")</f>
        <v>1875</v>
      </c>
      <c r="J47" s="114">
        <f t="shared" si="5"/>
        <v>0.61616825501150185</v>
      </c>
      <c r="K47" s="111">
        <f>IFERROR(VLOOKUP($B47,MMWR_TRAD_AGG_STATE_COMP[],K$1,0),"ERROR")</f>
        <v>1483</v>
      </c>
      <c r="L47" s="112">
        <f>IFERROR(VLOOKUP($B47,MMWR_TRAD_AGG_STATE_COMP[],L$1,0),"ERROR")</f>
        <v>1130</v>
      </c>
      <c r="M47" s="114">
        <f t="shared" si="6"/>
        <v>0.76196898179366146</v>
      </c>
      <c r="N47" s="111">
        <f>IFERROR(VLOOKUP($B47,MMWR_TRAD_AGG_STATE_COMP[],N$1,0),"ERROR")</f>
        <v>389</v>
      </c>
      <c r="O47" s="112">
        <f>IFERROR(VLOOKUP($B47,MMWR_TRAD_AGG_STATE_COMP[],O$1,0),"ERROR")</f>
        <v>277</v>
      </c>
      <c r="P47" s="114">
        <f t="shared" si="7"/>
        <v>0.71208226221079696</v>
      </c>
      <c r="Q47" s="115">
        <f>IFERROR(VLOOKUP($B47,MMWR_TRAD_AGG_STATE_COMP[],Q$1,0),"ERROR")</f>
        <v>0</v>
      </c>
      <c r="R47" s="115">
        <f>IFERROR(VLOOKUP($B47,MMWR_TRAD_AGG_STATE_COMP[],R$1,0),"ERROR")</f>
        <v>5</v>
      </c>
      <c r="S47" s="115">
        <f>IFERROR(VLOOKUP($B47,MMWR_APP_STATE_COMP[],S$1,0),"ERROR")</f>
        <v>241</v>
      </c>
      <c r="T47" s="28"/>
    </row>
    <row r="48" spans="1:20" s="123" customFormat="1" x14ac:dyDescent="0.2">
      <c r="A48" s="28"/>
      <c r="B48" s="127" t="s">
        <v>425</v>
      </c>
      <c r="C48" s="109">
        <f>IFERROR(VLOOKUP($B48,MMWR_TRAD_AGG_STATE_COMP[],C$1,0),"ERROR")</f>
        <v>3949</v>
      </c>
      <c r="D48" s="110">
        <f>IFERROR(VLOOKUP($B48,MMWR_TRAD_AGG_STATE_COMP[],D$1,0),"ERROR")</f>
        <v>264.40516586479998</v>
      </c>
      <c r="E48" s="111">
        <f>IFERROR(VLOOKUP($B48,MMWR_TRAD_AGG_STATE_COMP[],E$1,0),"ERROR")</f>
        <v>5635</v>
      </c>
      <c r="F48" s="112">
        <f>IFERROR(VLOOKUP($B48,MMWR_TRAD_AGG_STATE_COMP[],F$1,0),"ERROR")</f>
        <v>979</v>
      </c>
      <c r="G48" s="113">
        <f t="shared" si="4"/>
        <v>0.17373558118899735</v>
      </c>
      <c r="H48" s="111">
        <f>IFERROR(VLOOKUP($B48,MMWR_TRAD_AGG_STATE_COMP[],H$1,0),"ERROR")</f>
        <v>7795</v>
      </c>
      <c r="I48" s="112">
        <f>IFERROR(VLOOKUP($B48,MMWR_TRAD_AGG_STATE_COMP[],I$1,0),"ERROR")</f>
        <v>3005</v>
      </c>
      <c r="J48" s="114">
        <f t="shared" si="5"/>
        <v>0.38550352790250159</v>
      </c>
      <c r="K48" s="111">
        <f>IFERROR(VLOOKUP($B48,MMWR_TRAD_AGG_STATE_COMP[],K$1,0),"ERROR")</f>
        <v>2439</v>
      </c>
      <c r="L48" s="112">
        <f>IFERROR(VLOOKUP($B48,MMWR_TRAD_AGG_STATE_COMP[],L$1,0),"ERROR")</f>
        <v>1581</v>
      </c>
      <c r="M48" s="114">
        <f t="shared" si="6"/>
        <v>0.64821648216482164</v>
      </c>
      <c r="N48" s="111">
        <f>IFERROR(VLOOKUP($B48,MMWR_TRAD_AGG_STATE_COMP[],N$1,0),"ERROR")</f>
        <v>2602</v>
      </c>
      <c r="O48" s="112">
        <f>IFERROR(VLOOKUP($B48,MMWR_TRAD_AGG_STATE_COMP[],O$1,0),"ERROR")</f>
        <v>1702</v>
      </c>
      <c r="P48" s="114">
        <f t="shared" si="7"/>
        <v>0.65411222136817837</v>
      </c>
      <c r="Q48" s="115">
        <f>IFERROR(VLOOKUP($B48,MMWR_TRAD_AGG_STATE_COMP[],Q$1,0),"ERROR")</f>
        <v>6</v>
      </c>
      <c r="R48" s="115">
        <f>IFERROR(VLOOKUP($B48,MMWR_TRAD_AGG_STATE_COMP[],R$1,0),"ERROR")</f>
        <v>90</v>
      </c>
      <c r="S48" s="115">
        <f>IFERROR(VLOOKUP($B48,MMWR_APP_STATE_COMP[],S$1,0),"ERROR")</f>
        <v>6825</v>
      </c>
      <c r="T48" s="28"/>
    </row>
    <row r="49" spans="1:20" s="123" customFormat="1" x14ac:dyDescent="0.2">
      <c r="A49" s="28"/>
      <c r="B49" s="127" t="s">
        <v>406</v>
      </c>
      <c r="C49" s="109">
        <f>IFERROR(VLOOKUP($B49,MMWR_TRAD_AGG_STATE_COMP[],C$1,0),"ERROR")</f>
        <v>18040</v>
      </c>
      <c r="D49" s="110">
        <f>IFERROR(VLOOKUP($B49,MMWR_TRAD_AGG_STATE_COMP[],D$1,0),"ERROR")</f>
        <v>432.91735033259999</v>
      </c>
      <c r="E49" s="111">
        <f>IFERROR(VLOOKUP($B49,MMWR_TRAD_AGG_STATE_COMP[],E$1,0),"ERROR")</f>
        <v>34489</v>
      </c>
      <c r="F49" s="112">
        <f>IFERROR(VLOOKUP($B49,MMWR_TRAD_AGG_STATE_COMP[],F$1,0),"ERROR")</f>
        <v>7034</v>
      </c>
      <c r="G49" s="113">
        <f t="shared" si="4"/>
        <v>0.20394908521557598</v>
      </c>
      <c r="H49" s="111">
        <f>IFERROR(VLOOKUP($B49,MMWR_TRAD_AGG_STATE_COMP[],H$1,0),"ERROR")</f>
        <v>37348</v>
      </c>
      <c r="I49" s="112">
        <f>IFERROR(VLOOKUP($B49,MMWR_TRAD_AGG_STATE_COMP[],I$1,0),"ERROR")</f>
        <v>18854</v>
      </c>
      <c r="J49" s="114">
        <f t="shared" si="5"/>
        <v>0.5048195351826068</v>
      </c>
      <c r="K49" s="111">
        <f>IFERROR(VLOOKUP($B49,MMWR_TRAD_AGG_STATE_COMP[],K$1,0),"ERROR")</f>
        <v>10491</v>
      </c>
      <c r="L49" s="112">
        <f>IFERROR(VLOOKUP($B49,MMWR_TRAD_AGG_STATE_COMP[],L$1,0),"ERROR")</f>
        <v>8208</v>
      </c>
      <c r="M49" s="114">
        <f t="shared" si="6"/>
        <v>0.78238490134400918</v>
      </c>
      <c r="N49" s="111">
        <f>IFERROR(VLOOKUP($B49,MMWR_TRAD_AGG_STATE_COMP[],N$1,0),"ERROR")</f>
        <v>15482</v>
      </c>
      <c r="O49" s="112">
        <f>IFERROR(VLOOKUP($B49,MMWR_TRAD_AGG_STATE_COMP[],O$1,0),"ERROR")</f>
        <v>10972</v>
      </c>
      <c r="P49" s="114">
        <f t="shared" si="7"/>
        <v>0.70869396718770183</v>
      </c>
      <c r="Q49" s="115">
        <f>IFERROR(VLOOKUP($B49,MMWR_TRAD_AGG_STATE_COMP[],Q$1,0),"ERROR")</f>
        <v>57</v>
      </c>
      <c r="R49" s="115">
        <f>IFERROR(VLOOKUP($B49,MMWR_TRAD_AGG_STATE_COMP[],R$1,0),"ERROR")</f>
        <v>166</v>
      </c>
      <c r="S49" s="115">
        <f>IFERROR(VLOOKUP($B49,MMWR_APP_STATE_COMP[],S$1,0),"ERROR")</f>
        <v>17899</v>
      </c>
      <c r="T49" s="28"/>
    </row>
    <row r="50" spans="1:20" s="123" customFormat="1" x14ac:dyDescent="0.2">
      <c r="A50" s="28"/>
      <c r="B50" s="127" t="s">
        <v>427</v>
      </c>
      <c r="C50" s="109">
        <f>IFERROR(VLOOKUP($B50,MMWR_TRAD_AGG_STATE_COMP[],C$1,0),"ERROR")</f>
        <v>942</v>
      </c>
      <c r="D50" s="110">
        <f>IFERROR(VLOOKUP($B50,MMWR_TRAD_AGG_STATE_COMP[],D$1,0),"ERROR")</f>
        <v>246.6326963907</v>
      </c>
      <c r="E50" s="111">
        <f>IFERROR(VLOOKUP($B50,MMWR_TRAD_AGG_STATE_COMP[],E$1,0),"ERROR")</f>
        <v>2101</v>
      </c>
      <c r="F50" s="112">
        <f>IFERROR(VLOOKUP($B50,MMWR_TRAD_AGG_STATE_COMP[],F$1,0),"ERROR")</f>
        <v>340</v>
      </c>
      <c r="G50" s="113">
        <f t="shared" si="4"/>
        <v>0.16182770109471681</v>
      </c>
      <c r="H50" s="111">
        <f>IFERROR(VLOOKUP($B50,MMWR_TRAD_AGG_STATE_COMP[],H$1,0),"ERROR")</f>
        <v>2129</v>
      </c>
      <c r="I50" s="112">
        <f>IFERROR(VLOOKUP($B50,MMWR_TRAD_AGG_STATE_COMP[],I$1,0),"ERROR")</f>
        <v>681</v>
      </c>
      <c r="J50" s="114">
        <f t="shared" si="5"/>
        <v>0.31986848285580083</v>
      </c>
      <c r="K50" s="111">
        <f>IFERROR(VLOOKUP($B50,MMWR_TRAD_AGG_STATE_COMP[],K$1,0),"ERROR")</f>
        <v>1099</v>
      </c>
      <c r="L50" s="112">
        <f>IFERROR(VLOOKUP($B50,MMWR_TRAD_AGG_STATE_COMP[],L$1,0),"ERROR")</f>
        <v>626</v>
      </c>
      <c r="M50" s="114">
        <f t="shared" si="6"/>
        <v>0.56960873521383071</v>
      </c>
      <c r="N50" s="111">
        <f>IFERROR(VLOOKUP($B50,MMWR_TRAD_AGG_STATE_COMP[],N$1,0),"ERROR")</f>
        <v>640</v>
      </c>
      <c r="O50" s="112">
        <f>IFERROR(VLOOKUP($B50,MMWR_TRAD_AGG_STATE_COMP[],O$1,0),"ERROR")</f>
        <v>394</v>
      </c>
      <c r="P50" s="114">
        <f t="shared" si="7"/>
        <v>0.61562499999999998</v>
      </c>
      <c r="Q50" s="115">
        <f>IFERROR(VLOOKUP($B50,MMWR_TRAD_AGG_STATE_COMP[],Q$1,0),"ERROR")</f>
        <v>2</v>
      </c>
      <c r="R50" s="115">
        <f>IFERROR(VLOOKUP($B50,MMWR_TRAD_AGG_STATE_COMP[],R$1,0),"ERROR")</f>
        <v>5</v>
      </c>
      <c r="S50" s="115">
        <f>IFERROR(VLOOKUP($B50,MMWR_APP_STATE_COMP[],S$1,0),"ERROR")</f>
        <v>1120</v>
      </c>
      <c r="T50" s="28"/>
    </row>
    <row r="51" spans="1:20" s="123" customFormat="1" x14ac:dyDescent="0.2">
      <c r="A51" s="28"/>
      <c r="B51" s="127" t="s">
        <v>407</v>
      </c>
      <c r="C51" s="109">
        <f>IFERROR(VLOOKUP($B51,MMWR_TRAD_AGG_STATE_COMP[],C$1,0),"ERROR")</f>
        <v>669</v>
      </c>
      <c r="D51" s="110">
        <f>IFERROR(VLOOKUP($B51,MMWR_TRAD_AGG_STATE_COMP[],D$1,0),"ERROR")</f>
        <v>196.5545590433</v>
      </c>
      <c r="E51" s="111">
        <f>IFERROR(VLOOKUP($B51,MMWR_TRAD_AGG_STATE_COMP[],E$1,0),"ERROR")</f>
        <v>1867</v>
      </c>
      <c r="F51" s="112">
        <f>IFERROR(VLOOKUP($B51,MMWR_TRAD_AGG_STATE_COMP[],F$1,0),"ERROR")</f>
        <v>479</v>
      </c>
      <c r="G51" s="113">
        <f t="shared" si="4"/>
        <v>0.25656132833422601</v>
      </c>
      <c r="H51" s="111">
        <f>IFERROR(VLOOKUP($B51,MMWR_TRAD_AGG_STATE_COMP[],H$1,0),"ERROR")</f>
        <v>1691</v>
      </c>
      <c r="I51" s="112">
        <f>IFERROR(VLOOKUP($B51,MMWR_TRAD_AGG_STATE_COMP[],I$1,0),"ERROR")</f>
        <v>398</v>
      </c>
      <c r="J51" s="114">
        <f t="shared" si="5"/>
        <v>0.23536369012418687</v>
      </c>
      <c r="K51" s="111">
        <f>IFERROR(VLOOKUP($B51,MMWR_TRAD_AGG_STATE_COMP[],K$1,0),"ERROR")</f>
        <v>401</v>
      </c>
      <c r="L51" s="112">
        <f>IFERROR(VLOOKUP($B51,MMWR_TRAD_AGG_STATE_COMP[],L$1,0),"ERROR")</f>
        <v>190</v>
      </c>
      <c r="M51" s="114">
        <f t="shared" si="6"/>
        <v>0.47381546134663344</v>
      </c>
      <c r="N51" s="111">
        <f>IFERROR(VLOOKUP($B51,MMWR_TRAD_AGG_STATE_COMP[],N$1,0),"ERROR")</f>
        <v>478</v>
      </c>
      <c r="O51" s="112">
        <f>IFERROR(VLOOKUP($B51,MMWR_TRAD_AGG_STATE_COMP[],O$1,0),"ERROR")</f>
        <v>300</v>
      </c>
      <c r="P51" s="114">
        <f t="shared" si="7"/>
        <v>0.62761506276150625</v>
      </c>
      <c r="Q51" s="115">
        <f>IFERROR(VLOOKUP($B51,MMWR_TRAD_AGG_STATE_COMP[],Q$1,0),"ERROR")</f>
        <v>1</v>
      </c>
      <c r="R51" s="115">
        <f>IFERROR(VLOOKUP($B51,MMWR_TRAD_AGG_STATE_COMP[],R$1,0),"ERROR")</f>
        <v>7</v>
      </c>
      <c r="S51" s="115">
        <f>IFERROR(VLOOKUP($B51,MMWR_APP_STATE_COMP[],S$1,0),"ERROR")</f>
        <v>845</v>
      </c>
      <c r="T51" s="28"/>
    </row>
    <row r="52" spans="1:20" s="123" customFormat="1" x14ac:dyDescent="0.2">
      <c r="A52" s="28"/>
      <c r="B52" s="127" t="s">
        <v>412</v>
      </c>
      <c r="C52" s="109">
        <f>IFERROR(VLOOKUP($B52,MMWR_TRAD_AGG_STATE_COMP[],C$1,0),"ERROR")</f>
        <v>2583</v>
      </c>
      <c r="D52" s="110">
        <f>IFERROR(VLOOKUP($B52,MMWR_TRAD_AGG_STATE_COMP[],D$1,0),"ERROR")</f>
        <v>429.28648857920001</v>
      </c>
      <c r="E52" s="111">
        <f>IFERROR(VLOOKUP($B52,MMWR_TRAD_AGG_STATE_COMP[],E$1,0),"ERROR")</f>
        <v>4077</v>
      </c>
      <c r="F52" s="112">
        <f>IFERROR(VLOOKUP($B52,MMWR_TRAD_AGG_STATE_COMP[],F$1,0),"ERROR")</f>
        <v>1005</v>
      </c>
      <c r="G52" s="113">
        <f t="shared" si="4"/>
        <v>0.24650478292862399</v>
      </c>
      <c r="H52" s="111">
        <f>IFERROR(VLOOKUP($B52,MMWR_TRAD_AGG_STATE_COMP[],H$1,0),"ERROR")</f>
        <v>4309</v>
      </c>
      <c r="I52" s="112">
        <f>IFERROR(VLOOKUP($B52,MMWR_TRAD_AGG_STATE_COMP[],I$1,0),"ERROR")</f>
        <v>2363</v>
      </c>
      <c r="J52" s="114">
        <f t="shared" si="5"/>
        <v>0.54838709677419351</v>
      </c>
      <c r="K52" s="111">
        <f>IFERROR(VLOOKUP($B52,MMWR_TRAD_AGG_STATE_COMP[],K$1,0),"ERROR")</f>
        <v>1049</v>
      </c>
      <c r="L52" s="112">
        <f>IFERROR(VLOOKUP($B52,MMWR_TRAD_AGG_STATE_COMP[],L$1,0),"ERROR")</f>
        <v>792</v>
      </c>
      <c r="M52" s="114">
        <f t="shared" si="6"/>
        <v>0.75500476644423264</v>
      </c>
      <c r="N52" s="111">
        <f>IFERROR(VLOOKUP($B52,MMWR_TRAD_AGG_STATE_COMP[],N$1,0),"ERROR")</f>
        <v>1941</v>
      </c>
      <c r="O52" s="112">
        <f>IFERROR(VLOOKUP($B52,MMWR_TRAD_AGG_STATE_COMP[],O$1,0),"ERROR")</f>
        <v>1473</v>
      </c>
      <c r="P52" s="114">
        <f t="shared" si="7"/>
        <v>0.75888717156105101</v>
      </c>
      <c r="Q52" s="115">
        <f>IFERROR(VLOOKUP($B52,MMWR_TRAD_AGG_STATE_COMP[],Q$1,0),"ERROR")</f>
        <v>3</v>
      </c>
      <c r="R52" s="115">
        <f>IFERROR(VLOOKUP($B52,MMWR_TRAD_AGG_STATE_COMP[],R$1,0),"ERROR")</f>
        <v>124</v>
      </c>
      <c r="S52" s="115">
        <f>IFERROR(VLOOKUP($B52,MMWR_APP_STATE_COMP[],S$1,0),"ERROR")</f>
        <v>2931</v>
      </c>
      <c r="T52" s="28"/>
    </row>
    <row r="53" spans="1:20" s="123" customFormat="1" x14ac:dyDescent="0.2">
      <c r="A53" s="28"/>
      <c r="B53" s="127" t="s">
        <v>404</v>
      </c>
      <c r="C53" s="109">
        <f>IFERROR(VLOOKUP($B53,MMWR_TRAD_AGG_STATE_COMP[],C$1,0),"ERROR")</f>
        <v>815</v>
      </c>
      <c r="D53" s="110">
        <f>IFERROR(VLOOKUP($B53,MMWR_TRAD_AGG_STATE_COMP[],D$1,0),"ERROR")</f>
        <v>222.9435582822</v>
      </c>
      <c r="E53" s="111">
        <f>IFERROR(VLOOKUP($B53,MMWR_TRAD_AGG_STATE_COMP[],E$1,0),"ERROR")</f>
        <v>2896</v>
      </c>
      <c r="F53" s="112">
        <f>IFERROR(VLOOKUP($B53,MMWR_TRAD_AGG_STATE_COMP[],F$1,0),"ERROR")</f>
        <v>699</v>
      </c>
      <c r="G53" s="113">
        <f t="shared" si="4"/>
        <v>0.24136740331491713</v>
      </c>
      <c r="H53" s="111">
        <f>IFERROR(VLOOKUP($B53,MMWR_TRAD_AGG_STATE_COMP[],H$1,0),"ERROR")</f>
        <v>2027</v>
      </c>
      <c r="I53" s="112">
        <f>IFERROR(VLOOKUP($B53,MMWR_TRAD_AGG_STATE_COMP[],I$1,0),"ERROR")</f>
        <v>643</v>
      </c>
      <c r="J53" s="114">
        <f t="shared" si="5"/>
        <v>0.31721756290083869</v>
      </c>
      <c r="K53" s="111">
        <f>IFERROR(VLOOKUP($B53,MMWR_TRAD_AGG_STATE_COMP[],K$1,0),"ERROR")</f>
        <v>553</v>
      </c>
      <c r="L53" s="112">
        <f>IFERROR(VLOOKUP($B53,MMWR_TRAD_AGG_STATE_COMP[],L$1,0),"ERROR")</f>
        <v>323</v>
      </c>
      <c r="M53" s="114">
        <f t="shared" si="6"/>
        <v>0.58408679927667273</v>
      </c>
      <c r="N53" s="111">
        <f>IFERROR(VLOOKUP($B53,MMWR_TRAD_AGG_STATE_COMP[],N$1,0),"ERROR")</f>
        <v>983</v>
      </c>
      <c r="O53" s="112">
        <f>IFERROR(VLOOKUP($B53,MMWR_TRAD_AGG_STATE_COMP[],O$1,0),"ERROR")</f>
        <v>586</v>
      </c>
      <c r="P53" s="114">
        <f t="shared" si="7"/>
        <v>0.5961342828077314</v>
      </c>
      <c r="Q53" s="115">
        <f>IFERROR(VLOOKUP($B53,MMWR_TRAD_AGG_STATE_COMP[],Q$1,0),"ERROR")</f>
        <v>6</v>
      </c>
      <c r="R53" s="115">
        <f>IFERROR(VLOOKUP($B53,MMWR_TRAD_AGG_STATE_COMP[],R$1,0),"ERROR")</f>
        <v>12</v>
      </c>
      <c r="S53" s="115">
        <f>IFERROR(VLOOKUP($B53,MMWR_APP_STATE_COMP[],S$1,0),"ERROR")</f>
        <v>1641</v>
      </c>
      <c r="T53" s="28"/>
    </row>
    <row r="54" spans="1:20" s="123" customFormat="1" x14ac:dyDescent="0.2">
      <c r="A54" s="28"/>
      <c r="B54" s="127" t="s">
        <v>408</v>
      </c>
      <c r="C54" s="109">
        <f>IFERROR(VLOOKUP($B54,MMWR_TRAD_AGG_STATE_COMP[],C$1,0),"ERROR")</f>
        <v>5149</v>
      </c>
      <c r="D54" s="110">
        <f>IFERROR(VLOOKUP($B54,MMWR_TRAD_AGG_STATE_COMP[],D$1,0),"ERROR")</f>
        <v>373.13400660320002</v>
      </c>
      <c r="E54" s="111">
        <f>IFERROR(VLOOKUP($B54,MMWR_TRAD_AGG_STATE_COMP[],E$1,0),"ERROR")</f>
        <v>4765</v>
      </c>
      <c r="F54" s="112">
        <f>IFERROR(VLOOKUP($B54,MMWR_TRAD_AGG_STATE_COMP[],F$1,0),"ERROR")</f>
        <v>916</v>
      </c>
      <c r="G54" s="113">
        <f t="shared" si="4"/>
        <v>0.19223504721930745</v>
      </c>
      <c r="H54" s="111">
        <f>IFERROR(VLOOKUP($B54,MMWR_TRAD_AGG_STATE_COMP[],H$1,0),"ERROR")</f>
        <v>8727</v>
      </c>
      <c r="I54" s="112">
        <f>IFERROR(VLOOKUP($B54,MMWR_TRAD_AGG_STATE_COMP[],I$1,0),"ERROR")</f>
        <v>4520</v>
      </c>
      <c r="J54" s="114">
        <f t="shared" si="5"/>
        <v>0.51793285206829376</v>
      </c>
      <c r="K54" s="111">
        <f>IFERROR(VLOOKUP($B54,MMWR_TRAD_AGG_STATE_COMP[],K$1,0),"ERROR")</f>
        <v>3400</v>
      </c>
      <c r="L54" s="112">
        <f>IFERROR(VLOOKUP($B54,MMWR_TRAD_AGG_STATE_COMP[],L$1,0),"ERROR")</f>
        <v>2796</v>
      </c>
      <c r="M54" s="114">
        <f t="shared" si="6"/>
        <v>0.82235294117647062</v>
      </c>
      <c r="N54" s="111">
        <f>IFERROR(VLOOKUP($B54,MMWR_TRAD_AGG_STATE_COMP[],N$1,0),"ERROR")</f>
        <v>3198</v>
      </c>
      <c r="O54" s="112">
        <f>IFERROR(VLOOKUP($B54,MMWR_TRAD_AGG_STATE_COMP[],O$1,0),"ERROR")</f>
        <v>2302</v>
      </c>
      <c r="P54" s="114">
        <f t="shared" si="7"/>
        <v>0.71982489055659782</v>
      </c>
      <c r="Q54" s="115">
        <f>IFERROR(VLOOKUP($B54,MMWR_TRAD_AGG_STATE_COMP[],Q$1,0),"ERROR")</f>
        <v>7</v>
      </c>
      <c r="R54" s="115">
        <f>IFERROR(VLOOKUP($B54,MMWR_TRAD_AGG_STATE_COMP[],R$1,0),"ERROR")</f>
        <v>110</v>
      </c>
      <c r="S54" s="115">
        <f>IFERROR(VLOOKUP($B54,MMWR_APP_STATE_COMP[],S$1,0),"ERROR")</f>
        <v>4678</v>
      </c>
      <c r="T54" s="28"/>
    </row>
    <row r="55" spans="1:20" s="123" customFormat="1" x14ac:dyDescent="0.2">
      <c r="A55" s="28"/>
      <c r="B55" s="127" t="s">
        <v>80</v>
      </c>
      <c r="C55" s="109">
        <f>IFERROR(VLOOKUP($B55,MMWR_TRAD_AGG_STATE_COMP[],C$1,0),"ERROR")</f>
        <v>8356</v>
      </c>
      <c r="D55" s="110">
        <f>IFERROR(VLOOKUP($B55,MMWR_TRAD_AGG_STATE_COMP[],D$1,0),"ERROR")</f>
        <v>371.54080899949997</v>
      </c>
      <c r="E55" s="111">
        <f>IFERROR(VLOOKUP($B55,MMWR_TRAD_AGG_STATE_COMP[],E$1,0),"ERROR")</f>
        <v>7643</v>
      </c>
      <c r="F55" s="112">
        <f>IFERROR(VLOOKUP($B55,MMWR_TRAD_AGG_STATE_COMP[],F$1,0),"ERROR")</f>
        <v>1448</v>
      </c>
      <c r="G55" s="113">
        <f t="shared" si="4"/>
        <v>0.18945440272144445</v>
      </c>
      <c r="H55" s="111">
        <f>IFERROR(VLOOKUP($B55,MMWR_TRAD_AGG_STATE_COMP[],H$1,0),"ERROR")</f>
        <v>15406</v>
      </c>
      <c r="I55" s="112">
        <f>IFERROR(VLOOKUP($B55,MMWR_TRAD_AGG_STATE_COMP[],I$1,0),"ERROR")</f>
        <v>8220</v>
      </c>
      <c r="J55" s="114">
        <f t="shared" si="5"/>
        <v>0.53355835388809558</v>
      </c>
      <c r="K55" s="111">
        <f>IFERROR(VLOOKUP($B55,MMWR_TRAD_AGG_STATE_COMP[],K$1,0),"ERROR")</f>
        <v>4284</v>
      </c>
      <c r="L55" s="112">
        <f>IFERROR(VLOOKUP($B55,MMWR_TRAD_AGG_STATE_COMP[],L$1,0),"ERROR")</f>
        <v>2885</v>
      </c>
      <c r="M55" s="114">
        <f t="shared" si="6"/>
        <v>0.67343604108309996</v>
      </c>
      <c r="N55" s="111">
        <f>IFERROR(VLOOKUP($B55,MMWR_TRAD_AGG_STATE_COMP[],N$1,0),"ERROR")</f>
        <v>5774</v>
      </c>
      <c r="O55" s="112">
        <f>IFERROR(VLOOKUP($B55,MMWR_TRAD_AGG_STATE_COMP[],O$1,0),"ERROR")</f>
        <v>4467</v>
      </c>
      <c r="P55" s="114">
        <f t="shared" si="7"/>
        <v>0.77364045722202979</v>
      </c>
      <c r="Q55" s="115">
        <f>IFERROR(VLOOKUP($B55,MMWR_TRAD_AGG_STATE_COMP[],Q$1,0),"ERROR")</f>
        <v>15</v>
      </c>
      <c r="R55" s="115">
        <f>IFERROR(VLOOKUP($B55,MMWR_TRAD_AGG_STATE_COMP[],R$1,0),"ERROR")</f>
        <v>154</v>
      </c>
      <c r="S55" s="115">
        <f>IFERROR(VLOOKUP($B55,MMWR_APP_STATE_COMP[],S$1,0),"ERROR")</f>
        <v>4806</v>
      </c>
      <c r="T55" s="28"/>
    </row>
    <row r="56" spans="1:20" s="123" customFormat="1" x14ac:dyDescent="0.2">
      <c r="A56" s="28"/>
      <c r="B56" s="126" t="s">
        <v>379</v>
      </c>
      <c r="C56" s="102">
        <f>IFERROR(VLOOKUP($B56,MMWR_TRAD_AGG_ST_DISTRICT_COMP[],C$1,0),"ERROR")</f>
        <v>58333</v>
      </c>
      <c r="D56" s="103">
        <f>IFERROR(VLOOKUP($B56,MMWR_TRAD_AGG_ST_DISTRICT_COMP[],D$1,0),"ERROR")</f>
        <v>343.33130475029998</v>
      </c>
      <c r="E56" s="102">
        <f>IFERROR(VLOOKUP($B56,MMWR_TRAD_AGG_ST_DISTRICT_COMP[],E$1,0),"ERROR")</f>
        <v>80509</v>
      </c>
      <c r="F56" s="102">
        <f>IFERROR(VLOOKUP($B56,MMWR_TRAD_AGG_ST_DISTRICT_COMP[],F$1,0),"ERROR")</f>
        <v>18733</v>
      </c>
      <c r="G56" s="104">
        <f t="shared" si="4"/>
        <v>0.23268206039076378</v>
      </c>
      <c r="H56" s="102">
        <f>IFERROR(VLOOKUP($B56,MMWR_TRAD_AGG_ST_DISTRICT_COMP[],H$1,0),"ERROR")</f>
        <v>105346</v>
      </c>
      <c r="I56" s="102">
        <f>IFERROR(VLOOKUP($B56,MMWR_TRAD_AGG_ST_DISTRICT_COMP[],I$1,0),"ERROR")</f>
        <v>55777</v>
      </c>
      <c r="J56" s="105">
        <f t="shared" si="5"/>
        <v>0.52946481119359068</v>
      </c>
      <c r="K56" s="102">
        <f>IFERROR(VLOOKUP($B56,MMWR_TRAD_AGG_ST_DISTRICT_COMP[],K$1,0),"ERROR")</f>
        <v>31036</v>
      </c>
      <c r="L56" s="102">
        <f>IFERROR(VLOOKUP($B56,MMWR_TRAD_AGG_ST_DISTRICT_COMP[],L$1,0),"ERROR")</f>
        <v>25141</v>
      </c>
      <c r="M56" s="105">
        <f t="shared" si="6"/>
        <v>0.81005928599046273</v>
      </c>
      <c r="N56" s="102">
        <f>IFERROR(VLOOKUP($B56,MMWR_TRAD_AGG_ST_DISTRICT_COMP[],N$1,0),"ERROR")</f>
        <v>41388</v>
      </c>
      <c r="O56" s="102">
        <f>IFERROR(VLOOKUP($B56,MMWR_TRAD_AGG_ST_DISTRICT_COMP[],O$1,0),"ERROR")</f>
        <v>28735</v>
      </c>
      <c r="P56" s="105">
        <f t="shared" si="7"/>
        <v>0.69428336715956318</v>
      </c>
      <c r="Q56" s="102">
        <f>IFERROR(VLOOKUP($B56,MMWR_TRAD_AGG_ST_DISTRICT_COMP[],Q$1,0),"ERROR")</f>
        <v>6217</v>
      </c>
      <c r="R56" s="106">
        <f>IFERROR(VLOOKUP($B56,MMWR_TRAD_AGG_ST_DISTRICT_COMP[],R$1,0),"ERROR")</f>
        <v>1295</v>
      </c>
      <c r="S56" s="106">
        <f>SUM(S57:S63)</f>
        <v>88549</v>
      </c>
      <c r="T56" s="28"/>
    </row>
    <row r="57" spans="1:20" s="123" customFormat="1" x14ac:dyDescent="0.2">
      <c r="A57" s="28"/>
      <c r="B57" s="127" t="s">
        <v>387</v>
      </c>
      <c r="C57" s="109">
        <f>IFERROR(VLOOKUP($B57,MMWR_TRAD_AGG_STATE_COMP[],C$1,0),"ERROR")</f>
        <v>10161</v>
      </c>
      <c r="D57" s="110">
        <f>IFERROR(VLOOKUP($B57,MMWR_TRAD_AGG_STATE_COMP[],D$1,0),"ERROR")</f>
        <v>340.02204507430002</v>
      </c>
      <c r="E57" s="111">
        <f>IFERROR(VLOOKUP($B57,MMWR_TRAD_AGG_STATE_COMP[],E$1,0),"ERROR")</f>
        <v>8392</v>
      </c>
      <c r="F57" s="112">
        <f>IFERROR(VLOOKUP($B57,MMWR_TRAD_AGG_STATE_COMP[],F$1,0),"ERROR")</f>
        <v>1982</v>
      </c>
      <c r="G57" s="113">
        <f t="shared" si="4"/>
        <v>0.23617731172545281</v>
      </c>
      <c r="H57" s="111">
        <f>IFERROR(VLOOKUP($B57,MMWR_TRAD_AGG_STATE_COMP[],H$1,0),"ERROR")</f>
        <v>15812</v>
      </c>
      <c r="I57" s="112">
        <f>IFERROR(VLOOKUP($B57,MMWR_TRAD_AGG_STATE_COMP[],I$1,0),"ERROR")</f>
        <v>8886</v>
      </c>
      <c r="J57" s="114">
        <f t="shared" si="5"/>
        <v>0.56197824437136357</v>
      </c>
      <c r="K57" s="111">
        <f>IFERROR(VLOOKUP($B57,MMWR_TRAD_AGG_STATE_COMP[],K$1,0),"ERROR")</f>
        <v>4926</v>
      </c>
      <c r="L57" s="112">
        <f>IFERROR(VLOOKUP($B57,MMWR_TRAD_AGG_STATE_COMP[],L$1,0),"ERROR")</f>
        <v>4200</v>
      </c>
      <c r="M57" s="114">
        <f t="shared" si="6"/>
        <v>0.85261875761266748</v>
      </c>
      <c r="N57" s="111">
        <f>IFERROR(VLOOKUP($B57,MMWR_TRAD_AGG_STATE_COMP[],N$1,0),"ERROR")</f>
        <v>3300</v>
      </c>
      <c r="O57" s="112">
        <f>IFERROR(VLOOKUP($B57,MMWR_TRAD_AGG_STATE_COMP[],O$1,0),"ERROR")</f>
        <v>1992</v>
      </c>
      <c r="P57" s="114">
        <f t="shared" si="7"/>
        <v>0.60363636363636364</v>
      </c>
      <c r="Q57" s="115">
        <f>IFERROR(VLOOKUP($B57,MMWR_TRAD_AGG_STATE_COMP[],Q$1,0),"ERROR")</f>
        <v>439</v>
      </c>
      <c r="R57" s="115">
        <f>IFERROR(VLOOKUP($B57,MMWR_TRAD_AGG_STATE_COMP[],R$1,0),"ERROR")</f>
        <v>422</v>
      </c>
      <c r="S57" s="115">
        <f>IFERROR(VLOOKUP($B57,MMWR_APP_STATE_COMP[],S$1,0),"ERROR")</f>
        <v>9730</v>
      </c>
      <c r="T57" s="28"/>
    </row>
    <row r="58" spans="1:20" s="123" customFormat="1" x14ac:dyDescent="0.2">
      <c r="A58" s="28"/>
      <c r="B58" s="127" t="s">
        <v>424</v>
      </c>
      <c r="C58" s="109">
        <f>IFERROR(VLOOKUP($B58,MMWR_TRAD_AGG_STATE_COMP[],C$1,0),"ERROR")</f>
        <v>18144</v>
      </c>
      <c r="D58" s="110">
        <f>IFERROR(VLOOKUP($B58,MMWR_TRAD_AGG_STATE_COMP[],D$1,0),"ERROR")</f>
        <v>329.8691027337</v>
      </c>
      <c r="E58" s="111">
        <f>IFERROR(VLOOKUP($B58,MMWR_TRAD_AGG_STATE_COMP[],E$1,0),"ERROR")</f>
        <v>25958</v>
      </c>
      <c r="F58" s="112">
        <f>IFERROR(VLOOKUP($B58,MMWR_TRAD_AGG_STATE_COMP[],F$1,0),"ERROR")</f>
        <v>5963</v>
      </c>
      <c r="G58" s="113">
        <f t="shared" si="4"/>
        <v>0.22971723553432469</v>
      </c>
      <c r="H58" s="111">
        <f>IFERROR(VLOOKUP($B58,MMWR_TRAD_AGG_STATE_COMP[],H$1,0),"ERROR")</f>
        <v>31018</v>
      </c>
      <c r="I58" s="112">
        <f>IFERROR(VLOOKUP($B58,MMWR_TRAD_AGG_STATE_COMP[],I$1,0),"ERROR")</f>
        <v>16625</v>
      </c>
      <c r="J58" s="114">
        <f t="shared" si="5"/>
        <v>0.53597910890450706</v>
      </c>
      <c r="K58" s="111">
        <f>IFERROR(VLOOKUP($B58,MMWR_TRAD_AGG_STATE_COMP[],K$1,0),"ERROR")</f>
        <v>8019</v>
      </c>
      <c r="L58" s="112">
        <f>IFERROR(VLOOKUP($B58,MMWR_TRAD_AGG_STATE_COMP[],L$1,0),"ERROR")</f>
        <v>6249</v>
      </c>
      <c r="M58" s="114">
        <f t="shared" si="6"/>
        <v>0.77927422371866817</v>
      </c>
      <c r="N58" s="111">
        <f>IFERROR(VLOOKUP($B58,MMWR_TRAD_AGG_STATE_COMP[],N$1,0),"ERROR")</f>
        <v>18561</v>
      </c>
      <c r="O58" s="112">
        <f>IFERROR(VLOOKUP($B58,MMWR_TRAD_AGG_STATE_COMP[],O$1,0),"ERROR")</f>
        <v>13434</v>
      </c>
      <c r="P58" s="114">
        <f t="shared" si="7"/>
        <v>0.723775658639082</v>
      </c>
      <c r="Q58" s="115">
        <f>IFERROR(VLOOKUP($B58,MMWR_TRAD_AGG_STATE_COMP[],Q$1,0),"ERROR")</f>
        <v>2237</v>
      </c>
      <c r="R58" s="115">
        <f>IFERROR(VLOOKUP($B58,MMWR_TRAD_AGG_STATE_COMP[],R$1,0),"ERROR")</f>
        <v>318</v>
      </c>
      <c r="S58" s="115">
        <f>IFERROR(VLOOKUP($B58,MMWR_APP_STATE_COMP[],S$1,0),"ERROR")</f>
        <v>31052</v>
      </c>
      <c r="T58" s="28"/>
    </row>
    <row r="59" spans="1:20" s="123" customFormat="1" x14ac:dyDescent="0.2">
      <c r="A59" s="28"/>
      <c r="B59" s="127" t="s">
        <v>380</v>
      </c>
      <c r="C59" s="109">
        <f>IFERROR(VLOOKUP($B59,MMWR_TRAD_AGG_STATE_COMP[],C$1,0),"ERROR")</f>
        <v>13246</v>
      </c>
      <c r="D59" s="110">
        <f>IFERROR(VLOOKUP($B59,MMWR_TRAD_AGG_STATE_COMP[],D$1,0),"ERROR")</f>
        <v>337.81473652419999</v>
      </c>
      <c r="E59" s="111">
        <f>IFERROR(VLOOKUP($B59,MMWR_TRAD_AGG_STATE_COMP[],E$1,0),"ERROR")</f>
        <v>19438</v>
      </c>
      <c r="F59" s="112">
        <f>IFERROR(VLOOKUP($B59,MMWR_TRAD_AGG_STATE_COMP[],F$1,0),"ERROR")</f>
        <v>5233</v>
      </c>
      <c r="G59" s="113">
        <f t="shared" si="4"/>
        <v>0.26921493980862227</v>
      </c>
      <c r="H59" s="111">
        <f>IFERROR(VLOOKUP($B59,MMWR_TRAD_AGG_STATE_COMP[],H$1,0),"ERROR")</f>
        <v>24013</v>
      </c>
      <c r="I59" s="112">
        <f>IFERROR(VLOOKUP($B59,MMWR_TRAD_AGG_STATE_COMP[],I$1,0),"ERROR")</f>
        <v>13150</v>
      </c>
      <c r="J59" s="114">
        <f t="shared" si="5"/>
        <v>0.54762003914546287</v>
      </c>
      <c r="K59" s="111">
        <f>IFERROR(VLOOKUP($B59,MMWR_TRAD_AGG_STATE_COMP[],K$1,0),"ERROR")</f>
        <v>8777</v>
      </c>
      <c r="L59" s="112">
        <f>IFERROR(VLOOKUP($B59,MMWR_TRAD_AGG_STATE_COMP[],L$1,0),"ERROR")</f>
        <v>7270</v>
      </c>
      <c r="M59" s="114">
        <f t="shared" si="6"/>
        <v>0.82830124188219212</v>
      </c>
      <c r="N59" s="111">
        <f>IFERROR(VLOOKUP($B59,MMWR_TRAD_AGG_STATE_COMP[],N$1,0),"ERROR")</f>
        <v>8529</v>
      </c>
      <c r="O59" s="112">
        <f>IFERROR(VLOOKUP($B59,MMWR_TRAD_AGG_STATE_COMP[],O$1,0),"ERROR")</f>
        <v>5741</v>
      </c>
      <c r="P59" s="114">
        <f t="shared" si="7"/>
        <v>0.6731152538398405</v>
      </c>
      <c r="Q59" s="115">
        <f>IFERROR(VLOOKUP($B59,MMWR_TRAD_AGG_STATE_COMP[],Q$1,0),"ERROR")</f>
        <v>1141</v>
      </c>
      <c r="R59" s="115">
        <f>IFERROR(VLOOKUP($B59,MMWR_TRAD_AGG_STATE_COMP[],R$1,0),"ERROR")</f>
        <v>44</v>
      </c>
      <c r="S59" s="115">
        <f>IFERROR(VLOOKUP($B59,MMWR_APP_STATE_COMP[],S$1,0),"ERROR")</f>
        <v>18857</v>
      </c>
      <c r="T59" s="28"/>
    </row>
    <row r="60" spans="1:20" s="123" customFormat="1" x14ac:dyDescent="0.2">
      <c r="A60" s="28"/>
      <c r="B60" s="127" t="s">
        <v>392</v>
      </c>
      <c r="C60" s="109">
        <f>IFERROR(VLOOKUP($B60,MMWR_TRAD_AGG_STATE_COMP[],C$1,0),"ERROR")</f>
        <v>4737</v>
      </c>
      <c r="D60" s="110">
        <f>IFERROR(VLOOKUP($B60,MMWR_TRAD_AGG_STATE_COMP[],D$1,0),"ERROR")</f>
        <v>525.1566392231</v>
      </c>
      <c r="E60" s="111">
        <f>IFERROR(VLOOKUP($B60,MMWR_TRAD_AGG_STATE_COMP[],E$1,0),"ERROR")</f>
        <v>3912</v>
      </c>
      <c r="F60" s="112">
        <f>IFERROR(VLOOKUP($B60,MMWR_TRAD_AGG_STATE_COMP[],F$1,0),"ERROR")</f>
        <v>596</v>
      </c>
      <c r="G60" s="113">
        <f t="shared" si="4"/>
        <v>0.15235173824130879</v>
      </c>
      <c r="H60" s="111">
        <f>IFERROR(VLOOKUP($B60,MMWR_TRAD_AGG_STATE_COMP[],H$1,0),"ERROR")</f>
        <v>8090</v>
      </c>
      <c r="I60" s="112">
        <f>IFERROR(VLOOKUP($B60,MMWR_TRAD_AGG_STATE_COMP[],I$1,0),"ERROR")</f>
        <v>5104</v>
      </c>
      <c r="J60" s="114">
        <f t="shared" si="5"/>
        <v>0.63090234857849192</v>
      </c>
      <c r="K60" s="111">
        <f>IFERROR(VLOOKUP($B60,MMWR_TRAD_AGG_STATE_COMP[],K$1,0),"ERROR")</f>
        <v>2274</v>
      </c>
      <c r="L60" s="112">
        <f>IFERROR(VLOOKUP($B60,MMWR_TRAD_AGG_STATE_COMP[],L$1,0),"ERROR")</f>
        <v>1925</v>
      </c>
      <c r="M60" s="114">
        <f t="shared" si="6"/>
        <v>0.8465259454705365</v>
      </c>
      <c r="N60" s="111">
        <f>IFERROR(VLOOKUP($B60,MMWR_TRAD_AGG_STATE_COMP[],N$1,0),"ERROR")</f>
        <v>2190</v>
      </c>
      <c r="O60" s="112">
        <f>IFERROR(VLOOKUP($B60,MMWR_TRAD_AGG_STATE_COMP[],O$1,0),"ERROR")</f>
        <v>1576</v>
      </c>
      <c r="P60" s="114">
        <f t="shared" si="7"/>
        <v>0.71963470319634704</v>
      </c>
      <c r="Q60" s="115">
        <f>IFERROR(VLOOKUP($B60,MMWR_TRAD_AGG_STATE_COMP[],Q$1,0),"ERROR")</f>
        <v>572</v>
      </c>
      <c r="R60" s="115">
        <f>IFERROR(VLOOKUP($B60,MMWR_TRAD_AGG_STATE_COMP[],R$1,0),"ERROR")</f>
        <v>158</v>
      </c>
      <c r="S60" s="115">
        <f>IFERROR(VLOOKUP($B60,MMWR_APP_STATE_COMP[],S$1,0),"ERROR")</f>
        <v>3148</v>
      </c>
      <c r="T60" s="28"/>
    </row>
    <row r="61" spans="1:20" s="123" customFormat="1" x14ac:dyDescent="0.2">
      <c r="A61" s="28"/>
      <c r="B61" s="127" t="s">
        <v>426</v>
      </c>
      <c r="C61" s="109">
        <f>IFERROR(VLOOKUP($B61,MMWR_TRAD_AGG_STATE_COMP[],C$1,0),"ERROR")</f>
        <v>1177</v>
      </c>
      <c r="D61" s="110">
        <f>IFERROR(VLOOKUP($B61,MMWR_TRAD_AGG_STATE_COMP[],D$1,0),"ERROR")</f>
        <v>234.75785896350001</v>
      </c>
      <c r="E61" s="111">
        <f>IFERROR(VLOOKUP($B61,MMWR_TRAD_AGG_STATE_COMP[],E$1,0),"ERROR")</f>
        <v>3041</v>
      </c>
      <c r="F61" s="112">
        <f>IFERROR(VLOOKUP($B61,MMWR_TRAD_AGG_STATE_COMP[],F$1,0),"ERROR")</f>
        <v>696</v>
      </c>
      <c r="G61" s="113">
        <f t="shared" si="4"/>
        <v>0.22887208155212102</v>
      </c>
      <c r="H61" s="111">
        <f>IFERROR(VLOOKUP($B61,MMWR_TRAD_AGG_STATE_COMP[],H$1,0),"ERROR")</f>
        <v>4405</v>
      </c>
      <c r="I61" s="112">
        <f>IFERROR(VLOOKUP($B61,MMWR_TRAD_AGG_STATE_COMP[],I$1,0),"ERROR")</f>
        <v>1524</v>
      </c>
      <c r="J61" s="114">
        <f t="shared" si="5"/>
        <v>0.34597048808172531</v>
      </c>
      <c r="K61" s="111">
        <f>IFERROR(VLOOKUP($B61,MMWR_TRAD_AGG_STATE_COMP[],K$1,0),"ERROR")</f>
        <v>945</v>
      </c>
      <c r="L61" s="112">
        <f>IFERROR(VLOOKUP($B61,MMWR_TRAD_AGG_STATE_COMP[],L$1,0),"ERROR")</f>
        <v>756</v>
      </c>
      <c r="M61" s="114">
        <f t="shared" si="6"/>
        <v>0.8</v>
      </c>
      <c r="N61" s="111">
        <f>IFERROR(VLOOKUP($B61,MMWR_TRAD_AGG_STATE_COMP[],N$1,0),"ERROR")</f>
        <v>1793</v>
      </c>
      <c r="O61" s="112">
        <f>IFERROR(VLOOKUP($B61,MMWR_TRAD_AGG_STATE_COMP[],O$1,0),"ERROR")</f>
        <v>1284</v>
      </c>
      <c r="P61" s="114">
        <f t="shared" si="7"/>
        <v>0.7161182375906302</v>
      </c>
      <c r="Q61" s="115">
        <f>IFERROR(VLOOKUP($B61,MMWR_TRAD_AGG_STATE_COMP[],Q$1,0),"ERROR")</f>
        <v>386</v>
      </c>
      <c r="R61" s="115">
        <f>IFERROR(VLOOKUP($B61,MMWR_TRAD_AGG_STATE_COMP[],R$1,0),"ERROR")</f>
        <v>2</v>
      </c>
      <c r="S61" s="115">
        <f>IFERROR(VLOOKUP($B61,MMWR_APP_STATE_COMP[],S$1,0),"ERROR")</f>
        <v>5180</v>
      </c>
      <c r="T61" s="28"/>
    </row>
    <row r="62" spans="1:20" s="123" customFormat="1" x14ac:dyDescent="0.2">
      <c r="A62" s="28"/>
      <c r="B62" s="127" t="s">
        <v>382</v>
      </c>
      <c r="C62" s="109">
        <f>IFERROR(VLOOKUP($B62,MMWR_TRAD_AGG_STATE_COMP[],C$1,0),"ERROR")</f>
        <v>6458</v>
      </c>
      <c r="D62" s="110">
        <f>IFERROR(VLOOKUP($B62,MMWR_TRAD_AGG_STATE_COMP[],D$1,0),"ERROR")</f>
        <v>332.57122948279999</v>
      </c>
      <c r="E62" s="111">
        <f>IFERROR(VLOOKUP($B62,MMWR_TRAD_AGG_STATE_COMP[],E$1,0),"ERROR")</f>
        <v>10034</v>
      </c>
      <c r="F62" s="112">
        <f>IFERROR(VLOOKUP($B62,MMWR_TRAD_AGG_STATE_COMP[],F$1,0),"ERROR")</f>
        <v>2609</v>
      </c>
      <c r="G62" s="113">
        <f t="shared" si="4"/>
        <v>0.26001594578433329</v>
      </c>
      <c r="H62" s="111">
        <f>IFERROR(VLOOKUP($B62,MMWR_TRAD_AGG_STATE_COMP[],H$1,0),"ERROR")</f>
        <v>12416</v>
      </c>
      <c r="I62" s="112">
        <f>IFERROR(VLOOKUP($B62,MMWR_TRAD_AGG_STATE_COMP[],I$1,0),"ERROR")</f>
        <v>6798</v>
      </c>
      <c r="J62" s="114">
        <f t="shared" si="5"/>
        <v>0.54751932989690721</v>
      </c>
      <c r="K62" s="111">
        <f>IFERROR(VLOOKUP($B62,MMWR_TRAD_AGG_STATE_COMP[],K$1,0),"ERROR")</f>
        <v>3242</v>
      </c>
      <c r="L62" s="112">
        <f>IFERROR(VLOOKUP($B62,MMWR_TRAD_AGG_STATE_COMP[],L$1,0),"ERROR")</f>
        <v>2499</v>
      </c>
      <c r="M62" s="114">
        <f t="shared" si="6"/>
        <v>0.77082048118445401</v>
      </c>
      <c r="N62" s="111">
        <f>IFERROR(VLOOKUP($B62,MMWR_TRAD_AGG_STATE_COMP[],N$1,0),"ERROR")</f>
        <v>3829</v>
      </c>
      <c r="O62" s="112">
        <f>IFERROR(VLOOKUP($B62,MMWR_TRAD_AGG_STATE_COMP[],O$1,0),"ERROR")</f>
        <v>2542</v>
      </c>
      <c r="P62" s="114">
        <f t="shared" si="7"/>
        <v>0.6638809088534865</v>
      </c>
      <c r="Q62" s="115">
        <f>IFERROR(VLOOKUP($B62,MMWR_TRAD_AGG_STATE_COMP[],Q$1,0),"ERROR")</f>
        <v>763</v>
      </c>
      <c r="R62" s="115">
        <f>IFERROR(VLOOKUP($B62,MMWR_TRAD_AGG_STATE_COMP[],R$1,0),"ERROR")</f>
        <v>65</v>
      </c>
      <c r="S62" s="115">
        <f>IFERROR(VLOOKUP($B62,MMWR_APP_STATE_COMP[],S$1,0),"ERROR")</f>
        <v>13323</v>
      </c>
      <c r="T62" s="28"/>
    </row>
    <row r="63" spans="1:20" s="123" customFormat="1" x14ac:dyDescent="0.2">
      <c r="A63" s="28"/>
      <c r="B63" s="127" t="s">
        <v>383</v>
      </c>
      <c r="C63" s="109">
        <f>IFERROR(VLOOKUP($B63,MMWR_TRAD_AGG_STATE_COMP[],C$1,0),"ERROR")</f>
        <v>4410</v>
      </c>
      <c r="D63" s="110">
        <f>IFERROR(VLOOKUP($B63,MMWR_TRAD_AGG_STATE_COMP[],D$1,0),"ERROR")</f>
        <v>272.34013605439998</v>
      </c>
      <c r="E63" s="111">
        <f>IFERROR(VLOOKUP($B63,MMWR_TRAD_AGG_STATE_COMP[],E$1,0),"ERROR")</f>
        <v>9734</v>
      </c>
      <c r="F63" s="112">
        <f>IFERROR(VLOOKUP($B63,MMWR_TRAD_AGG_STATE_COMP[],F$1,0),"ERROR")</f>
        <v>1654</v>
      </c>
      <c r="G63" s="113">
        <f t="shared" si="4"/>
        <v>0.16991986850215737</v>
      </c>
      <c r="H63" s="111">
        <f>IFERROR(VLOOKUP($B63,MMWR_TRAD_AGG_STATE_COMP[],H$1,0),"ERROR")</f>
        <v>9592</v>
      </c>
      <c r="I63" s="112">
        <f>IFERROR(VLOOKUP($B63,MMWR_TRAD_AGG_STATE_COMP[],I$1,0),"ERROR")</f>
        <v>3690</v>
      </c>
      <c r="J63" s="114">
        <f t="shared" si="5"/>
        <v>0.38469557964970807</v>
      </c>
      <c r="K63" s="111">
        <f>IFERROR(VLOOKUP($B63,MMWR_TRAD_AGG_STATE_COMP[],K$1,0),"ERROR")</f>
        <v>2853</v>
      </c>
      <c r="L63" s="112">
        <f>IFERROR(VLOOKUP($B63,MMWR_TRAD_AGG_STATE_COMP[],L$1,0),"ERROR")</f>
        <v>2242</v>
      </c>
      <c r="M63" s="114">
        <f t="shared" si="6"/>
        <v>0.78583946722747988</v>
      </c>
      <c r="N63" s="111">
        <f>IFERROR(VLOOKUP($B63,MMWR_TRAD_AGG_STATE_COMP[],N$1,0),"ERROR")</f>
        <v>3186</v>
      </c>
      <c r="O63" s="112">
        <f>IFERROR(VLOOKUP($B63,MMWR_TRAD_AGG_STATE_COMP[],O$1,0),"ERROR")</f>
        <v>2166</v>
      </c>
      <c r="P63" s="114">
        <f t="shared" si="7"/>
        <v>0.67984934086629001</v>
      </c>
      <c r="Q63" s="115">
        <f>IFERROR(VLOOKUP($B63,MMWR_TRAD_AGG_STATE_COMP[],Q$1,0),"ERROR")</f>
        <v>679</v>
      </c>
      <c r="R63" s="115">
        <f>IFERROR(VLOOKUP($B63,MMWR_TRAD_AGG_STATE_COMP[],R$1,0),"ERROR")</f>
        <v>286</v>
      </c>
      <c r="S63" s="115">
        <f>IFERROR(VLOOKUP($B63,MMWR_APP_STATE_COMP[],S$1,0),"ERROR")</f>
        <v>7259</v>
      </c>
      <c r="T63" s="28"/>
    </row>
    <row r="64" spans="1:20" s="123" customFormat="1" x14ac:dyDescent="0.2">
      <c r="A64" s="28"/>
      <c r="B64" s="128" t="s">
        <v>8</v>
      </c>
      <c r="C64" s="102">
        <f>IFERROR(VLOOKUP($B64,MMWR_TRAD_AGG_ST_DISTRICT_COMP[],C$1,0),"ERROR")</f>
        <v>2870</v>
      </c>
      <c r="D64" s="103">
        <f>IFERROR(VLOOKUP($B64,MMWR_TRAD_AGG_ST_DISTRICT_COMP[],D$1,0),"ERROR")</f>
        <v>334.4860627178</v>
      </c>
      <c r="E64" s="102">
        <f>IFERROR(VLOOKUP($B64,MMWR_TRAD_AGG_ST_DISTRICT_COMP[],E$1,0),"ERROR")</f>
        <v>4258</v>
      </c>
      <c r="F64" s="102">
        <f>IFERROR(VLOOKUP($B64,MMWR_TRAD_AGG_ST_DISTRICT_COMP[],F$1,0),"ERROR")</f>
        <v>1651</v>
      </c>
      <c r="G64" s="104">
        <f t="shared" si="4"/>
        <v>0.3877407233442931</v>
      </c>
      <c r="H64" s="102">
        <f>IFERROR(VLOOKUP($B64,MMWR_TRAD_AGG_ST_DISTRICT_COMP[],H$1,0),"ERROR")</f>
        <v>4840</v>
      </c>
      <c r="I64" s="102">
        <f>IFERROR(VLOOKUP($B64,MMWR_TRAD_AGG_ST_DISTRICT_COMP[],I$1,0),"ERROR")</f>
        <v>2718</v>
      </c>
      <c r="J64" s="105">
        <f t="shared" si="5"/>
        <v>0.56157024793388433</v>
      </c>
      <c r="K64" s="102">
        <f>IFERROR(VLOOKUP($B64,MMWR_TRAD_AGG_ST_DISTRICT_COMP[],K$1,0),"ERROR")</f>
        <v>1519</v>
      </c>
      <c r="L64" s="102">
        <f>IFERROR(VLOOKUP($B64,MMWR_TRAD_AGG_ST_DISTRICT_COMP[],L$1,0),"ERROR")</f>
        <v>1007</v>
      </c>
      <c r="M64" s="105">
        <f t="shared" si="6"/>
        <v>0.66293614219881503</v>
      </c>
      <c r="N64" s="102">
        <f>IFERROR(VLOOKUP($B64,MMWR_TRAD_AGG_ST_DISTRICT_COMP[],N$1,0),"ERROR")</f>
        <v>1305</v>
      </c>
      <c r="O64" s="102">
        <f>IFERROR(VLOOKUP($B64,MMWR_TRAD_AGG_ST_DISTRICT_COMP[],O$1,0),"ERROR")</f>
        <v>839</v>
      </c>
      <c r="P64" s="105">
        <f t="shared" si="7"/>
        <v>0.64291187739463607</v>
      </c>
      <c r="Q64" s="102">
        <f>IFERROR(VLOOKUP($B64,MMWR_TRAD_AGG_ST_DISTRICT_COMP[],Q$1,0),"ERROR")</f>
        <v>483</v>
      </c>
      <c r="R64" s="106">
        <f>IFERROR(VLOOKUP($B64,MMWR_TRAD_AGG_ST_DISTRICT_COMP[],R$1,0),"ERROR")</f>
        <v>127</v>
      </c>
      <c r="S64" s="106">
        <f>IFERROR(VLOOKUP($B64,MMWR_APP_STATE_COMP[],S$1,0),"ERROR")</f>
        <v>345</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486</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225</v>
      </c>
      <c r="D67" s="462"/>
      <c r="E67" s="459" t="s">
        <v>205</v>
      </c>
      <c r="F67" s="460"/>
      <c r="G67" s="461"/>
      <c r="H67" s="459" t="s">
        <v>7</v>
      </c>
      <c r="I67" s="460"/>
      <c r="J67" s="461"/>
      <c r="K67" s="459" t="s">
        <v>30</v>
      </c>
      <c r="L67" s="460"/>
      <c r="M67" s="461"/>
      <c r="N67" s="459" t="s">
        <v>8</v>
      </c>
      <c r="O67" s="460"/>
      <c r="P67" s="461"/>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487</v>
      </c>
      <c r="T68" s="28"/>
    </row>
    <row r="69" spans="1:20" s="123" customFormat="1" x14ac:dyDescent="0.2">
      <c r="A69" s="28"/>
      <c r="B69" s="129" t="s">
        <v>461</v>
      </c>
      <c r="C69" s="119">
        <f>IFERROR(VLOOKUP($B69,MMWR_TRAD_AGG_RO_PEN[],C$1,0),"ERROR")</f>
        <v>21291</v>
      </c>
      <c r="D69" s="120">
        <f>IFERROR(VLOOKUP($B69,MMWR_TRAD_AGG_RO_PEN[],D$1,0),"ERROR")</f>
        <v>89.368277676000005</v>
      </c>
      <c r="E69" s="119">
        <f>IFERROR(VLOOKUP($B69,MMWR_TRAD_AGG_RO_PEN[],E$1,0),"ERROR")</f>
        <v>28944</v>
      </c>
      <c r="F69" s="119">
        <f>IFERROR(VLOOKUP($B69,MMWR_TRAD_AGG_RO_PEN[],F$1,0),"ERROR")</f>
        <v>3813</v>
      </c>
      <c r="G69" s="98">
        <f t="shared" ref="G69:G100" si="8">IFERROR(F69/E69,"0%")</f>
        <v>0.13173714759535654</v>
      </c>
      <c r="H69" s="119">
        <f>IFERROR(VLOOKUP($B69,MMWR_TRAD_AGG_RO_PEN[],H$1,0),"ERROR")</f>
        <v>31533</v>
      </c>
      <c r="I69" s="119">
        <f>IFERROR(VLOOKUP($B69,MMWR_TRAD_AGG_RO_PEN[],I$1,0),"ERROR")</f>
        <v>7165</v>
      </c>
      <c r="J69" s="98">
        <f t="shared" ref="J69:J100" si="9">IFERROR(I69/H69,"0%")</f>
        <v>0.22722227507690357</v>
      </c>
      <c r="K69" s="119">
        <f>IFERROR(VLOOKUP($B69,MMWR_TRAD_AGG_RO_PEN[],K$1,0),"ERROR")</f>
        <v>239</v>
      </c>
      <c r="L69" s="119">
        <f>IFERROR(VLOOKUP($B69,MMWR_TRAD_AGG_RO_PEN[],L$1,0),"ERROR")</f>
        <v>230</v>
      </c>
      <c r="M69" s="98">
        <f t="shared" ref="M69:M100" si="10">IFERROR(L69/K69,"0%")</f>
        <v>0.96234309623430958</v>
      </c>
      <c r="N69" s="119">
        <f>IFERROR(VLOOKUP($B69,MMWR_TRAD_AGG_RO_PEN[],N$1,0),"ERROR")</f>
        <v>1693</v>
      </c>
      <c r="O69" s="119">
        <f>IFERROR(VLOOKUP($B69,MMWR_TRAD_AGG_RO_PEN[],O$1,0),"ERROR")</f>
        <v>567</v>
      </c>
      <c r="P69" s="98">
        <f t="shared" ref="P69:P100" si="11">IFERROR(O69/N69,"0%")</f>
        <v>0.3349084465445954</v>
      </c>
      <c r="Q69" s="119">
        <f>IFERROR(VLOOKUP($B69,MMWR_TRAD_AGG_RO_PEN[],Q$1,0),"ERROR")</f>
        <v>11708</v>
      </c>
      <c r="R69" s="121">
        <f>IFERROR(VLOOKUP($B69,MMWR_TRAD_AGG_RO_PEN[],R$1,0),"ERROR")</f>
        <v>6032</v>
      </c>
      <c r="S69" s="121">
        <f>S70+S86+S99+S109+S119+S127</f>
        <v>4799</v>
      </c>
      <c r="T69" s="28"/>
    </row>
    <row r="70" spans="1:20" s="123" customFormat="1" x14ac:dyDescent="0.2">
      <c r="A70" s="28"/>
      <c r="B70" s="126" t="s">
        <v>368</v>
      </c>
      <c r="C70" s="102">
        <f>IFERROR(VLOOKUP($B70,MMWR_TRAD_AGG_ST_DISTRICT_PEN[],C$1,0),"ERROR")</f>
        <v>6641</v>
      </c>
      <c r="D70" s="103">
        <f>IFERROR(VLOOKUP($B70,MMWR_TRAD_AGG_ST_DISTRICT_PEN[],D$1,0),"ERROR")</f>
        <v>105.4524920946</v>
      </c>
      <c r="E70" s="102">
        <f>IFERROR(VLOOKUP($B70,MMWR_TRAD_AGG_ST_DISTRICT_PEN[],E$1,0),"ERROR")</f>
        <v>8818</v>
      </c>
      <c r="F70" s="102">
        <f>IFERROR(VLOOKUP($B70,MMWR_TRAD_AGG_ST_DISTRICT_PEN[],F$1,0),"ERROR")</f>
        <v>1455</v>
      </c>
      <c r="G70" s="104">
        <f t="shared" si="8"/>
        <v>0.16500340213200274</v>
      </c>
      <c r="H70" s="102">
        <f>IFERROR(VLOOKUP($B70,MMWR_TRAD_AGG_ST_DISTRICT_PEN[],H$1,0),"ERROR")</f>
        <v>9234</v>
      </c>
      <c r="I70" s="102">
        <f>IFERROR(VLOOKUP($B70,MMWR_TRAD_AGG_ST_DISTRICT_PEN[],I$1,0),"ERROR")</f>
        <v>2764</v>
      </c>
      <c r="J70" s="104">
        <f t="shared" si="9"/>
        <v>0.29932856833441629</v>
      </c>
      <c r="K70" s="102">
        <f>IFERROR(VLOOKUP($B70,MMWR_TRAD_AGG_ST_DISTRICT_PEN[],K$1,0),"ERROR")</f>
        <v>167</v>
      </c>
      <c r="L70" s="102">
        <f>IFERROR(VLOOKUP($B70,MMWR_TRAD_AGG_ST_DISTRICT_PEN[],L$1,0),"ERROR")</f>
        <v>163</v>
      </c>
      <c r="M70" s="104">
        <f t="shared" si="10"/>
        <v>0.9760479041916168</v>
      </c>
      <c r="N70" s="102">
        <f>IFERROR(VLOOKUP($B70,MMWR_TRAD_AGG_ST_DISTRICT_PEN[],N$1,0),"ERROR")</f>
        <v>418</v>
      </c>
      <c r="O70" s="102">
        <f>IFERROR(VLOOKUP($B70,MMWR_TRAD_AGG_ST_DISTRICT_PEN[],O$1,0),"ERROR")</f>
        <v>137</v>
      </c>
      <c r="P70" s="104">
        <f t="shared" si="11"/>
        <v>0.32775119617224879</v>
      </c>
      <c r="Q70" s="102">
        <f>IFERROR(VLOOKUP($B70,MMWR_TRAD_AGG_ST_DISTRICT_PEN[],Q$1,0),"ERROR")</f>
        <v>1104</v>
      </c>
      <c r="R70" s="106">
        <f>IFERROR(VLOOKUP($B70,MMWR_TRAD_AGG_ST_DISTRICT_PEN[],R$1,0),"ERROR")</f>
        <v>1663</v>
      </c>
      <c r="S70" s="106">
        <f>IFERROR(VLOOKUP($B70,MMWR_APP_STATE_PEN[],S$1,0),"ERROR")</f>
        <v>873</v>
      </c>
      <c r="T70" s="28"/>
    </row>
    <row r="71" spans="1:20" s="123" customFormat="1" x14ac:dyDescent="0.2">
      <c r="A71" s="28"/>
      <c r="B71" s="127" t="s">
        <v>372</v>
      </c>
      <c r="C71" s="109">
        <f>IFERROR(VLOOKUP($B71,MMWR_TRAD_AGG_STATE_PEN[],C$1,0),"ERROR")</f>
        <v>207</v>
      </c>
      <c r="D71" s="110">
        <f>IFERROR(VLOOKUP($B71,MMWR_TRAD_AGG_STATE_PEN[],D$1,0),"ERROR")</f>
        <v>102.4057971014</v>
      </c>
      <c r="E71" s="111">
        <f>IFERROR(VLOOKUP($B71,MMWR_TRAD_AGG_STATE_PEN[],E$1,0),"ERROR")</f>
        <v>333</v>
      </c>
      <c r="F71" s="112">
        <f>IFERROR(VLOOKUP($B71,MMWR_TRAD_AGG_STATE_PEN[],F$1,0),"ERROR")</f>
        <v>53</v>
      </c>
      <c r="G71" s="113">
        <f t="shared" si="8"/>
        <v>0.15915915915915915</v>
      </c>
      <c r="H71" s="111">
        <f>IFERROR(VLOOKUP($B71,MMWR_TRAD_AGG_STATE_PEN[],H$1,0),"ERROR")</f>
        <v>274</v>
      </c>
      <c r="I71" s="112">
        <f>IFERROR(VLOOKUP($B71,MMWR_TRAD_AGG_STATE_PEN[],I$1,0),"ERROR")</f>
        <v>78</v>
      </c>
      <c r="J71" s="114">
        <f t="shared" si="9"/>
        <v>0.28467153284671531</v>
      </c>
      <c r="K71" s="111">
        <f>IFERROR(VLOOKUP($B71,MMWR_TRAD_AGG_STATE_PEN[],K$1,0),"ERROR")</f>
        <v>0</v>
      </c>
      <c r="L71" s="112">
        <f>IFERROR(VLOOKUP($B71,MMWR_TRAD_AGG_STATE_PEN[],L$1,0),"ERROR")</f>
        <v>0</v>
      </c>
      <c r="M71" s="114" t="str">
        <f t="shared" si="10"/>
        <v>0%</v>
      </c>
      <c r="N71" s="111">
        <f>IFERROR(VLOOKUP($B71,MMWR_TRAD_AGG_STATE_PEN[],N$1,0),"ERROR")</f>
        <v>16</v>
      </c>
      <c r="O71" s="112">
        <f>IFERROR(VLOOKUP($B71,MMWR_TRAD_AGG_STATE_PEN[],O$1,0),"ERROR")</f>
        <v>6</v>
      </c>
      <c r="P71" s="114">
        <f t="shared" si="11"/>
        <v>0.375</v>
      </c>
      <c r="Q71" s="115">
        <f>IFERROR(VLOOKUP($B71,MMWR_TRAD_AGG_STATE_PEN[],Q$1,0),"ERROR")</f>
        <v>17</v>
      </c>
      <c r="R71" s="115">
        <f>IFERROR(VLOOKUP($B71,MMWR_TRAD_AGG_STATE_PEN[],R$1,0),"ERROR")</f>
        <v>43</v>
      </c>
      <c r="S71" s="115">
        <f>IFERROR(VLOOKUP($B71,MMWR_APP_STATE_PEN[],S$1,0),"ERROR")</f>
        <v>31</v>
      </c>
      <c r="T71" s="28"/>
    </row>
    <row r="72" spans="1:20" s="123" customFormat="1" x14ac:dyDescent="0.2">
      <c r="A72" s="28"/>
      <c r="B72" s="127" t="s">
        <v>422</v>
      </c>
      <c r="C72" s="109">
        <f>IFERROR(VLOOKUP($B72,MMWR_TRAD_AGG_STATE_PEN[],C$1,0),"ERROR")</f>
        <v>50</v>
      </c>
      <c r="D72" s="110">
        <f>IFERROR(VLOOKUP($B72,MMWR_TRAD_AGG_STATE_PEN[],D$1,0),"ERROR")</f>
        <v>114</v>
      </c>
      <c r="E72" s="111">
        <f>IFERROR(VLOOKUP($B72,MMWR_TRAD_AGG_STATE_PEN[],E$1,0),"ERROR")</f>
        <v>71</v>
      </c>
      <c r="F72" s="112">
        <f>IFERROR(VLOOKUP($B72,MMWR_TRAD_AGG_STATE_PEN[],F$1,0),"ERROR")</f>
        <v>11</v>
      </c>
      <c r="G72" s="113">
        <f t="shared" si="8"/>
        <v>0.15492957746478872</v>
      </c>
      <c r="H72" s="111">
        <f>IFERROR(VLOOKUP($B72,MMWR_TRAD_AGG_STATE_PEN[],H$1,0),"ERROR")</f>
        <v>77</v>
      </c>
      <c r="I72" s="112">
        <f>IFERROR(VLOOKUP($B72,MMWR_TRAD_AGG_STATE_PEN[],I$1,0),"ERROR")</f>
        <v>21</v>
      </c>
      <c r="J72" s="114">
        <f t="shared" si="9"/>
        <v>0.27272727272727271</v>
      </c>
      <c r="K72" s="111">
        <f>IFERROR(VLOOKUP($B72,MMWR_TRAD_AGG_STATE_PEN[],K$1,0),"ERROR")</f>
        <v>2</v>
      </c>
      <c r="L72" s="112">
        <f>IFERROR(VLOOKUP($B72,MMWR_TRAD_AGG_STATE_PEN[],L$1,0),"ERROR")</f>
        <v>2</v>
      </c>
      <c r="M72" s="114">
        <f t="shared" si="10"/>
        <v>1</v>
      </c>
      <c r="N72" s="111">
        <f>IFERROR(VLOOKUP($B72,MMWR_TRAD_AGG_STATE_PEN[],N$1,0),"ERROR")</f>
        <v>5</v>
      </c>
      <c r="O72" s="112">
        <f>IFERROR(VLOOKUP($B72,MMWR_TRAD_AGG_STATE_PEN[],O$1,0),"ERROR")</f>
        <v>1</v>
      </c>
      <c r="P72" s="114">
        <f t="shared" si="11"/>
        <v>0.2</v>
      </c>
      <c r="Q72" s="115">
        <f>IFERROR(VLOOKUP($B72,MMWR_TRAD_AGG_STATE_PEN[],Q$1,0),"ERROR")</f>
        <v>11</v>
      </c>
      <c r="R72" s="115">
        <f>IFERROR(VLOOKUP($B72,MMWR_TRAD_AGG_STATE_PEN[],R$1,0),"ERROR")</f>
        <v>9</v>
      </c>
      <c r="S72" s="115">
        <f>IFERROR(VLOOKUP($B72,MMWR_APP_STATE_PEN[],S$1,0),"ERROR")</f>
        <v>7</v>
      </c>
      <c r="T72" s="28"/>
    </row>
    <row r="73" spans="1:20" s="123" customFormat="1" x14ac:dyDescent="0.2">
      <c r="A73" s="28"/>
      <c r="B73" s="127" t="s">
        <v>413</v>
      </c>
      <c r="C73" s="109">
        <f>IFERROR(VLOOKUP($B73,MMWR_TRAD_AGG_STATE_PEN[],C$1,0),"ERROR")</f>
        <v>35</v>
      </c>
      <c r="D73" s="110">
        <f>IFERROR(VLOOKUP($B73,MMWR_TRAD_AGG_STATE_PEN[],D$1,0),"ERROR")</f>
        <v>95.514285714300001</v>
      </c>
      <c r="E73" s="111">
        <f>IFERROR(VLOOKUP($B73,MMWR_TRAD_AGG_STATE_PEN[],E$1,0),"ERROR")</f>
        <v>33</v>
      </c>
      <c r="F73" s="112">
        <f>IFERROR(VLOOKUP($B73,MMWR_TRAD_AGG_STATE_PEN[],F$1,0),"ERROR")</f>
        <v>5</v>
      </c>
      <c r="G73" s="113">
        <f t="shared" si="8"/>
        <v>0.15151515151515152</v>
      </c>
      <c r="H73" s="111">
        <f>IFERROR(VLOOKUP($B73,MMWR_TRAD_AGG_STATE_PEN[],H$1,0),"ERROR")</f>
        <v>53</v>
      </c>
      <c r="I73" s="112">
        <f>IFERROR(VLOOKUP($B73,MMWR_TRAD_AGG_STATE_PEN[],I$1,0),"ERROR")</f>
        <v>13</v>
      </c>
      <c r="J73" s="114">
        <f t="shared" si="9"/>
        <v>0.24528301886792453</v>
      </c>
      <c r="K73" s="111">
        <f>IFERROR(VLOOKUP($B73,MMWR_TRAD_AGG_STATE_PEN[],K$1,0),"ERROR")</f>
        <v>2</v>
      </c>
      <c r="L73" s="112">
        <f>IFERROR(VLOOKUP($B73,MMWR_TRAD_AGG_STATE_PEN[],L$1,0),"ERROR")</f>
        <v>2</v>
      </c>
      <c r="M73" s="114">
        <f t="shared" si="10"/>
        <v>1</v>
      </c>
      <c r="N73" s="111">
        <f>IFERROR(VLOOKUP($B73,MMWR_TRAD_AGG_STATE_PEN[],N$1,0),"ERROR")</f>
        <v>2</v>
      </c>
      <c r="O73" s="112">
        <f>IFERROR(VLOOKUP($B73,MMWR_TRAD_AGG_STATE_PEN[],O$1,0),"ERROR")</f>
        <v>1</v>
      </c>
      <c r="P73" s="114">
        <f t="shared" si="11"/>
        <v>0.5</v>
      </c>
      <c r="Q73" s="115">
        <f>IFERROR(VLOOKUP($B73,MMWR_TRAD_AGG_STATE_PEN[],Q$1,0),"ERROR")</f>
        <v>5</v>
      </c>
      <c r="R73" s="115">
        <f>IFERROR(VLOOKUP($B73,MMWR_TRAD_AGG_STATE_PEN[],R$1,0),"ERROR")</f>
        <v>12</v>
      </c>
      <c r="S73" s="115">
        <f>IFERROR(VLOOKUP($B73,MMWR_APP_STATE_PEN[],S$1,0),"ERROR")</f>
        <v>7</v>
      </c>
      <c r="T73" s="28"/>
    </row>
    <row r="74" spans="1:20" s="123" customFormat="1" x14ac:dyDescent="0.2">
      <c r="A74" s="28"/>
      <c r="B74" s="127" t="s">
        <v>415</v>
      </c>
      <c r="C74" s="109">
        <f>IFERROR(VLOOKUP($B74,MMWR_TRAD_AGG_STATE_PEN[],C$1,0),"ERROR")</f>
        <v>105</v>
      </c>
      <c r="D74" s="110">
        <f>IFERROR(VLOOKUP($B74,MMWR_TRAD_AGG_STATE_PEN[],D$1,0),"ERROR")</f>
        <v>95.819047619000003</v>
      </c>
      <c r="E74" s="111">
        <f>IFERROR(VLOOKUP($B74,MMWR_TRAD_AGG_STATE_PEN[],E$1,0),"ERROR")</f>
        <v>130</v>
      </c>
      <c r="F74" s="112">
        <f>IFERROR(VLOOKUP($B74,MMWR_TRAD_AGG_STATE_PEN[],F$1,0),"ERROR")</f>
        <v>22</v>
      </c>
      <c r="G74" s="113">
        <f t="shared" si="8"/>
        <v>0.16923076923076924</v>
      </c>
      <c r="H74" s="111">
        <f>IFERROR(VLOOKUP($B74,MMWR_TRAD_AGG_STATE_PEN[],H$1,0),"ERROR")</f>
        <v>149</v>
      </c>
      <c r="I74" s="112">
        <f>IFERROR(VLOOKUP($B74,MMWR_TRAD_AGG_STATE_PEN[],I$1,0),"ERROR")</f>
        <v>38</v>
      </c>
      <c r="J74" s="114">
        <f t="shared" si="9"/>
        <v>0.25503355704697989</v>
      </c>
      <c r="K74" s="111">
        <f>IFERROR(VLOOKUP($B74,MMWR_TRAD_AGG_STATE_PEN[],K$1,0),"ERROR")</f>
        <v>1</v>
      </c>
      <c r="L74" s="112">
        <f>IFERROR(VLOOKUP($B74,MMWR_TRAD_AGG_STATE_PEN[],L$1,0),"ERROR")</f>
        <v>1</v>
      </c>
      <c r="M74" s="114">
        <f t="shared" si="10"/>
        <v>1</v>
      </c>
      <c r="N74" s="111">
        <f>IFERROR(VLOOKUP($B74,MMWR_TRAD_AGG_STATE_PEN[],N$1,0),"ERROR")</f>
        <v>11</v>
      </c>
      <c r="O74" s="112">
        <f>IFERROR(VLOOKUP($B74,MMWR_TRAD_AGG_STATE_PEN[],O$1,0),"ERROR")</f>
        <v>4</v>
      </c>
      <c r="P74" s="114">
        <f t="shared" si="11"/>
        <v>0.36363636363636365</v>
      </c>
      <c r="Q74" s="115">
        <f>IFERROR(VLOOKUP($B74,MMWR_TRAD_AGG_STATE_PEN[],Q$1,0),"ERROR")</f>
        <v>23</v>
      </c>
      <c r="R74" s="115">
        <f>IFERROR(VLOOKUP($B74,MMWR_TRAD_AGG_STATE_PEN[],R$1,0),"ERROR")</f>
        <v>23</v>
      </c>
      <c r="S74" s="115">
        <f>IFERROR(VLOOKUP($B74,MMWR_APP_STATE_PEN[],S$1,0),"ERROR")</f>
        <v>22</v>
      </c>
      <c r="T74" s="28"/>
    </row>
    <row r="75" spans="1:20" s="123" customFormat="1" x14ac:dyDescent="0.2">
      <c r="A75" s="28"/>
      <c r="B75" s="127" t="s">
        <v>375</v>
      </c>
      <c r="C75" s="109">
        <f>IFERROR(VLOOKUP($B75,MMWR_TRAD_AGG_STATE_PEN[],C$1,0),"ERROR")</f>
        <v>301</v>
      </c>
      <c r="D75" s="110">
        <f>IFERROR(VLOOKUP($B75,MMWR_TRAD_AGG_STATE_PEN[],D$1,0),"ERROR")</f>
        <v>102.7574750831</v>
      </c>
      <c r="E75" s="111">
        <f>IFERROR(VLOOKUP($B75,MMWR_TRAD_AGG_STATE_PEN[],E$1,0),"ERROR")</f>
        <v>509</v>
      </c>
      <c r="F75" s="112">
        <f>IFERROR(VLOOKUP($B75,MMWR_TRAD_AGG_STATE_PEN[],F$1,0),"ERROR")</f>
        <v>77</v>
      </c>
      <c r="G75" s="113">
        <f t="shared" si="8"/>
        <v>0.15127701375245581</v>
      </c>
      <c r="H75" s="111">
        <f>IFERROR(VLOOKUP($B75,MMWR_TRAD_AGG_STATE_PEN[],H$1,0),"ERROR")</f>
        <v>488</v>
      </c>
      <c r="I75" s="112">
        <f>IFERROR(VLOOKUP($B75,MMWR_TRAD_AGG_STATE_PEN[],I$1,0),"ERROR")</f>
        <v>146</v>
      </c>
      <c r="J75" s="114">
        <f t="shared" si="9"/>
        <v>0.29918032786885246</v>
      </c>
      <c r="K75" s="111">
        <f>IFERROR(VLOOKUP($B75,MMWR_TRAD_AGG_STATE_PEN[],K$1,0),"ERROR")</f>
        <v>5</v>
      </c>
      <c r="L75" s="112">
        <f>IFERROR(VLOOKUP($B75,MMWR_TRAD_AGG_STATE_PEN[],L$1,0),"ERROR")</f>
        <v>5</v>
      </c>
      <c r="M75" s="114">
        <f t="shared" si="10"/>
        <v>1</v>
      </c>
      <c r="N75" s="111">
        <f>IFERROR(VLOOKUP($B75,MMWR_TRAD_AGG_STATE_PEN[],N$1,0),"ERROR")</f>
        <v>27</v>
      </c>
      <c r="O75" s="112">
        <f>IFERROR(VLOOKUP($B75,MMWR_TRAD_AGG_STATE_PEN[],O$1,0),"ERROR")</f>
        <v>9</v>
      </c>
      <c r="P75" s="114">
        <f t="shared" si="11"/>
        <v>0.33333333333333331</v>
      </c>
      <c r="Q75" s="115">
        <f>IFERROR(VLOOKUP($B75,MMWR_TRAD_AGG_STATE_PEN[],Q$1,0),"ERROR")</f>
        <v>81</v>
      </c>
      <c r="R75" s="115">
        <f>IFERROR(VLOOKUP($B75,MMWR_TRAD_AGG_STATE_PEN[],R$1,0),"ERROR")</f>
        <v>131</v>
      </c>
      <c r="S75" s="115">
        <f>IFERROR(VLOOKUP($B75,MMWR_APP_STATE_PEN[],S$1,0),"ERROR")</f>
        <v>49</v>
      </c>
      <c r="T75" s="28"/>
    </row>
    <row r="76" spans="1:20" s="123" customFormat="1" x14ac:dyDescent="0.2">
      <c r="A76" s="28"/>
      <c r="B76" s="127" t="s">
        <v>370</v>
      </c>
      <c r="C76" s="109">
        <f>IFERROR(VLOOKUP($B76,MMWR_TRAD_AGG_STATE_PEN[],C$1,0),"ERROR")</f>
        <v>374</v>
      </c>
      <c r="D76" s="110">
        <f>IFERROR(VLOOKUP($B76,MMWR_TRAD_AGG_STATE_PEN[],D$1,0),"ERROR")</f>
        <v>104.0828877005</v>
      </c>
      <c r="E76" s="111">
        <f>IFERROR(VLOOKUP($B76,MMWR_TRAD_AGG_STATE_PEN[],E$1,0),"ERROR")</f>
        <v>522</v>
      </c>
      <c r="F76" s="112">
        <f>IFERROR(VLOOKUP($B76,MMWR_TRAD_AGG_STATE_PEN[],F$1,0),"ERROR")</f>
        <v>97</v>
      </c>
      <c r="G76" s="113">
        <f t="shared" si="8"/>
        <v>0.18582375478927204</v>
      </c>
      <c r="H76" s="111">
        <f>IFERROR(VLOOKUP($B76,MMWR_TRAD_AGG_STATE_PEN[],H$1,0),"ERROR")</f>
        <v>533</v>
      </c>
      <c r="I76" s="112">
        <f>IFERROR(VLOOKUP($B76,MMWR_TRAD_AGG_STATE_PEN[],I$1,0),"ERROR")</f>
        <v>144</v>
      </c>
      <c r="J76" s="114">
        <f t="shared" si="9"/>
        <v>0.27016885553470921</v>
      </c>
      <c r="K76" s="111">
        <f>IFERROR(VLOOKUP($B76,MMWR_TRAD_AGG_STATE_PEN[],K$1,0),"ERROR")</f>
        <v>4</v>
      </c>
      <c r="L76" s="112">
        <f>IFERROR(VLOOKUP($B76,MMWR_TRAD_AGG_STATE_PEN[],L$1,0),"ERROR")</f>
        <v>4</v>
      </c>
      <c r="M76" s="114">
        <f t="shared" si="10"/>
        <v>1</v>
      </c>
      <c r="N76" s="111">
        <f>IFERROR(VLOOKUP($B76,MMWR_TRAD_AGG_STATE_PEN[],N$1,0),"ERROR")</f>
        <v>27</v>
      </c>
      <c r="O76" s="112">
        <f>IFERROR(VLOOKUP($B76,MMWR_TRAD_AGG_STATE_PEN[],O$1,0),"ERROR")</f>
        <v>6</v>
      </c>
      <c r="P76" s="114">
        <f t="shared" si="11"/>
        <v>0.22222222222222221</v>
      </c>
      <c r="Q76" s="115">
        <f>IFERROR(VLOOKUP($B76,MMWR_TRAD_AGG_STATE_PEN[],Q$1,0),"ERROR")</f>
        <v>44</v>
      </c>
      <c r="R76" s="115">
        <f>IFERROR(VLOOKUP($B76,MMWR_TRAD_AGG_STATE_PEN[],R$1,0),"ERROR")</f>
        <v>111</v>
      </c>
      <c r="S76" s="115">
        <f>IFERROR(VLOOKUP($B76,MMWR_APP_STATE_PEN[],S$1,0),"ERROR")</f>
        <v>76</v>
      </c>
      <c r="T76" s="28"/>
    </row>
    <row r="77" spans="1:20" s="123" customFormat="1" x14ac:dyDescent="0.2">
      <c r="A77" s="28"/>
      <c r="B77" s="127" t="s">
        <v>414</v>
      </c>
      <c r="C77" s="109">
        <f>IFERROR(VLOOKUP($B77,MMWR_TRAD_AGG_STATE_PEN[],C$1,0),"ERROR")</f>
        <v>112</v>
      </c>
      <c r="D77" s="110">
        <f>IFERROR(VLOOKUP($B77,MMWR_TRAD_AGG_STATE_PEN[],D$1,0),"ERROR")</f>
        <v>99.517857142899999</v>
      </c>
      <c r="E77" s="111">
        <f>IFERROR(VLOOKUP($B77,MMWR_TRAD_AGG_STATE_PEN[],E$1,0),"ERROR")</f>
        <v>125</v>
      </c>
      <c r="F77" s="112">
        <f>IFERROR(VLOOKUP($B77,MMWR_TRAD_AGG_STATE_PEN[],F$1,0),"ERROR")</f>
        <v>29</v>
      </c>
      <c r="G77" s="113">
        <f t="shared" si="8"/>
        <v>0.23200000000000001</v>
      </c>
      <c r="H77" s="111">
        <f>IFERROR(VLOOKUP($B77,MMWR_TRAD_AGG_STATE_PEN[],H$1,0),"ERROR")</f>
        <v>138</v>
      </c>
      <c r="I77" s="112">
        <f>IFERROR(VLOOKUP($B77,MMWR_TRAD_AGG_STATE_PEN[],I$1,0),"ERROR")</f>
        <v>34</v>
      </c>
      <c r="J77" s="114">
        <f t="shared" si="9"/>
        <v>0.24637681159420291</v>
      </c>
      <c r="K77" s="111">
        <f>IFERROR(VLOOKUP($B77,MMWR_TRAD_AGG_STATE_PEN[],K$1,0),"ERROR")</f>
        <v>0</v>
      </c>
      <c r="L77" s="112">
        <f>IFERROR(VLOOKUP($B77,MMWR_TRAD_AGG_STATE_PEN[],L$1,0),"ERROR")</f>
        <v>0</v>
      </c>
      <c r="M77" s="114" t="str">
        <f t="shared" si="10"/>
        <v>0%</v>
      </c>
      <c r="N77" s="111">
        <f>IFERROR(VLOOKUP($B77,MMWR_TRAD_AGG_STATE_PEN[],N$1,0),"ERROR")</f>
        <v>2</v>
      </c>
      <c r="O77" s="112">
        <f>IFERROR(VLOOKUP($B77,MMWR_TRAD_AGG_STATE_PEN[],O$1,0),"ERROR")</f>
        <v>1</v>
      </c>
      <c r="P77" s="114">
        <f t="shared" si="11"/>
        <v>0.5</v>
      </c>
      <c r="Q77" s="115">
        <f>IFERROR(VLOOKUP($B77,MMWR_TRAD_AGG_STATE_PEN[],Q$1,0),"ERROR")</f>
        <v>14</v>
      </c>
      <c r="R77" s="115">
        <f>IFERROR(VLOOKUP($B77,MMWR_TRAD_AGG_STATE_PEN[],R$1,0),"ERROR")</f>
        <v>19</v>
      </c>
      <c r="S77" s="115">
        <f>IFERROR(VLOOKUP($B77,MMWR_APP_STATE_PEN[],S$1,0),"ERROR")</f>
        <v>5</v>
      </c>
      <c r="T77" s="28"/>
    </row>
    <row r="78" spans="1:20" s="123" customFormat="1" x14ac:dyDescent="0.2">
      <c r="A78" s="28"/>
      <c r="B78" s="127" t="s">
        <v>373</v>
      </c>
      <c r="C78" s="109">
        <f>IFERROR(VLOOKUP($B78,MMWR_TRAD_AGG_STATE_PEN[],C$1,0),"ERROR")</f>
        <v>452</v>
      </c>
      <c r="D78" s="110">
        <f>IFERROR(VLOOKUP($B78,MMWR_TRAD_AGG_STATE_PEN[],D$1,0),"ERROR")</f>
        <v>105.3517699115</v>
      </c>
      <c r="E78" s="111">
        <f>IFERROR(VLOOKUP($B78,MMWR_TRAD_AGG_STATE_PEN[],E$1,0),"ERROR")</f>
        <v>619</v>
      </c>
      <c r="F78" s="112">
        <f>IFERROR(VLOOKUP($B78,MMWR_TRAD_AGG_STATE_PEN[],F$1,0),"ERROR")</f>
        <v>115</v>
      </c>
      <c r="G78" s="113">
        <f t="shared" si="8"/>
        <v>0.18578352180936994</v>
      </c>
      <c r="H78" s="111">
        <f>IFERROR(VLOOKUP($B78,MMWR_TRAD_AGG_STATE_PEN[],H$1,0),"ERROR")</f>
        <v>626</v>
      </c>
      <c r="I78" s="112">
        <f>IFERROR(VLOOKUP($B78,MMWR_TRAD_AGG_STATE_PEN[],I$1,0),"ERROR")</f>
        <v>178</v>
      </c>
      <c r="J78" s="114">
        <f t="shared" si="9"/>
        <v>0.28434504792332266</v>
      </c>
      <c r="K78" s="111">
        <f>IFERROR(VLOOKUP($B78,MMWR_TRAD_AGG_STATE_PEN[],K$1,0),"ERROR")</f>
        <v>1</v>
      </c>
      <c r="L78" s="112">
        <f>IFERROR(VLOOKUP($B78,MMWR_TRAD_AGG_STATE_PEN[],L$1,0),"ERROR")</f>
        <v>1</v>
      </c>
      <c r="M78" s="114">
        <f t="shared" si="10"/>
        <v>1</v>
      </c>
      <c r="N78" s="111">
        <f>IFERROR(VLOOKUP($B78,MMWR_TRAD_AGG_STATE_PEN[],N$1,0),"ERROR")</f>
        <v>24</v>
      </c>
      <c r="O78" s="112">
        <f>IFERROR(VLOOKUP($B78,MMWR_TRAD_AGG_STATE_PEN[],O$1,0),"ERROR")</f>
        <v>9</v>
      </c>
      <c r="P78" s="114">
        <f t="shared" si="11"/>
        <v>0.375</v>
      </c>
      <c r="Q78" s="115">
        <f>IFERROR(VLOOKUP($B78,MMWR_TRAD_AGG_STATE_PEN[],Q$1,0),"ERROR")</f>
        <v>59</v>
      </c>
      <c r="R78" s="115">
        <f>IFERROR(VLOOKUP($B78,MMWR_TRAD_AGG_STATE_PEN[],R$1,0),"ERROR")</f>
        <v>134</v>
      </c>
      <c r="S78" s="115">
        <f>IFERROR(VLOOKUP($B78,MMWR_APP_STATE_PEN[],S$1,0),"ERROR")</f>
        <v>113</v>
      </c>
      <c r="T78" s="28"/>
    </row>
    <row r="79" spans="1:20" s="123" customFormat="1" x14ac:dyDescent="0.2">
      <c r="A79" s="28"/>
      <c r="B79" s="127" t="s">
        <v>60</v>
      </c>
      <c r="C79" s="109">
        <f>IFERROR(VLOOKUP($B79,MMWR_TRAD_AGG_STATE_PEN[],C$1,0),"ERROR")</f>
        <v>1024</v>
      </c>
      <c r="D79" s="110">
        <f>IFERROR(VLOOKUP($B79,MMWR_TRAD_AGG_STATE_PEN[],D$1,0),"ERROR")</f>
        <v>103.7255859375</v>
      </c>
      <c r="E79" s="111">
        <f>IFERROR(VLOOKUP($B79,MMWR_TRAD_AGG_STATE_PEN[],E$1,0),"ERROR")</f>
        <v>1775</v>
      </c>
      <c r="F79" s="112">
        <f>IFERROR(VLOOKUP($B79,MMWR_TRAD_AGG_STATE_PEN[],F$1,0),"ERROR")</f>
        <v>306</v>
      </c>
      <c r="G79" s="113">
        <f t="shared" si="8"/>
        <v>0.1723943661971831</v>
      </c>
      <c r="H79" s="111">
        <f>IFERROR(VLOOKUP($B79,MMWR_TRAD_AGG_STATE_PEN[],H$1,0),"ERROR")</f>
        <v>1500</v>
      </c>
      <c r="I79" s="112">
        <f>IFERROR(VLOOKUP($B79,MMWR_TRAD_AGG_STATE_PEN[],I$1,0),"ERROR")</f>
        <v>414</v>
      </c>
      <c r="J79" s="114">
        <f t="shared" si="9"/>
        <v>0.27600000000000002</v>
      </c>
      <c r="K79" s="111">
        <f>IFERROR(VLOOKUP($B79,MMWR_TRAD_AGG_STATE_PEN[],K$1,0),"ERROR")</f>
        <v>5</v>
      </c>
      <c r="L79" s="112">
        <f>IFERROR(VLOOKUP($B79,MMWR_TRAD_AGG_STATE_PEN[],L$1,0),"ERROR")</f>
        <v>5</v>
      </c>
      <c r="M79" s="114">
        <f t="shared" si="10"/>
        <v>1</v>
      </c>
      <c r="N79" s="111">
        <f>IFERROR(VLOOKUP($B79,MMWR_TRAD_AGG_STATE_PEN[],N$1,0),"ERROR")</f>
        <v>52</v>
      </c>
      <c r="O79" s="112">
        <f>IFERROR(VLOOKUP($B79,MMWR_TRAD_AGG_STATE_PEN[],O$1,0),"ERROR")</f>
        <v>22</v>
      </c>
      <c r="P79" s="114">
        <f t="shared" si="11"/>
        <v>0.42307692307692307</v>
      </c>
      <c r="Q79" s="115">
        <f>IFERROR(VLOOKUP($B79,MMWR_TRAD_AGG_STATE_PEN[],Q$1,0),"ERROR")</f>
        <v>177</v>
      </c>
      <c r="R79" s="115">
        <f>IFERROR(VLOOKUP($B79,MMWR_TRAD_AGG_STATE_PEN[],R$1,0),"ERROR")</f>
        <v>258</v>
      </c>
      <c r="S79" s="115">
        <f>IFERROR(VLOOKUP($B79,MMWR_APP_STATE_PEN[],S$1,0),"ERROR")</f>
        <v>133</v>
      </c>
      <c r="T79" s="28"/>
    </row>
    <row r="80" spans="1:20" s="123" customFormat="1" x14ac:dyDescent="0.2">
      <c r="A80" s="28"/>
      <c r="B80" s="127" t="s">
        <v>381</v>
      </c>
      <c r="C80" s="109">
        <f>IFERROR(VLOOKUP($B80,MMWR_TRAD_AGG_STATE_PEN[],C$1,0),"ERROR")</f>
        <v>1385</v>
      </c>
      <c r="D80" s="110">
        <f>IFERROR(VLOOKUP($B80,MMWR_TRAD_AGG_STATE_PEN[],D$1,0),"ERROR")</f>
        <v>112.86353790610001</v>
      </c>
      <c r="E80" s="111">
        <f>IFERROR(VLOOKUP($B80,MMWR_TRAD_AGG_STATE_PEN[],E$1,0),"ERROR")</f>
        <v>1307</v>
      </c>
      <c r="F80" s="112">
        <f>IFERROR(VLOOKUP($B80,MMWR_TRAD_AGG_STATE_PEN[],F$1,0),"ERROR")</f>
        <v>203</v>
      </c>
      <c r="G80" s="113">
        <f t="shared" si="8"/>
        <v>0.15531752104055088</v>
      </c>
      <c r="H80" s="111">
        <f>IFERROR(VLOOKUP($B80,MMWR_TRAD_AGG_STATE_PEN[],H$1,0),"ERROR")</f>
        <v>1738</v>
      </c>
      <c r="I80" s="112">
        <f>IFERROR(VLOOKUP($B80,MMWR_TRAD_AGG_STATE_PEN[],I$1,0),"ERROR")</f>
        <v>632</v>
      </c>
      <c r="J80" s="114">
        <f t="shared" si="9"/>
        <v>0.36363636363636365</v>
      </c>
      <c r="K80" s="111">
        <f>IFERROR(VLOOKUP($B80,MMWR_TRAD_AGG_STATE_PEN[],K$1,0),"ERROR")</f>
        <v>12</v>
      </c>
      <c r="L80" s="112">
        <f>IFERROR(VLOOKUP($B80,MMWR_TRAD_AGG_STATE_PEN[],L$1,0),"ERROR")</f>
        <v>11</v>
      </c>
      <c r="M80" s="114">
        <f t="shared" si="10"/>
        <v>0.91666666666666663</v>
      </c>
      <c r="N80" s="111">
        <f>IFERROR(VLOOKUP($B80,MMWR_TRAD_AGG_STATE_PEN[],N$1,0),"ERROR")</f>
        <v>80</v>
      </c>
      <c r="O80" s="112">
        <f>IFERROR(VLOOKUP($B80,MMWR_TRAD_AGG_STATE_PEN[],O$1,0),"ERROR")</f>
        <v>26</v>
      </c>
      <c r="P80" s="114">
        <f t="shared" si="11"/>
        <v>0.32500000000000001</v>
      </c>
      <c r="Q80" s="115">
        <f>IFERROR(VLOOKUP($B80,MMWR_TRAD_AGG_STATE_PEN[],Q$1,0),"ERROR")</f>
        <v>239</v>
      </c>
      <c r="R80" s="115">
        <f>IFERROR(VLOOKUP($B80,MMWR_TRAD_AGG_STATE_PEN[],R$1,0),"ERROR")</f>
        <v>321</v>
      </c>
      <c r="S80" s="115">
        <f>IFERROR(VLOOKUP($B80,MMWR_APP_STATE_PEN[],S$1,0),"ERROR")</f>
        <v>140</v>
      </c>
      <c r="T80" s="28"/>
    </row>
    <row r="81" spans="1:20" s="123" customFormat="1" x14ac:dyDescent="0.2">
      <c r="A81" s="28"/>
      <c r="B81" s="127" t="s">
        <v>374</v>
      </c>
      <c r="C81" s="109">
        <f>IFERROR(VLOOKUP($B81,MMWR_TRAD_AGG_STATE_PEN[],C$1,0),"ERROR")</f>
        <v>1463</v>
      </c>
      <c r="D81" s="110">
        <f>IFERROR(VLOOKUP($B81,MMWR_TRAD_AGG_STATE_PEN[],D$1,0),"ERROR")</f>
        <v>102.2098427888</v>
      </c>
      <c r="E81" s="111">
        <f>IFERROR(VLOOKUP($B81,MMWR_TRAD_AGG_STATE_PEN[],E$1,0),"ERROR")</f>
        <v>2206</v>
      </c>
      <c r="F81" s="112">
        <f>IFERROR(VLOOKUP($B81,MMWR_TRAD_AGG_STATE_PEN[],F$1,0),"ERROR")</f>
        <v>354</v>
      </c>
      <c r="G81" s="113">
        <f t="shared" si="8"/>
        <v>0.16047144152311876</v>
      </c>
      <c r="H81" s="111">
        <f>IFERROR(VLOOKUP($B81,MMWR_TRAD_AGG_STATE_PEN[],H$1,0),"ERROR")</f>
        <v>2109</v>
      </c>
      <c r="I81" s="112">
        <f>IFERROR(VLOOKUP($B81,MMWR_TRAD_AGG_STATE_PEN[],I$1,0),"ERROR")</f>
        <v>606</v>
      </c>
      <c r="J81" s="114">
        <f t="shared" si="9"/>
        <v>0.28733997155049784</v>
      </c>
      <c r="K81" s="111">
        <f>IFERROR(VLOOKUP($B81,MMWR_TRAD_AGG_STATE_PEN[],K$1,0),"ERROR")</f>
        <v>2</v>
      </c>
      <c r="L81" s="112">
        <f>IFERROR(VLOOKUP($B81,MMWR_TRAD_AGG_STATE_PEN[],L$1,0),"ERROR")</f>
        <v>1</v>
      </c>
      <c r="M81" s="114">
        <f t="shared" si="10"/>
        <v>0.5</v>
      </c>
      <c r="N81" s="111">
        <f>IFERROR(VLOOKUP($B81,MMWR_TRAD_AGG_STATE_PEN[],N$1,0),"ERROR")</f>
        <v>100</v>
      </c>
      <c r="O81" s="112">
        <f>IFERROR(VLOOKUP($B81,MMWR_TRAD_AGG_STATE_PEN[],O$1,0),"ERROR")</f>
        <v>25</v>
      </c>
      <c r="P81" s="114">
        <f t="shared" si="11"/>
        <v>0.25</v>
      </c>
      <c r="Q81" s="115">
        <f>IFERROR(VLOOKUP($B81,MMWR_TRAD_AGG_STATE_PEN[],Q$1,0),"ERROR")</f>
        <v>172</v>
      </c>
      <c r="R81" s="115">
        <f>IFERROR(VLOOKUP($B81,MMWR_TRAD_AGG_STATE_PEN[],R$1,0),"ERROR")</f>
        <v>297</v>
      </c>
      <c r="S81" s="115">
        <f>IFERROR(VLOOKUP($B81,MMWR_APP_STATE_PEN[],S$1,0),"ERROR")</f>
        <v>143</v>
      </c>
      <c r="T81" s="28"/>
    </row>
    <row r="82" spans="1:20" s="123" customFormat="1" x14ac:dyDescent="0.2">
      <c r="A82" s="28"/>
      <c r="B82" s="127" t="s">
        <v>371</v>
      </c>
      <c r="C82" s="109">
        <f>IFERROR(VLOOKUP($B82,MMWR_TRAD_AGG_STATE_PEN[],C$1,0),"ERROR")</f>
        <v>89</v>
      </c>
      <c r="D82" s="110">
        <f>IFERROR(VLOOKUP($B82,MMWR_TRAD_AGG_STATE_PEN[],D$1,0),"ERROR")</f>
        <v>93.808988764000006</v>
      </c>
      <c r="E82" s="111">
        <f>IFERROR(VLOOKUP($B82,MMWR_TRAD_AGG_STATE_PEN[],E$1,0),"ERROR")</f>
        <v>122</v>
      </c>
      <c r="F82" s="112">
        <f>IFERROR(VLOOKUP($B82,MMWR_TRAD_AGG_STATE_PEN[],F$1,0),"ERROR")</f>
        <v>21</v>
      </c>
      <c r="G82" s="113">
        <f t="shared" si="8"/>
        <v>0.1721311475409836</v>
      </c>
      <c r="H82" s="111">
        <f>IFERROR(VLOOKUP($B82,MMWR_TRAD_AGG_STATE_PEN[],H$1,0),"ERROR")</f>
        <v>131</v>
      </c>
      <c r="I82" s="112">
        <f>IFERROR(VLOOKUP($B82,MMWR_TRAD_AGG_STATE_PEN[],I$1,0),"ERROR")</f>
        <v>35</v>
      </c>
      <c r="J82" s="114">
        <f t="shared" si="9"/>
        <v>0.26717557251908397</v>
      </c>
      <c r="K82" s="111">
        <f>IFERROR(VLOOKUP($B82,MMWR_TRAD_AGG_STATE_PEN[],K$1,0),"ERROR")</f>
        <v>0</v>
      </c>
      <c r="L82" s="112">
        <f>IFERROR(VLOOKUP($B82,MMWR_TRAD_AGG_STATE_PEN[],L$1,0),"ERROR")</f>
        <v>0</v>
      </c>
      <c r="M82" s="114" t="str">
        <f t="shared" si="10"/>
        <v>0%</v>
      </c>
      <c r="N82" s="111">
        <f>IFERROR(VLOOKUP($B82,MMWR_TRAD_AGG_STATE_PEN[],N$1,0),"ERROR")</f>
        <v>9</v>
      </c>
      <c r="O82" s="112">
        <f>IFERROR(VLOOKUP($B82,MMWR_TRAD_AGG_STATE_PEN[],O$1,0),"ERROR")</f>
        <v>2</v>
      </c>
      <c r="P82" s="114">
        <f t="shared" si="11"/>
        <v>0.22222222222222221</v>
      </c>
      <c r="Q82" s="115">
        <f>IFERROR(VLOOKUP($B82,MMWR_TRAD_AGG_STATE_PEN[],Q$1,0),"ERROR")</f>
        <v>14</v>
      </c>
      <c r="R82" s="115">
        <f>IFERROR(VLOOKUP($B82,MMWR_TRAD_AGG_STATE_PEN[],R$1,0),"ERROR")</f>
        <v>12</v>
      </c>
      <c r="S82" s="115">
        <f>IFERROR(VLOOKUP($B82,MMWR_APP_STATE_PEN[],S$1,0),"ERROR")</f>
        <v>19</v>
      </c>
      <c r="T82" s="28"/>
    </row>
    <row r="83" spans="1:20" s="123" customFormat="1" x14ac:dyDescent="0.2">
      <c r="A83" s="28"/>
      <c r="B83" s="127" t="s">
        <v>416</v>
      </c>
      <c r="C83" s="109">
        <f>IFERROR(VLOOKUP($B83,MMWR_TRAD_AGG_STATE_PEN[],C$1,0),"ERROR")</f>
        <v>41</v>
      </c>
      <c r="D83" s="110">
        <f>IFERROR(VLOOKUP($B83,MMWR_TRAD_AGG_STATE_PEN[],D$1,0),"ERROR")</f>
        <v>114.756097561</v>
      </c>
      <c r="E83" s="111">
        <f>IFERROR(VLOOKUP($B83,MMWR_TRAD_AGG_STATE_PEN[],E$1,0),"ERROR")</f>
        <v>42</v>
      </c>
      <c r="F83" s="112">
        <f>IFERROR(VLOOKUP($B83,MMWR_TRAD_AGG_STATE_PEN[],F$1,0),"ERROR")</f>
        <v>8</v>
      </c>
      <c r="G83" s="113">
        <f t="shared" si="8"/>
        <v>0.19047619047619047</v>
      </c>
      <c r="H83" s="111">
        <f>IFERROR(VLOOKUP($B83,MMWR_TRAD_AGG_STATE_PEN[],H$1,0),"ERROR")</f>
        <v>52</v>
      </c>
      <c r="I83" s="112">
        <f>IFERROR(VLOOKUP($B83,MMWR_TRAD_AGG_STATE_PEN[],I$1,0),"ERROR")</f>
        <v>18</v>
      </c>
      <c r="J83" s="114">
        <f t="shared" si="9"/>
        <v>0.34615384615384615</v>
      </c>
      <c r="K83" s="111">
        <f>IFERROR(VLOOKUP($B83,MMWR_TRAD_AGG_STATE_PEN[],K$1,0),"ERROR")</f>
        <v>0</v>
      </c>
      <c r="L83" s="112">
        <f>IFERROR(VLOOKUP($B83,MMWR_TRAD_AGG_STATE_PEN[],L$1,0),"ERROR")</f>
        <v>0</v>
      </c>
      <c r="M83" s="114" t="str">
        <f t="shared" si="10"/>
        <v>0%</v>
      </c>
      <c r="N83" s="111">
        <f>IFERROR(VLOOKUP($B83,MMWR_TRAD_AGG_STATE_PEN[],N$1,0),"ERROR")</f>
        <v>1</v>
      </c>
      <c r="O83" s="112">
        <f>IFERROR(VLOOKUP($B83,MMWR_TRAD_AGG_STATE_PEN[],O$1,0),"ERROR")</f>
        <v>0</v>
      </c>
      <c r="P83" s="114">
        <f t="shared" si="11"/>
        <v>0</v>
      </c>
      <c r="Q83" s="115">
        <f>IFERROR(VLOOKUP($B83,MMWR_TRAD_AGG_STATE_PEN[],Q$1,0),"ERROR")</f>
        <v>8</v>
      </c>
      <c r="R83" s="115">
        <f>IFERROR(VLOOKUP($B83,MMWR_TRAD_AGG_STATE_PEN[],R$1,0),"ERROR")</f>
        <v>7</v>
      </c>
      <c r="S83" s="115">
        <f>IFERROR(VLOOKUP($B83,MMWR_APP_STATE_PEN[],S$1,0),"ERROR")</f>
        <v>8</v>
      </c>
      <c r="T83" s="28"/>
    </row>
    <row r="84" spans="1:20" s="123" customFormat="1" x14ac:dyDescent="0.2">
      <c r="A84" s="28"/>
      <c r="B84" s="127" t="s">
        <v>377</v>
      </c>
      <c r="C84" s="109">
        <f>IFERROR(VLOOKUP($B84,MMWR_TRAD_AGG_STATE_PEN[],C$1,0),"ERROR")</f>
        <v>740</v>
      </c>
      <c r="D84" s="110">
        <f>IFERROR(VLOOKUP($B84,MMWR_TRAD_AGG_STATE_PEN[],D$1,0),"ERROR")</f>
        <v>105.1202702703</v>
      </c>
      <c r="E84" s="111">
        <f>IFERROR(VLOOKUP($B84,MMWR_TRAD_AGG_STATE_PEN[],E$1,0),"ERROR")</f>
        <v>811</v>
      </c>
      <c r="F84" s="112">
        <f>IFERROR(VLOOKUP($B84,MMWR_TRAD_AGG_STATE_PEN[],F$1,0),"ERROR")</f>
        <v>126</v>
      </c>
      <c r="G84" s="113">
        <f t="shared" si="8"/>
        <v>0.15536374845869297</v>
      </c>
      <c r="H84" s="111">
        <f>IFERROR(VLOOKUP($B84,MMWR_TRAD_AGG_STATE_PEN[],H$1,0),"ERROR")</f>
        <v>1015</v>
      </c>
      <c r="I84" s="112">
        <f>IFERROR(VLOOKUP($B84,MMWR_TRAD_AGG_STATE_PEN[],I$1,0),"ERROR")</f>
        <v>295</v>
      </c>
      <c r="J84" s="114">
        <f t="shared" si="9"/>
        <v>0.29064039408866993</v>
      </c>
      <c r="K84" s="111">
        <f>IFERROR(VLOOKUP($B84,MMWR_TRAD_AGG_STATE_PEN[],K$1,0),"ERROR")</f>
        <v>133</v>
      </c>
      <c r="L84" s="112">
        <f>IFERROR(VLOOKUP($B84,MMWR_TRAD_AGG_STATE_PEN[],L$1,0),"ERROR")</f>
        <v>131</v>
      </c>
      <c r="M84" s="114">
        <f t="shared" si="10"/>
        <v>0.98496240601503759</v>
      </c>
      <c r="N84" s="111">
        <f>IFERROR(VLOOKUP($B84,MMWR_TRAD_AGG_STATE_PEN[],N$1,0),"ERROR")</f>
        <v>48</v>
      </c>
      <c r="O84" s="112">
        <f>IFERROR(VLOOKUP($B84,MMWR_TRAD_AGG_STATE_PEN[],O$1,0),"ERROR")</f>
        <v>20</v>
      </c>
      <c r="P84" s="114">
        <f t="shared" si="11"/>
        <v>0.41666666666666669</v>
      </c>
      <c r="Q84" s="115">
        <f>IFERROR(VLOOKUP($B84,MMWR_TRAD_AGG_STATE_PEN[],Q$1,0),"ERROR")</f>
        <v>190</v>
      </c>
      <c r="R84" s="115">
        <f>IFERROR(VLOOKUP($B84,MMWR_TRAD_AGG_STATE_PEN[],R$1,0),"ERROR")</f>
        <v>227</v>
      </c>
      <c r="S84" s="115">
        <f>IFERROR(VLOOKUP($B84,MMWR_APP_STATE_PEN[],S$1,0),"ERROR")</f>
        <v>89</v>
      </c>
      <c r="T84" s="28"/>
    </row>
    <row r="85" spans="1:20" s="123" customFormat="1" x14ac:dyDescent="0.2">
      <c r="A85" s="28"/>
      <c r="B85" s="127" t="s">
        <v>378</v>
      </c>
      <c r="C85" s="109">
        <f>IFERROR(VLOOKUP($B85,MMWR_TRAD_AGG_STATE_PEN[],C$1,0),"ERROR")</f>
        <v>263</v>
      </c>
      <c r="D85" s="110">
        <f>IFERROR(VLOOKUP($B85,MMWR_TRAD_AGG_STATE_PEN[],D$1,0),"ERROR")</f>
        <v>108.28517110270001</v>
      </c>
      <c r="E85" s="111">
        <f>IFERROR(VLOOKUP($B85,MMWR_TRAD_AGG_STATE_PEN[],E$1,0),"ERROR")</f>
        <v>213</v>
      </c>
      <c r="F85" s="112">
        <f>IFERROR(VLOOKUP($B85,MMWR_TRAD_AGG_STATE_PEN[],F$1,0),"ERROR")</f>
        <v>28</v>
      </c>
      <c r="G85" s="113">
        <f t="shared" si="8"/>
        <v>0.13145539906103287</v>
      </c>
      <c r="H85" s="111">
        <f>IFERROR(VLOOKUP($B85,MMWR_TRAD_AGG_STATE_PEN[],H$1,0),"ERROR")</f>
        <v>351</v>
      </c>
      <c r="I85" s="112">
        <f>IFERROR(VLOOKUP($B85,MMWR_TRAD_AGG_STATE_PEN[],I$1,0),"ERROR")</f>
        <v>112</v>
      </c>
      <c r="J85" s="114">
        <f t="shared" si="9"/>
        <v>0.31908831908831908</v>
      </c>
      <c r="K85" s="111">
        <f>IFERROR(VLOOKUP($B85,MMWR_TRAD_AGG_STATE_PEN[],K$1,0),"ERROR")</f>
        <v>0</v>
      </c>
      <c r="L85" s="112">
        <f>IFERROR(VLOOKUP($B85,MMWR_TRAD_AGG_STATE_PEN[],L$1,0),"ERROR")</f>
        <v>0</v>
      </c>
      <c r="M85" s="114" t="str">
        <f t="shared" si="10"/>
        <v>0%</v>
      </c>
      <c r="N85" s="111">
        <f>IFERROR(VLOOKUP($B85,MMWR_TRAD_AGG_STATE_PEN[],N$1,0),"ERROR")</f>
        <v>14</v>
      </c>
      <c r="O85" s="112">
        <f>IFERROR(VLOOKUP($B85,MMWR_TRAD_AGG_STATE_PEN[],O$1,0),"ERROR")</f>
        <v>5</v>
      </c>
      <c r="P85" s="114">
        <f t="shared" si="11"/>
        <v>0.35714285714285715</v>
      </c>
      <c r="Q85" s="115">
        <f>IFERROR(VLOOKUP($B85,MMWR_TRAD_AGG_STATE_PEN[],Q$1,0),"ERROR")</f>
        <v>50</v>
      </c>
      <c r="R85" s="115">
        <f>IFERROR(VLOOKUP($B85,MMWR_TRAD_AGG_STATE_PEN[],R$1,0),"ERROR")</f>
        <v>59</v>
      </c>
      <c r="S85" s="115">
        <f>IFERROR(VLOOKUP($B85,MMWR_APP_STATE_PEN[],S$1,0),"ERROR")</f>
        <v>31</v>
      </c>
      <c r="T85" s="28"/>
    </row>
    <row r="86" spans="1:20" s="123" customFormat="1" x14ac:dyDescent="0.2">
      <c r="A86" s="28"/>
      <c r="B86" s="126" t="s">
        <v>389</v>
      </c>
      <c r="C86" s="102">
        <f>IFERROR(VLOOKUP($B86,MMWR_TRAD_AGG_ST_DISTRICT_PEN[],C$1,0),"ERROR")</f>
        <v>2994</v>
      </c>
      <c r="D86" s="103">
        <f>IFERROR(VLOOKUP($B86,MMWR_TRAD_AGG_ST_DISTRICT_PEN[],D$1,0),"ERROR")</f>
        <v>58.738142952600001</v>
      </c>
      <c r="E86" s="102">
        <f>IFERROR(VLOOKUP($B86,MMWR_TRAD_AGG_ST_DISTRICT_PEN[],E$1,0),"ERROR")</f>
        <v>5578</v>
      </c>
      <c r="F86" s="102">
        <f>IFERROR(VLOOKUP($B86,MMWR_TRAD_AGG_ST_DISTRICT_PEN[],F$1,0),"ERROR")</f>
        <v>708</v>
      </c>
      <c r="G86" s="104">
        <f t="shared" si="8"/>
        <v>0.12692721405521692</v>
      </c>
      <c r="H86" s="102">
        <f>IFERROR(VLOOKUP($B86,MMWR_TRAD_AGG_ST_DISTRICT_PEN[],H$1,0),"ERROR")</f>
        <v>4879</v>
      </c>
      <c r="I86" s="102">
        <f>IFERROR(VLOOKUP($B86,MMWR_TRAD_AGG_ST_DISTRICT_PEN[],I$1,0),"ERROR")</f>
        <v>380</v>
      </c>
      <c r="J86" s="104">
        <f t="shared" si="9"/>
        <v>7.7884812461569988E-2</v>
      </c>
      <c r="K86" s="102">
        <f>IFERROR(VLOOKUP($B86,MMWR_TRAD_AGG_ST_DISTRICT_PEN[],K$1,0),"ERROR")</f>
        <v>9</v>
      </c>
      <c r="L86" s="102">
        <f>IFERROR(VLOOKUP($B86,MMWR_TRAD_AGG_ST_DISTRICT_PEN[],L$1,0),"ERROR")</f>
        <v>8</v>
      </c>
      <c r="M86" s="104">
        <f t="shared" si="10"/>
        <v>0.88888888888888884</v>
      </c>
      <c r="N86" s="102">
        <f>IFERROR(VLOOKUP($B86,MMWR_TRAD_AGG_ST_DISTRICT_PEN[],N$1,0),"ERROR")</f>
        <v>374</v>
      </c>
      <c r="O86" s="102">
        <f>IFERROR(VLOOKUP($B86,MMWR_TRAD_AGG_ST_DISTRICT_PEN[],O$1,0),"ERROR")</f>
        <v>102</v>
      </c>
      <c r="P86" s="104">
        <f t="shared" si="11"/>
        <v>0.27272727272727271</v>
      </c>
      <c r="Q86" s="102">
        <f>IFERROR(VLOOKUP($B86,MMWR_TRAD_AGG_ST_DISTRICT_PEN[],Q$1,0),"ERROR")</f>
        <v>2356</v>
      </c>
      <c r="R86" s="106">
        <f>IFERROR(VLOOKUP($B86,MMWR_TRAD_AGG_ST_DISTRICT_PEN[],R$1,0),"ERROR")</f>
        <v>846</v>
      </c>
      <c r="S86" s="106">
        <f>IFERROR(VLOOKUP($B86,MMWR_APP_STATE_PEN[],S$1,0),"ERROR")</f>
        <v>1358</v>
      </c>
      <c r="T86" s="28"/>
    </row>
    <row r="87" spans="1:20" s="123" customFormat="1" x14ac:dyDescent="0.2">
      <c r="A87" s="28"/>
      <c r="B87" s="127" t="s">
        <v>393</v>
      </c>
      <c r="C87" s="109">
        <f>IFERROR(VLOOKUP($B87,MMWR_TRAD_AGG_STATE_PEN[],C$1,0),"ERROR")</f>
        <v>418</v>
      </c>
      <c r="D87" s="110">
        <f>IFERROR(VLOOKUP($B87,MMWR_TRAD_AGG_STATE_PEN[],D$1,0),"ERROR")</f>
        <v>66.241626794300004</v>
      </c>
      <c r="E87" s="111">
        <f>IFERROR(VLOOKUP($B87,MMWR_TRAD_AGG_STATE_PEN[],E$1,0),"ERROR")</f>
        <v>769</v>
      </c>
      <c r="F87" s="112">
        <f>IFERROR(VLOOKUP($B87,MMWR_TRAD_AGG_STATE_PEN[],F$1,0),"ERROR")</f>
        <v>107</v>
      </c>
      <c r="G87" s="113">
        <f t="shared" si="8"/>
        <v>0.13914174252275682</v>
      </c>
      <c r="H87" s="111">
        <f>IFERROR(VLOOKUP($B87,MMWR_TRAD_AGG_STATE_PEN[],H$1,0),"ERROR")</f>
        <v>614</v>
      </c>
      <c r="I87" s="112">
        <f>IFERROR(VLOOKUP($B87,MMWR_TRAD_AGG_STATE_PEN[],I$1,0),"ERROR")</f>
        <v>40</v>
      </c>
      <c r="J87" s="114">
        <f t="shared" si="9"/>
        <v>6.5146579804560262E-2</v>
      </c>
      <c r="K87" s="111">
        <f>IFERROR(VLOOKUP($B87,MMWR_TRAD_AGG_STATE_PEN[],K$1,0),"ERROR")</f>
        <v>0</v>
      </c>
      <c r="L87" s="112">
        <f>IFERROR(VLOOKUP($B87,MMWR_TRAD_AGG_STATE_PEN[],L$1,0),"ERROR")</f>
        <v>0</v>
      </c>
      <c r="M87" s="114" t="str">
        <f t="shared" si="10"/>
        <v>0%</v>
      </c>
      <c r="N87" s="111">
        <f>IFERROR(VLOOKUP($B87,MMWR_TRAD_AGG_STATE_PEN[],N$1,0),"ERROR")</f>
        <v>58</v>
      </c>
      <c r="O87" s="112">
        <f>IFERROR(VLOOKUP($B87,MMWR_TRAD_AGG_STATE_PEN[],O$1,0),"ERROR")</f>
        <v>21</v>
      </c>
      <c r="P87" s="114">
        <f t="shared" si="11"/>
        <v>0.36206896551724138</v>
      </c>
      <c r="Q87" s="115">
        <f>IFERROR(VLOOKUP($B87,MMWR_TRAD_AGG_STATE_PEN[],Q$1,0),"ERROR")</f>
        <v>91</v>
      </c>
      <c r="R87" s="115">
        <f>IFERROR(VLOOKUP($B87,MMWR_TRAD_AGG_STATE_PEN[],R$1,0),"ERROR")</f>
        <v>147</v>
      </c>
      <c r="S87" s="115">
        <f>IFERROR(VLOOKUP($B87,MMWR_APP_STATE_PEN[],S$1,0),"ERROR")</f>
        <v>295</v>
      </c>
      <c r="T87" s="28"/>
    </row>
    <row r="88" spans="1:20" s="123" customFormat="1" x14ac:dyDescent="0.2">
      <c r="A88" s="28"/>
      <c r="B88" s="127" t="s">
        <v>391</v>
      </c>
      <c r="C88" s="109">
        <f>IFERROR(VLOOKUP($B88,MMWR_TRAD_AGG_STATE_PEN[],C$1,0),"ERROR")</f>
        <v>258</v>
      </c>
      <c r="D88" s="110">
        <f>IFERROR(VLOOKUP($B88,MMWR_TRAD_AGG_STATE_PEN[],D$1,0),"ERROR")</f>
        <v>62.457364341100003</v>
      </c>
      <c r="E88" s="111">
        <f>IFERROR(VLOOKUP($B88,MMWR_TRAD_AGG_STATE_PEN[],E$1,0),"ERROR")</f>
        <v>590</v>
      </c>
      <c r="F88" s="112">
        <f>IFERROR(VLOOKUP($B88,MMWR_TRAD_AGG_STATE_PEN[],F$1,0),"ERROR")</f>
        <v>87</v>
      </c>
      <c r="G88" s="113">
        <f t="shared" si="8"/>
        <v>0.14745762711864407</v>
      </c>
      <c r="H88" s="111">
        <f>IFERROR(VLOOKUP($B88,MMWR_TRAD_AGG_STATE_PEN[],H$1,0),"ERROR")</f>
        <v>466</v>
      </c>
      <c r="I88" s="112">
        <f>IFERROR(VLOOKUP($B88,MMWR_TRAD_AGG_STATE_PEN[],I$1,0),"ERROR")</f>
        <v>39</v>
      </c>
      <c r="J88" s="114">
        <f t="shared" si="9"/>
        <v>8.3690987124463517E-2</v>
      </c>
      <c r="K88" s="111">
        <f>IFERROR(VLOOKUP($B88,MMWR_TRAD_AGG_STATE_PEN[],K$1,0),"ERROR")</f>
        <v>2</v>
      </c>
      <c r="L88" s="112">
        <f>IFERROR(VLOOKUP($B88,MMWR_TRAD_AGG_STATE_PEN[],L$1,0),"ERROR")</f>
        <v>2</v>
      </c>
      <c r="M88" s="114">
        <f t="shared" si="10"/>
        <v>1</v>
      </c>
      <c r="N88" s="111">
        <f>IFERROR(VLOOKUP($B88,MMWR_TRAD_AGG_STATE_PEN[],N$1,0),"ERROR")</f>
        <v>35</v>
      </c>
      <c r="O88" s="112">
        <f>IFERROR(VLOOKUP($B88,MMWR_TRAD_AGG_STATE_PEN[],O$1,0),"ERROR")</f>
        <v>9</v>
      </c>
      <c r="P88" s="114">
        <f t="shared" si="11"/>
        <v>0.25714285714285712</v>
      </c>
      <c r="Q88" s="115">
        <f>IFERROR(VLOOKUP($B88,MMWR_TRAD_AGG_STATE_PEN[],Q$1,0),"ERROR")</f>
        <v>77</v>
      </c>
      <c r="R88" s="115">
        <f>IFERROR(VLOOKUP($B88,MMWR_TRAD_AGG_STATE_PEN[],R$1,0),"ERROR")</f>
        <v>91</v>
      </c>
      <c r="S88" s="115">
        <f>IFERROR(VLOOKUP($B88,MMWR_APP_STATE_PEN[],S$1,0),"ERROR")</f>
        <v>138</v>
      </c>
      <c r="T88" s="28"/>
    </row>
    <row r="89" spans="1:20" s="123" customFormat="1" x14ac:dyDescent="0.2">
      <c r="A89" s="28"/>
      <c r="B89" s="127" t="s">
        <v>398</v>
      </c>
      <c r="C89" s="109">
        <f>IFERROR(VLOOKUP($B89,MMWR_TRAD_AGG_STATE_PEN[],C$1,0),"ERROR")</f>
        <v>177</v>
      </c>
      <c r="D89" s="110">
        <f>IFERROR(VLOOKUP($B89,MMWR_TRAD_AGG_STATE_PEN[],D$1,0),"ERROR")</f>
        <v>61.248587570600002</v>
      </c>
      <c r="E89" s="111">
        <f>IFERROR(VLOOKUP($B89,MMWR_TRAD_AGG_STATE_PEN[],E$1,0),"ERROR")</f>
        <v>297</v>
      </c>
      <c r="F89" s="112">
        <f>IFERROR(VLOOKUP($B89,MMWR_TRAD_AGG_STATE_PEN[],F$1,0),"ERROR")</f>
        <v>12</v>
      </c>
      <c r="G89" s="113">
        <f t="shared" si="8"/>
        <v>4.0404040404040407E-2</v>
      </c>
      <c r="H89" s="111">
        <f>IFERROR(VLOOKUP($B89,MMWR_TRAD_AGG_STATE_PEN[],H$1,0),"ERROR")</f>
        <v>290</v>
      </c>
      <c r="I89" s="112">
        <f>IFERROR(VLOOKUP($B89,MMWR_TRAD_AGG_STATE_PEN[],I$1,0),"ERROR")</f>
        <v>22</v>
      </c>
      <c r="J89" s="114">
        <f t="shared" si="9"/>
        <v>7.586206896551724E-2</v>
      </c>
      <c r="K89" s="111">
        <f>IFERROR(VLOOKUP($B89,MMWR_TRAD_AGG_STATE_PEN[],K$1,0),"ERROR")</f>
        <v>0</v>
      </c>
      <c r="L89" s="112">
        <f>IFERROR(VLOOKUP($B89,MMWR_TRAD_AGG_STATE_PEN[],L$1,0),"ERROR")</f>
        <v>0</v>
      </c>
      <c r="M89" s="114" t="str">
        <f t="shared" si="10"/>
        <v>0%</v>
      </c>
      <c r="N89" s="111">
        <f>IFERROR(VLOOKUP($B89,MMWR_TRAD_AGG_STATE_PEN[],N$1,0),"ERROR")</f>
        <v>13</v>
      </c>
      <c r="O89" s="112">
        <f>IFERROR(VLOOKUP($B89,MMWR_TRAD_AGG_STATE_PEN[],O$1,0),"ERROR")</f>
        <v>5</v>
      </c>
      <c r="P89" s="114">
        <f t="shared" si="11"/>
        <v>0.38461538461538464</v>
      </c>
      <c r="Q89" s="115">
        <f>IFERROR(VLOOKUP($B89,MMWR_TRAD_AGG_STATE_PEN[],Q$1,0),"ERROR")</f>
        <v>348</v>
      </c>
      <c r="R89" s="115">
        <f>IFERROR(VLOOKUP($B89,MMWR_TRAD_AGG_STATE_PEN[],R$1,0),"ERROR")</f>
        <v>51</v>
      </c>
      <c r="S89" s="115">
        <f>IFERROR(VLOOKUP($B89,MMWR_APP_STATE_PEN[],S$1,0),"ERROR")</f>
        <v>24</v>
      </c>
      <c r="T89" s="28"/>
    </row>
    <row r="90" spans="1:20" s="123" customFormat="1" x14ac:dyDescent="0.2">
      <c r="A90" s="28"/>
      <c r="B90" s="127" t="s">
        <v>421</v>
      </c>
      <c r="C90" s="109">
        <f>IFERROR(VLOOKUP($B90,MMWR_TRAD_AGG_STATE_PEN[],C$1,0),"ERROR")</f>
        <v>121</v>
      </c>
      <c r="D90" s="110">
        <f>IFERROR(VLOOKUP($B90,MMWR_TRAD_AGG_STATE_PEN[],D$1,0),"ERROR")</f>
        <v>67.537190082600006</v>
      </c>
      <c r="E90" s="111">
        <f>IFERROR(VLOOKUP($B90,MMWR_TRAD_AGG_STATE_PEN[],E$1,0),"ERROR")</f>
        <v>207</v>
      </c>
      <c r="F90" s="112">
        <f>IFERROR(VLOOKUP($B90,MMWR_TRAD_AGG_STATE_PEN[],F$1,0),"ERROR")</f>
        <v>7</v>
      </c>
      <c r="G90" s="113">
        <f t="shared" si="8"/>
        <v>3.3816425120772944E-2</v>
      </c>
      <c r="H90" s="111">
        <f>IFERROR(VLOOKUP($B90,MMWR_TRAD_AGG_STATE_PEN[],H$1,0),"ERROR")</f>
        <v>203</v>
      </c>
      <c r="I90" s="112">
        <f>IFERROR(VLOOKUP($B90,MMWR_TRAD_AGG_STATE_PEN[],I$1,0),"ERROR")</f>
        <v>20</v>
      </c>
      <c r="J90" s="114">
        <f t="shared" si="9"/>
        <v>9.8522167487684734E-2</v>
      </c>
      <c r="K90" s="111">
        <f>IFERROR(VLOOKUP($B90,MMWR_TRAD_AGG_STATE_PEN[],K$1,0),"ERROR")</f>
        <v>1</v>
      </c>
      <c r="L90" s="112">
        <f>IFERROR(VLOOKUP($B90,MMWR_TRAD_AGG_STATE_PEN[],L$1,0),"ERROR")</f>
        <v>0</v>
      </c>
      <c r="M90" s="114">
        <f t="shared" si="10"/>
        <v>0</v>
      </c>
      <c r="N90" s="111">
        <f>IFERROR(VLOOKUP($B90,MMWR_TRAD_AGG_STATE_PEN[],N$1,0),"ERROR")</f>
        <v>12</v>
      </c>
      <c r="O90" s="112">
        <f>IFERROR(VLOOKUP($B90,MMWR_TRAD_AGG_STATE_PEN[],O$1,0),"ERROR")</f>
        <v>5</v>
      </c>
      <c r="P90" s="114">
        <f t="shared" si="11"/>
        <v>0.41666666666666669</v>
      </c>
      <c r="Q90" s="115">
        <f>IFERROR(VLOOKUP($B90,MMWR_TRAD_AGG_STATE_PEN[],Q$1,0),"ERROR")</f>
        <v>188</v>
      </c>
      <c r="R90" s="115">
        <f>IFERROR(VLOOKUP($B90,MMWR_TRAD_AGG_STATE_PEN[],R$1,0),"ERROR")</f>
        <v>40</v>
      </c>
      <c r="S90" s="115">
        <f>IFERROR(VLOOKUP($B90,MMWR_APP_STATE_PEN[],S$1,0),"ERROR")</f>
        <v>28</v>
      </c>
      <c r="T90" s="28"/>
    </row>
    <row r="91" spans="1:20" s="123" customFormat="1" x14ac:dyDescent="0.2">
      <c r="A91" s="28"/>
      <c r="B91" s="127" t="s">
        <v>394</v>
      </c>
      <c r="C91" s="109">
        <f>IFERROR(VLOOKUP($B91,MMWR_TRAD_AGG_STATE_PEN[],C$1,0),"ERROR")</f>
        <v>497</v>
      </c>
      <c r="D91" s="110">
        <f>IFERROR(VLOOKUP($B91,MMWR_TRAD_AGG_STATE_PEN[],D$1,0),"ERROR")</f>
        <v>55.641851106600001</v>
      </c>
      <c r="E91" s="111">
        <f>IFERROR(VLOOKUP($B91,MMWR_TRAD_AGG_STATE_PEN[],E$1,0),"ERROR")</f>
        <v>1055</v>
      </c>
      <c r="F91" s="112">
        <f>IFERROR(VLOOKUP($B91,MMWR_TRAD_AGG_STATE_PEN[],F$1,0),"ERROR")</f>
        <v>155</v>
      </c>
      <c r="G91" s="113">
        <f t="shared" si="8"/>
        <v>0.14691943127962084</v>
      </c>
      <c r="H91" s="111">
        <f>IFERROR(VLOOKUP($B91,MMWR_TRAD_AGG_STATE_PEN[],H$1,0),"ERROR")</f>
        <v>791</v>
      </c>
      <c r="I91" s="112">
        <f>IFERROR(VLOOKUP($B91,MMWR_TRAD_AGG_STATE_PEN[],I$1,0),"ERROR")</f>
        <v>67</v>
      </c>
      <c r="J91" s="114">
        <f t="shared" si="9"/>
        <v>8.4702907711757272E-2</v>
      </c>
      <c r="K91" s="111">
        <f>IFERROR(VLOOKUP($B91,MMWR_TRAD_AGG_STATE_PEN[],K$1,0),"ERROR")</f>
        <v>1</v>
      </c>
      <c r="L91" s="112">
        <f>IFERROR(VLOOKUP($B91,MMWR_TRAD_AGG_STATE_PEN[],L$1,0),"ERROR")</f>
        <v>1</v>
      </c>
      <c r="M91" s="114">
        <f t="shared" si="10"/>
        <v>1</v>
      </c>
      <c r="N91" s="111">
        <f>IFERROR(VLOOKUP($B91,MMWR_TRAD_AGG_STATE_PEN[],N$1,0),"ERROR")</f>
        <v>60</v>
      </c>
      <c r="O91" s="112">
        <f>IFERROR(VLOOKUP($B91,MMWR_TRAD_AGG_STATE_PEN[],O$1,0),"ERROR")</f>
        <v>13</v>
      </c>
      <c r="P91" s="114">
        <f t="shared" si="11"/>
        <v>0.21666666666666667</v>
      </c>
      <c r="Q91" s="115">
        <f>IFERROR(VLOOKUP($B91,MMWR_TRAD_AGG_STATE_PEN[],Q$1,0),"ERROR")</f>
        <v>125</v>
      </c>
      <c r="R91" s="115">
        <f>IFERROR(VLOOKUP($B91,MMWR_TRAD_AGG_STATE_PEN[],R$1,0),"ERROR")</f>
        <v>128</v>
      </c>
      <c r="S91" s="115">
        <f>IFERROR(VLOOKUP($B91,MMWR_APP_STATE_PEN[],S$1,0),"ERROR")</f>
        <v>228</v>
      </c>
      <c r="T91" s="28"/>
    </row>
    <row r="92" spans="1:20" s="123" customFormat="1" x14ac:dyDescent="0.2">
      <c r="A92" s="28"/>
      <c r="B92" s="127" t="s">
        <v>400</v>
      </c>
      <c r="C92" s="109">
        <f>IFERROR(VLOOKUP($B92,MMWR_TRAD_AGG_STATE_PEN[],C$1,0),"ERROR")</f>
        <v>206</v>
      </c>
      <c r="D92" s="110">
        <f>IFERROR(VLOOKUP($B92,MMWR_TRAD_AGG_STATE_PEN[],D$1,0),"ERROR")</f>
        <v>76.058252427200003</v>
      </c>
      <c r="E92" s="111">
        <f>IFERROR(VLOOKUP($B92,MMWR_TRAD_AGG_STATE_PEN[],E$1,0),"ERROR")</f>
        <v>270</v>
      </c>
      <c r="F92" s="112">
        <f>IFERROR(VLOOKUP($B92,MMWR_TRAD_AGG_STATE_PEN[],F$1,0),"ERROR")</f>
        <v>13</v>
      </c>
      <c r="G92" s="113">
        <f t="shared" si="8"/>
        <v>4.8148148148148148E-2</v>
      </c>
      <c r="H92" s="111">
        <f>IFERROR(VLOOKUP($B92,MMWR_TRAD_AGG_STATE_PEN[],H$1,0),"ERROR")</f>
        <v>311</v>
      </c>
      <c r="I92" s="112">
        <f>IFERROR(VLOOKUP($B92,MMWR_TRAD_AGG_STATE_PEN[],I$1,0),"ERROR")</f>
        <v>35</v>
      </c>
      <c r="J92" s="114">
        <f t="shared" si="9"/>
        <v>0.11254019292604502</v>
      </c>
      <c r="K92" s="111">
        <f>IFERROR(VLOOKUP($B92,MMWR_TRAD_AGG_STATE_PEN[],K$1,0),"ERROR")</f>
        <v>1</v>
      </c>
      <c r="L92" s="112">
        <f>IFERROR(VLOOKUP($B92,MMWR_TRAD_AGG_STATE_PEN[],L$1,0),"ERROR")</f>
        <v>1</v>
      </c>
      <c r="M92" s="114">
        <f t="shared" si="10"/>
        <v>1</v>
      </c>
      <c r="N92" s="111">
        <f>IFERROR(VLOOKUP($B92,MMWR_TRAD_AGG_STATE_PEN[],N$1,0),"ERROR")</f>
        <v>16</v>
      </c>
      <c r="O92" s="112">
        <f>IFERROR(VLOOKUP($B92,MMWR_TRAD_AGG_STATE_PEN[],O$1,0),"ERROR")</f>
        <v>5</v>
      </c>
      <c r="P92" s="114">
        <f t="shared" si="11"/>
        <v>0.3125</v>
      </c>
      <c r="Q92" s="115">
        <f>IFERROR(VLOOKUP($B92,MMWR_TRAD_AGG_STATE_PEN[],Q$1,0),"ERROR")</f>
        <v>781</v>
      </c>
      <c r="R92" s="115">
        <f>IFERROR(VLOOKUP($B92,MMWR_TRAD_AGG_STATE_PEN[],R$1,0),"ERROR")</f>
        <v>80</v>
      </c>
      <c r="S92" s="115">
        <f>IFERROR(VLOOKUP($B92,MMWR_APP_STATE_PEN[],S$1,0),"ERROR")</f>
        <v>30</v>
      </c>
      <c r="T92" s="28"/>
    </row>
    <row r="93" spans="1:20" s="123" customFormat="1" x14ac:dyDescent="0.2">
      <c r="A93" s="28"/>
      <c r="B93" s="127" t="s">
        <v>396</v>
      </c>
      <c r="C93" s="109">
        <f>IFERROR(VLOOKUP($B93,MMWR_TRAD_AGG_STATE_PEN[],C$1,0),"ERROR")</f>
        <v>409</v>
      </c>
      <c r="D93" s="110">
        <f>IFERROR(VLOOKUP($B93,MMWR_TRAD_AGG_STATE_PEN[],D$1,0),"ERROR")</f>
        <v>52.547677261600001</v>
      </c>
      <c r="E93" s="111">
        <f>IFERROR(VLOOKUP($B93,MMWR_TRAD_AGG_STATE_PEN[],E$1,0),"ERROR")</f>
        <v>713</v>
      </c>
      <c r="F93" s="112">
        <f>IFERROR(VLOOKUP($B93,MMWR_TRAD_AGG_STATE_PEN[],F$1,0),"ERROR")</f>
        <v>99</v>
      </c>
      <c r="G93" s="113">
        <f t="shared" si="8"/>
        <v>0.13884992987377279</v>
      </c>
      <c r="H93" s="111">
        <f>IFERROR(VLOOKUP($B93,MMWR_TRAD_AGG_STATE_PEN[],H$1,0),"ERROR")</f>
        <v>641</v>
      </c>
      <c r="I93" s="112">
        <f>IFERROR(VLOOKUP($B93,MMWR_TRAD_AGG_STATE_PEN[],I$1,0),"ERROR")</f>
        <v>44</v>
      </c>
      <c r="J93" s="114">
        <f t="shared" si="9"/>
        <v>6.8642745709828396E-2</v>
      </c>
      <c r="K93" s="111">
        <f>IFERROR(VLOOKUP($B93,MMWR_TRAD_AGG_STATE_PEN[],K$1,0),"ERROR")</f>
        <v>2</v>
      </c>
      <c r="L93" s="112">
        <f>IFERROR(VLOOKUP($B93,MMWR_TRAD_AGG_STATE_PEN[],L$1,0),"ERROR")</f>
        <v>2</v>
      </c>
      <c r="M93" s="114">
        <f t="shared" si="10"/>
        <v>1</v>
      </c>
      <c r="N93" s="111">
        <f>IFERROR(VLOOKUP($B93,MMWR_TRAD_AGG_STATE_PEN[],N$1,0),"ERROR")</f>
        <v>53</v>
      </c>
      <c r="O93" s="112">
        <f>IFERROR(VLOOKUP($B93,MMWR_TRAD_AGG_STATE_PEN[],O$1,0),"ERROR")</f>
        <v>18</v>
      </c>
      <c r="P93" s="114">
        <f t="shared" si="11"/>
        <v>0.33962264150943394</v>
      </c>
      <c r="Q93" s="115">
        <f>IFERROR(VLOOKUP($B93,MMWR_TRAD_AGG_STATE_PEN[],Q$1,0),"ERROR")</f>
        <v>136</v>
      </c>
      <c r="R93" s="115">
        <f>IFERROR(VLOOKUP($B93,MMWR_TRAD_AGG_STATE_PEN[],R$1,0),"ERROR")</f>
        <v>74</v>
      </c>
      <c r="S93" s="115">
        <f>IFERROR(VLOOKUP($B93,MMWR_APP_STATE_PEN[],S$1,0),"ERROR")</f>
        <v>212</v>
      </c>
      <c r="T93" s="28"/>
    </row>
    <row r="94" spans="1:20" s="123" customFormat="1" x14ac:dyDescent="0.2">
      <c r="A94" s="28"/>
      <c r="B94" s="127" t="s">
        <v>399</v>
      </c>
      <c r="C94" s="109">
        <f>IFERROR(VLOOKUP($B94,MMWR_TRAD_AGG_STATE_PEN[],C$1,0),"ERROR")</f>
        <v>66</v>
      </c>
      <c r="D94" s="110">
        <f>IFERROR(VLOOKUP($B94,MMWR_TRAD_AGG_STATE_PEN[],D$1,0),"ERROR")</f>
        <v>56.757575757600002</v>
      </c>
      <c r="E94" s="111">
        <f>IFERROR(VLOOKUP($B94,MMWR_TRAD_AGG_STATE_PEN[],E$1,0),"ERROR")</f>
        <v>82</v>
      </c>
      <c r="F94" s="112">
        <f>IFERROR(VLOOKUP($B94,MMWR_TRAD_AGG_STATE_PEN[],F$1,0),"ERROR")</f>
        <v>1</v>
      </c>
      <c r="G94" s="113">
        <f t="shared" si="8"/>
        <v>1.2195121951219513E-2</v>
      </c>
      <c r="H94" s="111">
        <f>IFERROR(VLOOKUP($B94,MMWR_TRAD_AGG_STATE_PEN[],H$1,0),"ERROR")</f>
        <v>106</v>
      </c>
      <c r="I94" s="112">
        <f>IFERROR(VLOOKUP($B94,MMWR_TRAD_AGG_STATE_PEN[],I$1,0),"ERROR")</f>
        <v>9</v>
      </c>
      <c r="J94" s="114">
        <f t="shared" si="9"/>
        <v>8.4905660377358486E-2</v>
      </c>
      <c r="K94" s="111">
        <f>IFERROR(VLOOKUP($B94,MMWR_TRAD_AGG_STATE_PEN[],K$1,0),"ERROR")</f>
        <v>0</v>
      </c>
      <c r="L94" s="112">
        <f>IFERROR(VLOOKUP($B94,MMWR_TRAD_AGG_STATE_PEN[],L$1,0),"ERROR")</f>
        <v>0</v>
      </c>
      <c r="M94" s="114" t="str">
        <f t="shared" si="10"/>
        <v>0%</v>
      </c>
      <c r="N94" s="111">
        <f>IFERROR(VLOOKUP($B94,MMWR_TRAD_AGG_STATE_PEN[],N$1,0),"ERROR")</f>
        <v>4</v>
      </c>
      <c r="O94" s="112">
        <f>IFERROR(VLOOKUP($B94,MMWR_TRAD_AGG_STATE_PEN[],O$1,0),"ERROR")</f>
        <v>1</v>
      </c>
      <c r="P94" s="114">
        <f t="shared" si="11"/>
        <v>0.25</v>
      </c>
      <c r="Q94" s="115">
        <f>IFERROR(VLOOKUP($B94,MMWR_TRAD_AGG_STATE_PEN[],Q$1,0),"ERROR")</f>
        <v>243</v>
      </c>
      <c r="R94" s="115">
        <f>IFERROR(VLOOKUP($B94,MMWR_TRAD_AGG_STATE_PEN[],R$1,0),"ERROR")</f>
        <v>28</v>
      </c>
      <c r="S94" s="115">
        <f>IFERROR(VLOOKUP($B94,MMWR_APP_STATE_PEN[],S$1,0),"ERROR")</f>
        <v>15</v>
      </c>
      <c r="T94" s="28"/>
    </row>
    <row r="95" spans="1:20" s="123" customFormat="1" x14ac:dyDescent="0.2">
      <c r="A95" s="28"/>
      <c r="B95" s="127" t="s">
        <v>418</v>
      </c>
      <c r="C95" s="109">
        <f>IFERROR(VLOOKUP($B95,MMWR_TRAD_AGG_STATE_PEN[],C$1,0),"ERROR")</f>
        <v>23</v>
      </c>
      <c r="D95" s="110">
        <f>IFERROR(VLOOKUP($B95,MMWR_TRAD_AGG_STATE_PEN[],D$1,0),"ERROR")</f>
        <v>64.217391304299994</v>
      </c>
      <c r="E95" s="111">
        <f>IFERROR(VLOOKUP($B95,MMWR_TRAD_AGG_STATE_PEN[],E$1,0),"ERROR")</f>
        <v>27</v>
      </c>
      <c r="F95" s="112">
        <f>IFERROR(VLOOKUP($B95,MMWR_TRAD_AGG_STATE_PEN[],F$1,0),"ERROR")</f>
        <v>1</v>
      </c>
      <c r="G95" s="113">
        <f t="shared" si="8"/>
        <v>3.7037037037037035E-2</v>
      </c>
      <c r="H95" s="111">
        <f>IFERROR(VLOOKUP($B95,MMWR_TRAD_AGG_STATE_PEN[],H$1,0),"ERROR")</f>
        <v>43</v>
      </c>
      <c r="I95" s="112">
        <f>IFERROR(VLOOKUP($B95,MMWR_TRAD_AGG_STATE_PEN[],I$1,0),"ERROR")</f>
        <v>4</v>
      </c>
      <c r="J95" s="114">
        <f t="shared" si="9"/>
        <v>9.3023255813953487E-2</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64</v>
      </c>
      <c r="R95" s="115">
        <f>IFERROR(VLOOKUP($B95,MMWR_TRAD_AGG_STATE_PEN[],R$1,0),"ERROR")</f>
        <v>15</v>
      </c>
      <c r="S95" s="115">
        <f>IFERROR(VLOOKUP($B95,MMWR_APP_STATE_PEN[],S$1,0),"ERROR")</f>
        <v>4</v>
      </c>
      <c r="T95" s="28"/>
    </row>
    <row r="96" spans="1:20" s="123" customFormat="1" x14ac:dyDescent="0.2">
      <c r="A96" s="28"/>
      <c r="B96" s="127" t="s">
        <v>390</v>
      </c>
      <c r="C96" s="109">
        <f>IFERROR(VLOOKUP($B96,MMWR_TRAD_AGG_STATE_PEN[],C$1,0),"ERROR")</f>
        <v>537</v>
      </c>
      <c r="D96" s="110">
        <f>IFERROR(VLOOKUP($B96,MMWR_TRAD_AGG_STATE_PEN[],D$1,0),"ERROR")</f>
        <v>54.108007448800002</v>
      </c>
      <c r="E96" s="111">
        <f>IFERROR(VLOOKUP($B96,MMWR_TRAD_AGG_STATE_PEN[],E$1,0),"ERROR")</f>
        <v>1122</v>
      </c>
      <c r="F96" s="112">
        <f>IFERROR(VLOOKUP($B96,MMWR_TRAD_AGG_STATE_PEN[],F$1,0),"ERROR")</f>
        <v>173</v>
      </c>
      <c r="G96" s="113">
        <f t="shared" si="8"/>
        <v>0.15418894830659535</v>
      </c>
      <c r="H96" s="111">
        <f>IFERROR(VLOOKUP($B96,MMWR_TRAD_AGG_STATE_PEN[],H$1,0),"ERROR")</f>
        <v>972</v>
      </c>
      <c r="I96" s="112">
        <f>IFERROR(VLOOKUP($B96,MMWR_TRAD_AGG_STATE_PEN[],I$1,0),"ERROR")</f>
        <v>75</v>
      </c>
      <c r="J96" s="114">
        <f t="shared" si="9"/>
        <v>7.716049382716049E-2</v>
      </c>
      <c r="K96" s="111">
        <f>IFERROR(VLOOKUP($B96,MMWR_TRAD_AGG_STATE_PEN[],K$1,0),"ERROR")</f>
        <v>1</v>
      </c>
      <c r="L96" s="112">
        <f>IFERROR(VLOOKUP($B96,MMWR_TRAD_AGG_STATE_PEN[],L$1,0),"ERROR")</f>
        <v>1</v>
      </c>
      <c r="M96" s="114">
        <f t="shared" si="10"/>
        <v>1</v>
      </c>
      <c r="N96" s="111">
        <f>IFERROR(VLOOKUP($B96,MMWR_TRAD_AGG_STATE_PEN[],N$1,0),"ERROR")</f>
        <v>86</v>
      </c>
      <c r="O96" s="112">
        <f>IFERROR(VLOOKUP($B96,MMWR_TRAD_AGG_STATE_PEN[],O$1,0),"ERROR")</f>
        <v>15</v>
      </c>
      <c r="P96" s="114">
        <f t="shared" si="11"/>
        <v>0.1744186046511628</v>
      </c>
      <c r="Q96" s="115">
        <f>IFERROR(VLOOKUP($B96,MMWR_TRAD_AGG_STATE_PEN[],Q$1,0),"ERROR")</f>
        <v>128</v>
      </c>
      <c r="R96" s="115">
        <f>IFERROR(VLOOKUP($B96,MMWR_TRAD_AGG_STATE_PEN[],R$1,0),"ERROR")</f>
        <v>144</v>
      </c>
      <c r="S96" s="115">
        <f>IFERROR(VLOOKUP($B96,MMWR_APP_STATE_PEN[],S$1,0),"ERROR")</f>
        <v>285</v>
      </c>
      <c r="T96" s="28"/>
    </row>
    <row r="97" spans="1:20" s="123" customFormat="1" x14ac:dyDescent="0.2">
      <c r="A97" s="28"/>
      <c r="B97" s="127" t="s">
        <v>419</v>
      </c>
      <c r="C97" s="109">
        <f>IFERROR(VLOOKUP($B97,MMWR_TRAD_AGG_STATE_PEN[],C$1,0),"ERROR")</f>
        <v>43</v>
      </c>
      <c r="D97" s="110">
        <f>IFERROR(VLOOKUP($B97,MMWR_TRAD_AGG_STATE_PEN[],D$1,0),"ERROR")</f>
        <v>61.7674418605</v>
      </c>
      <c r="E97" s="111">
        <f>IFERROR(VLOOKUP($B97,MMWR_TRAD_AGG_STATE_PEN[],E$1,0),"ERROR")</f>
        <v>51</v>
      </c>
      <c r="F97" s="112">
        <f>IFERROR(VLOOKUP($B97,MMWR_TRAD_AGG_STATE_PEN[],F$1,0),"ERROR")</f>
        <v>3</v>
      </c>
      <c r="G97" s="113">
        <f t="shared" si="8"/>
        <v>5.8823529411764705E-2</v>
      </c>
      <c r="H97" s="111">
        <f>IFERROR(VLOOKUP($B97,MMWR_TRAD_AGG_STATE_PEN[],H$1,0),"ERROR")</f>
        <v>69</v>
      </c>
      <c r="I97" s="112">
        <f>IFERROR(VLOOKUP($B97,MMWR_TRAD_AGG_STATE_PEN[],I$1,0),"ERROR")</f>
        <v>6</v>
      </c>
      <c r="J97" s="114">
        <f t="shared" si="9"/>
        <v>8.6956521739130432E-2</v>
      </c>
      <c r="K97" s="111">
        <f>IFERROR(VLOOKUP($B97,MMWR_TRAD_AGG_STATE_PEN[],K$1,0),"ERROR")</f>
        <v>1</v>
      </c>
      <c r="L97" s="112">
        <f>IFERROR(VLOOKUP($B97,MMWR_TRAD_AGG_STATE_PEN[],L$1,0),"ERROR")</f>
        <v>1</v>
      </c>
      <c r="M97" s="114">
        <f t="shared" si="10"/>
        <v>1</v>
      </c>
      <c r="N97" s="111">
        <f>IFERROR(VLOOKUP($B97,MMWR_TRAD_AGG_STATE_PEN[],N$1,0),"ERROR")</f>
        <v>4</v>
      </c>
      <c r="O97" s="112">
        <f>IFERROR(VLOOKUP($B97,MMWR_TRAD_AGG_STATE_PEN[],O$1,0),"ERROR")</f>
        <v>2</v>
      </c>
      <c r="P97" s="114">
        <f t="shared" si="11"/>
        <v>0.5</v>
      </c>
      <c r="Q97" s="115">
        <f>IFERROR(VLOOKUP($B97,MMWR_TRAD_AGG_STATE_PEN[],Q$1,0),"ERROR")</f>
        <v>112</v>
      </c>
      <c r="R97" s="115">
        <f>IFERROR(VLOOKUP($B97,MMWR_TRAD_AGG_STATE_PEN[],R$1,0),"ERROR")</f>
        <v>7</v>
      </c>
      <c r="S97" s="115">
        <f>IFERROR(VLOOKUP($B97,MMWR_APP_STATE_PEN[],S$1,0),"ERROR")</f>
        <v>7</v>
      </c>
      <c r="T97" s="28"/>
    </row>
    <row r="98" spans="1:20" s="123" customFormat="1" x14ac:dyDescent="0.2">
      <c r="A98" s="28"/>
      <c r="B98" s="127" t="s">
        <v>395</v>
      </c>
      <c r="C98" s="109">
        <f>IFERROR(VLOOKUP($B98,MMWR_TRAD_AGG_STATE_PEN[],C$1,0),"ERROR")</f>
        <v>239</v>
      </c>
      <c r="D98" s="110">
        <f>IFERROR(VLOOKUP($B98,MMWR_TRAD_AGG_STATE_PEN[],D$1,0),"ERROR")</f>
        <v>47.267782426799997</v>
      </c>
      <c r="E98" s="111">
        <f>IFERROR(VLOOKUP($B98,MMWR_TRAD_AGG_STATE_PEN[],E$1,0),"ERROR")</f>
        <v>395</v>
      </c>
      <c r="F98" s="112">
        <f>IFERROR(VLOOKUP($B98,MMWR_TRAD_AGG_STATE_PEN[],F$1,0),"ERROR")</f>
        <v>50</v>
      </c>
      <c r="G98" s="113">
        <f t="shared" si="8"/>
        <v>0.12658227848101267</v>
      </c>
      <c r="H98" s="111">
        <f>IFERROR(VLOOKUP($B98,MMWR_TRAD_AGG_STATE_PEN[],H$1,0),"ERROR")</f>
        <v>373</v>
      </c>
      <c r="I98" s="112">
        <f>IFERROR(VLOOKUP($B98,MMWR_TRAD_AGG_STATE_PEN[],I$1,0),"ERROR")</f>
        <v>19</v>
      </c>
      <c r="J98" s="114">
        <f t="shared" si="9"/>
        <v>5.0938337801608578E-2</v>
      </c>
      <c r="K98" s="111">
        <f>IFERROR(VLOOKUP($B98,MMWR_TRAD_AGG_STATE_PEN[],K$1,0),"ERROR")</f>
        <v>0</v>
      </c>
      <c r="L98" s="112">
        <f>IFERROR(VLOOKUP($B98,MMWR_TRAD_AGG_STATE_PEN[],L$1,0),"ERROR")</f>
        <v>0</v>
      </c>
      <c r="M98" s="114" t="str">
        <f t="shared" si="10"/>
        <v>0%</v>
      </c>
      <c r="N98" s="111">
        <f>IFERROR(VLOOKUP($B98,MMWR_TRAD_AGG_STATE_PEN[],N$1,0),"ERROR")</f>
        <v>32</v>
      </c>
      <c r="O98" s="112">
        <f>IFERROR(VLOOKUP($B98,MMWR_TRAD_AGG_STATE_PEN[],O$1,0),"ERROR")</f>
        <v>8</v>
      </c>
      <c r="P98" s="114">
        <f t="shared" si="11"/>
        <v>0.25</v>
      </c>
      <c r="Q98" s="115">
        <f>IFERROR(VLOOKUP($B98,MMWR_TRAD_AGG_STATE_PEN[],Q$1,0),"ERROR")</f>
        <v>63</v>
      </c>
      <c r="R98" s="115">
        <f>IFERROR(VLOOKUP($B98,MMWR_TRAD_AGG_STATE_PEN[],R$1,0),"ERROR")</f>
        <v>41</v>
      </c>
      <c r="S98" s="115">
        <f>IFERROR(VLOOKUP($B98,MMWR_APP_STATE_PEN[],S$1,0),"ERROR")</f>
        <v>92</v>
      </c>
      <c r="T98" s="28"/>
    </row>
    <row r="99" spans="1:20" s="123" customFormat="1" x14ac:dyDescent="0.2">
      <c r="A99" s="28"/>
      <c r="B99" s="126" t="s">
        <v>384</v>
      </c>
      <c r="C99" s="102">
        <f>IFERROR(VLOOKUP($B99,MMWR_TRAD_AGG_ST_DISTRICT_PEN[],C$1,0),"ERROR")</f>
        <v>2184</v>
      </c>
      <c r="D99" s="103">
        <f>IFERROR(VLOOKUP($B99,MMWR_TRAD_AGG_ST_DISTRICT_PEN[],D$1,0),"ERROR")</f>
        <v>64.433150183199999</v>
      </c>
      <c r="E99" s="102">
        <f>IFERROR(VLOOKUP($B99,MMWR_TRAD_AGG_ST_DISTRICT_PEN[],E$1,0),"ERROR")</f>
        <v>3167</v>
      </c>
      <c r="F99" s="102">
        <f>IFERROR(VLOOKUP($B99,MMWR_TRAD_AGG_ST_DISTRICT_PEN[],F$1,0),"ERROR")</f>
        <v>200</v>
      </c>
      <c r="G99" s="104">
        <f t="shared" si="8"/>
        <v>6.3151247237132932E-2</v>
      </c>
      <c r="H99" s="102">
        <f>IFERROR(VLOOKUP($B99,MMWR_TRAD_AGG_ST_DISTRICT_PEN[],H$1,0),"ERROR")</f>
        <v>3661</v>
      </c>
      <c r="I99" s="102">
        <f>IFERROR(VLOOKUP($B99,MMWR_TRAD_AGG_ST_DISTRICT_PEN[],I$1,0),"ERROR")</f>
        <v>363</v>
      </c>
      <c r="J99" s="104">
        <f t="shared" si="9"/>
        <v>9.9153236820540835E-2</v>
      </c>
      <c r="K99" s="102">
        <f>IFERROR(VLOOKUP($B99,MMWR_TRAD_AGG_ST_DISTRICT_PEN[],K$1,0),"ERROR")</f>
        <v>20</v>
      </c>
      <c r="L99" s="102">
        <f>IFERROR(VLOOKUP($B99,MMWR_TRAD_AGG_ST_DISTRICT_PEN[],L$1,0),"ERROR")</f>
        <v>20</v>
      </c>
      <c r="M99" s="104">
        <f t="shared" si="10"/>
        <v>1</v>
      </c>
      <c r="N99" s="102">
        <f>IFERROR(VLOOKUP($B99,MMWR_TRAD_AGG_ST_DISTRICT_PEN[],N$1,0),"ERROR")</f>
        <v>253</v>
      </c>
      <c r="O99" s="102">
        <f>IFERROR(VLOOKUP($B99,MMWR_TRAD_AGG_ST_DISTRICT_PEN[],O$1,0),"ERROR")</f>
        <v>89</v>
      </c>
      <c r="P99" s="104">
        <f t="shared" si="11"/>
        <v>0.35177865612648224</v>
      </c>
      <c r="Q99" s="102">
        <f>IFERROR(VLOOKUP($B99,MMWR_TRAD_AGG_ST_DISTRICT_PEN[],Q$1,0),"ERROR")</f>
        <v>3278</v>
      </c>
      <c r="R99" s="106">
        <f>IFERROR(VLOOKUP($B99,MMWR_TRAD_AGG_ST_DISTRICT_PEN[],R$1,0),"ERROR")</f>
        <v>945</v>
      </c>
      <c r="S99" s="106">
        <f>IFERROR(VLOOKUP($B99,MMWR_APP_STATE_PEN[],S$1,0),"ERROR")</f>
        <v>836</v>
      </c>
      <c r="T99" s="28"/>
    </row>
    <row r="100" spans="1:20" s="123" customFormat="1" x14ac:dyDescent="0.2">
      <c r="A100" s="28"/>
      <c r="B100" s="127" t="s">
        <v>410</v>
      </c>
      <c r="C100" s="109">
        <f>IFERROR(VLOOKUP($B100,MMWR_TRAD_AGG_STATE_PEN[],C$1,0),"ERROR")</f>
        <v>194</v>
      </c>
      <c r="D100" s="110">
        <f>IFERROR(VLOOKUP($B100,MMWR_TRAD_AGG_STATE_PEN[],D$1,0),"ERROR")</f>
        <v>63.742268041199999</v>
      </c>
      <c r="E100" s="111">
        <f>IFERROR(VLOOKUP($B100,MMWR_TRAD_AGG_STATE_PEN[],E$1,0),"ERROR")</f>
        <v>259</v>
      </c>
      <c r="F100" s="112">
        <f>IFERROR(VLOOKUP($B100,MMWR_TRAD_AGG_STATE_PEN[],F$1,0),"ERROR")</f>
        <v>25</v>
      </c>
      <c r="G100" s="113">
        <f t="shared" si="8"/>
        <v>9.6525096525096526E-2</v>
      </c>
      <c r="H100" s="111">
        <f>IFERROR(VLOOKUP($B100,MMWR_TRAD_AGG_STATE_PEN[],H$1,0),"ERROR")</f>
        <v>283</v>
      </c>
      <c r="I100" s="112">
        <f>IFERROR(VLOOKUP($B100,MMWR_TRAD_AGG_STATE_PEN[],I$1,0),"ERROR")</f>
        <v>29</v>
      </c>
      <c r="J100" s="114">
        <f t="shared" si="9"/>
        <v>0.10247349823321555</v>
      </c>
      <c r="K100" s="111">
        <f>IFERROR(VLOOKUP($B100,MMWR_TRAD_AGG_STATE_PEN[],K$1,0),"ERROR")</f>
        <v>4</v>
      </c>
      <c r="L100" s="112">
        <f>IFERROR(VLOOKUP($B100,MMWR_TRAD_AGG_STATE_PEN[],L$1,0),"ERROR")</f>
        <v>4</v>
      </c>
      <c r="M100" s="114">
        <f t="shared" si="10"/>
        <v>1</v>
      </c>
      <c r="N100" s="111">
        <f>IFERROR(VLOOKUP($B100,MMWR_TRAD_AGG_STATE_PEN[],N$1,0),"ERROR")</f>
        <v>31</v>
      </c>
      <c r="O100" s="112">
        <f>IFERROR(VLOOKUP($B100,MMWR_TRAD_AGG_STATE_PEN[],O$1,0),"ERROR")</f>
        <v>10</v>
      </c>
      <c r="P100" s="114">
        <f t="shared" si="11"/>
        <v>0.32258064516129031</v>
      </c>
      <c r="Q100" s="115">
        <f>IFERROR(VLOOKUP($B100,MMWR_TRAD_AGG_STATE_PEN[],Q$1,0),"ERROR")</f>
        <v>82</v>
      </c>
      <c r="R100" s="115">
        <f>IFERROR(VLOOKUP($B100,MMWR_TRAD_AGG_STATE_PEN[],R$1,0),"ERROR")</f>
        <v>46</v>
      </c>
      <c r="S100" s="115">
        <f>IFERROR(VLOOKUP($B100,MMWR_APP_STATE_PEN[],S$1,0),"ERROR")</f>
        <v>142</v>
      </c>
      <c r="T100" s="28"/>
    </row>
    <row r="101" spans="1:20" s="123" customFormat="1" x14ac:dyDescent="0.2">
      <c r="A101" s="28"/>
      <c r="B101" s="127" t="s">
        <v>402</v>
      </c>
      <c r="C101" s="109">
        <f>IFERROR(VLOOKUP($B101,MMWR_TRAD_AGG_STATE_PEN[],C$1,0),"ERROR")</f>
        <v>139</v>
      </c>
      <c r="D101" s="110">
        <f>IFERROR(VLOOKUP($B101,MMWR_TRAD_AGG_STATE_PEN[],D$1,0),"ERROR")</f>
        <v>69.697841726600004</v>
      </c>
      <c r="E101" s="111">
        <f>IFERROR(VLOOKUP($B101,MMWR_TRAD_AGG_STATE_PEN[],E$1,0),"ERROR")</f>
        <v>241</v>
      </c>
      <c r="F101" s="112">
        <f>IFERROR(VLOOKUP($B101,MMWR_TRAD_AGG_STATE_PEN[],F$1,0),"ERROR")</f>
        <v>9</v>
      </c>
      <c r="G101" s="113">
        <f t="shared" ref="G101:G127" si="12">IFERROR(F101/E101,"0%")</f>
        <v>3.7344398340248962E-2</v>
      </c>
      <c r="H101" s="111">
        <f>IFERROR(VLOOKUP($B101,MMWR_TRAD_AGG_STATE_PEN[],H$1,0),"ERROR")</f>
        <v>314</v>
      </c>
      <c r="I101" s="112">
        <f>IFERROR(VLOOKUP($B101,MMWR_TRAD_AGG_STATE_PEN[],I$1,0),"ERROR")</f>
        <v>35</v>
      </c>
      <c r="J101" s="114">
        <f t="shared" ref="J101:J127" si="13">IFERROR(I101/H101,"0%")</f>
        <v>0.11146496815286625</v>
      </c>
      <c r="K101" s="111">
        <f>IFERROR(VLOOKUP($B101,MMWR_TRAD_AGG_STATE_PEN[],K$1,0),"ERROR")</f>
        <v>3</v>
      </c>
      <c r="L101" s="112">
        <f>IFERROR(VLOOKUP($B101,MMWR_TRAD_AGG_STATE_PEN[],L$1,0),"ERROR")</f>
        <v>3</v>
      </c>
      <c r="M101" s="114">
        <f t="shared" ref="M101:M127" si="14">IFERROR(L101/K101,"0%")</f>
        <v>1</v>
      </c>
      <c r="N101" s="111">
        <f>IFERROR(VLOOKUP($B101,MMWR_TRAD_AGG_STATE_PEN[],N$1,0),"ERROR")</f>
        <v>16</v>
      </c>
      <c r="O101" s="112">
        <f>IFERROR(VLOOKUP($B101,MMWR_TRAD_AGG_STATE_PEN[],O$1,0),"ERROR")</f>
        <v>10</v>
      </c>
      <c r="P101" s="114">
        <f t="shared" ref="P101:P127" si="15">IFERROR(O101/N101,"0%")</f>
        <v>0.625</v>
      </c>
      <c r="Q101" s="115">
        <f>IFERROR(VLOOKUP($B101,MMWR_TRAD_AGG_STATE_PEN[],Q$1,0),"ERROR")</f>
        <v>419</v>
      </c>
      <c r="R101" s="115">
        <f>IFERROR(VLOOKUP($B101,MMWR_TRAD_AGG_STATE_PEN[],R$1,0),"ERROR")</f>
        <v>87</v>
      </c>
      <c r="S101" s="115">
        <f>IFERROR(VLOOKUP($B101,MMWR_APP_STATE_PEN[],S$1,0),"ERROR")</f>
        <v>54</v>
      </c>
      <c r="T101" s="28"/>
    </row>
    <row r="102" spans="1:20" s="123" customFormat="1" x14ac:dyDescent="0.2">
      <c r="A102" s="28"/>
      <c r="B102" s="127" t="s">
        <v>386</v>
      </c>
      <c r="C102" s="109">
        <f>IFERROR(VLOOKUP($B102,MMWR_TRAD_AGG_STATE_PEN[],C$1,0),"ERROR")</f>
        <v>339</v>
      </c>
      <c r="D102" s="110">
        <f>IFERROR(VLOOKUP($B102,MMWR_TRAD_AGG_STATE_PEN[],D$1,0),"ERROR")</f>
        <v>59.3274336283</v>
      </c>
      <c r="E102" s="111">
        <f>IFERROR(VLOOKUP($B102,MMWR_TRAD_AGG_STATE_PEN[],E$1,0),"ERROR")</f>
        <v>503</v>
      </c>
      <c r="F102" s="112">
        <f>IFERROR(VLOOKUP($B102,MMWR_TRAD_AGG_STATE_PEN[],F$1,0),"ERROR")</f>
        <v>58</v>
      </c>
      <c r="G102" s="113">
        <f t="shared" si="12"/>
        <v>0.11530815109343936</v>
      </c>
      <c r="H102" s="111">
        <f>IFERROR(VLOOKUP($B102,MMWR_TRAD_AGG_STATE_PEN[],H$1,0),"ERROR")</f>
        <v>487</v>
      </c>
      <c r="I102" s="112">
        <f>IFERROR(VLOOKUP($B102,MMWR_TRAD_AGG_STATE_PEN[],I$1,0),"ERROR")</f>
        <v>41</v>
      </c>
      <c r="J102" s="114">
        <f t="shared" si="13"/>
        <v>8.4188911704312114E-2</v>
      </c>
      <c r="K102" s="111">
        <f>IFERROR(VLOOKUP($B102,MMWR_TRAD_AGG_STATE_PEN[],K$1,0),"ERROR")</f>
        <v>2</v>
      </c>
      <c r="L102" s="112">
        <f>IFERROR(VLOOKUP($B102,MMWR_TRAD_AGG_STATE_PEN[],L$1,0),"ERROR")</f>
        <v>2</v>
      </c>
      <c r="M102" s="114">
        <f t="shared" si="14"/>
        <v>1</v>
      </c>
      <c r="N102" s="111">
        <f>IFERROR(VLOOKUP($B102,MMWR_TRAD_AGG_STATE_PEN[],N$1,0),"ERROR")</f>
        <v>41</v>
      </c>
      <c r="O102" s="112">
        <f>IFERROR(VLOOKUP($B102,MMWR_TRAD_AGG_STATE_PEN[],O$1,0),"ERROR")</f>
        <v>12</v>
      </c>
      <c r="P102" s="114">
        <f t="shared" si="15"/>
        <v>0.29268292682926828</v>
      </c>
      <c r="Q102" s="115">
        <f>IFERROR(VLOOKUP($B102,MMWR_TRAD_AGG_STATE_PEN[],Q$1,0),"ERROR")</f>
        <v>99</v>
      </c>
      <c r="R102" s="115">
        <f>IFERROR(VLOOKUP($B102,MMWR_TRAD_AGG_STATE_PEN[],R$1,0),"ERROR")</f>
        <v>87</v>
      </c>
      <c r="S102" s="115">
        <f>IFERROR(VLOOKUP($B102,MMWR_APP_STATE_PEN[],S$1,0),"ERROR")</f>
        <v>159</v>
      </c>
      <c r="T102" s="28"/>
    </row>
    <row r="103" spans="1:20" s="123" customFormat="1" x14ac:dyDescent="0.2">
      <c r="A103" s="28"/>
      <c r="B103" s="127" t="s">
        <v>388</v>
      </c>
      <c r="C103" s="109">
        <f>IFERROR(VLOOKUP($B103,MMWR_TRAD_AGG_STATE_PEN[],C$1,0),"ERROR")</f>
        <v>197</v>
      </c>
      <c r="D103" s="110">
        <f>IFERROR(VLOOKUP($B103,MMWR_TRAD_AGG_STATE_PEN[],D$1,0),"ERROR")</f>
        <v>57.421319797000002</v>
      </c>
      <c r="E103" s="111">
        <f>IFERROR(VLOOKUP($B103,MMWR_TRAD_AGG_STATE_PEN[],E$1,0),"ERROR")</f>
        <v>296</v>
      </c>
      <c r="F103" s="112">
        <f>IFERROR(VLOOKUP($B103,MMWR_TRAD_AGG_STATE_PEN[],F$1,0),"ERROR")</f>
        <v>28</v>
      </c>
      <c r="G103" s="113">
        <f t="shared" si="12"/>
        <v>9.45945945945946E-2</v>
      </c>
      <c r="H103" s="111">
        <f>IFERROR(VLOOKUP($B103,MMWR_TRAD_AGG_STATE_PEN[],H$1,0),"ERROR")</f>
        <v>325</v>
      </c>
      <c r="I103" s="112">
        <f>IFERROR(VLOOKUP($B103,MMWR_TRAD_AGG_STATE_PEN[],I$1,0),"ERROR")</f>
        <v>39</v>
      </c>
      <c r="J103" s="114">
        <f t="shared" si="13"/>
        <v>0.12</v>
      </c>
      <c r="K103" s="111">
        <f>IFERROR(VLOOKUP($B103,MMWR_TRAD_AGG_STATE_PEN[],K$1,0),"ERROR")</f>
        <v>4</v>
      </c>
      <c r="L103" s="112">
        <f>IFERROR(VLOOKUP($B103,MMWR_TRAD_AGG_STATE_PEN[],L$1,0),"ERROR")</f>
        <v>4</v>
      </c>
      <c r="M103" s="114">
        <f t="shared" si="14"/>
        <v>1</v>
      </c>
      <c r="N103" s="111">
        <f>IFERROR(VLOOKUP($B103,MMWR_TRAD_AGG_STATE_PEN[],N$1,0),"ERROR")</f>
        <v>36</v>
      </c>
      <c r="O103" s="112">
        <f>IFERROR(VLOOKUP($B103,MMWR_TRAD_AGG_STATE_PEN[],O$1,0),"ERROR")</f>
        <v>6</v>
      </c>
      <c r="P103" s="114">
        <f t="shared" si="15"/>
        <v>0.16666666666666666</v>
      </c>
      <c r="Q103" s="115">
        <f>IFERROR(VLOOKUP($B103,MMWR_TRAD_AGG_STATE_PEN[],Q$1,0),"ERROR")</f>
        <v>79</v>
      </c>
      <c r="R103" s="115">
        <f>IFERROR(VLOOKUP($B103,MMWR_TRAD_AGG_STATE_PEN[],R$1,0),"ERROR")</f>
        <v>30</v>
      </c>
      <c r="S103" s="115">
        <f>IFERROR(VLOOKUP($B103,MMWR_APP_STATE_PEN[],S$1,0),"ERROR")</f>
        <v>138</v>
      </c>
      <c r="T103" s="28"/>
    </row>
    <row r="104" spans="1:20" s="123" customFormat="1" x14ac:dyDescent="0.2">
      <c r="A104" s="28"/>
      <c r="B104" s="127" t="s">
        <v>417</v>
      </c>
      <c r="C104" s="109">
        <f>IFERROR(VLOOKUP($B104,MMWR_TRAD_AGG_STATE_PEN[],C$1,0),"ERROR")</f>
        <v>31</v>
      </c>
      <c r="D104" s="110">
        <f>IFERROR(VLOOKUP($B104,MMWR_TRAD_AGG_STATE_PEN[],D$1,0),"ERROR")</f>
        <v>72.967741935500001</v>
      </c>
      <c r="E104" s="111">
        <f>IFERROR(VLOOKUP($B104,MMWR_TRAD_AGG_STATE_PEN[],E$1,0),"ERROR")</f>
        <v>57</v>
      </c>
      <c r="F104" s="112">
        <f>IFERROR(VLOOKUP($B104,MMWR_TRAD_AGG_STATE_PEN[],F$1,0),"ERROR")</f>
        <v>6</v>
      </c>
      <c r="G104" s="113">
        <f t="shared" si="12"/>
        <v>0.10526315789473684</v>
      </c>
      <c r="H104" s="111">
        <f>IFERROR(VLOOKUP($B104,MMWR_TRAD_AGG_STATE_PEN[],H$1,0),"ERROR")</f>
        <v>70</v>
      </c>
      <c r="I104" s="112">
        <f>IFERROR(VLOOKUP($B104,MMWR_TRAD_AGG_STATE_PEN[],I$1,0),"ERROR")</f>
        <v>8</v>
      </c>
      <c r="J104" s="114">
        <f t="shared" si="13"/>
        <v>0.11428571428571428</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0</v>
      </c>
      <c r="P104" s="114">
        <f t="shared" si="15"/>
        <v>0</v>
      </c>
      <c r="Q104" s="115">
        <f>IFERROR(VLOOKUP($B104,MMWR_TRAD_AGG_STATE_PEN[],Q$1,0),"ERROR")</f>
        <v>126</v>
      </c>
      <c r="R104" s="115">
        <f>IFERROR(VLOOKUP($B104,MMWR_TRAD_AGG_STATE_PEN[],R$1,0),"ERROR")</f>
        <v>23</v>
      </c>
      <c r="S104" s="115">
        <f>IFERROR(VLOOKUP($B104,MMWR_APP_STATE_PEN[],S$1,0),"ERROR")</f>
        <v>4</v>
      </c>
      <c r="T104" s="28"/>
    </row>
    <row r="105" spans="1:20" s="123" customFormat="1" x14ac:dyDescent="0.2">
      <c r="A105" s="28"/>
      <c r="B105" s="127" t="s">
        <v>411</v>
      </c>
      <c r="C105" s="109">
        <f>IFERROR(VLOOKUP($B105,MMWR_TRAD_AGG_STATE_PEN[],C$1,0),"ERROR")</f>
        <v>215</v>
      </c>
      <c r="D105" s="110">
        <f>IFERROR(VLOOKUP($B105,MMWR_TRAD_AGG_STATE_PEN[],D$1,0),"ERROR")</f>
        <v>58.474418604699999</v>
      </c>
      <c r="E105" s="111">
        <f>IFERROR(VLOOKUP($B105,MMWR_TRAD_AGG_STATE_PEN[],E$1,0),"ERROR")</f>
        <v>277</v>
      </c>
      <c r="F105" s="112">
        <f>IFERROR(VLOOKUP($B105,MMWR_TRAD_AGG_STATE_PEN[],F$1,0),"ERROR")</f>
        <v>10</v>
      </c>
      <c r="G105" s="113">
        <f t="shared" si="12"/>
        <v>3.6101083032490974E-2</v>
      </c>
      <c r="H105" s="111">
        <f>IFERROR(VLOOKUP($B105,MMWR_TRAD_AGG_STATE_PEN[],H$1,0),"ERROR")</f>
        <v>335</v>
      </c>
      <c r="I105" s="112">
        <f>IFERROR(VLOOKUP($B105,MMWR_TRAD_AGG_STATE_PEN[],I$1,0),"ERROR")</f>
        <v>29</v>
      </c>
      <c r="J105" s="114">
        <f t="shared" si="13"/>
        <v>8.6567164179104483E-2</v>
      </c>
      <c r="K105" s="111">
        <f>IFERROR(VLOOKUP($B105,MMWR_TRAD_AGG_STATE_PEN[],K$1,0),"ERROR")</f>
        <v>1</v>
      </c>
      <c r="L105" s="112">
        <f>IFERROR(VLOOKUP($B105,MMWR_TRAD_AGG_STATE_PEN[],L$1,0),"ERROR")</f>
        <v>1</v>
      </c>
      <c r="M105" s="114">
        <f t="shared" si="14"/>
        <v>1</v>
      </c>
      <c r="N105" s="111">
        <f>IFERROR(VLOOKUP($B105,MMWR_TRAD_AGG_STATE_PEN[],N$1,0),"ERROR")</f>
        <v>28</v>
      </c>
      <c r="O105" s="112">
        <f>IFERROR(VLOOKUP($B105,MMWR_TRAD_AGG_STATE_PEN[],O$1,0),"ERROR")</f>
        <v>13</v>
      </c>
      <c r="P105" s="114">
        <f t="shared" si="15"/>
        <v>0.4642857142857143</v>
      </c>
      <c r="Q105" s="115">
        <f>IFERROR(VLOOKUP($B105,MMWR_TRAD_AGG_STATE_PEN[],Q$1,0),"ERROR")</f>
        <v>636</v>
      </c>
      <c r="R105" s="115">
        <f>IFERROR(VLOOKUP($B105,MMWR_TRAD_AGG_STATE_PEN[],R$1,0),"ERROR")</f>
        <v>70</v>
      </c>
      <c r="S105" s="115">
        <f>IFERROR(VLOOKUP($B105,MMWR_APP_STATE_PEN[],S$1,0),"ERROR")</f>
        <v>71</v>
      </c>
      <c r="T105" s="28"/>
    </row>
    <row r="106" spans="1:20" s="123" customFormat="1" x14ac:dyDescent="0.2">
      <c r="A106" s="28"/>
      <c r="B106" s="127" t="s">
        <v>409</v>
      </c>
      <c r="C106" s="109">
        <f>IFERROR(VLOOKUP($B106,MMWR_TRAD_AGG_STATE_PEN[],C$1,0),"ERROR")</f>
        <v>977</v>
      </c>
      <c r="D106" s="110">
        <f>IFERROR(VLOOKUP($B106,MMWR_TRAD_AGG_STATE_PEN[],D$1,0),"ERROR")</f>
        <v>68.461617195499997</v>
      </c>
      <c r="E106" s="111">
        <f>IFERROR(VLOOKUP($B106,MMWR_TRAD_AGG_STATE_PEN[],E$1,0),"ERROR")</f>
        <v>1367</v>
      </c>
      <c r="F106" s="112">
        <f>IFERROR(VLOOKUP($B106,MMWR_TRAD_AGG_STATE_PEN[],F$1,0),"ERROR")</f>
        <v>61</v>
      </c>
      <c r="G106" s="113">
        <f t="shared" si="12"/>
        <v>4.4623262618873442E-2</v>
      </c>
      <c r="H106" s="111">
        <f>IFERROR(VLOOKUP($B106,MMWR_TRAD_AGG_STATE_PEN[],H$1,0),"ERROR")</f>
        <v>1683</v>
      </c>
      <c r="I106" s="112">
        <f>IFERROR(VLOOKUP($B106,MMWR_TRAD_AGG_STATE_PEN[],I$1,0),"ERROR")</f>
        <v>165</v>
      </c>
      <c r="J106" s="114">
        <f t="shared" si="13"/>
        <v>9.8039215686274508E-2</v>
      </c>
      <c r="K106" s="111">
        <f>IFERROR(VLOOKUP($B106,MMWR_TRAD_AGG_STATE_PEN[],K$1,0),"ERROR")</f>
        <v>6</v>
      </c>
      <c r="L106" s="112">
        <f>IFERROR(VLOOKUP($B106,MMWR_TRAD_AGG_STATE_PEN[],L$1,0),"ERROR")</f>
        <v>6</v>
      </c>
      <c r="M106" s="114">
        <f t="shared" si="14"/>
        <v>1</v>
      </c>
      <c r="N106" s="111">
        <f>IFERROR(VLOOKUP($B106,MMWR_TRAD_AGG_STATE_PEN[],N$1,0),"ERROR")</f>
        <v>92</v>
      </c>
      <c r="O106" s="112">
        <f>IFERROR(VLOOKUP($B106,MMWR_TRAD_AGG_STATE_PEN[],O$1,0),"ERROR")</f>
        <v>37</v>
      </c>
      <c r="P106" s="114">
        <f t="shared" si="15"/>
        <v>0.40217391304347827</v>
      </c>
      <c r="Q106" s="115">
        <f>IFERROR(VLOOKUP($B106,MMWR_TRAD_AGG_STATE_PEN[],Q$1,0),"ERROR")</f>
        <v>1599</v>
      </c>
      <c r="R106" s="115">
        <f>IFERROR(VLOOKUP($B106,MMWR_TRAD_AGG_STATE_PEN[],R$1,0),"ERROR")</f>
        <v>560</v>
      </c>
      <c r="S106" s="115">
        <f>IFERROR(VLOOKUP($B106,MMWR_APP_STATE_PEN[],S$1,0),"ERROR")</f>
        <v>249</v>
      </c>
      <c r="T106" s="28"/>
    </row>
    <row r="107" spans="1:20" s="123" customFormat="1" x14ac:dyDescent="0.2">
      <c r="A107" s="28"/>
      <c r="B107" s="127" t="s">
        <v>405</v>
      </c>
      <c r="C107" s="109">
        <f>IFERROR(VLOOKUP($B107,MMWR_TRAD_AGG_STATE_PEN[],C$1,0),"ERROR")</f>
        <v>79</v>
      </c>
      <c r="D107" s="110">
        <f>IFERROR(VLOOKUP($B107,MMWR_TRAD_AGG_STATE_PEN[],D$1,0),"ERROR")</f>
        <v>61.367088607600003</v>
      </c>
      <c r="E107" s="111">
        <f>IFERROR(VLOOKUP($B107,MMWR_TRAD_AGG_STATE_PEN[],E$1,0),"ERROR")</f>
        <v>143</v>
      </c>
      <c r="F107" s="112">
        <f>IFERROR(VLOOKUP($B107,MMWR_TRAD_AGG_STATE_PEN[],F$1,0),"ERROR")</f>
        <v>2</v>
      </c>
      <c r="G107" s="113">
        <f t="shared" si="12"/>
        <v>1.3986013986013986E-2</v>
      </c>
      <c r="H107" s="111">
        <f>IFERROR(VLOOKUP($B107,MMWR_TRAD_AGG_STATE_PEN[],H$1,0),"ERROR")</f>
        <v>138</v>
      </c>
      <c r="I107" s="112">
        <f>IFERROR(VLOOKUP($B107,MMWR_TRAD_AGG_STATE_PEN[],I$1,0),"ERROR")</f>
        <v>13</v>
      </c>
      <c r="J107" s="114">
        <f t="shared" si="13"/>
        <v>9.420289855072464E-2</v>
      </c>
      <c r="K107" s="111">
        <f>IFERROR(VLOOKUP($B107,MMWR_TRAD_AGG_STATE_PEN[],K$1,0),"ERROR")</f>
        <v>0</v>
      </c>
      <c r="L107" s="112">
        <f>IFERROR(VLOOKUP($B107,MMWR_TRAD_AGG_STATE_PEN[],L$1,0),"ERROR")</f>
        <v>0</v>
      </c>
      <c r="M107" s="114" t="str">
        <f t="shared" si="14"/>
        <v>0%</v>
      </c>
      <c r="N107" s="111">
        <f>IFERROR(VLOOKUP($B107,MMWR_TRAD_AGG_STATE_PEN[],N$1,0),"ERROR")</f>
        <v>4</v>
      </c>
      <c r="O107" s="112">
        <f>IFERROR(VLOOKUP($B107,MMWR_TRAD_AGG_STATE_PEN[],O$1,0),"ERROR")</f>
        <v>1</v>
      </c>
      <c r="P107" s="114">
        <f t="shared" si="15"/>
        <v>0.25</v>
      </c>
      <c r="Q107" s="115">
        <f>IFERROR(VLOOKUP($B107,MMWR_TRAD_AGG_STATE_PEN[],Q$1,0),"ERROR")</f>
        <v>173</v>
      </c>
      <c r="R107" s="115">
        <f>IFERROR(VLOOKUP($B107,MMWR_TRAD_AGG_STATE_PEN[],R$1,0),"ERROR")</f>
        <v>34</v>
      </c>
      <c r="S107" s="115">
        <f>IFERROR(VLOOKUP($B107,MMWR_APP_STATE_PEN[],S$1,0),"ERROR")</f>
        <v>16</v>
      </c>
      <c r="T107" s="28"/>
    </row>
    <row r="108" spans="1:20" s="123" customFormat="1" x14ac:dyDescent="0.2">
      <c r="A108" s="28"/>
      <c r="B108" s="127" t="s">
        <v>420</v>
      </c>
      <c r="C108" s="109">
        <f>IFERROR(VLOOKUP($B108,MMWR_TRAD_AGG_STATE_PEN[],C$1,0),"ERROR")</f>
        <v>13</v>
      </c>
      <c r="D108" s="110">
        <f>IFERROR(VLOOKUP($B108,MMWR_TRAD_AGG_STATE_PEN[],D$1,0),"ERROR")</f>
        <v>51.923076923099998</v>
      </c>
      <c r="E108" s="111">
        <f>IFERROR(VLOOKUP($B108,MMWR_TRAD_AGG_STATE_PEN[],E$1,0),"ERROR")</f>
        <v>24</v>
      </c>
      <c r="F108" s="112">
        <f>IFERROR(VLOOKUP($B108,MMWR_TRAD_AGG_STATE_PEN[],F$1,0),"ERROR")</f>
        <v>1</v>
      </c>
      <c r="G108" s="113">
        <f t="shared" si="12"/>
        <v>4.1666666666666664E-2</v>
      </c>
      <c r="H108" s="111">
        <f>IFERROR(VLOOKUP($B108,MMWR_TRAD_AGG_STATE_PEN[],H$1,0),"ERROR")</f>
        <v>26</v>
      </c>
      <c r="I108" s="112">
        <f>IFERROR(VLOOKUP($B108,MMWR_TRAD_AGG_STATE_PEN[],I$1,0),"ERROR")</f>
        <v>4</v>
      </c>
      <c r="J108" s="114">
        <f t="shared" si="13"/>
        <v>0.15384615384615385</v>
      </c>
      <c r="K108" s="111">
        <f>IFERROR(VLOOKUP($B108,MMWR_TRAD_AGG_STATE_PEN[],K$1,0),"ERROR")</f>
        <v>0</v>
      </c>
      <c r="L108" s="112">
        <f>IFERROR(VLOOKUP($B108,MMWR_TRAD_AGG_STATE_PEN[],L$1,0),"ERROR")</f>
        <v>0</v>
      </c>
      <c r="M108" s="114" t="str">
        <f t="shared" si="14"/>
        <v>0%</v>
      </c>
      <c r="N108" s="111">
        <f>IFERROR(VLOOKUP($B108,MMWR_TRAD_AGG_STATE_PEN[],N$1,0),"ERROR")</f>
        <v>3</v>
      </c>
      <c r="O108" s="112">
        <f>IFERROR(VLOOKUP($B108,MMWR_TRAD_AGG_STATE_PEN[],O$1,0),"ERROR")</f>
        <v>0</v>
      </c>
      <c r="P108" s="114">
        <f t="shared" si="15"/>
        <v>0</v>
      </c>
      <c r="Q108" s="115">
        <f>IFERROR(VLOOKUP($B108,MMWR_TRAD_AGG_STATE_PEN[],Q$1,0),"ERROR")</f>
        <v>65</v>
      </c>
      <c r="R108" s="115">
        <f>IFERROR(VLOOKUP($B108,MMWR_TRAD_AGG_STATE_PEN[],R$1,0),"ERROR")</f>
        <v>8</v>
      </c>
      <c r="S108" s="115">
        <f>IFERROR(VLOOKUP($B108,MMWR_APP_STATE_PEN[],S$1,0),"ERROR")</f>
        <v>3</v>
      </c>
      <c r="T108" s="28"/>
    </row>
    <row r="109" spans="1:20" s="123" customFormat="1" x14ac:dyDescent="0.2">
      <c r="A109" s="28"/>
      <c r="B109" s="126" t="s">
        <v>403</v>
      </c>
      <c r="C109" s="102">
        <f>IFERROR(VLOOKUP($B109,MMWR_TRAD_AGG_ST_DISTRICT_PEN[],C$1,0),"ERROR")</f>
        <v>1960</v>
      </c>
      <c r="D109" s="103">
        <f>IFERROR(VLOOKUP($B109,MMWR_TRAD_AGG_ST_DISTRICT_PEN[],D$1,0),"ERROR")</f>
        <v>66.495408163299999</v>
      </c>
      <c r="E109" s="102">
        <f>IFERROR(VLOOKUP($B109,MMWR_TRAD_AGG_ST_DISTRICT_PEN[],E$1,0),"ERROR")</f>
        <v>3093</v>
      </c>
      <c r="F109" s="102">
        <f>IFERROR(VLOOKUP($B109,MMWR_TRAD_AGG_ST_DISTRICT_PEN[],F$1,0),"ERROR")</f>
        <v>169</v>
      </c>
      <c r="G109" s="104">
        <f t="shared" si="12"/>
        <v>5.4639508567733593E-2</v>
      </c>
      <c r="H109" s="102">
        <f>IFERROR(VLOOKUP($B109,MMWR_TRAD_AGG_ST_DISTRICT_PEN[],H$1,0),"ERROR")</f>
        <v>3528</v>
      </c>
      <c r="I109" s="102">
        <f>IFERROR(VLOOKUP($B109,MMWR_TRAD_AGG_ST_DISTRICT_PEN[],I$1,0),"ERROR")</f>
        <v>458</v>
      </c>
      <c r="J109" s="104">
        <f t="shared" si="13"/>
        <v>0.12981859410430838</v>
      </c>
      <c r="K109" s="102">
        <f>IFERROR(VLOOKUP($B109,MMWR_TRAD_AGG_ST_DISTRICT_PEN[],K$1,0),"ERROR")</f>
        <v>11</v>
      </c>
      <c r="L109" s="102">
        <f>IFERROR(VLOOKUP($B109,MMWR_TRAD_AGG_ST_DISTRICT_PEN[],L$1,0),"ERROR")</f>
        <v>10</v>
      </c>
      <c r="M109" s="104">
        <f t="shared" si="14"/>
        <v>0.90909090909090906</v>
      </c>
      <c r="N109" s="102">
        <f>IFERROR(VLOOKUP($B109,MMWR_TRAD_AGG_ST_DISTRICT_PEN[],N$1,0),"ERROR")</f>
        <v>200</v>
      </c>
      <c r="O109" s="102">
        <f>IFERROR(VLOOKUP($B109,MMWR_TRAD_AGG_ST_DISTRICT_PEN[],O$1,0),"ERROR")</f>
        <v>83</v>
      </c>
      <c r="P109" s="104">
        <f t="shared" si="15"/>
        <v>0.41499999999999998</v>
      </c>
      <c r="Q109" s="102">
        <f>IFERROR(VLOOKUP($B109,MMWR_TRAD_AGG_ST_DISTRICT_PEN[],Q$1,0),"ERROR")</f>
        <v>3655</v>
      </c>
      <c r="R109" s="106">
        <f>IFERROR(VLOOKUP($B109,MMWR_TRAD_AGG_ST_DISTRICT_PEN[],R$1,0),"ERROR")</f>
        <v>1033</v>
      </c>
      <c r="S109" s="106">
        <f>IFERROR(VLOOKUP($B109,MMWR_APP_STATE_PEN[],S$1,0),"ERROR")</f>
        <v>452</v>
      </c>
      <c r="T109" s="28"/>
    </row>
    <row r="110" spans="1:20" s="123" customFormat="1" x14ac:dyDescent="0.2">
      <c r="A110" s="28"/>
      <c r="B110" s="127" t="s">
        <v>423</v>
      </c>
      <c r="C110" s="109">
        <f>IFERROR(VLOOKUP($B110,MMWR_TRAD_AGG_STATE_PEN[],C$1,0),"ERROR")</f>
        <v>16</v>
      </c>
      <c r="D110" s="110">
        <f>IFERROR(VLOOKUP($B110,MMWR_TRAD_AGG_STATE_PEN[],D$1,0),"ERROR")</f>
        <v>45.6875</v>
      </c>
      <c r="E110" s="111">
        <f>IFERROR(VLOOKUP($B110,MMWR_TRAD_AGG_STATE_PEN[],E$1,0),"ERROR")</f>
        <v>8</v>
      </c>
      <c r="F110" s="112">
        <f>IFERROR(VLOOKUP($B110,MMWR_TRAD_AGG_STATE_PEN[],F$1,0),"ERROR")</f>
        <v>0</v>
      </c>
      <c r="G110" s="113">
        <f t="shared" si="12"/>
        <v>0</v>
      </c>
      <c r="H110" s="111">
        <f>IFERROR(VLOOKUP($B110,MMWR_TRAD_AGG_STATE_PEN[],H$1,0),"ERROR")</f>
        <v>29</v>
      </c>
      <c r="I110" s="112">
        <f>IFERROR(VLOOKUP($B110,MMWR_TRAD_AGG_STATE_PEN[],I$1,0),"ERROR")</f>
        <v>1</v>
      </c>
      <c r="J110" s="114">
        <f t="shared" si="13"/>
        <v>3.4482758620689655E-2</v>
      </c>
      <c r="K110" s="111">
        <f>IFERROR(VLOOKUP($B110,MMWR_TRAD_AGG_STATE_PEN[],K$1,0),"ERROR")</f>
        <v>0</v>
      </c>
      <c r="L110" s="112">
        <f>IFERROR(VLOOKUP($B110,MMWR_TRAD_AGG_STATE_PEN[],L$1,0),"ERROR")</f>
        <v>0</v>
      </c>
      <c r="M110" s="114" t="str">
        <f t="shared" si="14"/>
        <v>0%</v>
      </c>
      <c r="N110" s="111">
        <f>IFERROR(VLOOKUP($B110,MMWR_TRAD_AGG_STATE_PEN[],N$1,0),"ERROR")</f>
        <v>3</v>
      </c>
      <c r="O110" s="112">
        <f>IFERROR(VLOOKUP($B110,MMWR_TRAD_AGG_STATE_PEN[],O$1,0),"ERROR")</f>
        <v>1</v>
      </c>
      <c r="P110" s="114">
        <f t="shared" si="15"/>
        <v>0.33333333333333331</v>
      </c>
      <c r="Q110" s="115">
        <f>IFERROR(VLOOKUP($B110,MMWR_TRAD_AGG_STATE_PEN[],Q$1,0),"ERROR")</f>
        <v>43</v>
      </c>
      <c r="R110" s="115">
        <f>IFERROR(VLOOKUP($B110,MMWR_TRAD_AGG_STATE_PEN[],R$1,0),"ERROR")</f>
        <v>11</v>
      </c>
      <c r="S110" s="115">
        <f>IFERROR(VLOOKUP($B110,MMWR_APP_STATE_PEN[],S$1,0),"ERROR")</f>
        <v>2</v>
      </c>
      <c r="T110" s="28"/>
    </row>
    <row r="111" spans="1:20" s="123" customFormat="1" x14ac:dyDescent="0.2">
      <c r="A111" s="28"/>
      <c r="B111" s="127" t="s">
        <v>425</v>
      </c>
      <c r="C111" s="109">
        <f>IFERROR(VLOOKUP($B111,MMWR_TRAD_AGG_STATE_PEN[],C$1,0),"ERROR")</f>
        <v>242</v>
      </c>
      <c r="D111" s="110">
        <f>IFERROR(VLOOKUP($B111,MMWR_TRAD_AGG_STATE_PEN[],D$1,0),"ERROR")</f>
        <v>64.971074380199994</v>
      </c>
      <c r="E111" s="111">
        <f>IFERROR(VLOOKUP($B111,MMWR_TRAD_AGG_STATE_PEN[],E$1,0),"ERROR")</f>
        <v>397</v>
      </c>
      <c r="F111" s="112">
        <f>IFERROR(VLOOKUP($B111,MMWR_TRAD_AGG_STATE_PEN[],F$1,0),"ERROR")</f>
        <v>27</v>
      </c>
      <c r="G111" s="113">
        <f t="shared" si="12"/>
        <v>6.8010075566750636E-2</v>
      </c>
      <c r="H111" s="111">
        <f>IFERROR(VLOOKUP($B111,MMWR_TRAD_AGG_STATE_PEN[],H$1,0),"ERROR")</f>
        <v>419</v>
      </c>
      <c r="I111" s="112">
        <f>IFERROR(VLOOKUP($B111,MMWR_TRAD_AGG_STATE_PEN[],I$1,0),"ERROR")</f>
        <v>49</v>
      </c>
      <c r="J111" s="114">
        <f t="shared" si="13"/>
        <v>0.11694510739856802</v>
      </c>
      <c r="K111" s="111">
        <f>IFERROR(VLOOKUP($B111,MMWR_TRAD_AGG_STATE_PEN[],K$1,0),"ERROR")</f>
        <v>0</v>
      </c>
      <c r="L111" s="112">
        <f>IFERROR(VLOOKUP($B111,MMWR_TRAD_AGG_STATE_PEN[],L$1,0),"ERROR")</f>
        <v>0</v>
      </c>
      <c r="M111" s="114" t="str">
        <f t="shared" si="14"/>
        <v>0%</v>
      </c>
      <c r="N111" s="111">
        <f>IFERROR(VLOOKUP($B111,MMWR_TRAD_AGG_STATE_PEN[],N$1,0),"ERROR")</f>
        <v>22</v>
      </c>
      <c r="O111" s="112">
        <f>IFERROR(VLOOKUP($B111,MMWR_TRAD_AGG_STATE_PEN[],O$1,0),"ERROR")</f>
        <v>8</v>
      </c>
      <c r="P111" s="114">
        <f t="shared" si="15"/>
        <v>0.36363636363636365</v>
      </c>
      <c r="Q111" s="115">
        <f>IFERROR(VLOOKUP($B111,MMWR_TRAD_AGG_STATE_PEN[],Q$1,0),"ERROR")</f>
        <v>453</v>
      </c>
      <c r="R111" s="115">
        <f>IFERROR(VLOOKUP($B111,MMWR_TRAD_AGG_STATE_PEN[],R$1,0),"ERROR")</f>
        <v>136</v>
      </c>
      <c r="S111" s="115">
        <f>IFERROR(VLOOKUP($B111,MMWR_APP_STATE_PEN[],S$1,0),"ERROR")</f>
        <v>50</v>
      </c>
      <c r="T111" s="28"/>
    </row>
    <row r="112" spans="1:20" s="123" customFormat="1" x14ac:dyDescent="0.2">
      <c r="A112" s="28"/>
      <c r="B112" s="127" t="s">
        <v>406</v>
      </c>
      <c r="C112" s="109">
        <f>IFERROR(VLOOKUP($B112,MMWR_TRAD_AGG_STATE_PEN[],C$1,0),"ERROR")</f>
        <v>1087</v>
      </c>
      <c r="D112" s="110">
        <f>IFERROR(VLOOKUP($B112,MMWR_TRAD_AGG_STATE_PEN[],D$1,0),"ERROR")</f>
        <v>67.308187672499997</v>
      </c>
      <c r="E112" s="111">
        <f>IFERROR(VLOOKUP($B112,MMWR_TRAD_AGG_STATE_PEN[],E$1,0),"ERROR")</f>
        <v>1718</v>
      </c>
      <c r="F112" s="112">
        <f>IFERROR(VLOOKUP($B112,MMWR_TRAD_AGG_STATE_PEN[],F$1,0),"ERROR")</f>
        <v>96</v>
      </c>
      <c r="G112" s="113">
        <f t="shared" si="12"/>
        <v>5.5878928987194411E-2</v>
      </c>
      <c r="H112" s="111">
        <f>IFERROR(VLOOKUP($B112,MMWR_TRAD_AGG_STATE_PEN[],H$1,0),"ERROR")</f>
        <v>1883</v>
      </c>
      <c r="I112" s="112">
        <f>IFERROR(VLOOKUP($B112,MMWR_TRAD_AGG_STATE_PEN[],I$1,0),"ERROR")</f>
        <v>239</v>
      </c>
      <c r="J112" s="114">
        <f t="shared" si="13"/>
        <v>0.12692511949017526</v>
      </c>
      <c r="K112" s="111">
        <f>IFERROR(VLOOKUP($B112,MMWR_TRAD_AGG_STATE_PEN[],K$1,0),"ERROR")</f>
        <v>8</v>
      </c>
      <c r="L112" s="112">
        <f>IFERROR(VLOOKUP($B112,MMWR_TRAD_AGG_STATE_PEN[],L$1,0),"ERROR")</f>
        <v>7</v>
      </c>
      <c r="M112" s="114">
        <f t="shared" si="14"/>
        <v>0.875</v>
      </c>
      <c r="N112" s="111">
        <f>IFERROR(VLOOKUP($B112,MMWR_TRAD_AGG_STATE_PEN[],N$1,0),"ERROR")</f>
        <v>114</v>
      </c>
      <c r="O112" s="112">
        <f>IFERROR(VLOOKUP($B112,MMWR_TRAD_AGG_STATE_PEN[],O$1,0),"ERROR")</f>
        <v>48</v>
      </c>
      <c r="P112" s="114">
        <f t="shared" si="15"/>
        <v>0.42105263157894735</v>
      </c>
      <c r="Q112" s="115">
        <f>IFERROR(VLOOKUP($B112,MMWR_TRAD_AGG_STATE_PEN[],Q$1,0),"ERROR")</f>
        <v>1601</v>
      </c>
      <c r="R112" s="115">
        <f>IFERROR(VLOOKUP($B112,MMWR_TRAD_AGG_STATE_PEN[],R$1,0),"ERROR")</f>
        <v>534</v>
      </c>
      <c r="S112" s="115">
        <f>IFERROR(VLOOKUP($B112,MMWR_APP_STATE_PEN[],S$1,0),"ERROR")</f>
        <v>256</v>
      </c>
      <c r="T112" s="28"/>
    </row>
    <row r="113" spans="1:20" s="123" customFormat="1" x14ac:dyDescent="0.2">
      <c r="A113" s="28"/>
      <c r="B113" s="127" t="s">
        <v>427</v>
      </c>
      <c r="C113" s="109">
        <f>IFERROR(VLOOKUP($B113,MMWR_TRAD_AGG_STATE_PEN[],C$1,0),"ERROR")</f>
        <v>27</v>
      </c>
      <c r="D113" s="110">
        <f>IFERROR(VLOOKUP($B113,MMWR_TRAD_AGG_STATE_PEN[],D$1,0),"ERROR")</f>
        <v>59.925925925900003</v>
      </c>
      <c r="E113" s="111">
        <f>IFERROR(VLOOKUP($B113,MMWR_TRAD_AGG_STATE_PEN[],E$1,0),"ERROR")</f>
        <v>29</v>
      </c>
      <c r="F113" s="112">
        <f>IFERROR(VLOOKUP($B113,MMWR_TRAD_AGG_STATE_PEN[],F$1,0),"ERROR")</f>
        <v>2</v>
      </c>
      <c r="G113" s="113">
        <f t="shared" si="12"/>
        <v>6.8965517241379309E-2</v>
      </c>
      <c r="H113" s="111">
        <f>IFERROR(VLOOKUP($B113,MMWR_TRAD_AGG_STATE_PEN[],H$1,0),"ERROR")</f>
        <v>52</v>
      </c>
      <c r="I113" s="112">
        <f>IFERROR(VLOOKUP($B113,MMWR_TRAD_AGG_STATE_PEN[],I$1,0),"ERROR")</f>
        <v>5</v>
      </c>
      <c r="J113" s="114">
        <f t="shared" si="13"/>
        <v>9.6153846153846159E-2</v>
      </c>
      <c r="K113" s="111">
        <f>IFERROR(VLOOKUP($B113,MMWR_TRAD_AGG_STATE_PEN[],K$1,0),"ERROR")</f>
        <v>1</v>
      </c>
      <c r="L113" s="112">
        <f>IFERROR(VLOOKUP($B113,MMWR_TRAD_AGG_STATE_PEN[],L$1,0),"ERROR")</f>
        <v>1</v>
      </c>
      <c r="M113" s="114">
        <f t="shared" si="14"/>
        <v>1</v>
      </c>
      <c r="N113" s="111">
        <f>IFERROR(VLOOKUP($B113,MMWR_TRAD_AGG_STATE_PEN[],N$1,0),"ERROR")</f>
        <v>0</v>
      </c>
      <c r="O113" s="112">
        <f>IFERROR(VLOOKUP($B113,MMWR_TRAD_AGG_STATE_PEN[],O$1,0),"ERROR")</f>
        <v>0</v>
      </c>
      <c r="P113" s="114" t="str">
        <f t="shared" si="15"/>
        <v>0%</v>
      </c>
      <c r="Q113" s="115">
        <f>IFERROR(VLOOKUP($B113,MMWR_TRAD_AGG_STATE_PEN[],Q$1,0),"ERROR")</f>
        <v>86</v>
      </c>
      <c r="R113" s="115">
        <f>IFERROR(VLOOKUP($B113,MMWR_TRAD_AGG_STATE_PEN[],R$1,0),"ERROR")</f>
        <v>12</v>
      </c>
      <c r="S113" s="115">
        <f>IFERROR(VLOOKUP($B113,MMWR_APP_STATE_PEN[],S$1,0),"ERROR")</f>
        <v>9</v>
      </c>
      <c r="T113" s="28"/>
    </row>
    <row r="114" spans="1:20" s="123" customFormat="1" x14ac:dyDescent="0.2">
      <c r="A114" s="28"/>
      <c r="B114" s="127" t="s">
        <v>407</v>
      </c>
      <c r="C114" s="109">
        <f>IFERROR(VLOOKUP($B114,MMWR_TRAD_AGG_STATE_PEN[],C$1,0),"ERROR")</f>
        <v>64</v>
      </c>
      <c r="D114" s="110">
        <f>IFERROR(VLOOKUP($B114,MMWR_TRAD_AGG_STATE_PEN[],D$1,0),"ERROR")</f>
        <v>77.078125</v>
      </c>
      <c r="E114" s="111">
        <f>IFERROR(VLOOKUP($B114,MMWR_TRAD_AGG_STATE_PEN[],E$1,0),"ERROR")</f>
        <v>94</v>
      </c>
      <c r="F114" s="112">
        <f>IFERROR(VLOOKUP($B114,MMWR_TRAD_AGG_STATE_PEN[],F$1,0),"ERROR")</f>
        <v>6</v>
      </c>
      <c r="G114" s="113">
        <f t="shared" si="12"/>
        <v>6.3829787234042548E-2</v>
      </c>
      <c r="H114" s="111">
        <f>IFERROR(VLOOKUP($B114,MMWR_TRAD_AGG_STATE_PEN[],H$1,0),"ERROR")</f>
        <v>117</v>
      </c>
      <c r="I114" s="112">
        <f>IFERROR(VLOOKUP($B114,MMWR_TRAD_AGG_STATE_PEN[],I$1,0),"ERROR")</f>
        <v>20</v>
      </c>
      <c r="J114" s="114">
        <f t="shared" si="13"/>
        <v>0.17094017094017094</v>
      </c>
      <c r="K114" s="111">
        <f>IFERROR(VLOOKUP($B114,MMWR_TRAD_AGG_STATE_PEN[],K$1,0),"ERROR")</f>
        <v>1</v>
      </c>
      <c r="L114" s="112">
        <f>IFERROR(VLOOKUP($B114,MMWR_TRAD_AGG_STATE_PEN[],L$1,0),"ERROR")</f>
        <v>1</v>
      </c>
      <c r="M114" s="114">
        <f t="shared" si="14"/>
        <v>1</v>
      </c>
      <c r="N114" s="111">
        <f>IFERROR(VLOOKUP($B114,MMWR_TRAD_AGG_STATE_PEN[],N$1,0),"ERROR")</f>
        <v>6</v>
      </c>
      <c r="O114" s="112">
        <f>IFERROR(VLOOKUP($B114,MMWR_TRAD_AGG_STATE_PEN[],O$1,0),"ERROR")</f>
        <v>1</v>
      </c>
      <c r="P114" s="114">
        <f t="shared" si="15"/>
        <v>0.16666666666666666</v>
      </c>
      <c r="Q114" s="115">
        <f>IFERROR(VLOOKUP($B114,MMWR_TRAD_AGG_STATE_PEN[],Q$1,0),"ERROR")</f>
        <v>118</v>
      </c>
      <c r="R114" s="115">
        <f>IFERROR(VLOOKUP($B114,MMWR_TRAD_AGG_STATE_PEN[],R$1,0),"ERROR")</f>
        <v>26</v>
      </c>
      <c r="S114" s="115">
        <f>IFERROR(VLOOKUP($B114,MMWR_APP_STATE_PEN[],S$1,0),"ERROR")</f>
        <v>6</v>
      </c>
      <c r="T114" s="28"/>
    </row>
    <row r="115" spans="1:20" s="123" customFormat="1" x14ac:dyDescent="0.2">
      <c r="A115" s="28"/>
      <c r="B115" s="127" t="s">
        <v>412</v>
      </c>
      <c r="C115" s="109">
        <f>IFERROR(VLOOKUP($B115,MMWR_TRAD_AGG_STATE_PEN[],C$1,0),"ERROR")</f>
        <v>104</v>
      </c>
      <c r="D115" s="110">
        <f>IFERROR(VLOOKUP($B115,MMWR_TRAD_AGG_STATE_PEN[],D$1,0),"ERROR")</f>
        <v>65.663461538500002</v>
      </c>
      <c r="E115" s="111">
        <f>IFERROR(VLOOKUP($B115,MMWR_TRAD_AGG_STATE_PEN[],E$1,0),"ERROR")</f>
        <v>113</v>
      </c>
      <c r="F115" s="112">
        <f>IFERROR(VLOOKUP($B115,MMWR_TRAD_AGG_STATE_PEN[],F$1,0),"ERROR")</f>
        <v>5</v>
      </c>
      <c r="G115" s="113">
        <f t="shared" si="12"/>
        <v>4.4247787610619468E-2</v>
      </c>
      <c r="H115" s="111">
        <f>IFERROR(VLOOKUP($B115,MMWR_TRAD_AGG_STATE_PEN[],H$1,0),"ERROR")</f>
        <v>193</v>
      </c>
      <c r="I115" s="112">
        <f>IFERROR(VLOOKUP($B115,MMWR_TRAD_AGG_STATE_PEN[],I$1,0),"ERROR")</f>
        <v>25</v>
      </c>
      <c r="J115" s="114">
        <f t="shared" si="13"/>
        <v>0.12953367875647667</v>
      </c>
      <c r="K115" s="111">
        <f>IFERROR(VLOOKUP($B115,MMWR_TRAD_AGG_STATE_PEN[],K$1,0),"ERROR")</f>
        <v>0</v>
      </c>
      <c r="L115" s="112">
        <f>IFERROR(VLOOKUP($B115,MMWR_TRAD_AGG_STATE_PEN[],L$1,0),"ERROR")</f>
        <v>0</v>
      </c>
      <c r="M115" s="114" t="str">
        <f t="shared" si="14"/>
        <v>0%</v>
      </c>
      <c r="N115" s="111">
        <f>IFERROR(VLOOKUP($B115,MMWR_TRAD_AGG_STATE_PEN[],N$1,0),"ERROR")</f>
        <v>6</v>
      </c>
      <c r="O115" s="112">
        <f>IFERROR(VLOOKUP($B115,MMWR_TRAD_AGG_STATE_PEN[],O$1,0),"ERROR")</f>
        <v>4</v>
      </c>
      <c r="P115" s="114">
        <f t="shared" si="15"/>
        <v>0.66666666666666663</v>
      </c>
      <c r="Q115" s="115">
        <f>IFERROR(VLOOKUP($B115,MMWR_TRAD_AGG_STATE_PEN[],Q$1,0),"ERROR")</f>
        <v>188</v>
      </c>
      <c r="R115" s="115">
        <f>IFERROR(VLOOKUP($B115,MMWR_TRAD_AGG_STATE_PEN[],R$1,0),"ERROR")</f>
        <v>48</v>
      </c>
      <c r="S115" s="115">
        <f>IFERROR(VLOOKUP($B115,MMWR_APP_STATE_PEN[],S$1,0),"ERROR")</f>
        <v>29</v>
      </c>
      <c r="T115" s="28"/>
    </row>
    <row r="116" spans="1:20" s="123" customFormat="1" x14ac:dyDescent="0.2">
      <c r="A116" s="28"/>
      <c r="B116" s="127" t="s">
        <v>404</v>
      </c>
      <c r="C116" s="109">
        <f>IFERROR(VLOOKUP($B116,MMWR_TRAD_AGG_STATE_PEN[],C$1,0),"ERROR")</f>
        <v>78</v>
      </c>
      <c r="D116" s="110">
        <f>IFERROR(VLOOKUP($B116,MMWR_TRAD_AGG_STATE_PEN[],D$1,0),"ERROR")</f>
        <v>54.102564102599999</v>
      </c>
      <c r="E116" s="111">
        <f>IFERROR(VLOOKUP($B116,MMWR_TRAD_AGG_STATE_PEN[],E$1,0),"ERROR")</f>
        <v>134</v>
      </c>
      <c r="F116" s="112">
        <f>IFERROR(VLOOKUP($B116,MMWR_TRAD_AGG_STATE_PEN[],F$1,0),"ERROR")</f>
        <v>7</v>
      </c>
      <c r="G116" s="113">
        <f t="shared" si="12"/>
        <v>5.2238805970149252E-2</v>
      </c>
      <c r="H116" s="111">
        <f>IFERROR(VLOOKUP($B116,MMWR_TRAD_AGG_STATE_PEN[],H$1,0),"ERROR")</f>
        <v>161</v>
      </c>
      <c r="I116" s="112">
        <f>IFERROR(VLOOKUP($B116,MMWR_TRAD_AGG_STATE_PEN[],I$1,0),"ERROR")</f>
        <v>16</v>
      </c>
      <c r="J116" s="114">
        <f t="shared" si="13"/>
        <v>9.9378881987577633E-2</v>
      </c>
      <c r="K116" s="111">
        <f>IFERROR(VLOOKUP($B116,MMWR_TRAD_AGG_STATE_PEN[],K$1,0),"ERROR")</f>
        <v>0</v>
      </c>
      <c r="L116" s="112">
        <f>IFERROR(VLOOKUP($B116,MMWR_TRAD_AGG_STATE_PEN[],L$1,0),"ERROR")</f>
        <v>0</v>
      </c>
      <c r="M116" s="114" t="str">
        <f t="shared" si="14"/>
        <v>0%</v>
      </c>
      <c r="N116" s="111">
        <f>IFERROR(VLOOKUP($B116,MMWR_TRAD_AGG_STATE_PEN[],N$1,0),"ERROR")</f>
        <v>8</v>
      </c>
      <c r="O116" s="112">
        <f>IFERROR(VLOOKUP($B116,MMWR_TRAD_AGG_STATE_PEN[],O$1,0),"ERROR")</f>
        <v>3</v>
      </c>
      <c r="P116" s="114">
        <f t="shared" si="15"/>
        <v>0.375</v>
      </c>
      <c r="Q116" s="115">
        <f>IFERROR(VLOOKUP($B116,MMWR_TRAD_AGG_STATE_PEN[],Q$1,0),"ERROR")</f>
        <v>279</v>
      </c>
      <c r="R116" s="115">
        <f>IFERROR(VLOOKUP($B116,MMWR_TRAD_AGG_STATE_PEN[],R$1,0),"ERROR")</f>
        <v>38</v>
      </c>
      <c r="S116" s="115">
        <f>IFERROR(VLOOKUP($B116,MMWR_APP_STATE_PEN[],S$1,0),"ERROR")</f>
        <v>15</v>
      </c>
      <c r="T116" s="28"/>
    </row>
    <row r="117" spans="1:20" s="123" customFormat="1" x14ac:dyDescent="0.2">
      <c r="A117" s="28"/>
      <c r="B117" s="127" t="s">
        <v>408</v>
      </c>
      <c r="C117" s="109">
        <f>IFERROR(VLOOKUP($B117,MMWR_TRAD_AGG_STATE_PEN[],C$1,0),"ERROR")</f>
        <v>164</v>
      </c>
      <c r="D117" s="110">
        <f>IFERROR(VLOOKUP($B117,MMWR_TRAD_AGG_STATE_PEN[],D$1,0),"ERROR")</f>
        <v>65.140243902400002</v>
      </c>
      <c r="E117" s="111">
        <f>IFERROR(VLOOKUP($B117,MMWR_TRAD_AGG_STATE_PEN[],E$1,0),"ERROR")</f>
        <v>249</v>
      </c>
      <c r="F117" s="112">
        <f>IFERROR(VLOOKUP($B117,MMWR_TRAD_AGG_STATE_PEN[],F$1,0),"ERROR")</f>
        <v>7</v>
      </c>
      <c r="G117" s="113">
        <f t="shared" si="12"/>
        <v>2.8112449799196786E-2</v>
      </c>
      <c r="H117" s="111">
        <f>IFERROR(VLOOKUP($B117,MMWR_TRAD_AGG_STATE_PEN[],H$1,0),"ERROR")</f>
        <v>280</v>
      </c>
      <c r="I117" s="112">
        <f>IFERROR(VLOOKUP($B117,MMWR_TRAD_AGG_STATE_PEN[],I$1,0),"ERROR")</f>
        <v>38</v>
      </c>
      <c r="J117" s="114">
        <f t="shared" si="13"/>
        <v>0.1357142857142857</v>
      </c>
      <c r="K117" s="111">
        <f>IFERROR(VLOOKUP($B117,MMWR_TRAD_AGG_STATE_PEN[],K$1,0),"ERROR")</f>
        <v>1</v>
      </c>
      <c r="L117" s="112">
        <f>IFERROR(VLOOKUP($B117,MMWR_TRAD_AGG_STATE_PEN[],L$1,0),"ERROR")</f>
        <v>1</v>
      </c>
      <c r="M117" s="114">
        <f t="shared" si="14"/>
        <v>1</v>
      </c>
      <c r="N117" s="111">
        <f>IFERROR(VLOOKUP($B117,MMWR_TRAD_AGG_STATE_PEN[],N$1,0),"ERROR")</f>
        <v>16</v>
      </c>
      <c r="O117" s="112">
        <f>IFERROR(VLOOKUP($B117,MMWR_TRAD_AGG_STATE_PEN[],O$1,0),"ERROR")</f>
        <v>8</v>
      </c>
      <c r="P117" s="114">
        <f t="shared" si="15"/>
        <v>0.5</v>
      </c>
      <c r="Q117" s="115">
        <f>IFERROR(VLOOKUP($B117,MMWR_TRAD_AGG_STATE_PEN[],Q$1,0),"ERROR")</f>
        <v>368</v>
      </c>
      <c r="R117" s="115">
        <f>IFERROR(VLOOKUP($B117,MMWR_TRAD_AGG_STATE_PEN[],R$1,0),"ERROR")</f>
        <v>90</v>
      </c>
      <c r="S117" s="115">
        <f>IFERROR(VLOOKUP($B117,MMWR_APP_STATE_PEN[],S$1,0),"ERROR")</f>
        <v>36</v>
      </c>
      <c r="T117" s="28"/>
    </row>
    <row r="118" spans="1:20" s="123" customFormat="1" x14ac:dyDescent="0.2">
      <c r="A118" s="28"/>
      <c r="B118" s="127" t="s">
        <v>80</v>
      </c>
      <c r="C118" s="109">
        <f>IFERROR(VLOOKUP($B118,MMWR_TRAD_AGG_STATE_PEN[],C$1,0),"ERROR")</f>
        <v>178</v>
      </c>
      <c r="D118" s="110">
        <f>IFERROR(VLOOKUP($B118,MMWR_TRAD_AGG_STATE_PEN[],D$1,0),"ERROR")</f>
        <v>69.831460674200002</v>
      </c>
      <c r="E118" s="111">
        <f>IFERROR(VLOOKUP($B118,MMWR_TRAD_AGG_STATE_PEN[],E$1,0),"ERROR")</f>
        <v>351</v>
      </c>
      <c r="F118" s="112">
        <f>IFERROR(VLOOKUP($B118,MMWR_TRAD_AGG_STATE_PEN[],F$1,0),"ERROR")</f>
        <v>19</v>
      </c>
      <c r="G118" s="113">
        <f t="shared" si="12"/>
        <v>5.4131054131054131E-2</v>
      </c>
      <c r="H118" s="111">
        <f>IFERROR(VLOOKUP($B118,MMWR_TRAD_AGG_STATE_PEN[],H$1,0),"ERROR")</f>
        <v>394</v>
      </c>
      <c r="I118" s="112">
        <f>IFERROR(VLOOKUP($B118,MMWR_TRAD_AGG_STATE_PEN[],I$1,0),"ERROR")</f>
        <v>65</v>
      </c>
      <c r="J118" s="114">
        <f t="shared" si="13"/>
        <v>0.1649746192893401</v>
      </c>
      <c r="K118" s="111">
        <f>IFERROR(VLOOKUP($B118,MMWR_TRAD_AGG_STATE_PEN[],K$1,0),"ERROR")</f>
        <v>0</v>
      </c>
      <c r="L118" s="112">
        <f>IFERROR(VLOOKUP($B118,MMWR_TRAD_AGG_STATE_PEN[],L$1,0),"ERROR")</f>
        <v>0</v>
      </c>
      <c r="M118" s="114" t="str">
        <f t="shared" si="14"/>
        <v>0%</v>
      </c>
      <c r="N118" s="111">
        <f>IFERROR(VLOOKUP($B118,MMWR_TRAD_AGG_STATE_PEN[],N$1,0),"ERROR")</f>
        <v>25</v>
      </c>
      <c r="O118" s="112">
        <f>IFERROR(VLOOKUP($B118,MMWR_TRAD_AGG_STATE_PEN[],O$1,0),"ERROR")</f>
        <v>10</v>
      </c>
      <c r="P118" s="114">
        <f t="shared" si="15"/>
        <v>0.4</v>
      </c>
      <c r="Q118" s="115">
        <f>IFERROR(VLOOKUP($B118,MMWR_TRAD_AGG_STATE_PEN[],Q$1,0),"ERROR")</f>
        <v>519</v>
      </c>
      <c r="R118" s="115">
        <f>IFERROR(VLOOKUP($B118,MMWR_TRAD_AGG_STATE_PEN[],R$1,0),"ERROR")</f>
        <v>138</v>
      </c>
      <c r="S118" s="115">
        <f>IFERROR(VLOOKUP($B118,MMWR_APP_STATE_PEN[],S$1,0),"ERROR")</f>
        <v>49</v>
      </c>
      <c r="T118" s="28"/>
    </row>
    <row r="119" spans="1:20" s="123" customFormat="1" x14ac:dyDescent="0.2">
      <c r="A119" s="28"/>
      <c r="B119" s="126" t="s">
        <v>379</v>
      </c>
      <c r="C119" s="102">
        <f>IFERROR(VLOOKUP($B119,MMWR_TRAD_AGG_ST_DISTRICT_PEN[],C$1,0),"ERROR")</f>
        <v>7338</v>
      </c>
      <c r="D119" s="103">
        <f>IFERROR(VLOOKUP($B119,MMWR_TRAD_AGG_ST_DISTRICT_PEN[],D$1,0),"ERROR")</f>
        <v>100.5117198147</v>
      </c>
      <c r="E119" s="102">
        <f>IFERROR(VLOOKUP($B119,MMWR_TRAD_AGG_ST_DISTRICT_PEN[],E$1,0),"ERROR")</f>
        <v>8088</v>
      </c>
      <c r="F119" s="102">
        <f>IFERROR(VLOOKUP($B119,MMWR_TRAD_AGG_ST_DISTRICT_PEN[],F$1,0),"ERROR")</f>
        <v>1196</v>
      </c>
      <c r="G119" s="104">
        <f t="shared" si="12"/>
        <v>0.14787339268051433</v>
      </c>
      <c r="H119" s="102">
        <f>IFERROR(VLOOKUP($B119,MMWR_TRAD_AGG_ST_DISTRICT_PEN[],H$1,0),"ERROR")</f>
        <v>9867</v>
      </c>
      <c r="I119" s="102">
        <f>IFERROR(VLOOKUP($B119,MMWR_TRAD_AGG_ST_DISTRICT_PEN[],I$1,0),"ERROR")</f>
        <v>2989</v>
      </c>
      <c r="J119" s="104">
        <f t="shared" si="13"/>
        <v>0.30292895510286816</v>
      </c>
      <c r="K119" s="102">
        <f>IFERROR(VLOOKUP($B119,MMWR_TRAD_AGG_ST_DISTRICT_PEN[],K$1,0),"ERROR")</f>
        <v>24</v>
      </c>
      <c r="L119" s="102">
        <f>IFERROR(VLOOKUP($B119,MMWR_TRAD_AGG_ST_DISTRICT_PEN[],L$1,0),"ERROR")</f>
        <v>22</v>
      </c>
      <c r="M119" s="104">
        <f t="shared" si="14"/>
        <v>0.91666666666666663</v>
      </c>
      <c r="N119" s="102">
        <f>IFERROR(VLOOKUP($B119,MMWR_TRAD_AGG_ST_DISTRICT_PEN[],N$1,0),"ERROR")</f>
        <v>434</v>
      </c>
      <c r="O119" s="102">
        <f>IFERROR(VLOOKUP($B119,MMWR_TRAD_AGG_ST_DISTRICT_PEN[],O$1,0),"ERROR")</f>
        <v>152</v>
      </c>
      <c r="P119" s="104">
        <f t="shared" si="15"/>
        <v>0.35023041474654376</v>
      </c>
      <c r="Q119" s="102">
        <f>IFERROR(VLOOKUP($B119,MMWR_TRAD_AGG_ST_DISTRICT_PEN[],Q$1,0),"ERROR")</f>
        <v>1253</v>
      </c>
      <c r="R119" s="106">
        <f>IFERROR(VLOOKUP($B119,MMWR_TRAD_AGG_ST_DISTRICT_PEN[],R$1,0),"ERROR")</f>
        <v>1521</v>
      </c>
      <c r="S119" s="106">
        <f>IFERROR(VLOOKUP($B119,MMWR_APP_STATE_PEN[],S$1,0),"ERROR")</f>
        <v>1278</v>
      </c>
      <c r="T119" s="28"/>
    </row>
    <row r="120" spans="1:20" s="123" customFormat="1" x14ac:dyDescent="0.2">
      <c r="A120" s="28"/>
      <c r="B120" s="127" t="s">
        <v>387</v>
      </c>
      <c r="C120" s="109">
        <f>IFERROR(VLOOKUP($B120,MMWR_TRAD_AGG_STATE_PEN[],C$1,0),"ERROR")</f>
        <v>568</v>
      </c>
      <c r="D120" s="110">
        <f>IFERROR(VLOOKUP($B120,MMWR_TRAD_AGG_STATE_PEN[],D$1,0),"ERROR")</f>
        <v>56.575704225400003</v>
      </c>
      <c r="E120" s="111">
        <f>IFERROR(VLOOKUP($B120,MMWR_TRAD_AGG_STATE_PEN[],E$1,0),"ERROR")</f>
        <v>824</v>
      </c>
      <c r="F120" s="112">
        <f>IFERROR(VLOOKUP($B120,MMWR_TRAD_AGG_STATE_PEN[],F$1,0),"ERROR")</f>
        <v>86</v>
      </c>
      <c r="G120" s="113">
        <f t="shared" si="12"/>
        <v>0.10436893203883495</v>
      </c>
      <c r="H120" s="111">
        <f>IFERROR(VLOOKUP($B120,MMWR_TRAD_AGG_STATE_PEN[],H$1,0),"ERROR")</f>
        <v>836</v>
      </c>
      <c r="I120" s="112">
        <f>IFERROR(VLOOKUP($B120,MMWR_TRAD_AGG_STATE_PEN[],I$1,0),"ERROR")</f>
        <v>65</v>
      </c>
      <c r="J120" s="114">
        <f t="shared" si="13"/>
        <v>7.7751196172248807E-2</v>
      </c>
      <c r="K120" s="111">
        <f>IFERROR(VLOOKUP($B120,MMWR_TRAD_AGG_STATE_PEN[],K$1,0),"ERROR")</f>
        <v>3</v>
      </c>
      <c r="L120" s="112">
        <f>IFERROR(VLOOKUP($B120,MMWR_TRAD_AGG_STATE_PEN[],L$1,0),"ERROR")</f>
        <v>3</v>
      </c>
      <c r="M120" s="114">
        <f t="shared" si="14"/>
        <v>1</v>
      </c>
      <c r="N120" s="111">
        <f>IFERROR(VLOOKUP($B120,MMWR_TRAD_AGG_STATE_PEN[],N$1,0),"ERROR")</f>
        <v>51</v>
      </c>
      <c r="O120" s="112">
        <f>IFERROR(VLOOKUP($B120,MMWR_TRAD_AGG_STATE_PEN[],O$1,0),"ERROR")</f>
        <v>13</v>
      </c>
      <c r="P120" s="114">
        <f t="shared" si="15"/>
        <v>0.25490196078431371</v>
      </c>
      <c r="Q120" s="115">
        <f>IFERROR(VLOOKUP($B120,MMWR_TRAD_AGG_STATE_PEN[],Q$1,0),"ERROR")</f>
        <v>146</v>
      </c>
      <c r="R120" s="115">
        <f>IFERROR(VLOOKUP($B120,MMWR_TRAD_AGG_STATE_PEN[],R$1,0),"ERROR")</f>
        <v>122</v>
      </c>
      <c r="S120" s="115">
        <f>IFERROR(VLOOKUP($B120,MMWR_APP_STATE_PEN[],S$1,0),"ERROR")</f>
        <v>247</v>
      </c>
      <c r="T120" s="28"/>
    </row>
    <row r="121" spans="1:20" s="123" customFormat="1" x14ac:dyDescent="0.2">
      <c r="A121" s="28"/>
      <c r="B121" s="127" t="s">
        <v>424</v>
      </c>
      <c r="C121" s="109">
        <f>IFERROR(VLOOKUP($B121,MMWR_TRAD_AGG_STATE_PEN[],C$1,0),"ERROR")</f>
        <v>2573</v>
      </c>
      <c r="D121" s="110">
        <f>IFERROR(VLOOKUP($B121,MMWR_TRAD_AGG_STATE_PEN[],D$1,0),"ERROR")</f>
        <v>101.4508356005</v>
      </c>
      <c r="E121" s="111">
        <f>IFERROR(VLOOKUP($B121,MMWR_TRAD_AGG_STATE_PEN[],E$1,0),"ERROR")</f>
        <v>3149</v>
      </c>
      <c r="F121" s="112">
        <f>IFERROR(VLOOKUP($B121,MMWR_TRAD_AGG_STATE_PEN[],F$1,0),"ERROR")</f>
        <v>491</v>
      </c>
      <c r="G121" s="113">
        <f t="shared" si="12"/>
        <v>0.1559225150841537</v>
      </c>
      <c r="H121" s="111">
        <f>IFERROR(VLOOKUP($B121,MMWR_TRAD_AGG_STATE_PEN[],H$1,0),"ERROR")</f>
        <v>3439</v>
      </c>
      <c r="I121" s="112">
        <f>IFERROR(VLOOKUP($B121,MMWR_TRAD_AGG_STATE_PEN[],I$1,0),"ERROR")</f>
        <v>1080</v>
      </c>
      <c r="J121" s="114">
        <f t="shared" si="13"/>
        <v>0.3140447804594359</v>
      </c>
      <c r="K121" s="111">
        <f>IFERROR(VLOOKUP($B121,MMWR_TRAD_AGG_STATE_PEN[],K$1,0),"ERROR")</f>
        <v>16</v>
      </c>
      <c r="L121" s="112">
        <f>IFERROR(VLOOKUP($B121,MMWR_TRAD_AGG_STATE_PEN[],L$1,0),"ERROR")</f>
        <v>15</v>
      </c>
      <c r="M121" s="114">
        <f t="shared" si="14"/>
        <v>0.9375</v>
      </c>
      <c r="N121" s="111">
        <f>IFERROR(VLOOKUP($B121,MMWR_TRAD_AGG_STATE_PEN[],N$1,0),"ERROR")</f>
        <v>123</v>
      </c>
      <c r="O121" s="112">
        <f>IFERROR(VLOOKUP($B121,MMWR_TRAD_AGG_STATE_PEN[],O$1,0),"ERROR")</f>
        <v>55</v>
      </c>
      <c r="P121" s="114">
        <f t="shared" si="15"/>
        <v>0.44715447154471544</v>
      </c>
      <c r="Q121" s="115">
        <f>IFERROR(VLOOKUP($B121,MMWR_TRAD_AGG_STATE_PEN[],Q$1,0),"ERROR")</f>
        <v>432</v>
      </c>
      <c r="R121" s="115">
        <f>IFERROR(VLOOKUP($B121,MMWR_TRAD_AGG_STATE_PEN[],R$1,0),"ERROR")</f>
        <v>539</v>
      </c>
      <c r="S121" s="115">
        <f>IFERROR(VLOOKUP($B121,MMWR_APP_STATE_PEN[],S$1,0),"ERROR")</f>
        <v>300</v>
      </c>
      <c r="T121" s="28"/>
    </row>
    <row r="122" spans="1:20" s="123" customFormat="1" x14ac:dyDescent="0.2">
      <c r="A122" s="28"/>
      <c r="B122" s="127" t="s">
        <v>380</v>
      </c>
      <c r="C122" s="109">
        <f>IFERROR(VLOOKUP($B122,MMWR_TRAD_AGG_STATE_PEN[],C$1,0),"ERROR")</f>
        <v>1192</v>
      </c>
      <c r="D122" s="110">
        <f>IFERROR(VLOOKUP($B122,MMWR_TRAD_AGG_STATE_PEN[],D$1,0),"ERROR")</f>
        <v>106.0796979866</v>
      </c>
      <c r="E122" s="111">
        <f>IFERROR(VLOOKUP($B122,MMWR_TRAD_AGG_STATE_PEN[],E$1,0),"ERROR")</f>
        <v>1439</v>
      </c>
      <c r="F122" s="112">
        <f>IFERROR(VLOOKUP($B122,MMWR_TRAD_AGG_STATE_PEN[],F$1,0),"ERROR")</f>
        <v>222</v>
      </c>
      <c r="G122" s="113">
        <f t="shared" si="12"/>
        <v>0.15427380125086865</v>
      </c>
      <c r="H122" s="111">
        <f>IFERROR(VLOOKUP($B122,MMWR_TRAD_AGG_STATE_PEN[],H$1,0),"ERROR")</f>
        <v>1623</v>
      </c>
      <c r="I122" s="112">
        <f>IFERROR(VLOOKUP($B122,MMWR_TRAD_AGG_STATE_PEN[],I$1,0),"ERROR")</f>
        <v>546</v>
      </c>
      <c r="J122" s="114">
        <f t="shared" si="13"/>
        <v>0.33641404805914971</v>
      </c>
      <c r="K122" s="111">
        <f>IFERROR(VLOOKUP($B122,MMWR_TRAD_AGG_STATE_PEN[],K$1,0),"ERROR")</f>
        <v>2</v>
      </c>
      <c r="L122" s="112">
        <f>IFERROR(VLOOKUP($B122,MMWR_TRAD_AGG_STATE_PEN[],L$1,0),"ERROR")</f>
        <v>1</v>
      </c>
      <c r="M122" s="114">
        <f t="shared" si="14"/>
        <v>0.5</v>
      </c>
      <c r="N122" s="111">
        <f>IFERROR(VLOOKUP($B122,MMWR_TRAD_AGG_STATE_PEN[],N$1,0),"ERROR")</f>
        <v>80</v>
      </c>
      <c r="O122" s="112">
        <f>IFERROR(VLOOKUP($B122,MMWR_TRAD_AGG_STATE_PEN[],O$1,0),"ERROR")</f>
        <v>29</v>
      </c>
      <c r="P122" s="114">
        <f t="shared" si="15"/>
        <v>0.36249999999999999</v>
      </c>
      <c r="Q122" s="115">
        <f>IFERROR(VLOOKUP($B122,MMWR_TRAD_AGG_STATE_PEN[],Q$1,0),"ERROR")</f>
        <v>213</v>
      </c>
      <c r="R122" s="115">
        <f>IFERROR(VLOOKUP($B122,MMWR_TRAD_AGG_STATE_PEN[],R$1,0),"ERROR")</f>
        <v>369</v>
      </c>
      <c r="S122" s="115">
        <f>IFERROR(VLOOKUP($B122,MMWR_APP_STATE_PEN[],S$1,0),"ERROR")</f>
        <v>189</v>
      </c>
      <c r="T122" s="28"/>
    </row>
    <row r="123" spans="1:20" s="123" customFormat="1" x14ac:dyDescent="0.2">
      <c r="A123" s="28"/>
      <c r="B123" s="127" t="s">
        <v>392</v>
      </c>
      <c r="C123" s="109">
        <f>IFERROR(VLOOKUP($B123,MMWR_TRAD_AGG_STATE_PEN[],C$1,0),"ERROR")</f>
        <v>221</v>
      </c>
      <c r="D123" s="110">
        <f>IFERROR(VLOOKUP($B123,MMWR_TRAD_AGG_STATE_PEN[],D$1,0),"ERROR")</f>
        <v>64.343891402699995</v>
      </c>
      <c r="E123" s="111">
        <f>IFERROR(VLOOKUP($B123,MMWR_TRAD_AGG_STATE_PEN[],E$1,0),"ERROR")</f>
        <v>442</v>
      </c>
      <c r="F123" s="112">
        <f>IFERROR(VLOOKUP($B123,MMWR_TRAD_AGG_STATE_PEN[],F$1,0),"ERROR")</f>
        <v>60</v>
      </c>
      <c r="G123" s="113">
        <f t="shared" si="12"/>
        <v>0.13574660633484162</v>
      </c>
      <c r="H123" s="111">
        <f>IFERROR(VLOOKUP($B123,MMWR_TRAD_AGG_STATE_PEN[],H$1,0),"ERROR")</f>
        <v>402</v>
      </c>
      <c r="I123" s="112">
        <f>IFERROR(VLOOKUP($B123,MMWR_TRAD_AGG_STATE_PEN[],I$1,0),"ERROR")</f>
        <v>47</v>
      </c>
      <c r="J123" s="114">
        <f t="shared" si="13"/>
        <v>0.11691542288557213</v>
      </c>
      <c r="K123" s="111">
        <f>IFERROR(VLOOKUP($B123,MMWR_TRAD_AGG_STATE_PEN[],K$1,0),"ERROR")</f>
        <v>0</v>
      </c>
      <c r="L123" s="112">
        <f>IFERROR(VLOOKUP($B123,MMWR_TRAD_AGG_STATE_PEN[],L$1,0),"ERROR")</f>
        <v>0</v>
      </c>
      <c r="M123" s="114" t="str">
        <f t="shared" si="14"/>
        <v>0%</v>
      </c>
      <c r="N123" s="111">
        <f>IFERROR(VLOOKUP($B123,MMWR_TRAD_AGG_STATE_PEN[],N$1,0),"ERROR")</f>
        <v>49</v>
      </c>
      <c r="O123" s="112">
        <f>IFERROR(VLOOKUP($B123,MMWR_TRAD_AGG_STATE_PEN[],O$1,0),"ERROR")</f>
        <v>12</v>
      </c>
      <c r="P123" s="114">
        <f t="shared" si="15"/>
        <v>0.24489795918367346</v>
      </c>
      <c r="Q123" s="115">
        <f>IFERROR(VLOOKUP($B123,MMWR_TRAD_AGG_STATE_PEN[],Q$1,0),"ERROR")</f>
        <v>79</v>
      </c>
      <c r="R123" s="115">
        <f>IFERROR(VLOOKUP($B123,MMWR_TRAD_AGG_STATE_PEN[],R$1,0),"ERROR")</f>
        <v>72</v>
      </c>
      <c r="S123" s="115">
        <f>IFERROR(VLOOKUP($B123,MMWR_APP_STATE_PEN[],S$1,0),"ERROR")</f>
        <v>101</v>
      </c>
      <c r="T123" s="28"/>
    </row>
    <row r="124" spans="1:20" s="123" customFormat="1" x14ac:dyDescent="0.2">
      <c r="A124" s="28"/>
      <c r="B124" s="127" t="s">
        <v>426</v>
      </c>
      <c r="C124" s="109">
        <f>IFERROR(VLOOKUP($B124,MMWR_TRAD_AGG_STATE_PEN[],C$1,0),"ERROR")</f>
        <v>1503</v>
      </c>
      <c r="D124" s="110">
        <f>IFERROR(VLOOKUP($B124,MMWR_TRAD_AGG_STATE_PEN[],D$1,0),"ERROR")</f>
        <v>123.6966067864</v>
      </c>
      <c r="E124" s="111">
        <f>IFERROR(VLOOKUP($B124,MMWR_TRAD_AGG_STATE_PEN[],E$1,0),"ERROR")</f>
        <v>597</v>
      </c>
      <c r="F124" s="112">
        <f>IFERROR(VLOOKUP($B124,MMWR_TRAD_AGG_STATE_PEN[],F$1,0),"ERROR")</f>
        <v>96</v>
      </c>
      <c r="G124" s="113">
        <f t="shared" si="12"/>
        <v>0.16080402010050251</v>
      </c>
      <c r="H124" s="111">
        <f>IFERROR(VLOOKUP($B124,MMWR_TRAD_AGG_STATE_PEN[],H$1,0),"ERROR")</f>
        <v>1781</v>
      </c>
      <c r="I124" s="112">
        <f>IFERROR(VLOOKUP($B124,MMWR_TRAD_AGG_STATE_PEN[],I$1,0),"ERROR")</f>
        <v>797</v>
      </c>
      <c r="J124" s="114">
        <f t="shared" si="13"/>
        <v>0.44750140370578328</v>
      </c>
      <c r="K124" s="111">
        <f>IFERROR(VLOOKUP($B124,MMWR_TRAD_AGG_STATE_PEN[],K$1,0),"ERROR")</f>
        <v>2</v>
      </c>
      <c r="L124" s="112">
        <f>IFERROR(VLOOKUP($B124,MMWR_TRAD_AGG_STATE_PEN[],L$1,0),"ERROR")</f>
        <v>2</v>
      </c>
      <c r="M124" s="114">
        <f t="shared" si="14"/>
        <v>1</v>
      </c>
      <c r="N124" s="111">
        <f>IFERROR(VLOOKUP($B124,MMWR_TRAD_AGG_STATE_PEN[],N$1,0),"ERROR")</f>
        <v>15</v>
      </c>
      <c r="O124" s="112">
        <f>IFERROR(VLOOKUP($B124,MMWR_TRAD_AGG_STATE_PEN[],O$1,0),"ERROR")</f>
        <v>9</v>
      </c>
      <c r="P124" s="114">
        <f t="shared" si="15"/>
        <v>0.6</v>
      </c>
      <c r="Q124" s="115">
        <f>IFERROR(VLOOKUP($B124,MMWR_TRAD_AGG_STATE_PEN[],Q$1,0),"ERROR")</f>
        <v>79</v>
      </c>
      <c r="R124" s="115">
        <f>IFERROR(VLOOKUP($B124,MMWR_TRAD_AGG_STATE_PEN[],R$1,0),"ERROR")</f>
        <v>84</v>
      </c>
      <c r="S124" s="115">
        <f>IFERROR(VLOOKUP($B124,MMWR_APP_STATE_PEN[],S$1,0),"ERROR")</f>
        <v>77</v>
      </c>
      <c r="T124" s="28"/>
    </row>
    <row r="125" spans="1:20" s="123" customFormat="1" x14ac:dyDescent="0.2">
      <c r="A125" s="28"/>
      <c r="B125" s="127" t="s">
        <v>382</v>
      </c>
      <c r="C125" s="109">
        <f>IFERROR(VLOOKUP($B125,MMWR_TRAD_AGG_STATE_PEN[],C$1,0),"ERROR")</f>
        <v>873</v>
      </c>
      <c r="D125" s="110">
        <f>IFERROR(VLOOKUP($B125,MMWR_TRAD_AGG_STATE_PEN[],D$1,0),"ERROR")</f>
        <v>108.85108820160001</v>
      </c>
      <c r="E125" s="111">
        <f>IFERROR(VLOOKUP($B125,MMWR_TRAD_AGG_STATE_PEN[],E$1,0),"ERROR")</f>
        <v>882</v>
      </c>
      <c r="F125" s="112">
        <f>IFERROR(VLOOKUP($B125,MMWR_TRAD_AGG_STATE_PEN[],F$1,0),"ERROR")</f>
        <v>146</v>
      </c>
      <c r="G125" s="113">
        <f t="shared" si="12"/>
        <v>0.1655328798185941</v>
      </c>
      <c r="H125" s="111">
        <f>IFERROR(VLOOKUP($B125,MMWR_TRAD_AGG_STATE_PEN[],H$1,0),"ERROR")</f>
        <v>1116</v>
      </c>
      <c r="I125" s="112">
        <f>IFERROR(VLOOKUP($B125,MMWR_TRAD_AGG_STATE_PEN[],I$1,0),"ERROR")</f>
        <v>387</v>
      </c>
      <c r="J125" s="114">
        <f t="shared" si="13"/>
        <v>0.34677419354838712</v>
      </c>
      <c r="K125" s="111">
        <f>IFERROR(VLOOKUP($B125,MMWR_TRAD_AGG_STATE_PEN[],K$1,0),"ERROR")</f>
        <v>0</v>
      </c>
      <c r="L125" s="112">
        <f>IFERROR(VLOOKUP($B125,MMWR_TRAD_AGG_STATE_PEN[],L$1,0),"ERROR")</f>
        <v>0</v>
      </c>
      <c r="M125" s="114" t="str">
        <f t="shared" si="14"/>
        <v>0%</v>
      </c>
      <c r="N125" s="111">
        <f>IFERROR(VLOOKUP($B125,MMWR_TRAD_AGG_STATE_PEN[],N$1,0),"ERROR")</f>
        <v>40</v>
      </c>
      <c r="O125" s="112">
        <f>IFERROR(VLOOKUP($B125,MMWR_TRAD_AGG_STATE_PEN[],O$1,0),"ERROR")</f>
        <v>11</v>
      </c>
      <c r="P125" s="114">
        <f t="shared" si="15"/>
        <v>0.27500000000000002</v>
      </c>
      <c r="Q125" s="115">
        <f>IFERROR(VLOOKUP($B125,MMWR_TRAD_AGG_STATE_PEN[],Q$1,0),"ERROR")</f>
        <v>142</v>
      </c>
      <c r="R125" s="115">
        <f>IFERROR(VLOOKUP($B125,MMWR_TRAD_AGG_STATE_PEN[],R$1,0),"ERROR")</f>
        <v>219</v>
      </c>
      <c r="S125" s="115">
        <f>IFERROR(VLOOKUP($B125,MMWR_APP_STATE_PEN[],S$1,0),"ERROR")</f>
        <v>123</v>
      </c>
      <c r="T125" s="28"/>
    </row>
    <row r="126" spans="1:20" s="123" customFormat="1" x14ac:dyDescent="0.2">
      <c r="A126" s="28"/>
      <c r="B126" s="127" t="s">
        <v>383</v>
      </c>
      <c r="C126" s="109">
        <f>IFERROR(VLOOKUP($B126,MMWR_TRAD_AGG_STATE_PEN[],C$1,0),"ERROR")</f>
        <v>408</v>
      </c>
      <c r="D126" s="110">
        <f>IFERROR(VLOOKUP($B126,MMWR_TRAD_AGG_STATE_PEN[],D$1,0),"ERROR")</f>
        <v>55.825980392200002</v>
      </c>
      <c r="E126" s="111">
        <f>IFERROR(VLOOKUP($B126,MMWR_TRAD_AGG_STATE_PEN[],E$1,0),"ERROR")</f>
        <v>755</v>
      </c>
      <c r="F126" s="112">
        <f>IFERROR(VLOOKUP($B126,MMWR_TRAD_AGG_STATE_PEN[],F$1,0),"ERROR")</f>
        <v>95</v>
      </c>
      <c r="G126" s="113">
        <f t="shared" si="12"/>
        <v>0.12582781456953643</v>
      </c>
      <c r="H126" s="111">
        <f>IFERROR(VLOOKUP($B126,MMWR_TRAD_AGG_STATE_PEN[],H$1,0),"ERROR")</f>
        <v>670</v>
      </c>
      <c r="I126" s="112">
        <f>IFERROR(VLOOKUP($B126,MMWR_TRAD_AGG_STATE_PEN[],I$1,0),"ERROR")</f>
        <v>67</v>
      </c>
      <c r="J126" s="114">
        <f t="shared" si="13"/>
        <v>0.1</v>
      </c>
      <c r="K126" s="111">
        <f>IFERROR(VLOOKUP($B126,MMWR_TRAD_AGG_STATE_PEN[],K$1,0),"ERROR")</f>
        <v>1</v>
      </c>
      <c r="L126" s="112">
        <f>IFERROR(VLOOKUP($B126,MMWR_TRAD_AGG_STATE_PEN[],L$1,0),"ERROR")</f>
        <v>1</v>
      </c>
      <c r="M126" s="114">
        <f t="shared" si="14"/>
        <v>1</v>
      </c>
      <c r="N126" s="111">
        <f>IFERROR(VLOOKUP($B126,MMWR_TRAD_AGG_STATE_PEN[],N$1,0),"ERROR")</f>
        <v>76</v>
      </c>
      <c r="O126" s="112">
        <f>IFERROR(VLOOKUP($B126,MMWR_TRAD_AGG_STATE_PEN[],O$1,0),"ERROR")</f>
        <v>23</v>
      </c>
      <c r="P126" s="114">
        <f t="shared" si="15"/>
        <v>0.30263157894736842</v>
      </c>
      <c r="Q126" s="115">
        <f>IFERROR(VLOOKUP($B126,MMWR_TRAD_AGG_STATE_PEN[],Q$1,0),"ERROR")</f>
        <v>162</v>
      </c>
      <c r="R126" s="115">
        <f>IFERROR(VLOOKUP($B126,MMWR_TRAD_AGG_STATE_PEN[],R$1,0),"ERROR")</f>
        <v>116</v>
      </c>
      <c r="S126" s="115">
        <f>IFERROR(VLOOKUP($B126,MMWR_APP_STATE_PEN[],S$1,0),"ERROR")</f>
        <v>241</v>
      </c>
      <c r="T126" s="28"/>
    </row>
    <row r="127" spans="1:20" s="123" customFormat="1" x14ac:dyDescent="0.2">
      <c r="A127" s="28"/>
      <c r="B127" s="128" t="s">
        <v>8</v>
      </c>
      <c r="C127" s="102">
        <f>IFERROR(VLOOKUP($B127,MMWR_TRAD_AGG_ST_DISTRICT_PEN[],C$1,0),"ERROR")</f>
        <v>174</v>
      </c>
      <c r="D127" s="103">
        <f>IFERROR(VLOOKUP($B127,MMWR_TRAD_AGG_ST_DISTRICT_PEN[],D$1,0),"ERROR")</f>
        <v>103.21839080460001</v>
      </c>
      <c r="E127" s="102">
        <f>IFERROR(VLOOKUP($B127,MMWR_TRAD_AGG_ST_DISTRICT_PEN[],E$1,0),"ERROR")</f>
        <v>200</v>
      </c>
      <c r="F127" s="102">
        <f>IFERROR(VLOOKUP($B127,MMWR_TRAD_AGG_ST_DISTRICT_PEN[],F$1,0),"ERROR")</f>
        <v>85</v>
      </c>
      <c r="G127" s="104">
        <f t="shared" si="12"/>
        <v>0.42499999999999999</v>
      </c>
      <c r="H127" s="102">
        <f>IFERROR(VLOOKUP($B127,MMWR_TRAD_AGG_ST_DISTRICT_PEN[],H$1,0),"ERROR")</f>
        <v>364</v>
      </c>
      <c r="I127" s="102">
        <f>IFERROR(VLOOKUP($B127,MMWR_TRAD_AGG_ST_DISTRICT_PEN[],I$1,0),"ERROR")</f>
        <v>211</v>
      </c>
      <c r="J127" s="104">
        <f t="shared" si="13"/>
        <v>0.57967032967032972</v>
      </c>
      <c r="K127" s="102">
        <f>IFERROR(VLOOKUP($B127,MMWR_TRAD_AGG_ST_DISTRICT_PEN[],K$1,0),"ERROR")</f>
        <v>8</v>
      </c>
      <c r="L127" s="102">
        <f>IFERROR(VLOOKUP($B127,MMWR_TRAD_AGG_ST_DISTRICT_PEN[],L$1,0),"ERROR")</f>
        <v>7</v>
      </c>
      <c r="M127" s="104">
        <f t="shared" si="14"/>
        <v>0.875</v>
      </c>
      <c r="N127" s="102">
        <f>IFERROR(VLOOKUP($B127,MMWR_TRAD_AGG_ST_DISTRICT_PEN[],N$1,0),"ERROR")</f>
        <v>14</v>
      </c>
      <c r="O127" s="102">
        <f>IFERROR(VLOOKUP($B127,MMWR_TRAD_AGG_ST_DISTRICT_PEN[],O$1,0),"ERROR")</f>
        <v>4</v>
      </c>
      <c r="P127" s="104">
        <f t="shared" si="15"/>
        <v>0.2857142857142857</v>
      </c>
      <c r="Q127" s="102">
        <f>IFERROR(VLOOKUP($B127,MMWR_TRAD_AGG_ST_DISTRICT_PEN[],Q$1,0),"ERROR")</f>
        <v>62</v>
      </c>
      <c r="R127" s="106">
        <f>IFERROR(VLOOKUP($B127,MMWR_TRAD_AGG_ST_DISTRICT_PEN[],R$1,0),"ERROR")</f>
        <v>24</v>
      </c>
      <c r="S127" s="106">
        <f>IFERROR(VLOOKUP($B127,MMWR_APP_STATE_PEN[],S$1,0),"ERROR")</f>
        <v>2</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652</v>
      </c>
      <c r="C2" t="s">
        <v>455</v>
      </c>
      <c r="D2" t="s">
        <v>457</v>
      </c>
      <c r="F2" t="s">
        <v>651</v>
      </c>
      <c r="G2" t="s">
        <v>306</v>
      </c>
      <c r="H2" t="s">
        <v>133</v>
      </c>
      <c r="I2" t="s">
        <v>214</v>
      </c>
      <c r="J2" t="s">
        <v>215</v>
      </c>
      <c r="K2" t="s">
        <v>216</v>
      </c>
      <c r="L2" t="s">
        <v>217</v>
      </c>
      <c r="M2" t="s">
        <v>218</v>
      </c>
      <c r="N2" t="s">
        <v>219</v>
      </c>
      <c r="O2" t="s">
        <v>220</v>
      </c>
      <c r="P2" t="s">
        <v>221</v>
      </c>
      <c r="Q2" t="s">
        <v>222</v>
      </c>
      <c r="R2" t="s">
        <v>223</v>
      </c>
      <c r="T2" t="s">
        <v>650</v>
      </c>
      <c r="U2" t="s">
        <v>306</v>
      </c>
      <c r="V2" t="s">
        <v>133</v>
      </c>
      <c r="W2" t="s">
        <v>214</v>
      </c>
      <c r="X2" t="s">
        <v>458</v>
      </c>
      <c r="Y2" t="s">
        <v>216</v>
      </c>
      <c r="Z2" t="s">
        <v>217</v>
      </c>
      <c r="AA2" t="s">
        <v>218</v>
      </c>
      <c r="AB2" t="s">
        <v>459</v>
      </c>
      <c r="AC2" t="s">
        <v>220</v>
      </c>
      <c r="AD2" t="s">
        <v>221</v>
      </c>
      <c r="AE2" t="s">
        <v>222</v>
      </c>
      <c r="AF2" t="s">
        <v>223</v>
      </c>
      <c r="AH2" t="s">
        <v>649</v>
      </c>
      <c r="AI2" t="s">
        <v>306</v>
      </c>
      <c r="AJ2" t="s">
        <v>133</v>
      </c>
      <c r="AK2" t="s">
        <v>214</v>
      </c>
      <c r="AL2" t="s">
        <v>215</v>
      </c>
      <c r="AM2" t="s">
        <v>216</v>
      </c>
      <c r="AN2" t="s">
        <v>217</v>
      </c>
      <c r="AO2" t="s">
        <v>218</v>
      </c>
      <c r="AP2" t="s">
        <v>219</v>
      </c>
      <c r="AQ2" t="s">
        <v>220</v>
      </c>
      <c r="AR2" t="s">
        <v>221</v>
      </c>
      <c r="AS2" t="s">
        <v>222</v>
      </c>
      <c r="AT2" t="s">
        <v>223</v>
      </c>
      <c r="AV2" t="s">
        <v>648</v>
      </c>
      <c r="AW2" t="s">
        <v>306</v>
      </c>
      <c r="AX2" t="s">
        <v>133</v>
      </c>
      <c r="AY2" t="s">
        <v>214</v>
      </c>
      <c r="AZ2" t="s">
        <v>458</v>
      </c>
      <c r="BA2" t="s">
        <v>216</v>
      </c>
      <c r="BB2" t="s">
        <v>217</v>
      </c>
      <c r="BC2" t="s">
        <v>218</v>
      </c>
      <c r="BD2" t="s">
        <v>459</v>
      </c>
      <c r="BE2" t="s">
        <v>220</v>
      </c>
      <c r="BF2" t="s">
        <v>221</v>
      </c>
      <c r="BG2" t="s">
        <v>222</v>
      </c>
      <c r="BH2" t="s">
        <v>223</v>
      </c>
      <c r="BJ2" t="s">
        <v>710</v>
      </c>
      <c r="BK2" t="s">
        <v>729</v>
      </c>
      <c r="BL2" t="s">
        <v>698</v>
      </c>
      <c r="BM2" t="s">
        <v>699</v>
      </c>
      <c r="BN2" t="s">
        <v>700</v>
      </c>
      <c r="BO2" t="s">
        <v>701</v>
      </c>
      <c r="BP2" t="s">
        <v>702</v>
      </c>
      <c r="BQ2" t="s">
        <v>711</v>
      </c>
      <c r="BR2" t="s">
        <v>712</v>
      </c>
      <c r="BS2" t="s">
        <v>703</v>
      </c>
      <c r="BT2" t="s">
        <v>704</v>
      </c>
      <c r="BU2" t="s">
        <v>705</v>
      </c>
      <c r="BV2" t="s">
        <v>706</v>
      </c>
      <c r="BW2" t="s">
        <v>707</v>
      </c>
      <c r="BX2" t="s">
        <v>708</v>
      </c>
      <c r="BY2" t="s">
        <v>709</v>
      </c>
      <c r="CA2" t="s">
        <v>1029</v>
      </c>
      <c r="CB2" t="s">
        <v>734</v>
      </c>
      <c r="CC2" t="s">
        <v>735</v>
      </c>
      <c r="CD2" t="s">
        <v>713</v>
      </c>
      <c r="CE2" t="s">
        <v>714</v>
      </c>
      <c r="CF2" t="s">
        <v>715</v>
      </c>
      <c r="CG2" t="s">
        <v>716</v>
      </c>
      <c r="CH2" t="s">
        <v>717</v>
      </c>
      <c r="CI2" t="s">
        <v>718</v>
      </c>
      <c r="CJ2" t="s">
        <v>719</v>
      </c>
      <c r="CL2" t="s">
        <v>1030</v>
      </c>
      <c r="CM2" t="s">
        <v>734</v>
      </c>
      <c r="CN2" t="s">
        <v>735</v>
      </c>
      <c r="CO2" t="s">
        <v>713</v>
      </c>
      <c r="CP2" t="s">
        <v>714</v>
      </c>
      <c r="CQ2" t="s">
        <v>715</v>
      </c>
      <c r="CR2" t="s">
        <v>716</v>
      </c>
      <c r="CS2" t="s">
        <v>717</v>
      </c>
      <c r="CT2" t="s">
        <v>718</v>
      </c>
      <c r="CU2" t="s">
        <v>719</v>
      </c>
      <c r="CW2" t="s">
        <v>1031</v>
      </c>
      <c r="CX2" t="s">
        <v>734</v>
      </c>
      <c r="CY2" t="s">
        <v>735</v>
      </c>
      <c r="CZ2" t="s">
        <v>713</v>
      </c>
      <c r="DA2" t="s">
        <v>714</v>
      </c>
      <c r="DB2" t="s">
        <v>715</v>
      </c>
      <c r="DC2" t="s">
        <v>716</v>
      </c>
      <c r="DD2" t="s">
        <v>717</v>
      </c>
      <c r="DE2" t="s">
        <v>718</v>
      </c>
      <c r="DF2" t="s">
        <v>719</v>
      </c>
      <c r="DH2" t="s">
        <v>1032</v>
      </c>
      <c r="DI2" t="s">
        <v>734</v>
      </c>
      <c r="DJ2" t="s">
        <v>735</v>
      </c>
      <c r="DK2" t="s">
        <v>713</v>
      </c>
      <c r="DL2" t="s">
        <v>714</v>
      </c>
      <c r="DM2" t="s">
        <v>715</v>
      </c>
      <c r="DN2" t="s">
        <v>716</v>
      </c>
      <c r="DO2" t="s">
        <v>717</v>
      </c>
      <c r="DP2" t="s">
        <v>718</v>
      </c>
      <c r="DQ2" t="s">
        <v>719</v>
      </c>
    </row>
    <row r="3" spans="2:121" x14ac:dyDescent="0.2">
      <c r="C3">
        <v>356282</v>
      </c>
      <c r="D3">
        <v>287273</v>
      </c>
      <c r="F3" t="s">
        <v>41</v>
      </c>
      <c r="G3">
        <v>618</v>
      </c>
      <c r="H3">
        <v>116.2087378641</v>
      </c>
      <c r="I3">
        <v>2678</v>
      </c>
      <c r="J3">
        <v>370</v>
      </c>
      <c r="K3">
        <v>2087</v>
      </c>
      <c r="L3">
        <v>258</v>
      </c>
      <c r="M3">
        <v>159</v>
      </c>
      <c r="N3">
        <v>84</v>
      </c>
      <c r="O3">
        <v>221</v>
      </c>
      <c r="P3">
        <v>99</v>
      </c>
      <c r="Q3">
        <v>0</v>
      </c>
      <c r="R3">
        <v>9</v>
      </c>
      <c r="T3" t="s">
        <v>209</v>
      </c>
      <c r="U3">
        <v>4232</v>
      </c>
      <c r="V3">
        <v>56.506616257099999</v>
      </c>
      <c r="W3">
        <v>7692</v>
      </c>
      <c r="X3">
        <v>1038</v>
      </c>
      <c r="Y3">
        <v>6438</v>
      </c>
      <c r="Z3">
        <v>426</v>
      </c>
      <c r="AA3">
        <v>3</v>
      </c>
      <c r="AB3">
        <v>3</v>
      </c>
      <c r="AC3">
        <v>588</v>
      </c>
      <c r="AD3">
        <v>140</v>
      </c>
      <c r="AE3">
        <v>1233</v>
      </c>
      <c r="AF3">
        <v>1068</v>
      </c>
      <c r="AH3" t="s">
        <v>387</v>
      </c>
      <c r="AI3">
        <v>10161</v>
      </c>
      <c r="AJ3">
        <v>340.02204507430002</v>
      </c>
      <c r="AK3">
        <v>8392</v>
      </c>
      <c r="AL3">
        <v>1982</v>
      </c>
      <c r="AM3">
        <v>15812</v>
      </c>
      <c r="AN3">
        <v>8886</v>
      </c>
      <c r="AO3">
        <v>4926</v>
      </c>
      <c r="AP3">
        <v>4200</v>
      </c>
      <c r="AQ3">
        <v>3300</v>
      </c>
      <c r="AR3">
        <v>1992</v>
      </c>
      <c r="AS3">
        <v>439</v>
      </c>
      <c r="AT3">
        <v>422</v>
      </c>
      <c r="AV3" t="s">
        <v>411</v>
      </c>
      <c r="AW3">
        <v>215</v>
      </c>
      <c r="AX3">
        <v>58.474418604699999</v>
      </c>
      <c r="AY3">
        <v>277</v>
      </c>
      <c r="AZ3">
        <v>10</v>
      </c>
      <c r="BA3">
        <v>335</v>
      </c>
      <c r="BB3">
        <v>29</v>
      </c>
      <c r="BC3">
        <v>1</v>
      </c>
      <c r="BD3">
        <v>1</v>
      </c>
      <c r="BE3">
        <v>28</v>
      </c>
      <c r="BF3">
        <v>13</v>
      </c>
      <c r="BG3">
        <v>636</v>
      </c>
      <c r="BH3">
        <v>70</v>
      </c>
      <c r="BJ3" t="s">
        <v>727</v>
      </c>
      <c r="BK3" t="s">
        <v>730</v>
      </c>
      <c r="BL3">
        <v>336443</v>
      </c>
      <c r="BM3">
        <v>72588</v>
      </c>
      <c r="BN3">
        <v>90.993865231300006</v>
      </c>
      <c r="BO3">
        <v>939863</v>
      </c>
      <c r="BP3">
        <v>62161</v>
      </c>
      <c r="BQ3">
        <v>128.65843213319999</v>
      </c>
      <c r="BR3">
        <v>127.7763066875</v>
      </c>
      <c r="BS3">
        <v>336444</v>
      </c>
      <c r="BT3">
        <v>72589</v>
      </c>
      <c r="BU3">
        <v>90.995229518100004</v>
      </c>
      <c r="BV3">
        <v>939863</v>
      </c>
      <c r="BW3">
        <v>62161</v>
      </c>
      <c r="BX3">
        <v>128.65843213319999</v>
      </c>
      <c r="BY3">
        <v>127.7763066875</v>
      </c>
      <c r="CA3" t="s">
        <v>1035</v>
      </c>
      <c r="CB3" t="s">
        <v>730</v>
      </c>
      <c r="CC3" t="s">
        <v>916</v>
      </c>
      <c r="CD3">
        <v>8655</v>
      </c>
      <c r="CE3">
        <v>738</v>
      </c>
      <c r="CF3">
        <v>62.254650491</v>
      </c>
      <c r="CG3">
        <v>25586</v>
      </c>
      <c r="CH3">
        <v>1310</v>
      </c>
      <c r="CI3">
        <v>130.08512467759999</v>
      </c>
      <c r="CJ3">
        <v>110.8671755725</v>
      </c>
      <c r="CL3" t="s">
        <v>1035</v>
      </c>
      <c r="CM3" t="s">
        <v>730</v>
      </c>
      <c r="CN3" t="s">
        <v>916</v>
      </c>
      <c r="CO3">
        <v>8655</v>
      </c>
      <c r="CP3">
        <v>738</v>
      </c>
      <c r="CQ3">
        <v>62.254650491</v>
      </c>
      <c r="CR3">
        <v>25586</v>
      </c>
      <c r="CS3">
        <v>1310</v>
      </c>
      <c r="CT3">
        <v>130.08512467759999</v>
      </c>
      <c r="CU3">
        <v>110.8671755725</v>
      </c>
      <c r="CW3" t="s">
        <v>1035</v>
      </c>
      <c r="CX3" t="s">
        <v>730</v>
      </c>
      <c r="CY3" t="s">
        <v>916</v>
      </c>
      <c r="CZ3">
        <v>8655</v>
      </c>
      <c r="DA3">
        <v>738</v>
      </c>
      <c r="DB3">
        <v>62.254650491</v>
      </c>
      <c r="DC3">
        <v>25586</v>
      </c>
      <c r="DD3">
        <v>1310</v>
      </c>
      <c r="DE3">
        <v>130.08512467759999</v>
      </c>
      <c r="DF3">
        <v>110.8671755725</v>
      </c>
      <c r="DH3" t="s">
        <v>1035</v>
      </c>
      <c r="DI3" t="s">
        <v>730</v>
      </c>
      <c r="DJ3" t="s">
        <v>916</v>
      </c>
      <c r="DK3">
        <v>8655</v>
      </c>
      <c r="DL3">
        <v>738</v>
      </c>
      <c r="DM3">
        <v>62.254650491</v>
      </c>
      <c r="DN3">
        <v>25586</v>
      </c>
      <c r="DO3">
        <v>1310</v>
      </c>
      <c r="DP3">
        <v>130.08512467759999</v>
      </c>
      <c r="DQ3">
        <v>110.8671755725</v>
      </c>
    </row>
    <row r="4" spans="2:121" x14ac:dyDescent="0.2">
      <c r="B4" t="s">
        <v>96</v>
      </c>
      <c r="C4">
        <v>191307</v>
      </c>
      <c r="D4">
        <v>56392</v>
      </c>
      <c r="F4" t="s">
        <v>69</v>
      </c>
      <c r="G4">
        <v>14033</v>
      </c>
      <c r="H4">
        <v>307.85085156420001</v>
      </c>
      <c r="I4">
        <v>12035</v>
      </c>
      <c r="J4">
        <v>2238</v>
      </c>
      <c r="K4">
        <v>19821</v>
      </c>
      <c r="L4">
        <v>9580</v>
      </c>
      <c r="M4">
        <v>7957</v>
      </c>
      <c r="N4">
        <v>6295</v>
      </c>
      <c r="O4">
        <v>4624</v>
      </c>
      <c r="P4">
        <v>4057</v>
      </c>
      <c r="Q4">
        <v>5</v>
      </c>
      <c r="R4">
        <v>7</v>
      </c>
      <c r="T4" t="s">
        <v>224</v>
      </c>
      <c r="U4">
        <v>0</v>
      </c>
      <c r="W4">
        <v>317</v>
      </c>
      <c r="X4">
        <v>112</v>
      </c>
      <c r="Y4">
        <v>3126</v>
      </c>
      <c r="Z4">
        <v>998</v>
      </c>
      <c r="AA4">
        <v>201</v>
      </c>
      <c r="AB4">
        <v>198</v>
      </c>
      <c r="AC4">
        <v>194</v>
      </c>
      <c r="AD4">
        <v>112</v>
      </c>
      <c r="AE4">
        <v>8</v>
      </c>
      <c r="AF4">
        <v>0</v>
      </c>
      <c r="AH4" t="s">
        <v>423</v>
      </c>
      <c r="AI4">
        <v>1811</v>
      </c>
      <c r="AJ4">
        <v>466.09884041970002</v>
      </c>
      <c r="AK4">
        <v>1050</v>
      </c>
      <c r="AL4">
        <v>278</v>
      </c>
      <c r="AM4">
        <v>3043</v>
      </c>
      <c r="AN4">
        <v>1875</v>
      </c>
      <c r="AO4">
        <v>1483</v>
      </c>
      <c r="AP4">
        <v>1130</v>
      </c>
      <c r="AQ4">
        <v>389</v>
      </c>
      <c r="AR4">
        <v>277</v>
      </c>
      <c r="AS4">
        <v>0</v>
      </c>
      <c r="AT4">
        <v>5</v>
      </c>
      <c r="AV4" t="s">
        <v>383</v>
      </c>
      <c r="AW4">
        <v>408</v>
      </c>
      <c r="AX4">
        <v>55.825980392200002</v>
      </c>
      <c r="AY4">
        <v>755</v>
      </c>
      <c r="AZ4">
        <v>95</v>
      </c>
      <c r="BA4">
        <v>670</v>
      </c>
      <c r="BB4">
        <v>67</v>
      </c>
      <c r="BC4">
        <v>1</v>
      </c>
      <c r="BD4">
        <v>1</v>
      </c>
      <c r="BE4">
        <v>76</v>
      </c>
      <c r="BF4">
        <v>23</v>
      </c>
      <c r="BG4">
        <v>162</v>
      </c>
      <c r="BH4">
        <v>116</v>
      </c>
      <c r="BJ4" t="s">
        <v>636</v>
      </c>
      <c r="BK4" t="s">
        <v>384</v>
      </c>
      <c r="BL4">
        <v>763</v>
      </c>
      <c r="BM4">
        <v>83</v>
      </c>
      <c r="BN4">
        <v>70.786369593700002</v>
      </c>
      <c r="BO4">
        <v>2463</v>
      </c>
      <c r="BP4">
        <v>118</v>
      </c>
      <c r="BQ4">
        <v>117.4863987008</v>
      </c>
      <c r="BR4">
        <v>106.12711864409999</v>
      </c>
      <c r="BS4">
        <v>394</v>
      </c>
      <c r="BT4">
        <v>139</v>
      </c>
      <c r="BU4">
        <v>114.2411167513</v>
      </c>
      <c r="BV4">
        <v>3164</v>
      </c>
      <c r="BW4">
        <v>233</v>
      </c>
      <c r="BX4">
        <v>127.2879266751</v>
      </c>
      <c r="BY4">
        <v>148.7896995708</v>
      </c>
      <c r="CA4" t="s">
        <v>1034</v>
      </c>
      <c r="CB4" t="s">
        <v>730</v>
      </c>
      <c r="CC4" t="s">
        <v>916</v>
      </c>
      <c r="CD4">
        <v>336444</v>
      </c>
      <c r="CE4">
        <v>72589</v>
      </c>
      <c r="CF4">
        <v>90.995229518100004</v>
      </c>
      <c r="CG4">
        <v>939863</v>
      </c>
      <c r="CH4">
        <v>62161</v>
      </c>
      <c r="CI4">
        <v>128.65843213319999</v>
      </c>
      <c r="CJ4">
        <v>127.7763066875</v>
      </c>
      <c r="CL4" t="s">
        <v>1034</v>
      </c>
      <c r="CM4" t="s">
        <v>730</v>
      </c>
      <c r="CN4" t="s">
        <v>916</v>
      </c>
      <c r="CO4">
        <v>336444</v>
      </c>
      <c r="CP4">
        <v>72589</v>
      </c>
      <c r="CQ4">
        <v>90.995229518100004</v>
      </c>
      <c r="CR4">
        <v>939863</v>
      </c>
      <c r="CS4">
        <v>62161</v>
      </c>
      <c r="CT4">
        <v>128.65843213319999</v>
      </c>
      <c r="CU4">
        <v>127.7763066875</v>
      </c>
      <c r="CW4" t="s">
        <v>1034</v>
      </c>
      <c r="CX4" t="s">
        <v>730</v>
      </c>
      <c r="CY4" t="s">
        <v>916</v>
      </c>
      <c r="CZ4">
        <v>336444</v>
      </c>
      <c r="DA4">
        <v>72589</v>
      </c>
      <c r="DB4">
        <v>90.995229518100004</v>
      </c>
      <c r="DC4">
        <v>939863</v>
      </c>
      <c r="DD4">
        <v>62161</v>
      </c>
      <c r="DE4">
        <v>128.65843213319999</v>
      </c>
      <c r="DF4">
        <v>127.7763066875</v>
      </c>
      <c r="DH4" t="s">
        <v>1034</v>
      </c>
      <c r="DI4" t="s">
        <v>730</v>
      </c>
      <c r="DJ4" t="s">
        <v>916</v>
      </c>
      <c r="DK4">
        <v>336444</v>
      </c>
      <c r="DL4">
        <v>72589</v>
      </c>
      <c r="DM4">
        <v>90.995229518100004</v>
      </c>
      <c r="DN4">
        <v>939863</v>
      </c>
      <c r="DO4">
        <v>62161</v>
      </c>
      <c r="DP4">
        <v>128.65843213319999</v>
      </c>
      <c r="DQ4">
        <v>127.7763066875</v>
      </c>
    </row>
    <row r="5" spans="2:121" x14ac:dyDescent="0.2">
      <c r="B5" t="s">
        <v>88</v>
      </c>
      <c r="C5">
        <v>83974</v>
      </c>
      <c r="D5">
        <v>20325</v>
      </c>
      <c r="F5" t="s">
        <v>25</v>
      </c>
      <c r="G5">
        <v>11612</v>
      </c>
      <c r="H5">
        <v>339.02686875649999</v>
      </c>
      <c r="I5">
        <v>17906</v>
      </c>
      <c r="J5">
        <v>4910</v>
      </c>
      <c r="K5">
        <v>21197</v>
      </c>
      <c r="L5">
        <v>11653</v>
      </c>
      <c r="M5">
        <v>8413</v>
      </c>
      <c r="N5">
        <v>6811</v>
      </c>
      <c r="O5">
        <v>4115</v>
      </c>
      <c r="P5">
        <v>3143</v>
      </c>
      <c r="Q5">
        <v>78</v>
      </c>
      <c r="R5">
        <v>28</v>
      </c>
      <c r="T5" t="s">
        <v>210</v>
      </c>
      <c r="U5">
        <v>13011</v>
      </c>
      <c r="V5">
        <v>107.43932057489999</v>
      </c>
      <c r="W5">
        <v>14827</v>
      </c>
      <c r="X5">
        <v>2391</v>
      </c>
      <c r="Y5">
        <v>15920</v>
      </c>
      <c r="Z5">
        <v>5193</v>
      </c>
      <c r="AA5">
        <v>15</v>
      </c>
      <c r="AB5">
        <v>15</v>
      </c>
      <c r="AC5">
        <v>599</v>
      </c>
      <c r="AD5">
        <v>205</v>
      </c>
      <c r="AE5">
        <v>1959</v>
      </c>
      <c r="AF5">
        <v>2937</v>
      </c>
      <c r="AH5" t="s">
        <v>425</v>
      </c>
      <c r="AI5">
        <v>3949</v>
      </c>
      <c r="AJ5">
        <v>264.40516586479998</v>
      </c>
      <c r="AK5">
        <v>5635</v>
      </c>
      <c r="AL5">
        <v>979</v>
      </c>
      <c r="AM5">
        <v>7795</v>
      </c>
      <c r="AN5">
        <v>3005</v>
      </c>
      <c r="AO5">
        <v>2439</v>
      </c>
      <c r="AP5">
        <v>1581</v>
      </c>
      <c r="AQ5">
        <v>2602</v>
      </c>
      <c r="AR5">
        <v>1702</v>
      </c>
      <c r="AS5">
        <v>6</v>
      </c>
      <c r="AT5">
        <v>90</v>
      </c>
      <c r="AV5" t="s">
        <v>393</v>
      </c>
      <c r="AW5">
        <v>418</v>
      </c>
      <c r="AX5">
        <v>66.241626794300004</v>
      </c>
      <c r="AY5">
        <v>769</v>
      </c>
      <c r="AZ5">
        <v>107</v>
      </c>
      <c r="BA5">
        <v>614</v>
      </c>
      <c r="BB5">
        <v>40</v>
      </c>
      <c r="BC5">
        <v>0</v>
      </c>
      <c r="BE5">
        <v>58</v>
      </c>
      <c r="BF5">
        <v>21</v>
      </c>
      <c r="BG5">
        <v>91</v>
      </c>
      <c r="BH5">
        <v>147</v>
      </c>
      <c r="BJ5" t="s">
        <v>384</v>
      </c>
      <c r="BK5" t="s">
        <v>384</v>
      </c>
      <c r="BL5">
        <v>65292</v>
      </c>
      <c r="BM5">
        <v>12725</v>
      </c>
      <c r="BN5">
        <v>87.399512957200002</v>
      </c>
      <c r="BO5">
        <v>182478</v>
      </c>
      <c r="BP5">
        <v>11641</v>
      </c>
      <c r="BQ5">
        <v>132.58296890579999</v>
      </c>
      <c r="BR5">
        <v>130.36053603639999</v>
      </c>
      <c r="BS5">
        <v>26332</v>
      </c>
      <c r="BT5">
        <v>5692</v>
      </c>
      <c r="BU5">
        <v>92.189845055399999</v>
      </c>
      <c r="BV5">
        <v>185054</v>
      </c>
      <c r="BW5">
        <v>13146</v>
      </c>
      <c r="BX5">
        <v>132.77981021759999</v>
      </c>
      <c r="BY5">
        <v>129.4524570211</v>
      </c>
      <c r="CA5" t="s">
        <v>1036</v>
      </c>
      <c r="CB5" t="s">
        <v>730</v>
      </c>
      <c r="CC5" t="s">
        <v>916</v>
      </c>
      <c r="CD5">
        <v>25646</v>
      </c>
      <c r="CE5">
        <v>3148</v>
      </c>
      <c r="CF5">
        <v>67.693168525299996</v>
      </c>
      <c r="CG5">
        <v>132292</v>
      </c>
      <c r="CH5">
        <v>10009</v>
      </c>
      <c r="CI5">
        <v>79.321138088500007</v>
      </c>
      <c r="CJ5">
        <v>81.959236687000001</v>
      </c>
      <c r="CL5" t="s">
        <v>1036</v>
      </c>
      <c r="CM5" t="s">
        <v>730</v>
      </c>
      <c r="CN5" t="s">
        <v>916</v>
      </c>
      <c r="CO5">
        <v>25646</v>
      </c>
      <c r="CP5">
        <v>3148</v>
      </c>
      <c r="CQ5">
        <v>67.693168525299996</v>
      </c>
      <c r="CR5">
        <v>132292</v>
      </c>
      <c r="CS5">
        <v>10009</v>
      </c>
      <c r="CT5">
        <v>79.321138088500007</v>
      </c>
      <c r="CU5">
        <v>81.959236687000001</v>
      </c>
      <c r="CW5" t="s">
        <v>1036</v>
      </c>
      <c r="CX5" t="s">
        <v>730</v>
      </c>
      <c r="CY5" t="s">
        <v>916</v>
      </c>
      <c r="CZ5">
        <v>25646</v>
      </c>
      <c r="DA5">
        <v>3148</v>
      </c>
      <c r="DB5">
        <v>67.693168525299996</v>
      </c>
      <c r="DC5">
        <v>132292</v>
      </c>
      <c r="DD5">
        <v>10009</v>
      </c>
      <c r="DE5">
        <v>79.321138088500007</v>
      </c>
      <c r="DF5">
        <v>81.959236687000001</v>
      </c>
      <c r="DH5" t="s">
        <v>1036</v>
      </c>
      <c r="DI5" t="s">
        <v>730</v>
      </c>
      <c r="DJ5" t="s">
        <v>916</v>
      </c>
      <c r="DK5">
        <v>25646</v>
      </c>
      <c r="DL5">
        <v>3148</v>
      </c>
      <c r="DM5">
        <v>67.693168525299996</v>
      </c>
      <c r="DN5">
        <v>132292</v>
      </c>
      <c r="DO5">
        <v>10009</v>
      </c>
      <c r="DP5">
        <v>79.321138088500007</v>
      </c>
      <c r="DQ5">
        <v>81.959236687000001</v>
      </c>
    </row>
    <row r="6" spans="2:121" x14ac:dyDescent="0.2">
      <c r="B6" t="s">
        <v>106</v>
      </c>
      <c r="C6">
        <v>80522</v>
      </c>
      <c r="D6">
        <v>48038</v>
      </c>
      <c r="F6" t="s">
        <v>61</v>
      </c>
      <c r="G6">
        <v>417</v>
      </c>
      <c r="H6">
        <v>132.37889688249999</v>
      </c>
      <c r="I6">
        <v>2696</v>
      </c>
      <c r="J6">
        <v>723</v>
      </c>
      <c r="K6">
        <v>1698</v>
      </c>
      <c r="L6">
        <v>352</v>
      </c>
      <c r="M6">
        <v>517</v>
      </c>
      <c r="N6">
        <v>466</v>
      </c>
      <c r="O6">
        <v>1421</v>
      </c>
      <c r="P6">
        <v>1215</v>
      </c>
      <c r="Q6">
        <v>0</v>
      </c>
      <c r="R6">
        <v>1</v>
      </c>
      <c r="T6" t="s">
        <v>212</v>
      </c>
      <c r="U6">
        <v>4048</v>
      </c>
      <c r="V6">
        <v>65.640069170000004</v>
      </c>
      <c r="W6">
        <v>6108</v>
      </c>
      <c r="X6">
        <v>272</v>
      </c>
      <c r="Y6">
        <v>6049</v>
      </c>
      <c r="Z6">
        <v>548</v>
      </c>
      <c r="AA6">
        <v>20</v>
      </c>
      <c r="AB6">
        <v>14</v>
      </c>
      <c r="AC6">
        <v>312</v>
      </c>
      <c r="AD6">
        <v>110</v>
      </c>
      <c r="AE6">
        <v>8508</v>
      </c>
      <c r="AF6">
        <v>2027</v>
      </c>
      <c r="AH6" t="s">
        <v>410</v>
      </c>
      <c r="AI6">
        <v>3183</v>
      </c>
      <c r="AJ6">
        <v>266.61702796100002</v>
      </c>
      <c r="AK6">
        <v>3590</v>
      </c>
      <c r="AL6">
        <v>563</v>
      </c>
      <c r="AM6">
        <v>6114</v>
      </c>
      <c r="AN6">
        <v>2494</v>
      </c>
      <c r="AO6">
        <v>2229</v>
      </c>
      <c r="AP6">
        <v>1598</v>
      </c>
      <c r="AQ6">
        <v>2802</v>
      </c>
      <c r="AR6">
        <v>1782</v>
      </c>
      <c r="AS6">
        <v>388</v>
      </c>
      <c r="AT6">
        <v>97</v>
      </c>
      <c r="AV6" t="s">
        <v>414</v>
      </c>
      <c r="AW6">
        <v>112</v>
      </c>
      <c r="AX6">
        <v>99.517857142899999</v>
      </c>
      <c r="AY6">
        <v>125</v>
      </c>
      <c r="AZ6">
        <v>29</v>
      </c>
      <c r="BA6">
        <v>138</v>
      </c>
      <c r="BB6">
        <v>34</v>
      </c>
      <c r="BC6">
        <v>0</v>
      </c>
      <c r="BE6">
        <v>2</v>
      </c>
      <c r="BF6">
        <v>1</v>
      </c>
      <c r="BG6">
        <v>14</v>
      </c>
      <c r="BH6">
        <v>19</v>
      </c>
      <c r="BJ6" t="s">
        <v>583</v>
      </c>
      <c r="BK6" t="s">
        <v>384</v>
      </c>
      <c r="BL6">
        <v>5489</v>
      </c>
      <c r="BM6">
        <v>1168</v>
      </c>
      <c r="BN6">
        <v>96.021133175399996</v>
      </c>
      <c r="BO6">
        <v>17373</v>
      </c>
      <c r="BP6">
        <v>1100</v>
      </c>
      <c r="BQ6">
        <v>144.4486271801</v>
      </c>
      <c r="BR6">
        <v>131.53636363640001</v>
      </c>
      <c r="BS6">
        <v>2059</v>
      </c>
      <c r="BT6">
        <v>490</v>
      </c>
      <c r="BU6">
        <v>94.397280233100005</v>
      </c>
      <c r="BV6">
        <v>17431</v>
      </c>
      <c r="BW6">
        <v>1202</v>
      </c>
      <c r="BX6">
        <v>142.46342722739999</v>
      </c>
      <c r="BY6">
        <v>133.50915141429999</v>
      </c>
      <c r="CA6" t="s">
        <v>1037</v>
      </c>
      <c r="CB6" t="s">
        <v>730</v>
      </c>
      <c r="CC6" t="s">
        <v>916</v>
      </c>
      <c r="CD6">
        <v>7895</v>
      </c>
      <c r="CE6">
        <v>885</v>
      </c>
      <c r="CF6">
        <v>66.609246358500002</v>
      </c>
      <c r="CG6">
        <v>22704</v>
      </c>
      <c r="CH6">
        <v>1349</v>
      </c>
      <c r="CI6">
        <v>136.25858879489999</v>
      </c>
      <c r="CJ6">
        <v>110.07412898440001</v>
      </c>
      <c r="CL6" t="s">
        <v>1037</v>
      </c>
      <c r="CM6" t="s">
        <v>730</v>
      </c>
      <c r="CN6" t="s">
        <v>916</v>
      </c>
      <c r="CO6">
        <v>7895</v>
      </c>
      <c r="CP6">
        <v>885</v>
      </c>
      <c r="CQ6">
        <v>66.609246358500002</v>
      </c>
      <c r="CR6">
        <v>22704</v>
      </c>
      <c r="CS6">
        <v>1349</v>
      </c>
      <c r="CT6">
        <v>136.25858879489999</v>
      </c>
      <c r="CU6">
        <v>110.07412898440001</v>
      </c>
      <c r="CW6" t="s">
        <v>1037</v>
      </c>
      <c r="CX6" t="s">
        <v>730</v>
      </c>
      <c r="CY6" t="s">
        <v>916</v>
      </c>
      <c r="CZ6">
        <v>7895</v>
      </c>
      <c r="DA6">
        <v>885</v>
      </c>
      <c r="DB6">
        <v>66.609246358500002</v>
      </c>
      <c r="DC6">
        <v>22704</v>
      </c>
      <c r="DD6">
        <v>1349</v>
      </c>
      <c r="DE6">
        <v>136.25858879489999</v>
      </c>
      <c r="DF6">
        <v>110.07412898440001</v>
      </c>
      <c r="DH6" t="s">
        <v>1037</v>
      </c>
      <c r="DI6" t="s">
        <v>730</v>
      </c>
      <c r="DJ6" t="s">
        <v>916</v>
      </c>
      <c r="DK6">
        <v>7895</v>
      </c>
      <c r="DL6">
        <v>885</v>
      </c>
      <c r="DM6">
        <v>66.609246358500002</v>
      </c>
      <c r="DN6">
        <v>22704</v>
      </c>
      <c r="DO6">
        <v>1349</v>
      </c>
      <c r="DP6">
        <v>136.25858879489999</v>
      </c>
      <c r="DQ6">
        <v>110.07412898440001</v>
      </c>
    </row>
    <row r="7" spans="2:121" x14ac:dyDescent="0.2">
      <c r="B7" t="s">
        <v>105</v>
      </c>
      <c r="C7">
        <v>8548</v>
      </c>
      <c r="D7">
        <v>6582</v>
      </c>
      <c r="F7" t="s">
        <v>31</v>
      </c>
      <c r="G7">
        <v>605</v>
      </c>
      <c r="H7">
        <v>160.4066115702</v>
      </c>
      <c r="I7">
        <v>2954</v>
      </c>
      <c r="J7">
        <v>700</v>
      </c>
      <c r="K7">
        <v>1704</v>
      </c>
      <c r="L7">
        <v>366</v>
      </c>
      <c r="M7">
        <v>313</v>
      </c>
      <c r="N7">
        <v>134</v>
      </c>
      <c r="O7">
        <v>409</v>
      </c>
      <c r="P7">
        <v>258</v>
      </c>
      <c r="Q7">
        <v>0</v>
      </c>
      <c r="R7">
        <v>9</v>
      </c>
      <c r="T7" t="s">
        <v>461</v>
      </c>
      <c r="U7">
        <v>21291</v>
      </c>
      <c r="V7">
        <v>89.368277676000005</v>
      </c>
      <c r="W7">
        <v>28944</v>
      </c>
      <c r="X7">
        <v>3813</v>
      </c>
      <c r="Y7">
        <v>31533</v>
      </c>
      <c r="Z7">
        <v>7165</v>
      </c>
      <c r="AA7">
        <v>239</v>
      </c>
      <c r="AB7">
        <v>230</v>
      </c>
      <c r="AC7">
        <v>1693</v>
      </c>
      <c r="AD7">
        <v>567</v>
      </c>
      <c r="AE7">
        <v>11708</v>
      </c>
      <c r="AF7">
        <v>6032</v>
      </c>
      <c r="AH7" t="s">
        <v>406</v>
      </c>
      <c r="AI7">
        <v>18040</v>
      </c>
      <c r="AJ7">
        <v>432.91735033259999</v>
      </c>
      <c r="AK7">
        <v>34489</v>
      </c>
      <c r="AL7">
        <v>7034</v>
      </c>
      <c r="AM7">
        <v>37348</v>
      </c>
      <c r="AN7">
        <v>18854</v>
      </c>
      <c r="AO7">
        <v>10491</v>
      </c>
      <c r="AP7">
        <v>8208</v>
      </c>
      <c r="AQ7">
        <v>15482</v>
      </c>
      <c r="AR7">
        <v>10972</v>
      </c>
      <c r="AS7">
        <v>57</v>
      </c>
      <c r="AT7">
        <v>166</v>
      </c>
      <c r="AV7" t="s">
        <v>412</v>
      </c>
      <c r="AW7">
        <v>104</v>
      </c>
      <c r="AX7">
        <v>65.663461538500002</v>
      </c>
      <c r="AY7">
        <v>113</v>
      </c>
      <c r="AZ7">
        <v>5</v>
      </c>
      <c r="BA7">
        <v>193</v>
      </c>
      <c r="BB7">
        <v>25</v>
      </c>
      <c r="BC7">
        <v>0</v>
      </c>
      <c r="BE7">
        <v>6</v>
      </c>
      <c r="BF7">
        <v>4</v>
      </c>
      <c r="BG7">
        <v>188</v>
      </c>
      <c r="BH7">
        <v>48</v>
      </c>
      <c r="BJ7" t="s">
        <v>630</v>
      </c>
      <c r="BK7" t="s">
        <v>384</v>
      </c>
      <c r="BL7">
        <v>721</v>
      </c>
      <c r="BM7">
        <v>63</v>
      </c>
      <c r="BN7">
        <v>61.202496532600001</v>
      </c>
      <c r="BO7">
        <v>3285</v>
      </c>
      <c r="BP7">
        <v>186</v>
      </c>
      <c r="BQ7">
        <v>83.350989345499997</v>
      </c>
      <c r="BR7">
        <v>87.247311827999994</v>
      </c>
      <c r="BS7">
        <v>562</v>
      </c>
      <c r="BT7">
        <v>66</v>
      </c>
      <c r="BU7">
        <v>76.153024911000003</v>
      </c>
      <c r="BV7">
        <v>6220</v>
      </c>
      <c r="BW7">
        <v>471</v>
      </c>
      <c r="BX7">
        <v>108.85064308680001</v>
      </c>
      <c r="BY7">
        <v>116.050955414</v>
      </c>
      <c r="CA7" t="s">
        <v>410</v>
      </c>
      <c r="CB7" t="s">
        <v>766</v>
      </c>
      <c r="CC7" t="s">
        <v>992</v>
      </c>
      <c r="CD7">
        <v>3617</v>
      </c>
      <c r="CE7">
        <v>510</v>
      </c>
      <c r="CF7">
        <v>81.396184683399994</v>
      </c>
      <c r="CG7">
        <v>11661</v>
      </c>
      <c r="CH7">
        <v>658</v>
      </c>
      <c r="CI7">
        <v>115.6314209759</v>
      </c>
      <c r="CJ7">
        <v>115.7431610942</v>
      </c>
      <c r="CL7" t="s">
        <v>410</v>
      </c>
      <c r="CM7" t="s">
        <v>747</v>
      </c>
      <c r="CN7" t="s">
        <v>746</v>
      </c>
      <c r="CO7">
        <v>290</v>
      </c>
      <c r="CP7">
        <v>49</v>
      </c>
      <c r="CQ7">
        <v>69.599999999999994</v>
      </c>
      <c r="CR7">
        <v>1914</v>
      </c>
      <c r="CS7">
        <v>106</v>
      </c>
      <c r="CT7">
        <v>65.144200627000004</v>
      </c>
      <c r="CU7">
        <v>63.537735849100002</v>
      </c>
      <c r="CW7" t="s">
        <v>410</v>
      </c>
      <c r="CX7" t="s">
        <v>757</v>
      </c>
      <c r="CY7" t="s">
        <v>756</v>
      </c>
      <c r="CZ7">
        <v>46</v>
      </c>
      <c r="DA7">
        <v>11</v>
      </c>
      <c r="DB7">
        <v>85.782608695700006</v>
      </c>
      <c r="DC7">
        <v>134</v>
      </c>
      <c r="DD7">
        <v>8</v>
      </c>
      <c r="DE7">
        <v>129.64179104479999</v>
      </c>
      <c r="DF7">
        <v>112.625</v>
      </c>
      <c r="DH7" t="s">
        <v>410</v>
      </c>
      <c r="DI7" t="s">
        <v>737</v>
      </c>
      <c r="DJ7" t="s">
        <v>736</v>
      </c>
      <c r="DK7">
        <v>47</v>
      </c>
      <c r="DL7">
        <v>7</v>
      </c>
      <c r="DM7">
        <v>66.723404255299997</v>
      </c>
      <c r="DN7">
        <v>111</v>
      </c>
      <c r="DO7">
        <v>6</v>
      </c>
      <c r="DP7">
        <v>134.70270270270001</v>
      </c>
      <c r="DQ7">
        <v>124</v>
      </c>
    </row>
    <row r="8" spans="2:121" x14ac:dyDescent="0.2">
      <c r="B8" t="s">
        <v>111</v>
      </c>
      <c r="C8">
        <v>7113</v>
      </c>
      <c r="D8">
        <v>430</v>
      </c>
      <c r="F8" t="s">
        <v>77</v>
      </c>
      <c r="G8">
        <v>15502</v>
      </c>
      <c r="H8">
        <v>320.2684169785</v>
      </c>
      <c r="I8">
        <v>23678</v>
      </c>
      <c r="J8">
        <v>5269</v>
      </c>
      <c r="K8">
        <v>23908</v>
      </c>
      <c r="L8">
        <v>12628</v>
      </c>
      <c r="M8">
        <v>5053</v>
      </c>
      <c r="N8">
        <v>3996</v>
      </c>
      <c r="O8">
        <v>13017</v>
      </c>
      <c r="P8">
        <v>9908</v>
      </c>
      <c r="Q8">
        <v>6</v>
      </c>
      <c r="R8">
        <v>288</v>
      </c>
      <c r="AH8" t="s">
        <v>402</v>
      </c>
      <c r="AI8">
        <v>5069</v>
      </c>
      <c r="AJ8">
        <v>361.49694219769998</v>
      </c>
      <c r="AK8">
        <v>6336</v>
      </c>
      <c r="AL8">
        <v>1298</v>
      </c>
      <c r="AM8">
        <v>10080</v>
      </c>
      <c r="AN8">
        <v>4792</v>
      </c>
      <c r="AO8">
        <v>4070</v>
      </c>
      <c r="AP8">
        <v>3306</v>
      </c>
      <c r="AQ8">
        <v>1851</v>
      </c>
      <c r="AR8">
        <v>1204</v>
      </c>
      <c r="AS8">
        <v>3</v>
      </c>
      <c r="AT8">
        <v>57</v>
      </c>
      <c r="AV8" t="s">
        <v>404</v>
      </c>
      <c r="AW8">
        <v>78</v>
      </c>
      <c r="AX8">
        <v>54.102564102599999</v>
      </c>
      <c r="AY8">
        <v>134</v>
      </c>
      <c r="AZ8">
        <v>7</v>
      </c>
      <c r="BA8">
        <v>161</v>
      </c>
      <c r="BB8">
        <v>16</v>
      </c>
      <c r="BC8">
        <v>0</v>
      </c>
      <c r="BE8">
        <v>8</v>
      </c>
      <c r="BF8">
        <v>3</v>
      </c>
      <c r="BG8">
        <v>279</v>
      </c>
      <c r="BH8">
        <v>38</v>
      </c>
      <c r="BJ8" t="s">
        <v>618</v>
      </c>
      <c r="BK8" t="s">
        <v>384</v>
      </c>
      <c r="BL8">
        <v>18368</v>
      </c>
      <c r="BM8">
        <v>4349</v>
      </c>
      <c r="BN8">
        <v>94.214775696900006</v>
      </c>
      <c r="BO8">
        <v>44162</v>
      </c>
      <c r="BP8">
        <v>3095</v>
      </c>
      <c r="BQ8">
        <v>143.2289524931</v>
      </c>
      <c r="BR8">
        <v>138.8093699515</v>
      </c>
      <c r="BS8">
        <v>4421</v>
      </c>
      <c r="BT8">
        <v>1262</v>
      </c>
      <c r="BU8">
        <v>102.6557339968</v>
      </c>
      <c r="BV8">
        <v>31985</v>
      </c>
      <c r="BW8">
        <v>2250</v>
      </c>
      <c r="BX8">
        <v>140.59853056119999</v>
      </c>
      <c r="BY8">
        <v>150.54177777780001</v>
      </c>
      <c r="CA8" t="s">
        <v>402</v>
      </c>
      <c r="CB8" t="s">
        <v>766</v>
      </c>
      <c r="CC8" t="s">
        <v>993</v>
      </c>
      <c r="CD8">
        <v>6004</v>
      </c>
      <c r="CE8">
        <v>1264</v>
      </c>
      <c r="CF8">
        <v>93.134077281800003</v>
      </c>
      <c r="CG8">
        <v>19534</v>
      </c>
      <c r="CH8">
        <v>1269</v>
      </c>
      <c r="CI8">
        <v>132.4607351285</v>
      </c>
      <c r="CJ8">
        <v>122.13711583920001</v>
      </c>
      <c r="CL8" t="s">
        <v>402</v>
      </c>
      <c r="CM8" t="s">
        <v>747</v>
      </c>
      <c r="CN8" t="s">
        <v>748</v>
      </c>
      <c r="CO8">
        <v>351</v>
      </c>
      <c r="CP8">
        <v>42</v>
      </c>
      <c r="CQ8">
        <v>71.307692307699995</v>
      </c>
      <c r="CR8">
        <v>1907</v>
      </c>
      <c r="CS8">
        <v>137</v>
      </c>
      <c r="CT8">
        <v>70.770844257999997</v>
      </c>
      <c r="CU8">
        <v>88.503649635000002</v>
      </c>
      <c r="CW8" t="s">
        <v>402</v>
      </c>
      <c r="CX8" t="s">
        <v>757</v>
      </c>
      <c r="CY8" t="s">
        <v>758</v>
      </c>
      <c r="CZ8">
        <v>178</v>
      </c>
      <c r="DA8">
        <v>21</v>
      </c>
      <c r="DB8">
        <v>61.095505617999997</v>
      </c>
      <c r="DC8">
        <v>727</v>
      </c>
      <c r="DD8">
        <v>48</v>
      </c>
      <c r="DE8">
        <v>125.5020632737</v>
      </c>
      <c r="DF8">
        <v>99.604166666699996</v>
      </c>
      <c r="DH8" t="s">
        <v>402</v>
      </c>
      <c r="DI8" t="s">
        <v>737</v>
      </c>
      <c r="DJ8" t="s">
        <v>738</v>
      </c>
      <c r="DK8">
        <v>354</v>
      </c>
      <c r="DL8">
        <v>7</v>
      </c>
      <c r="DM8">
        <v>48.997175141200003</v>
      </c>
      <c r="DN8">
        <v>1022</v>
      </c>
      <c r="DO8">
        <v>32</v>
      </c>
      <c r="DP8">
        <v>113.011741683</v>
      </c>
      <c r="DQ8">
        <v>93.03125</v>
      </c>
    </row>
    <row r="9" spans="2:121" x14ac:dyDescent="0.2">
      <c r="B9" t="s">
        <v>121</v>
      </c>
      <c r="C9">
        <v>945</v>
      </c>
      <c r="D9">
        <v>423</v>
      </c>
      <c r="F9" t="s">
        <v>75</v>
      </c>
      <c r="G9">
        <v>3295</v>
      </c>
      <c r="H9">
        <v>231.62336874050001</v>
      </c>
      <c r="I9">
        <v>6243</v>
      </c>
      <c r="J9">
        <v>1332</v>
      </c>
      <c r="K9">
        <v>6757</v>
      </c>
      <c r="L9">
        <v>2961</v>
      </c>
      <c r="M9">
        <v>2142</v>
      </c>
      <c r="N9">
        <v>1826</v>
      </c>
      <c r="O9">
        <v>1228</v>
      </c>
      <c r="P9">
        <v>1004</v>
      </c>
      <c r="Q9">
        <v>0</v>
      </c>
      <c r="R9">
        <v>55</v>
      </c>
      <c r="AH9" t="s">
        <v>372</v>
      </c>
      <c r="AI9">
        <v>687</v>
      </c>
      <c r="AJ9">
        <v>279.54439592429998</v>
      </c>
      <c r="AK9">
        <v>1856</v>
      </c>
      <c r="AL9">
        <v>332</v>
      </c>
      <c r="AM9">
        <v>2492</v>
      </c>
      <c r="AN9">
        <v>729</v>
      </c>
      <c r="AO9">
        <v>574</v>
      </c>
      <c r="AP9">
        <v>378</v>
      </c>
      <c r="AQ9">
        <v>873</v>
      </c>
      <c r="AR9">
        <v>618</v>
      </c>
      <c r="AS9">
        <v>312</v>
      </c>
      <c r="AT9">
        <v>6</v>
      </c>
      <c r="AV9" t="s">
        <v>420</v>
      </c>
      <c r="AW9">
        <v>13</v>
      </c>
      <c r="AX9">
        <v>51.923076923099998</v>
      </c>
      <c r="AY9">
        <v>24</v>
      </c>
      <c r="AZ9">
        <v>1</v>
      </c>
      <c r="BA9">
        <v>26</v>
      </c>
      <c r="BB9">
        <v>4</v>
      </c>
      <c r="BC9">
        <v>0</v>
      </c>
      <c r="BE9">
        <v>3</v>
      </c>
      <c r="BG9">
        <v>65</v>
      </c>
      <c r="BH9">
        <v>8</v>
      </c>
      <c r="BJ9" t="s">
        <v>554</v>
      </c>
      <c r="BK9" t="s">
        <v>384</v>
      </c>
      <c r="BL9">
        <v>4711</v>
      </c>
      <c r="BM9">
        <v>1447</v>
      </c>
      <c r="BN9">
        <v>118.2286138824</v>
      </c>
      <c r="BO9">
        <v>9698</v>
      </c>
      <c r="BP9">
        <v>707</v>
      </c>
      <c r="BQ9">
        <v>164.9960816663</v>
      </c>
      <c r="BR9">
        <v>168.9844413013</v>
      </c>
      <c r="BS9">
        <v>1581</v>
      </c>
      <c r="BT9">
        <v>465</v>
      </c>
      <c r="BU9">
        <v>118.3649588868</v>
      </c>
      <c r="BV9">
        <v>13506</v>
      </c>
      <c r="BW9">
        <v>1094</v>
      </c>
      <c r="BX9">
        <v>157.0161409744</v>
      </c>
      <c r="BY9">
        <v>151.39670932359999</v>
      </c>
      <c r="CA9" t="s">
        <v>386</v>
      </c>
      <c r="CB9" t="s">
        <v>766</v>
      </c>
      <c r="CC9" t="s">
        <v>994</v>
      </c>
      <c r="CD9">
        <v>5586</v>
      </c>
      <c r="CE9">
        <v>1046</v>
      </c>
      <c r="CF9">
        <v>85.536877909099999</v>
      </c>
      <c r="CG9">
        <v>17050</v>
      </c>
      <c r="CH9">
        <v>1134</v>
      </c>
      <c r="CI9">
        <v>131.80909090910001</v>
      </c>
      <c r="CJ9">
        <v>118.671957672</v>
      </c>
      <c r="CL9" t="s">
        <v>386</v>
      </c>
      <c r="CM9" t="s">
        <v>747</v>
      </c>
      <c r="CN9" t="s">
        <v>749</v>
      </c>
      <c r="CO9">
        <v>405</v>
      </c>
      <c r="CP9">
        <v>62</v>
      </c>
      <c r="CQ9">
        <v>74.212345678999995</v>
      </c>
      <c r="CR9">
        <v>2538</v>
      </c>
      <c r="CS9">
        <v>195</v>
      </c>
      <c r="CT9">
        <v>66.759259259299995</v>
      </c>
      <c r="CU9">
        <v>63.871794871799999</v>
      </c>
      <c r="CW9" t="s">
        <v>386</v>
      </c>
      <c r="CX9" t="s">
        <v>757</v>
      </c>
      <c r="CY9" t="s">
        <v>759</v>
      </c>
      <c r="CZ9">
        <v>75</v>
      </c>
      <c r="DA9">
        <v>7</v>
      </c>
      <c r="DB9">
        <v>64.346666666700003</v>
      </c>
      <c r="DC9">
        <v>202</v>
      </c>
      <c r="DD9">
        <v>12</v>
      </c>
      <c r="DE9">
        <v>131.80693069310001</v>
      </c>
      <c r="DF9">
        <v>101.75</v>
      </c>
      <c r="DH9" t="s">
        <v>386</v>
      </c>
      <c r="DI9" t="s">
        <v>737</v>
      </c>
      <c r="DJ9" t="s">
        <v>739</v>
      </c>
      <c r="DK9">
        <v>104</v>
      </c>
      <c r="DL9">
        <v>8</v>
      </c>
      <c r="DM9">
        <v>65.701923076900002</v>
      </c>
      <c r="DN9">
        <v>371</v>
      </c>
      <c r="DO9">
        <v>22</v>
      </c>
      <c r="DP9">
        <v>117.22911051209999</v>
      </c>
      <c r="DQ9">
        <v>97.227272727300004</v>
      </c>
    </row>
    <row r="10" spans="2:121" x14ac:dyDescent="0.2">
      <c r="B10" t="s">
        <v>20</v>
      </c>
      <c r="C10">
        <v>311</v>
      </c>
      <c r="D10">
        <v>165</v>
      </c>
      <c r="F10" t="s">
        <v>83</v>
      </c>
      <c r="G10">
        <v>15501</v>
      </c>
      <c r="H10">
        <v>299.48912973360001</v>
      </c>
      <c r="I10">
        <v>18763</v>
      </c>
      <c r="J10">
        <v>4106</v>
      </c>
      <c r="K10">
        <v>27617</v>
      </c>
      <c r="L10">
        <v>15627</v>
      </c>
      <c r="M10">
        <v>12676</v>
      </c>
      <c r="N10">
        <v>9165</v>
      </c>
      <c r="O10">
        <v>4313</v>
      </c>
      <c r="P10">
        <v>3214</v>
      </c>
      <c r="Q10">
        <v>1</v>
      </c>
      <c r="R10">
        <v>15</v>
      </c>
      <c r="AH10" t="s">
        <v>422</v>
      </c>
      <c r="AI10">
        <v>620</v>
      </c>
      <c r="AJ10">
        <v>386.07903225810003</v>
      </c>
      <c r="AK10">
        <v>989</v>
      </c>
      <c r="AL10">
        <v>231</v>
      </c>
      <c r="AM10">
        <v>1247</v>
      </c>
      <c r="AN10">
        <v>534</v>
      </c>
      <c r="AO10">
        <v>271</v>
      </c>
      <c r="AP10">
        <v>193</v>
      </c>
      <c r="AQ10">
        <v>404</v>
      </c>
      <c r="AR10">
        <v>245</v>
      </c>
      <c r="AS10">
        <v>82</v>
      </c>
      <c r="AT10">
        <v>0</v>
      </c>
      <c r="AV10" t="s">
        <v>425</v>
      </c>
      <c r="AW10">
        <v>242</v>
      </c>
      <c r="AX10">
        <v>64.971074380199994</v>
      </c>
      <c r="AY10">
        <v>397</v>
      </c>
      <c r="AZ10">
        <v>27</v>
      </c>
      <c r="BA10">
        <v>419</v>
      </c>
      <c r="BB10">
        <v>49</v>
      </c>
      <c r="BC10">
        <v>0</v>
      </c>
      <c r="BE10">
        <v>22</v>
      </c>
      <c r="BF10">
        <v>8</v>
      </c>
      <c r="BG10">
        <v>453</v>
      </c>
      <c r="BH10">
        <v>136</v>
      </c>
      <c r="BJ10" t="s">
        <v>606</v>
      </c>
      <c r="BK10" t="s">
        <v>384</v>
      </c>
      <c r="BL10">
        <v>3645</v>
      </c>
      <c r="BM10">
        <v>499</v>
      </c>
      <c r="BN10">
        <v>80.120438957499999</v>
      </c>
      <c r="BO10">
        <v>11303</v>
      </c>
      <c r="BP10">
        <v>693</v>
      </c>
      <c r="BQ10">
        <v>116.3531805715</v>
      </c>
      <c r="BR10">
        <v>118.44155844159999</v>
      </c>
      <c r="BS10">
        <v>1638</v>
      </c>
      <c r="BT10">
        <v>218</v>
      </c>
      <c r="BU10">
        <v>82.542124542099998</v>
      </c>
      <c r="BV10">
        <v>13389</v>
      </c>
      <c r="BW10">
        <v>909</v>
      </c>
      <c r="BX10">
        <v>122.44439465230001</v>
      </c>
      <c r="BY10">
        <v>119.497249725</v>
      </c>
      <c r="CA10" t="s">
        <v>388</v>
      </c>
      <c r="CB10" t="s">
        <v>766</v>
      </c>
      <c r="CC10" t="s">
        <v>995</v>
      </c>
      <c r="CD10">
        <v>4850</v>
      </c>
      <c r="CE10">
        <v>1460</v>
      </c>
      <c r="CF10">
        <v>116.31195876290001</v>
      </c>
      <c r="CG10">
        <v>10808</v>
      </c>
      <c r="CH10">
        <v>744</v>
      </c>
      <c r="CI10">
        <v>159.47020725390001</v>
      </c>
      <c r="CJ10">
        <v>164.50940860220001</v>
      </c>
      <c r="CL10" t="s">
        <v>388</v>
      </c>
      <c r="CM10" t="s">
        <v>747</v>
      </c>
      <c r="CN10" t="s">
        <v>750</v>
      </c>
      <c r="CO10">
        <v>307</v>
      </c>
      <c r="CP10">
        <v>54</v>
      </c>
      <c r="CQ10">
        <v>75.853420195400005</v>
      </c>
      <c r="CR10">
        <v>1820</v>
      </c>
      <c r="CS10">
        <v>135</v>
      </c>
      <c r="CT10">
        <v>76.303846153799995</v>
      </c>
      <c r="CU10">
        <v>76.7259259259</v>
      </c>
      <c r="CW10" t="s">
        <v>388</v>
      </c>
      <c r="CX10" t="s">
        <v>757</v>
      </c>
      <c r="CY10" t="s">
        <v>760</v>
      </c>
      <c r="CZ10">
        <v>59</v>
      </c>
      <c r="DA10">
        <v>16</v>
      </c>
      <c r="DB10">
        <v>105.2542372881</v>
      </c>
      <c r="DC10">
        <v>170</v>
      </c>
      <c r="DD10">
        <v>4</v>
      </c>
      <c r="DE10">
        <v>141.0588235294</v>
      </c>
      <c r="DF10">
        <v>96.75</v>
      </c>
      <c r="DH10" t="s">
        <v>388</v>
      </c>
      <c r="DI10" t="s">
        <v>737</v>
      </c>
      <c r="DJ10" t="s">
        <v>740</v>
      </c>
      <c r="DK10">
        <v>50</v>
      </c>
      <c r="DL10">
        <v>7</v>
      </c>
      <c r="DM10">
        <v>82.46</v>
      </c>
      <c r="DN10">
        <v>201</v>
      </c>
      <c r="DO10">
        <v>8</v>
      </c>
      <c r="DP10">
        <v>126.4626865672</v>
      </c>
      <c r="DQ10">
        <v>104.75</v>
      </c>
    </row>
    <row r="11" spans="2:121" x14ac:dyDescent="0.2">
      <c r="B11" t="s">
        <v>97</v>
      </c>
      <c r="C11">
        <v>127</v>
      </c>
      <c r="D11">
        <v>74</v>
      </c>
      <c r="F11" t="s">
        <v>66</v>
      </c>
      <c r="G11">
        <v>5262</v>
      </c>
      <c r="H11">
        <v>365.03534777649998</v>
      </c>
      <c r="I11">
        <v>4679</v>
      </c>
      <c r="J11">
        <v>937</v>
      </c>
      <c r="K11">
        <v>8041</v>
      </c>
      <c r="L11">
        <v>4352</v>
      </c>
      <c r="M11">
        <v>3316</v>
      </c>
      <c r="N11">
        <v>2773</v>
      </c>
      <c r="O11">
        <v>2190</v>
      </c>
      <c r="P11">
        <v>1691</v>
      </c>
      <c r="Q11">
        <v>0</v>
      </c>
      <c r="R11">
        <v>109</v>
      </c>
      <c r="AH11" t="s">
        <v>413</v>
      </c>
      <c r="AI11">
        <v>381</v>
      </c>
      <c r="AJ11">
        <v>541.73228346459996</v>
      </c>
      <c r="AK11">
        <v>441</v>
      </c>
      <c r="AL11">
        <v>98</v>
      </c>
      <c r="AM11">
        <v>726</v>
      </c>
      <c r="AN11">
        <v>358</v>
      </c>
      <c r="AO11">
        <v>203</v>
      </c>
      <c r="AP11">
        <v>168</v>
      </c>
      <c r="AQ11">
        <v>372</v>
      </c>
      <c r="AR11">
        <v>288</v>
      </c>
      <c r="AS11">
        <v>27</v>
      </c>
      <c r="AT11">
        <v>0</v>
      </c>
      <c r="AV11" t="s">
        <v>388</v>
      </c>
      <c r="AW11">
        <v>197</v>
      </c>
      <c r="AX11">
        <v>57.421319797000002</v>
      </c>
      <c r="AY11">
        <v>296</v>
      </c>
      <c r="AZ11">
        <v>28</v>
      </c>
      <c r="BA11">
        <v>325</v>
      </c>
      <c r="BB11">
        <v>39</v>
      </c>
      <c r="BC11">
        <v>4</v>
      </c>
      <c r="BD11">
        <v>4</v>
      </c>
      <c r="BE11">
        <v>36</v>
      </c>
      <c r="BF11">
        <v>6</v>
      </c>
      <c r="BG11">
        <v>79</v>
      </c>
      <c r="BH11">
        <v>30</v>
      </c>
      <c r="BJ11" t="s">
        <v>608</v>
      </c>
      <c r="BK11" t="s">
        <v>384</v>
      </c>
      <c r="BL11">
        <v>6704</v>
      </c>
      <c r="BM11">
        <v>575</v>
      </c>
      <c r="BN11">
        <v>65.1901849642</v>
      </c>
      <c r="BO11">
        <v>22678</v>
      </c>
      <c r="BP11">
        <v>786</v>
      </c>
      <c r="BQ11">
        <v>108.79760119940001</v>
      </c>
      <c r="BR11">
        <v>112.5025445293</v>
      </c>
      <c r="BS11">
        <v>3580</v>
      </c>
      <c r="BT11">
        <v>781</v>
      </c>
      <c r="BU11">
        <v>91.730167597800005</v>
      </c>
      <c r="BV11">
        <v>31155</v>
      </c>
      <c r="BW11">
        <v>2324</v>
      </c>
      <c r="BX11">
        <v>113.787642433</v>
      </c>
      <c r="BY11">
        <v>95.940619621300002</v>
      </c>
      <c r="CA11" t="s">
        <v>417</v>
      </c>
      <c r="CB11" t="s">
        <v>766</v>
      </c>
      <c r="CC11" t="s">
        <v>996</v>
      </c>
      <c r="CD11">
        <v>746</v>
      </c>
      <c r="CE11">
        <v>59</v>
      </c>
      <c r="CF11">
        <v>61.958445040199997</v>
      </c>
      <c r="CG11">
        <v>3584</v>
      </c>
      <c r="CH11">
        <v>190</v>
      </c>
      <c r="CI11">
        <v>83.749162946400006</v>
      </c>
      <c r="CJ11">
        <v>85.652631578899999</v>
      </c>
      <c r="CL11" t="s">
        <v>417</v>
      </c>
      <c r="CM11" t="s">
        <v>747</v>
      </c>
      <c r="CN11" t="s">
        <v>751</v>
      </c>
      <c r="CO11">
        <v>77</v>
      </c>
      <c r="CP11">
        <v>6</v>
      </c>
      <c r="CQ11">
        <v>64.090909090899999</v>
      </c>
      <c r="CR11">
        <v>549</v>
      </c>
      <c r="CS11">
        <v>34</v>
      </c>
      <c r="CT11">
        <v>59.967213114800003</v>
      </c>
      <c r="CU11">
        <v>43.235294117599999</v>
      </c>
      <c r="CW11" t="s">
        <v>417</v>
      </c>
      <c r="CX11" t="s">
        <v>757</v>
      </c>
      <c r="CY11" t="s">
        <v>761</v>
      </c>
      <c r="CZ11">
        <v>14</v>
      </c>
      <c r="DA11">
        <v>0</v>
      </c>
      <c r="DB11">
        <v>36.571428571399998</v>
      </c>
      <c r="DC11">
        <v>64</v>
      </c>
      <c r="DD11">
        <v>2</v>
      </c>
      <c r="DE11">
        <v>131.96875</v>
      </c>
      <c r="DF11">
        <v>110.5</v>
      </c>
      <c r="DH11" t="s">
        <v>417</v>
      </c>
      <c r="DI11" t="s">
        <v>737</v>
      </c>
      <c r="DJ11" t="s">
        <v>741</v>
      </c>
      <c r="DK11">
        <v>15</v>
      </c>
      <c r="DL11">
        <v>1</v>
      </c>
      <c r="DM11">
        <v>62.133333333300001</v>
      </c>
      <c r="DN11">
        <v>48</v>
      </c>
      <c r="DO11">
        <v>4</v>
      </c>
      <c r="DP11">
        <v>110.2708333333</v>
      </c>
      <c r="DQ11">
        <v>67</v>
      </c>
    </row>
    <row r="12" spans="2:121" x14ac:dyDescent="0.2">
      <c r="B12" t="s">
        <v>22</v>
      </c>
      <c r="C12">
        <v>213753</v>
      </c>
      <c r="D12">
        <v>41365</v>
      </c>
      <c r="F12" t="s">
        <v>70</v>
      </c>
      <c r="G12">
        <v>3062</v>
      </c>
      <c r="H12">
        <v>214.83082952320001</v>
      </c>
      <c r="I12">
        <v>3349</v>
      </c>
      <c r="J12">
        <v>500</v>
      </c>
      <c r="K12">
        <v>6503</v>
      </c>
      <c r="L12">
        <v>2083</v>
      </c>
      <c r="M12">
        <v>1482</v>
      </c>
      <c r="N12">
        <v>688</v>
      </c>
      <c r="O12">
        <v>527</v>
      </c>
      <c r="P12">
        <v>266</v>
      </c>
      <c r="Q12">
        <v>0</v>
      </c>
      <c r="R12">
        <v>2</v>
      </c>
      <c r="T12" t="s">
        <v>647</v>
      </c>
      <c r="U12" t="s">
        <v>306</v>
      </c>
      <c r="V12" t="s">
        <v>133</v>
      </c>
      <c r="W12" t="s">
        <v>214</v>
      </c>
      <c r="X12" t="s">
        <v>215</v>
      </c>
      <c r="Y12" t="s">
        <v>216</v>
      </c>
      <c r="Z12" t="s">
        <v>217</v>
      </c>
      <c r="AA12" t="s">
        <v>218</v>
      </c>
      <c r="AB12" t="s">
        <v>219</v>
      </c>
      <c r="AC12" t="s">
        <v>220</v>
      </c>
      <c r="AD12" t="s">
        <v>221</v>
      </c>
      <c r="AE12" t="s">
        <v>222</v>
      </c>
      <c r="AF12" t="s">
        <v>223</v>
      </c>
      <c r="AH12" t="s">
        <v>424</v>
      </c>
      <c r="AI12">
        <v>18144</v>
      </c>
      <c r="AJ12">
        <v>329.8691027337</v>
      </c>
      <c r="AK12">
        <v>25958</v>
      </c>
      <c r="AL12">
        <v>5963</v>
      </c>
      <c r="AM12">
        <v>31018</v>
      </c>
      <c r="AN12">
        <v>16625</v>
      </c>
      <c r="AO12">
        <v>8019</v>
      </c>
      <c r="AP12">
        <v>6249</v>
      </c>
      <c r="AQ12">
        <v>18561</v>
      </c>
      <c r="AR12">
        <v>13434</v>
      </c>
      <c r="AS12">
        <v>2237</v>
      </c>
      <c r="AT12">
        <v>318</v>
      </c>
      <c r="AV12" t="s">
        <v>374</v>
      </c>
      <c r="AW12">
        <v>1463</v>
      </c>
      <c r="AX12">
        <v>102.2098427888</v>
      </c>
      <c r="AY12">
        <v>2206</v>
      </c>
      <c r="AZ12">
        <v>354</v>
      </c>
      <c r="BA12">
        <v>2109</v>
      </c>
      <c r="BB12">
        <v>606</v>
      </c>
      <c r="BC12">
        <v>2</v>
      </c>
      <c r="BD12">
        <v>1</v>
      </c>
      <c r="BE12">
        <v>100</v>
      </c>
      <c r="BF12">
        <v>25</v>
      </c>
      <c r="BG12">
        <v>172</v>
      </c>
      <c r="BH12">
        <v>297</v>
      </c>
      <c r="BJ12" t="s">
        <v>550</v>
      </c>
      <c r="BK12" t="s">
        <v>384</v>
      </c>
      <c r="BL12">
        <v>5013</v>
      </c>
      <c r="BM12">
        <v>1015</v>
      </c>
      <c r="BN12">
        <v>89.200079792500006</v>
      </c>
      <c r="BO12">
        <v>15953</v>
      </c>
      <c r="BP12">
        <v>1050</v>
      </c>
      <c r="BQ12">
        <v>136.61662383250001</v>
      </c>
      <c r="BR12">
        <v>124.7142857143</v>
      </c>
      <c r="BS12">
        <v>1141</v>
      </c>
      <c r="BT12">
        <v>343</v>
      </c>
      <c r="BU12">
        <v>110.0482033304</v>
      </c>
      <c r="BV12">
        <v>12861</v>
      </c>
      <c r="BW12">
        <v>1076</v>
      </c>
      <c r="BX12">
        <v>138.8640074644</v>
      </c>
      <c r="BY12">
        <v>127.6273234201</v>
      </c>
      <c r="CA12" t="s">
        <v>411</v>
      </c>
      <c r="CB12" t="s">
        <v>766</v>
      </c>
      <c r="CC12" t="s">
        <v>997</v>
      </c>
      <c r="CD12">
        <v>6706</v>
      </c>
      <c r="CE12">
        <v>597</v>
      </c>
      <c r="CF12">
        <v>65.265135699400005</v>
      </c>
      <c r="CG12">
        <v>22932</v>
      </c>
      <c r="CH12">
        <v>809</v>
      </c>
      <c r="CI12">
        <v>96.497165532899999</v>
      </c>
      <c r="CJ12">
        <v>104.4165636588</v>
      </c>
      <c r="CL12" t="s">
        <v>411</v>
      </c>
      <c r="CM12" t="s">
        <v>747</v>
      </c>
      <c r="CN12" t="s">
        <v>752</v>
      </c>
      <c r="CO12">
        <v>484</v>
      </c>
      <c r="CP12">
        <v>38</v>
      </c>
      <c r="CQ12">
        <v>60.729338843000001</v>
      </c>
      <c r="CR12">
        <v>2691</v>
      </c>
      <c r="CS12">
        <v>176</v>
      </c>
      <c r="CT12">
        <v>66.762170197000003</v>
      </c>
      <c r="CU12">
        <v>67.272727272699996</v>
      </c>
      <c r="CW12" t="s">
        <v>411</v>
      </c>
      <c r="CX12" t="s">
        <v>757</v>
      </c>
      <c r="CY12" t="s">
        <v>762</v>
      </c>
      <c r="CZ12">
        <v>86</v>
      </c>
      <c r="DA12">
        <v>6</v>
      </c>
      <c r="DB12">
        <v>57.720930232599997</v>
      </c>
      <c r="DC12">
        <v>310</v>
      </c>
      <c r="DD12">
        <v>14</v>
      </c>
      <c r="DE12">
        <v>122.94516129030001</v>
      </c>
      <c r="DF12">
        <v>89.571428571400006</v>
      </c>
      <c r="DH12" t="s">
        <v>411</v>
      </c>
      <c r="DI12" t="s">
        <v>737</v>
      </c>
      <c r="DJ12" t="s">
        <v>742</v>
      </c>
      <c r="DK12">
        <v>168</v>
      </c>
      <c r="DL12">
        <v>6</v>
      </c>
      <c r="DM12">
        <v>53.208333333299997</v>
      </c>
      <c r="DN12">
        <v>503</v>
      </c>
      <c r="DO12">
        <v>28</v>
      </c>
      <c r="DP12">
        <v>114.91451292249999</v>
      </c>
      <c r="DQ12">
        <v>116.67857142859999</v>
      </c>
    </row>
    <row r="13" spans="2:121" x14ac:dyDescent="0.2">
      <c r="B13" t="s">
        <v>112</v>
      </c>
      <c r="C13">
        <v>6552</v>
      </c>
      <c r="D13">
        <v>497</v>
      </c>
      <c r="F13" t="s">
        <v>45</v>
      </c>
      <c r="G13">
        <v>982</v>
      </c>
      <c r="H13">
        <v>198.37881873730001</v>
      </c>
      <c r="I13">
        <v>2529</v>
      </c>
      <c r="J13">
        <v>424</v>
      </c>
      <c r="K13">
        <v>2142</v>
      </c>
      <c r="L13">
        <v>550</v>
      </c>
      <c r="M13">
        <v>958</v>
      </c>
      <c r="N13">
        <v>512</v>
      </c>
      <c r="O13">
        <v>182</v>
      </c>
      <c r="P13">
        <v>101</v>
      </c>
      <c r="Q13">
        <v>0</v>
      </c>
      <c r="R13">
        <v>1</v>
      </c>
      <c r="T13" t="s">
        <v>384</v>
      </c>
      <c r="U13">
        <v>37807</v>
      </c>
      <c r="V13">
        <v>325.52823551189999</v>
      </c>
      <c r="W13">
        <v>66276</v>
      </c>
      <c r="X13">
        <v>13441</v>
      </c>
      <c r="Y13">
        <v>77383</v>
      </c>
      <c r="Z13">
        <v>33943</v>
      </c>
      <c r="AA13">
        <v>21621</v>
      </c>
      <c r="AB13">
        <v>15766</v>
      </c>
      <c r="AC13">
        <v>20005</v>
      </c>
      <c r="AD13">
        <v>12380</v>
      </c>
      <c r="AE13">
        <v>55</v>
      </c>
      <c r="AF13">
        <v>1213</v>
      </c>
      <c r="AH13" t="s">
        <v>380</v>
      </c>
      <c r="AI13">
        <v>13246</v>
      </c>
      <c r="AJ13">
        <v>337.81473652419999</v>
      </c>
      <c r="AK13">
        <v>19438</v>
      </c>
      <c r="AL13">
        <v>5233</v>
      </c>
      <c r="AM13">
        <v>24013</v>
      </c>
      <c r="AN13">
        <v>13150</v>
      </c>
      <c r="AO13">
        <v>8777</v>
      </c>
      <c r="AP13">
        <v>7270</v>
      </c>
      <c r="AQ13">
        <v>8529</v>
      </c>
      <c r="AR13">
        <v>5741</v>
      </c>
      <c r="AS13">
        <v>1141</v>
      </c>
      <c r="AT13">
        <v>44</v>
      </c>
      <c r="AV13" t="s">
        <v>394</v>
      </c>
      <c r="AW13">
        <v>497</v>
      </c>
      <c r="AX13">
        <v>55.641851106600001</v>
      </c>
      <c r="AY13">
        <v>1055</v>
      </c>
      <c r="AZ13">
        <v>155</v>
      </c>
      <c r="BA13">
        <v>791</v>
      </c>
      <c r="BB13">
        <v>67</v>
      </c>
      <c r="BC13">
        <v>1</v>
      </c>
      <c r="BD13">
        <v>1</v>
      </c>
      <c r="BE13">
        <v>60</v>
      </c>
      <c r="BF13">
        <v>13</v>
      </c>
      <c r="BG13">
        <v>125</v>
      </c>
      <c r="BH13">
        <v>128</v>
      </c>
      <c r="BJ13" t="s">
        <v>587</v>
      </c>
      <c r="BK13" t="s">
        <v>384</v>
      </c>
      <c r="BL13">
        <v>3371</v>
      </c>
      <c r="BM13">
        <v>495</v>
      </c>
      <c r="BN13">
        <v>77.3853455948</v>
      </c>
      <c r="BO13">
        <v>6363</v>
      </c>
      <c r="BP13">
        <v>575</v>
      </c>
      <c r="BQ13">
        <v>130.66022316519999</v>
      </c>
      <c r="BR13">
        <v>122.1130434783</v>
      </c>
      <c r="BS13">
        <v>2266</v>
      </c>
      <c r="BT13">
        <v>416</v>
      </c>
      <c r="BU13">
        <v>86.518976169499993</v>
      </c>
      <c r="BV13">
        <v>10786</v>
      </c>
      <c r="BW13">
        <v>669</v>
      </c>
      <c r="BX13">
        <v>140.1189504914</v>
      </c>
      <c r="BY13">
        <v>123.06427503739999</v>
      </c>
      <c r="CA13" t="s">
        <v>409</v>
      </c>
      <c r="CB13" t="s">
        <v>766</v>
      </c>
      <c r="CC13" t="s">
        <v>998</v>
      </c>
      <c r="CD13">
        <v>36451</v>
      </c>
      <c r="CE13">
        <v>7568</v>
      </c>
      <c r="CF13">
        <v>87.845875284599998</v>
      </c>
      <c r="CG13">
        <v>102019</v>
      </c>
      <c r="CH13">
        <v>7148</v>
      </c>
      <c r="CI13">
        <v>129.36834315179999</v>
      </c>
      <c r="CJ13">
        <v>126.9437604924</v>
      </c>
      <c r="CL13" t="s">
        <v>409</v>
      </c>
      <c r="CM13" t="s">
        <v>747</v>
      </c>
      <c r="CN13" t="s">
        <v>753</v>
      </c>
      <c r="CO13">
        <v>1869</v>
      </c>
      <c r="CP13">
        <v>171</v>
      </c>
      <c r="CQ13">
        <v>61.754949170700002</v>
      </c>
      <c r="CR13">
        <v>10866</v>
      </c>
      <c r="CS13">
        <v>757</v>
      </c>
      <c r="CT13">
        <v>68.152494017999999</v>
      </c>
      <c r="CU13">
        <v>67.250990752999996</v>
      </c>
      <c r="CW13" t="s">
        <v>409</v>
      </c>
      <c r="CX13" t="s">
        <v>757</v>
      </c>
      <c r="CY13" t="s">
        <v>763</v>
      </c>
      <c r="CZ13">
        <v>876</v>
      </c>
      <c r="DA13">
        <v>103</v>
      </c>
      <c r="DB13">
        <v>63.6940639269</v>
      </c>
      <c r="DC13">
        <v>2818</v>
      </c>
      <c r="DD13">
        <v>168</v>
      </c>
      <c r="DE13">
        <v>129.6799148332</v>
      </c>
      <c r="DF13">
        <v>108.1607142857</v>
      </c>
      <c r="DH13" t="s">
        <v>409</v>
      </c>
      <c r="DI13" t="s">
        <v>737</v>
      </c>
      <c r="DJ13" t="s">
        <v>743</v>
      </c>
      <c r="DK13">
        <v>936</v>
      </c>
      <c r="DL13">
        <v>87</v>
      </c>
      <c r="DM13">
        <v>64.591880341899994</v>
      </c>
      <c r="DN13">
        <v>2877</v>
      </c>
      <c r="DO13">
        <v>158</v>
      </c>
      <c r="DP13">
        <v>124.5342370525</v>
      </c>
      <c r="DQ13">
        <v>114.8291139241</v>
      </c>
    </row>
    <row r="14" spans="2:121" x14ac:dyDescent="0.2">
      <c r="B14" t="s">
        <v>113</v>
      </c>
      <c r="C14">
        <v>15279</v>
      </c>
      <c r="D14">
        <v>2886</v>
      </c>
      <c r="F14" t="s">
        <v>32</v>
      </c>
      <c r="G14">
        <v>1996</v>
      </c>
      <c r="H14">
        <v>483.40180360720001</v>
      </c>
      <c r="I14">
        <v>993</v>
      </c>
      <c r="J14">
        <v>275</v>
      </c>
      <c r="K14">
        <v>3125</v>
      </c>
      <c r="L14">
        <v>2072</v>
      </c>
      <c r="M14">
        <v>1632</v>
      </c>
      <c r="N14">
        <v>1289</v>
      </c>
      <c r="O14">
        <v>185</v>
      </c>
      <c r="P14">
        <v>145</v>
      </c>
      <c r="Q14">
        <v>0</v>
      </c>
      <c r="R14">
        <v>3</v>
      </c>
      <c r="T14" t="s">
        <v>389</v>
      </c>
      <c r="U14">
        <v>31963</v>
      </c>
      <c r="V14">
        <v>312.242561712</v>
      </c>
      <c r="W14">
        <v>60062</v>
      </c>
      <c r="X14">
        <v>11884</v>
      </c>
      <c r="Y14">
        <v>72261</v>
      </c>
      <c r="Z14">
        <v>27377</v>
      </c>
      <c r="AA14">
        <v>19021</v>
      </c>
      <c r="AB14">
        <v>14441</v>
      </c>
      <c r="AC14">
        <v>12124</v>
      </c>
      <c r="AD14">
        <v>8514</v>
      </c>
      <c r="AE14">
        <v>7560</v>
      </c>
      <c r="AF14">
        <v>1088</v>
      </c>
      <c r="AH14" t="s">
        <v>427</v>
      </c>
      <c r="AI14">
        <v>942</v>
      </c>
      <c r="AJ14">
        <v>246.6326963907</v>
      </c>
      <c r="AK14">
        <v>2101</v>
      </c>
      <c r="AL14">
        <v>340</v>
      </c>
      <c r="AM14">
        <v>2129</v>
      </c>
      <c r="AN14">
        <v>681</v>
      </c>
      <c r="AO14">
        <v>1099</v>
      </c>
      <c r="AP14">
        <v>626</v>
      </c>
      <c r="AQ14">
        <v>640</v>
      </c>
      <c r="AR14">
        <v>394</v>
      </c>
      <c r="AS14">
        <v>2</v>
      </c>
      <c r="AT14">
        <v>5</v>
      </c>
      <c r="AV14" t="s">
        <v>399</v>
      </c>
      <c r="AW14">
        <v>66</v>
      </c>
      <c r="AX14">
        <v>56.757575757600002</v>
      </c>
      <c r="AY14">
        <v>82</v>
      </c>
      <c r="AZ14">
        <v>1</v>
      </c>
      <c r="BA14">
        <v>106</v>
      </c>
      <c r="BB14">
        <v>9</v>
      </c>
      <c r="BC14">
        <v>0</v>
      </c>
      <c r="BE14">
        <v>4</v>
      </c>
      <c r="BF14">
        <v>1</v>
      </c>
      <c r="BG14">
        <v>243</v>
      </c>
      <c r="BH14">
        <v>28</v>
      </c>
      <c r="BJ14" t="s">
        <v>604</v>
      </c>
      <c r="BK14" t="s">
        <v>384</v>
      </c>
      <c r="BL14">
        <v>16507</v>
      </c>
      <c r="BM14">
        <v>3031</v>
      </c>
      <c r="BN14">
        <v>82.1881625977</v>
      </c>
      <c r="BO14">
        <v>49200</v>
      </c>
      <c r="BP14">
        <v>3331</v>
      </c>
      <c r="BQ14">
        <v>130.12388211379999</v>
      </c>
      <c r="BR14">
        <v>127.08706094270001</v>
      </c>
      <c r="BS14">
        <v>8690</v>
      </c>
      <c r="BT14">
        <v>1512</v>
      </c>
      <c r="BU14">
        <v>82.759378596100007</v>
      </c>
      <c r="BV14">
        <v>44557</v>
      </c>
      <c r="BW14">
        <v>2918</v>
      </c>
      <c r="BX14">
        <v>132.6154364073</v>
      </c>
      <c r="BY14">
        <v>135.84064427690001</v>
      </c>
      <c r="CA14" t="s">
        <v>405</v>
      </c>
      <c r="CB14" t="s">
        <v>766</v>
      </c>
      <c r="CC14" t="s">
        <v>999</v>
      </c>
      <c r="CD14">
        <v>1739</v>
      </c>
      <c r="CE14">
        <v>395</v>
      </c>
      <c r="CF14">
        <v>91.312823461799994</v>
      </c>
      <c r="CG14">
        <v>5193</v>
      </c>
      <c r="CH14">
        <v>335</v>
      </c>
      <c r="CI14">
        <v>134.92104756399999</v>
      </c>
      <c r="CJ14">
        <v>146.93432835819999</v>
      </c>
      <c r="CL14" t="s">
        <v>405</v>
      </c>
      <c r="CM14" t="s">
        <v>747</v>
      </c>
      <c r="CN14" t="s">
        <v>754</v>
      </c>
      <c r="CO14">
        <v>149</v>
      </c>
      <c r="CP14">
        <v>15</v>
      </c>
      <c r="CQ14">
        <v>64.355704697999997</v>
      </c>
      <c r="CR14">
        <v>932</v>
      </c>
      <c r="CS14">
        <v>58</v>
      </c>
      <c r="CT14">
        <v>69.319742489299998</v>
      </c>
      <c r="CU14">
        <v>80.310344827600005</v>
      </c>
      <c r="CW14" t="s">
        <v>405</v>
      </c>
      <c r="CX14" t="s">
        <v>757</v>
      </c>
      <c r="CY14" t="s">
        <v>764</v>
      </c>
      <c r="CZ14">
        <v>71</v>
      </c>
      <c r="DA14">
        <v>14</v>
      </c>
      <c r="DB14">
        <v>88.774647887300006</v>
      </c>
      <c r="DC14">
        <v>148</v>
      </c>
      <c r="DD14">
        <v>10</v>
      </c>
      <c r="DE14">
        <v>136.37837837839999</v>
      </c>
      <c r="DF14">
        <v>121.5</v>
      </c>
      <c r="DH14" t="s">
        <v>405</v>
      </c>
      <c r="DI14" t="s">
        <v>737</v>
      </c>
      <c r="DJ14" t="s">
        <v>744</v>
      </c>
      <c r="DK14">
        <v>47</v>
      </c>
      <c r="DL14">
        <v>9</v>
      </c>
      <c r="DM14">
        <v>79.574468085099994</v>
      </c>
      <c r="DN14">
        <v>176</v>
      </c>
      <c r="DO14">
        <v>14</v>
      </c>
      <c r="DP14">
        <v>128.7556818182</v>
      </c>
      <c r="DQ14">
        <v>116.6428571429</v>
      </c>
    </row>
    <row r="15" spans="2:121" x14ac:dyDescent="0.2">
      <c r="B15" t="s">
        <v>114</v>
      </c>
      <c r="C15">
        <v>6348</v>
      </c>
      <c r="D15">
        <v>346</v>
      </c>
      <c r="F15" t="s">
        <v>73</v>
      </c>
      <c r="G15">
        <v>9026</v>
      </c>
      <c r="H15">
        <v>385.00132949260001</v>
      </c>
      <c r="I15">
        <v>7920</v>
      </c>
      <c r="J15">
        <v>1468</v>
      </c>
      <c r="K15">
        <v>17892</v>
      </c>
      <c r="L15">
        <v>9099</v>
      </c>
      <c r="M15">
        <v>4808</v>
      </c>
      <c r="N15">
        <v>3170</v>
      </c>
      <c r="O15">
        <v>4138</v>
      </c>
      <c r="P15">
        <v>3502</v>
      </c>
      <c r="Q15">
        <v>5</v>
      </c>
      <c r="R15">
        <v>160</v>
      </c>
      <c r="T15" t="s">
        <v>368</v>
      </c>
      <c r="U15">
        <v>61652</v>
      </c>
      <c r="V15">
        <v>419.1044410563</v>
      </c>
      <c r="W15">
        <v>80269</v>
      </c>
      <c r="X15">
        <v>18140</v>
      </c>
      <c r="Y15">
        <v>107548</v>
      </c>
      <c r="Z15">
        <v>55849</v>
      </c>
      <c r="AA15">
        <v>36901</v>
      </c>
      <c r="AB15">
        <v>28811</v>
      </c>
      <c r="AC15">
        <v>28555</v>
      </c>
      <c r="AD15">
        <v>23803</v>
      </c>
      <c r="AE15">
        <v>13989</v>
      </c>
      <c r="AF15">
        <v>50</v>
      </c>
      <c r="AH15" t="s">
        <v>407</v>
      </c>
      <c r="AI15">
        <v>669</v>
      </c>
      <c r="AJ15">
        <v>196.5545590433</v>
      </c>
      <c r="AK15">
        <v>1867</v>
      </c>
      <c r="AL15">
        <v>479</v>
      </c>
      <c r="AM15">
        <v>1691</v>
      </c>
      <c r="AN15">
        <v>398</v>
      </c>
      <c r="AO15">
        <v>401</v>
      </c>
      <c r="AP15">
        <v>190</v>
      </c>
      <c r="AQ15">
        <v>478</v>
      </c>
      <c r="AR15">
        <v>300</v>
      </c>
      <c r="AS15">
        <v>1</v>
      </c>
      <c r="AT15">
        <v>7</v>
      </c>
      <c r="AV15" t="s">
        <v>426</v>
      </c>
      <c r="AW15">
        <v>1503</v>
      </c>
      <c r="AX15">
        <v>123.6966067864</v>
      </c>
      <c r="AY15">
        <v>597</v>
      </c>
      <c r="AZ15">
        <v>96</v>
      </c>
      <c r="BA15">
        <v>1781</v>
      </c>
      <c r="BB15">
        <v>797</v>
      </c>
      <c r="BC15">
        <v>2</v>
      </c>
      <c r="BD15">
        <v>2</v>
      </c>
      <c r="BE15">
        <v>15</v>
      </c>
      <c r="BF15">
        <v>9</v>
      </c>
      <c r="BG15">
        <v>79</v>
      </c>
      <c r="BH15">
        <v>84</v>
      </c>
      <c r="BJ15" t="s">
        <v>566</v>
      </c>
      <c r="BK15" t="s">
        <v>389</v>
      </c>
      <c r="BL15">
        <v>6467</v>
      </c>
      <c r="BM15">
        <v>1764</v>
      </c>
      <c r="BN15">
        <v>103.11458172259999</v>
      </c>
      <c r="BO15">
        <v>18409</v>
      </c>
      <c r="BP15">
        <v>1166</v>
      </c>
      <c r="BQ15">
        <v>141.36818947250001</v>
      </c>
      <c r="BR15">
        <v>132.78559176670001</v>
      </c>
      <c r="BS15">
        <v>1477</v>
      </c>
      <c r="BT15">
        <v>565</v>
      </c>
      <c r="BU15">
        <v>118.6222071767</v>
      </c>
      <c r="BV15">
        <v>12581</v>
      </c>
      <c r="BW15">
        <v>831</v>
      </c>
      <c r="BX15">
        <v>130.6190286941</v>
      </c>
      <c r="BY15">
        <v>149.56438026469999</v>
      </c>
      <c r="CA15" t="s">
        <v>420</v>
      </c>
      <c r="CB15" t="s">
        <v>766</v>
      </c>
      <c r="CC15" t="s">
        <v>1000</v>
      </c>
      <c r="CD15">
        <v>784</v>
      </c>
      <c r="CE15">
        <v>82</v>
      </c>
      <c r="CF15">
        <v>69.107142857100001</v>
      </c>
      <c r="CG15">
        <v>2640</v>
      </c>
      <c r="CH15">
        <v>122</v>
      </c>
      <c r="CI15">
        <v>116.9473484848</v>
      </c>
      <c r="CJ15">
        <v>97.688524590200004</v>
      </c>
      <c r="CL15" t="s">
        <v>420</v>
      </c>
      <c r="CM15" t="s">
        <v>747</v>
      </c>
      <c r="CN15" t="s">
        <v>755</v>
      </c>
      <c r="CO15">
        <v>23</v>
      </c>
      <c r="CP15">
        <v>2</v>
      </c>
      <c r="CQ15">
        <v>59.782608695699999</v>
      </c>
      <c r="CR15">
        <v>173</v>
      </c>
      <c r="CS15">
        <v>10</v>
      </c>
      <c r="CT15">
        <v>61.086705202300003</v>
      </c>
      <c r="CU15">
        <v>77.599999999999994</v>
      </c>
      <c r="CW15" t="s">
        <v>420</v>
      </c>
      <c r="CX15" t="s">
        <v>757</v>
      </c>
      <c r="CY15" t="s">
        <v>765</v>
      </c>
      <c r="CZ15">
        <v>16</v>
      </c>
      <c r="DA15">
        <v>0</v>
      </c>
      <c r="DB15">
        <v>34.8125</v>
      </c>
      <c r="DC15">
        <v>45</v>
      </c>
      <c r="DD15">
        <v>3</v>
      </c>
      <c r="DE15">
        <v>138.51111111110001</v>
      </c>
      <c r="DF15">
        <v>100</v>
      </c>
      <c r="DH15" t="s">
        <v>420</v>
      </c>
      <c r="DI15" t="s">
        <v>737</v>
      </c>
      <c r="DJ15" t="s">
        <v>745</v>
      </c>
      <c r="DK15">
        <v>7</v>
      </c>
      <c r="DL15">
        <v>0</v>
      </c>
      <c r="DM15">
        <v>48.142857142899999</v>
      </c>
      <c r="DN15">
        <v>42</v>
      </c>
      <c r="DO15">
        <v>0</v>
      </c>
      <c r="DP15">
        <v>120.7857142857</v>
      </c>
      <c r="DQ15">
        <v>0</v>
      </c>
    </row>
    <row r="16" spans="2:121" x14ac:dyDescent="0.2">
      <c r="B16" t="s">
        <v>157</v>
      </c>
      <c r="C16">
        <v>3955</v>
      </c>
      <c r="D16">
        <v>3646</v>
      </c>
      <c r="F16" t="s">
        <v>51</v>
      </c>
      <c r="G16">
        <v>3114</v>
      </c>
      <c r="H16">
        <v>259.76396917149998</v>
      </c>
      <c r="I16">
        <v>3366</v>
      </c>
      <c r="J16">
        <v>483</v>
      </c>
      <c r="K16">
        <v>7348</v>
      </c>
      <c r="L16">
        <v>3249</v>
      </c>
      <c r="M16">
        <v>3497</v>
      </c>
      <c r="N16">
        <v>2659</v>
      </c>
      <c r="O16">
        <v>1738</v>
      </c>
      <c r="P16">
        <v>1141</v>
      </c>
      <c r="Q16">
        <v>0</v>
      </c>
      <c r="R16">
        <v>92</v>
      </c>
      <c r="T16" t="s">
        <v>8</v>
      </c>
      <c r="U16">
        <v>79</v>
      </c>
      <c r="V16">
        <v>367.34177215189999</v>
      </c>
      <c r="W16">
        <v>63</v>
      </c>
      <c r="X16">
        <v>54</v>
      </c>
      <c r="Y16">
        <v>283</v>
      </c>
      <c r="Z16">
        <v>95</v>
      </c>
      <c r="AA16">
        <v>136</v>
      </c>
      <c r="AB16">
        <v>80</v>
      </c>
      <c r="AC16">
        <v>66493</v>
      </c>
      <c r="AD16">
        <v>40090</v>
      </c>
      <c r="AE16">
        <v>0</v>
      </c>
      <c r="AF16">
        <v>0</v>
      </c>
      <c r="AH16" t="s">
        <v>393</v>
      </c>
      <c r="AI16">
        <v>5203</v>
      </c>
      <c r="AJ16">
        <v>444.7428406688</v>
      </c>
      <c r="AK16">
        <v>7696</v>
      </c>
      <c r="AL16">
        <v>1930</v>
      </c>
      <c r="AM16">
        <v>9453</v>
      </c>
      <c r="AN16">
        <v>5084</v>
      </c>
      <c r="AO16">
        <v>2249</v>
      </c>
      <c r="AP16">
        <v>1969</v>
      </c>
      <c r="AQ16">
        <v>3312</v>
      </c>
      <c r="AR16">
        <v>2085</v>
      </c>
      <c r="AS16">
        <v>826</v>
      </c>
      <c r="AT16">
        <v>218</v>
      </c>
      <c r="AV16" t="s">
        <v>371</v>
      </c>
      <c r="AW16">
        <v>89</v>
      </c>
      <c r="AX16">
        <v>93.808988764000006</v>
      </c>
      <c r="AY16">
        <v>122</v>
      </c>
      <c r="AZ16">
        <v>21</v>
      </c>
      <c r="BA16">
        <v>131</v>
      </c>
      <c r="BB16">
        <v>35</v>
      </c>
      <c r="BC16">
        <v>0</v>
      </c>
      <c r="BE16">
        <v>9</v>
      </c>
      <c r="BF16">
        <v>2</v>
      </c>
      <c r="BG16">
        <v>14</v>
      </c>
      <c r="BH16">
        <v>12</v>
      </c>
      <c r="BJ16" t="s">
        <v>558</v>
      </c>
      <c r="BK16" t="s">
        <v>389</v>
      </c>
      <c r="BL16">
        <v>7658</v>
      </c>
      <c r="BM16">
        <v>1611</v>
      </c>
      <c r="BN16">
        <v>96.924653956599997</v>
      </c>
      <c r="BO16">
        <v>25004</v>
      </c>
      <c r="BP16">
        <v>1527</v>
      </c>
      <c r="BQ16">
        <v>130.61822108460001</v>
      </c>
      <c r="BR16">
        <v>129.10740013099999</v>
      </c>
      <c r="BS16">
        <v>3381</v>
      </c>
      <c r="BT16">
        <v>833</v>
      </c>
      <c r="BU16">
        <v>100.6586808636</v>
      </c>
      <c r="BV16">
        <v>28405</v>
      </c>
      <c r="BW16">
        <v>1936</v>
      </c>
      <c r="BX16">
        <v>134.89804611860001</v>
      </c>
      <c r="BY16">
        <v>120.3879132231</v>
      </c>
      <c r="CA16" t="s">
        <v>384</v>
      </c>
      <c r="CB16" t="s">
        <v>766</v>
      </c>
      <c r="CD16">
        <v>66483</v>
      </c>
      <c r="CE16">
        <v>12981</v>
      </c>
      <c r="CF16">
        <v>87.156731796100004</v>
      </c>
      <c r="CG16">
        <v>195421</v>
      </c>
      <c r="CH16">
        <v>12409</v>
      </c>
      <c r="CI16">
        <v>126.0213078431</v>
      </c>
      <c r="CJ16">
        <v>125.5058425336</v>
      </c>
      <c r="CL16" t="s">
        <v>384</v>
      </c>
      <c r="CM16" t="s">
        <v>747</v>
      </c>
      <c r="CO16">
        <v>3955</v>
      </c>
      <c r="CP16">
        <v>439</v>
      </c>
      <c r="CQ16">
        <v>65.554487989899997</v>
      </c>
      <c r="CR16">
        <v>23390</v>
      </c>
      <c r="CS16">
        <v>1608</v>
      </c>
      <c r="CT16">
        <v>68.245061992299995</v>
      </c>
      <c r="CU16">
        <v>69.232587064699999</v>
      </c>
      <c r="CW16" t="s">
        <v>384</v>
      </c>
      <c r="CX16" t="s">
        <v>757</v>
      </c>
      <c r="CZ16">
        <v>1421</v>
      </c>
      <c r="DA16">
        <v>178</v>
      </c>
      <c r="DB16">
        <v>66.142857142899999</v>
      </c>
      <c r="DC16">
        <v>4618</v>
      </c>
      <c r="DD16">
        <v>269</v>
      </c>
      <c r="DE16">
        <v>129.4133824166</v>
      </c>
      <c r="DF16">
        <v>105.7657992565</v>
      </c>
      <c r="DH16" t="s">
        <v>384</v>
      </c>
      <c r="DI16" t="s">
        <v>737</v>
      </c>
      <c r="DK16">
        <v>1728</v>
      </c>
      <c r="DL16">
        <v>132</v>
      </c>
      <c r="DM16">
        <v>61.251736111100001</v>
      </c>
      <c r="DN16">
        <v>5351</v>
      </c>
      <c r="DO16">
        <v>272</v>
      </c>
      <c r="DP16">
        <v>121.1876284807</v>
      </c>
      <c r="DQ16">
        <v>110.32720588239999</v>
      </c>
    </row>
    <row r="17" spans="2:121" x14ac:dyDescent="0.2">
      <c r="B17" t="s">
        <v>93</v>
      </c>
      <c r="C17">
        <v>214</v>
      </c>
      <c r="D17">
        <v>149</v>
      </c>
      <c r="F17" t="s">
        <v>63</v>
      </c>
      <c r="G17">
        <v>4042</v>
      </c>
      <c r="H17">
        <v>387.93567540819998</v>
      </c>
      <c r="I17">
        <v>13564</v>
      </c>
      <c r="J17">
        <v>3617</v>
      </c>
      <c r="K17">
        <v>8071</v>
      </c>
      <c r="L17">
        <v>4131</v>
      </c>
      <c r="M17">
        <v>1672</v>
      </c>
      <c r="N17">
        <v>1394</v>
      </c>
      <c r="O17">
        <v>6921</v>
      </c>
      <c r="P17">
        <v>6334</v>
      </c>
      <c r="Q17">
        <v>13981</v>
      </c>
      <c r="R17">
        <v>0</v>
      </c>
      <c r="T17" t="s">
        <v>403</v>
      </c>
      <c r="U17">
        <v>41398</v>
      </c>
      <c r="V17">
        <v>378.0646649597</v>
      </c>
      <c r="W17">
        <v>65109</v>
      </c>
      <c r="X17">
        <v>13253</v>
      </c>
      <c r="Y17">
        <v>84624</v>
      </c>
      <c r="Z17">
        <v>41056</v>
      </c>
      <c r="AA17">
        <v>25493</v>
      </c>
      <c r="AB17">
        <v>18604</v>
      </c>
      <c r="AC17">
        <v>18916</v>
      </c>
      <c r="AD17">
        <v>14733</v>
      </c>
      <c r="AE17">
        <v>457</v>
      </c>
      <c r="AF17">
        <v>776</v>
      </c>
      <c r="AH17" t="s">
        <v>391</v>
      </c>
      <c r="AI17">
        <v>4208</v>
      </c>
      <c r="AJ17">
        <v>610.68084600760005</v>
      </c>
      <c r="AK17">
        <v>5274</v>
      </c>
      <c r="AL17">
        <v>947</v>
      </c>
      <c r="AM17">
        <v>8866</v>
      </c>
      <c r="AN17">
        <v>4839</v>
      </c>
      <c r="AO17">
        <v>2694</v>
      </c>
      <c r="AP17">
        <v>2269</v>
      </c>
      <c r="AQ17">
        <v>3045</v>
      </c>
      <c r="AR17">
        <v>2308</v>
      </c>
      <c r="AS17">
        <v>634</v>
      </c>
      <c r="AT17">
        <v>234</v>
      </c>
      <c r="AV17" t="s">
        <v>419</v>
      </c>
      <c r="AW17">
        <v>43</v>
      </c>
      <c r="AX17">
        <v>61.7674418605</v>
      </c>
      <c r="AY17">
        <v>51</v>
      </c>
      <c r="AZ17">
        <v>3</v>
      </c>
      <c r="BA17">
        <v>69</v>
      </c>
      <c r="BB17">
        <v>6</v>
      </c>
      <c r="BC17">
        <v>1</v>
      </c>
      <c r="BD17">
        <v>1</v>
      </c>
      <c r="BE17">
        <v>4</v>
      </c>
      <c r="BF17">
        <v>2</v>
      </c>
      <c r="BG17">
        <v>112</v>
      </c>
      <c r="BH17">
        <v>7</v>
      </c>
      <c r="BJ17" t="s">
        <v>575</v>
      </c>
      <c r="BK17" t="s">
        <v>389</v>
      </c>
      <c r="BL17">
        <v>2764</v>
      </c>
      <c r="BM17">
        <v>378</v>
      </c>
      <c r="BN17">
        <v>75.148335745300002</v>
      </c>
      <c r="BO17">
        <v>7667</v>
      </c>
      <c r="BP17">
        <v>411</v>
      </c>
      <c r="BQ17">
        <v>111.77827051</v>
      </c>
      <c r="BR17">
        <v>111.36739659369999</v>
      </c>
      <c r="BS17">
        <v>1226</v>
      </c>
      <c r="BT17">
        <v>359</v>
      </c>
      <c r="BU17">
        <v>98.104404567700001</v>
      </c>
      <c r="BV17">
        <v>9871</v>
      </c>
      <c r="BW17">
        <v>531</v>
      </c>
      <c r="BX17">
        <v>125.8488501672</v>
      </c>
      <c r="BY17">
        <v>131.63653483990001</v>
      </c>
      <c r="CA17" t="s">
        <v>393</v>
      </c>
      <c r="CB17" t="s">
        <v>806</v>
      </c>
      <c r="CC17" t="s">
        <v>1001</v>
      </c>
      <c r="CD17">
        <v>7404</v>
      </c>
      <c r="CE17">
        <v>1849</v>
      </c>
      <c r="CF17">
        <v>99.006212857899996</v>
      </c>
      <c r="CG17">
        <v>19656</v>
      </c>
      <c r="CH17">
        <v>1297</v>
      </c>
      <c r="CI17">
        <v>137.32712657709999</v>
      </c>
      <c r="CJ17">
        <v>128.53585196610001</v>
      </c>
      <c r="CL17" t="s">
        <v>393</v>
      </c>
      <c r="CM17" t="s">
        <v>781</v>
      </c>
      <c r="CN17" t="s">
        <v>780</v>
      </c>
      <c r="CO17">
        <v>573</v>
      </c>
      <c r="CP17">
        <v>77</v>
      </c>
      <c r="CQ17">
        <v>70.467713787099996</v>
      </c>
      <c r="CR17">
        <v>4041</v>
      </c>
      <c r="CS17">
        <v>268</v>
      </c>
      <c r="CT17">
        <v>72.878990348900004</v>
      </c>
      <c r="CU17">
        <v>71.421641790999999</v>
      </c>
      <c r="CW17" t="s">
        <v>393</v>
      </c>
      <c r="CX17" t="s">
        <v>794</v>
      </c>
      <c r="CY17" t="s">
        <v>793</v>
      </c>
      <c r="CZ17">
        <v>169</v>
      </c>
      <c r="DA17">
        <v>24</v>
      </c>
      <c r="DB17">
        <v>75.562130177499995</v>
      </c>
      <c r="DC17">
        <v>526</v>
      </c>
      <c r="DD17">
        <v>29</v>
      </c>
      <c r="DE17">
        <v>135.16349809889999</v>
      </c>
      <c r="DF17">
        <v>103.2413793103</v>
      </c>
      <c r="DH17" t="s">
        <v>393</v>
      </c>
      <c r="DI17" t="s">
        <v>768</v>
      </c>
      <c r="DJ17" t="s">
        <v>767</v>
      </c>
      <c r="DK17">
        <v>178</v>
      </c>
      <c r="DL17">
        <v>18</v>
      </c>
      <c r="DM17">
        <v>68.331460674200002</v>
      </c>
      <c r="DN17">
        <v>471</v>
      </c>
      <c r="DO17">
        <v>24</v>
      </c>
      <c r="DP17">
        <v>124.5286624204</v>
      </c>
      <c r="DQ17">
        <v>125.4583333333</v>
      </c>
    </row>
    <row r="18" spans="2:121" x14ac:dyDescent="0.2">
      <c r="B18" t="s">
        <v>122</v>
      </c>
      <c r="C18">
        <v>440</v>
      </c>
      <c r="D18">
        <v>20</v>
      </c>
      <c r="F18" t="s">
        <v>65</v>
      </c>
      <c r="G18">
        <v>2819</v>
      </c>
      <c r="H18">
        <v>358.65980844270001</v>
      </c>
      <c r="I18">
        <v>4655</v>
      </c>
      <c r="J18">
        <v>1405</v>
      </c>
      <c r="K18">
        <v>5382</v>
      </c>
      <c r="L18">
        <v>2788</v>
      </c>
      <c r="M18">
        <v>592</v>
      </c>
      <c r="N18">
        <v>479</v>
      </c>
      <c r="O18">
        <v>821</v>
      </c>
      <c r="P18">
        <v>588</v>
      </c>
      <c r="Q18">
        <v>0</v>
      </c>
      <c r="R18">
        <v>1</v>
      </c>
      <c r="T18" t="s">
        <v>379</v>
      </c>
      <c r="U18">
        <v>54443</v>
      </c>
      <c r="V18">
        <v>341.60334661939999</v>
      </c>
      <c r="W18">
        <v>74578</v>
      </c>
      <c r="X18">
        <v>17706</v>
      </c>
      <c r="Y18">
        <v>94838</v>
      </c>
      <c r="Z18">
        <v>50291</v>
      </c>
      <c r="AA18">
        <v>27934</v>
      </c>
      <c r="AB18">
        <v>23285</v>
      </c>
      <c r="AC18">
        <v>24390</v>
      </c>
      <c r="AD18">
        <v>17995</v>
      </c>
      <c r="AE18">
        <v>180</v>
      </c>
      <c r="AF18">
        <v>1397</v>
      </c>
      <c r="AH18" t="s">
        <v>398</v>
      </c>
      <c r="AI18">
        <v>859</v>
      </c>
      <c r="AJ18">
        <v>178.13969732250001</v>
      </c>
      <c r="AK18">
        <v>2920</v>
      </c>
      <c r="AL18">
        <v>402</v>
      </c>
      <c r="AM18">
        <v>2472</v>
      </c>
      <c r="AN18">
        <v>420</v>
      </c>
      <c r="AO18">
        <v>347</v>
      </c>
      <c r="AP18">
        <v>209</v>
      </c>
      <c r="AQ18">
        <v>588</v>
      </c>
      <c r="AR18">
        <v>341</v>
      </c>
      <c r="AS18">
        <v>2</v>
      </c>
      <c r="AT18">
        <v>10</v>
      </c>
      <c r="AV18" t="s">
        <v>398</v>
      </c>
      <c r="AW18">
        <v>177</v>
      </c>
      <c r="AX18">
        <v>61.248587570600002</v>
      </c>
      <c r="AY18">
        <v>297</v>
      </c>
      <c r="AZ18">
        <v>12</v>
      </c>
      <c r="BA18">
        <v>290</v>
      </c>
      <c r="BB18">
        <v>22</v>
      </c>
      <c r="BC18">
        <v>0</v>
      </c>
      <c r="BE18">
        <v>13</v>
      </c>
      <c r="BF18">
        <v>5</v>
      </c>
      <c r="BG18">
        <v>348</v>
      </c>
      <c r="BH18">
        <v>51</v>
      </c>
      <c r="BJ18" t="s">
        <v>568</v>
      </c>
      <c r="BK18" t="s">
        <v>389</v>
      </c>
      <c r="BL18">
        <v>7690</v>
      </c>
      <c r="BM18">
        <v>1746</v>
      </c>
      <c r="BN18">
        <v>97.358907672300006</v>
      </c>
      <c r="BO18">
        <v>20354</v>
      </c>
      <c r="BP18">
        <v>1472</v>
      </c>
      <c r="BQ18">
        <v>136.57187776360001</v>
      </c>
      <c r="BR18">
        <v>134.93070652169999</v>
      </c>
      <c r="BS18">
        <v>2529</v>
      </c>
      <c r="BT18">
        <v>750</v>
      </c>
      <c r="BU18">
        <v>105.55871886120001</v>
      </c>
      <c r="BV18">
        <v>20852</v>
      </c>
      <c r="BW18">
        <v>1437</v>
      </c>
      <c r="BX18">
        <v>135.0247458277</v>
      </c>
      <c r="BY18">
        <v>135.57759220599999</v>
      </c>
      <c r="CA18" t="s">
        <v>391</v>
      </c>
      <c r="CB18" t="s">
        <v>806</v>
      </c>
      <c r="CC18" t="s">
        <v>1002</v>
      </c>
      <c r="CD18">
        <v>5307</v>
      </c>
      <c r="CE18">
        <v>956</v>
      </c>
      <c r="CF18">
        <v>86.147352553199994</v>
      </c>
      <c r="CG18">
        <v>15948</v>
      </c>
      <c r="CH18">
        <v>1084</v>
      </c>
      <c r="CI18">
        <v>123.9332831703</v>
      </c>
      <c r="CJ18">
        <v>123.25</v>
      </c>
      <c r="CL18" t="s">
        <v>391</v>
      </c>
      <c r="CM18" t="s">
        <v>781</v>
      </c>
      <c r="CN18" t="s">
        <v>782</v>
      </c>
      <c r="CO18">
        <v>374</v>
      </c>
      <c r="CP18">
        <v>58</v>
      </c>
      <c r="CQ18">
        <v>73.125668449200006</v>
      </c>
      <c r="CR18">
        <v>2403</v>
      </c>
      <c r="CS18">
        <v>178</v>
      </c>
      <c r="CT18">
        <v>71.934665002100004</v>
      </c>
      <c r="CU18">
        <v>56.320224719099997</v>
      </c>
      <c r="CW18" t="s">
        <v>391</v>
      </c>
      <c r="CX18" t="s">
        <v>794</v>
      </c>
      <c r="CY18" t="s">
        <v>795</v>
      </c>
      <c r="CZ18">
        <v>86</v>
      </c>
      <c r="DA18">
        <v>7</v>
      </c>
      <c r="DB18">
        <v>54.604651162800003</v>
      </c>
      <c r="DC18">
        <v>263</v>
      </c>
      <c r="DD18">
        <v>15</v>
      </c>
      <c r="DE18">
        <v>133.3764258555</v>
      </c>
      <c r="DF18">
        <v>107.1333333333</v>
      </c>
      <c r="DH18" t="s">
        <v>391</v>
      </c>
      <c r="DI18" t="s">
        <v>768</v>
      </c>
      <c r="DJ18" t="s">
        <v>769</v>
      </c>
      <c r="DK18">
        <v>43</v>
      </c>
      <c r="DL18">
        <v>6</v>
      </c>
      <c r="DM18">
        <v>74.581395348800001</v>
      </c>
      <c r="DN18">
        <v>230</v>
      </c>
      <c r="DO18">
        <v>17</v>
      </c>
      <c r="DP18">
        <v>131.98695652169999</v>
      </c>
      <c r="DQ18">
        <v>88.647058823500004</v>
      </c>
    </row>
    <row r="19" spans="2:121" x14ac:dyDescent="0.2">
      <c r="B19" t="s">
        <v>89</v>
      </c>
      <c r="C19">
        <v>7</v>
      </c>
      <c r="D19">
        <v>4</v>
      </c>
      <c r="F19" t="s">
        <v>81</v>
      </c>
      <c r="G19">
        <v>1626</v>
      </c>
      <c r="H19">
        <v>204.12115621160001</v>
      </c>
      <c r="I19">
        <v>2600</v>
      </c>
      <c r="J19">
        <v>420</v>
      </c>
      <c r="K19">
        <v>3190</v>
      </c>
      <c r="L19">
        <v>1138</v>
      </c>
      <c r="M19">
        <v>1036</v>
      </c>
      <c r="N19">
        <v>482</v>
      </c>
      <c r="O19">
        <v>215</v>
      </c>
      <c r="P19">
        <v>125</v>
      </c>
      <c r="Q19">
        <v>0</v>
      </c>
      <c r="R19">
        <v>8</v>
      </c>
      <c r="T19" t="s">
        <v>460</v>
      </c>
      <c r="U19">
        <v>227342</v>
      </c>
      <c r="V19">
        <v>362.46770944219998</v>
      </c>
      <c r="W19">
        <v>346357</v>
      </c>
      <c r="X19">
        <v>74478</v>
      </c>
      <c r="Y19">
        <v>436937</v>
      </c>
      <c r="Z19">
        <v>208611</v>
      </c>
      <c r="AA19">
        <v>131106</v>
      </c>
      <c r="AB19">
        <v>100987</v>
      </c>
      <c r="AC19">
        <v>170483</v>
      </c>
      <c r="AD19">
        <v>117515</v>
      </c>
      <c r="AE19">
        <v>22241</v>
      </c>
      <c r="AF19">
        <v>4524</v>
      </c>
      <c r="AH19" t="s">
        <v>421</v>
      </c>
      <c r="AI19">
        <v>1679</v>
      </c>
      <c r="AJ19">
        <v>222.43537820130001</v>
      </c>
      <c r="AK19">
        <v>2411</v>
      </c>
      <c r="AL19">
        <v>415</v>
      </c>
      <c r="AM19">
        <v>3374</v>
      </c>
      <c r="AN19">
        <v>1258</v>
      </c>
      <c r="AO19">
        <v>1093</v>
      </c>
      <c r="AP19">
        <v>549</v>
      </c>
      <c r="AQ19">
        <v>858</v>
      </c>
      <c r="AR19">
        <v>525</v>
      </c>
      <c r="AS19">
        <v>2</v>
      </c>
      <c r="AT19">
        <v>14</v>
      </c>
      <c r="AV19" t="s">
        <v>387</v>
      </c>
      <c r="AW19">
        <v>568</v>
      </c>
      <c r="AX19">
        <v>56.575704225400003</v>
      </c>
      <c r="AY19">
        <v>824</v>
      </c>
      <c r="AZ19">
        <v>86</v>
      </c>
      <c r="BA19">
        <v>836</v>
      </c>
      <c r="BB19">
        <v>65</v>
      </c>
      <c r="BC19">
        <v>3</v>
      </c>
      <c r="BD19">
        <v>3</v>
      </c>
      <c r="BE19">
        <v>51</v>
      </c>
      <c r="BF19">
        <v>13</v>
      </c>
      <c r="BG19">
        <v>146</v>
      </c>
      <c r="BH19">
        <v>122</v>
      </c>
      <c r="BJ19" t="s">
        <v>632</v>
      </c>
      <c r="BK19" t="s">
        <v>389</v>
      </c>
      <c r="BL19">
        <v>1186</v>
      </c>
      <c r="BM19">
        <v>138</v>
      </c>
      <c r="BN19">
        <v>69.995784148400006</v>
      </c>
      <c r="BO19">
        <v>3049</v>
      </c>
      <c r="BP19">
        <v>159</v>
      </c>
      <c r="BQ19">
        <v>100.586749754</v>
      </c>
      <c r="BR19">
        <v>115.9182389937</v>
      </c>
      <c r="BS19">
        <v>568</v>
      </c>
      <c r="BT19">
        <v>214</v>
      </c>
      <c r="BU19">
        <v>108.22535211269999</v>
      </c>
      <c r="BV19">
        <v>4339</v>
      </c>
      <c r="BW19">
        <v>257</v>
      </c>
      <c r="BX19">
        <v>123.3360221249</v>
      </c>
      <c r="BY19">
        <v>131.84046692609999</v>
      </c>
      <c r="CA19" t="s">
        <v>398</v>
      </c>
      <c r="CB19" t="s">
        <v>806</v>
      </c>
      <c r="CC19" t="s">
        <v>1003</v>
      </c>
      <c r="CD19">
        <v>2841</v>
      </c>
      <c r="CE19">
        <v>391</v>
      </c>
      <c r="CF19">
        <v>75.3041182682</v>
      </c>
      <c r="CG19">
        <v>7994</v>
      </c>
      <c r="CH19">
        <v>436</v>
      </c>
      <c r="CI19">
        <v>110.403927946</v>
      </c>
      <c r="CJ19">
        <v>109.4655963303</v>
      </c>
      <c r="CL19" t="s">
        <v>398</v>
      </c>
      <c r="CM19" t="s">
        <v>781</v>
      </c>
      <c r="CN19" t="s">
        <v>783</v>
      </c>
      <c r="CO19">
        <v>269</v>
      </c>
      <c r="CP19">
        <v>11</v>
      </c>
      <c r="CQ19">
        <v>57.055762081799998</v>
      </c>
      <c r="CR19">
        <v>1509</v>
      </c>
      <c r="CS19">
        <v>108</v>
      </c>
      <c r="CT19">
        <v>66.940357852899993</v>
      </c>
      <c r="CU19">
        <v>76.537037037000005</v>
      </c>
      <c r="CW19" t="s">
        <v>398</v>
      </c>
      <c r="CX19" t="s">
        <v>794</v>
      </c>
      <c r="CY19" t="s">
        <v>796</v>
      </c>
      <c r="CZ19">
        <v>42</v>
      </c>
      <c r="DA19">
        <v>3</v>
      </c>
      <c r="DB19">
        <v>58.833333333299997</v>
      </c>
      <c r="DC19">
        <v>126</v>
      </c>
      <c r="DD19">
        <v>6</v>
      </c>
      <c r="DE19">
        <v>132.9761904762</v>
      </c>
      <c r="DF19">
        <v>71</v>
      </c>
      <c r="DH19" t="s">
        <v>398</v>
      </c>
      <c r="DI19" t="s">
        <v>768</v>
      </c>
      <c r="DJ19" t="s">
        <v>770</v>
      </c>
      <c r="DK19">
        <v>40</v>
      </c>
      <c r="DL19">
        <v>4</v>
      </c>
      <c r="DM19">
        <v>61.075000000000003</v>
      </c>
      <c r="DN19">
        <v>87</v>
      </c>
      <c r="DO19">
        <v>6</v>
      </c>
      <c r="DP19">
        <v>130.7011494253</v>
      </c>
      <c r="DQ19">
        <v>129.8333333333</v>
      </c>
    </row>
    <row r="20" spans="2:121" x14ac:dyDescent="0.2">
      <c r="B20" t="s">
        <v>107</v>
      </c>
      <c r="C20">
        <v>61161</v>
      </c>
      <c r="D20">
        <v>46911</v>
      </c>
      <c r="F20" t="s">
        <v>78</v>
      </c>
      <c r="G20">
        <v>1284</v>
      </c>
      <c r="H20">
        <v>266.32710280369997</v>
      </c>
      <c r="I20">
        <v>1545</v>
      </c>
      <c r="J20">
        <v>185</v>
      </c>
      <c r="K20">
        <v>2438</v>
      </c>
      <c r="L20">
        <v>1008</v>
      </c>
      <c r="M20">
        <v>853</v>
      </c>
      <c r="N20">
        <v>631</v>
      </c>
      <c r="O20">
        <v>227</v>
      </c>
      <c r="P20">
        <v>156</v>
      </c>
      <c r="Q20">
        <v>1</v>
      </c>
      <c r="R20">
        <v>0</v>
      </c>
      <c r="AH20" t="s">
        <v>392</v>
      </c>
      <c r="AI20">
        <v>4737</v>
      </c>
      <c r="AJ20">
        <v>525.1566392231</v>
      </c>
      <c r="AK20">
        <v>3912</v>
      </c>
      <c r="AL20">
        <v>596</v>
      </c>
      <c r="AM20">
        <v>8090</v>
      </c>
      <c r="AN20">
        <v>5104</v>
      </c>
      <c r="AO20">
        <v>2274</v>
      </c>
      <c r="AP20">
        <v>1925</v>
      </c>
      <c r="AQ20">
        <v>2190</v>
      </c>
      <c r="AR20">
        <v>1576</v>
      </c>
      <c r="AS20">
        <v>572</v>
      </c>
      <c r="AT20">
        <v>158</v>
      </c>
      <c r="AV20" t="s">
        <v>422</v>
      </c>
      <c r="AW20">
        <v>50</v>
      </c>
      <c r="AX20">
        <v>114</v>
      </c>
      <c r="AY20">
        <v>71</v>
      </c>
      <c r="AZ20">
        <v>11</v>
      </c>
      <c r="BA20">
        <v>77</v>
      </c>
      <c r="BB20">
        <v>21</v>
      </c>
      <c r="BC20">
        <v>2</v>
      </c>
      <c r="BD20">
        <v>2</v>
      </c>
      <c r="BE20">
        <v>5</v>
      </c>
      <c r="BF20">
        <v>1</v>
      </c>
      <c r="BG20">
        <v>11</v>
      </c>
      <c r="BH20">
        <v>9</v>
      </c>
      <c r="BJ20" t="s">
        <v>560</v>
      </c>
      <c r="BK20" t="s">
        <v>389</v>
      </c>
      <c r="BL20">
        <v>5161</v>
      </c>
      <c r="BM20">
        <v>938</v>
      </c>
      <c r="BN20">
        <v>86.530904863399996</v>
      </c>
      <c r="BO20">
        <v>15244</v>
      </c>
      <c r="BP20">
        <v>1038</v>
      </c>
      <c r="BQ20">
        <v>127.2806350039</v>
      </c>
      <c r="BR20">
        <v>126.7061657033</v>
      </c>
      <c r="BS20">
        <v>1619</v>
      </c>
      <c r="BT20">
        <v>500</v>
      </c>
      <c r="BU20">
        <v>105.0037059914</v>
      </c>
      <c r="BV20">
        <v>16765</v>
      </c>
      <c r="BW20">
        <v>1099</v>
      </c>
      <c r="BX20">
        <v>128.66060244560001</v>
      </c>
      <c r="BY20">
        <v>133.75250227480001</v>
      </c>
      <c r="CA20" t="s">
        <v>421</v>
      </c>
      <c r="CB20" t="s">
        <v>806</v>
      </c>
      <c r="CC20" t="s">
        <v>1004</v>
      </c>
      <c r="CD20">
        <v>2375</v>
      </c>
      <c r="CE20">
        <v>393</v>
      </c>
      <c r="CF20">
        <v>77.5048421053</v>
      </c>
      <c r="CG20">
        <v>8369</v>
      </c>
      <c r="CH20">
        <v>559</v>
      </c>
      <c r="CI20">
        <v>111.3785398494</v>
      </c>
      <c r="CJ20">
        <v>102.2486583184</v>
      </c>
      <c r="CL20" t="s">
        <v>421</v>
      </c>
      <c r="CM20" t="s">
        <v>781</v>
      </c>
      <c r="CN20" t="s">
        <v>784</v>
      </c>
      <c r="CO20">
        <v>223</v>
      </c>
      <c r="CP20">
        <v>17</v>
      </c>
      <c r="CQ20">
        <v>58.520179372199998</v>
      </c>
      <c r="CR20">
        <v>1339</v>
      </c>
      <c r="CS20">
        <v>83</v>
      </c>
      <c r="CT20">
        <v>68.539955190399994</v>
      </c>
      <c r="CU20">
        <v>68.289156626500002</v>
      </c>
      <c r="CW20" t="s">
        <v>421</v>
      </c>
      <c r="CX20" t="s">
        <v>794</v>
      </c>
      <c r="CY20" t="s">
        <v>797</v>
      </c>
      <c r="CZ20">
        <v>50</v>
      </c>
      <c r="DA20">
        <v>4</v>
      </c>
      <c r="DB20">
        <v>51.54</v>
      </c>
      <c r="DC20">
        <v>230</v>
      </c>
      <c r="DD20">
        <v>13</v>
      </c>
      <c r="DE20">
        <v>114.4608695652</v>
      </c>
      <c r="DF20">
        <v>68.769230769200007</v>
      </c>
      <c r="DH20" t="s">
        <v>421</v>
      </c>
      <c r="DI20" t="s">
        <v>768</v>
      </c>
      <c r="DJ20" t="s">
        <v>771</v>
      </c>
      <c r="DK20">
        <v>99</v>
      </c>
      <c r="DL20">
        <v>4</v>
      </c>
      <c r="DM20">
        <v>49.717171717200003</v>
      </c>
      <c r="DN20">
        <v>364</v>
      </c>
      <c r="DO20">
        <v>20</v>
      </c>
      <c r="DP20">
        <v>118.29120879120001</v>
      </c>
      <c r="DQ20">
        <v>102.75</v>
      </c>
    </row>
    <row r="21" spans="2:121" x14ac:dyDescent="0.2">
      <c r="B21" t="s">
        <v>98</v>
      </c>
      <c r="C21">
        <v>96278</v>
      </c>
      <c r="D21">
        <v>71983</v>
      </c>
      <c r="F21" t="s">
        <v>181</v>
      </c>
      <c r="G21">
        <v>288</v>
      </c>
      <c r="H21">
        <v>183.2326388889</v>
      </c>
      <c r="I21">
        <v>662</v>
      </c>
      <c r="J21">
        <v>58</v>
      </c>
      <c r="K21">
        <v>1127</v>
      </c>
      <c r="L21">
        <v>95</v>
      </c>
      <c r="M21">
        <v>365</v>
      </c>
      <c r="N21">
        <v>181</v>
      </c>
      <c r="O21">
        <v>245</v>
      </c>
      <c r="P21">
        <v>128</v>
      </c>
      <c r="Q21">
        <v>0</v>
      </c>
      <c r="R21">
        <v>2</v>
      </c>
      <c r="AH21" t="s">
        <v>386</v>
      </c>
      <c r="AI21">
        <v>3795</v>
      </c>
      <c r="AJ21">
        <v>395.877997365</v>
      </c>
      <c r="AK21">
        <v>5624</v>
      </c>
      <c r="AL21">
        <v>1094</v>
      </c>
      <c r="AM21">
        <v>7318</v>
      </c>
      <c r="AN21">
        <v>3428</v>
      </c>
      <c r="AO21">
        <v>1707</v>
      </c>
      <c r="AP21">
        <v>1214</v>
      </c>
      <c r="AQ21">
        <v>3080</v>
      </c>
      <c r="AR21">
        <v>2053</v>
      </c>
      <c r="AS21">
        <v>317</v>
      </c>
      <c r="AT21">
        <v>271</v>
      </c>
      <c r="AV21" t="s">
        <v>427</v>
      </c>
      <c r="AW21">
        <v>27</v>
      </c>
      <c r="AX21">
        <v>59.925925925900003</v>
      </c>
      <c r="AY21">
        <v>29</v>
      </c>
      <c r="AZ21">
        <v>2</v>
      </c>
      <c r="BA21">
        <v>52</v>
      </c>
      <c r="BB21">
        <v>5</v>
      </c>
      <c r="BC21">
        <v>1</v>
      </c>
      <c r="BD21">
        <v>1</v>
      </c>
      <c r="BE21">
        <v>0</v>
      </c>
      <c r="BG21">
        <v>86</v>
      </c>
      <c r="BH21">
        <v>12</v>
      </c>
      <c r="BJ21" t="s">
        <v>577</v>
      </c>
      <c r="BK21" t="s">
        <v>389</v>
      </c>
      <c r="BL21">
        <v>1841</v>
      </c>
      <c r="BM21">
        <v>216</v>
      </c>
      <c r="BN21">
        <v>70.397609994600003</v>
      </c>
      <c r="BO21">
        <v>6450</v>
      </c>
      <c r="BP21">
        <v>391</v>
      </c>
      <c r="BQ21">
        <v>115.04697674419999</v>
      </c>
      <c r="BR21">
        <v>106.7289002558</v>
      </c>
      <c r="BS21">
        <v>2207</v>
      </c>
      <c r="BT21">
        <v>470</v>
      </c>
      <c r="BU21">
        <v>87.986406887200005</v>
      </c>
      <c r="BV21">
        <v>15754</v>
      </c>
      <c r="BW21">
        <v>997</v>
      </c>
      <c r="BX21">
        <v>135.71061317760001</v>
      </c>
      <c r="BY21">
        <v>103.62888666000001</v>
      </c>
      <c r="CA21" t="s">
        <v>394</v>
      </c>
      <c r="CB21" t="s">
        <v>806</v>
      </c>
      <c r="CC21" t="s">
        <v>1005</v>
      </c>
      <c r="CD21">
        <v>7828</v>
      </c>
      <c r="CE21">
        <v>1772</v>
      </c>
      <c r="CF21">
        <v>97.1594276955</v>
      </c>
      <c r="CG21">
        <v>21052</v>
      </c>
      <c r="CH21">
        <v>1510</v>
      </c>
      <c r="CI21">
        <v>134.55058901769999</v>
      </c>
      <c r="CJ21">
        <v>133.73774834439999</v>
      </c>
      <c r="CL21" t="s">
        <v>394</v>
      </c>
      <c r="CM21" t="s">
        <v>781</v>
      </c>
      <c r="CN21" t="s">
        <v>785</v>
      </c>
      <c r="CO21">
        <v>665</v>
      </c>
      <c r="CP21">
        <v>108</v>
      </c>
      <c r="CQ21">
        <v>76.7323308271</v>
      </c>
      <c r="CR21">
        <v>4569</v>
      </c>
      <c r="CS21">
        <v>323</v>
      </c>
      <c r="CT21">
        <v>71.876559422200003</v>
      </c>
      <c r="CU21">
        <v>68.770897832800003</v>
      </c>
      <c r="CW21" t="s">
        <v>394</v>
      </c>
      <c r="CX21" t="s">
        <v>794</v>
      </c>
      <c r="CY21" t="s">
        <v>798</v>
      </c>
      <c r="CZ21">
        <v>102</v>
      </c>
      <c r="DA21">
        <v>9</v>
      </c>
      <c r="DB21">
        <v>61.549019607799998</v>
      </c>
      <c r="DC21">
        <v>401</v>
      </c>
      <c r="DD21">
        <v>26</v>
      </c>
      <c r="DE21">
        <v>138</v>
      </c>
      <c r="DF21">
        <v>101.76923076920001</v>
      </c>
      <c r="DH21" t="s">
        <v>394</v>
      </c>
      <c r="DI21" t="s">
        <v>768</v>
      </c>
      <c r="DJ21" t="s">
        <v>772</v>
      </c>
      <c r="DK21">
        <v>101</v>
      </c>
      <c r="DL21">
        <v>24</v>
      </c>
      <c r="DM21">
        <v>87.6732673267</v>
      </c>
      <c r="DN21">
        <v>338</v>
      </c>
      <c r="DO21">
        <v>33</v>
      </c>
      <c r="DP21">
        <v>121.7633136095</v>
      </c>
      <c r="DQ21">
        <v>112.36363636359999</v>
      </c>
    </row>
    <row r="22" spans="2:121" x14ac:dyDescent="0.2">
      <c r="B22" t="s">
        <v>127</v>
      </c>
      <c r="C22">
        <v>67435</v>
      </c>
      <c r="D22">
        <v>56004</v>
      </c>
      <c r="F22" t="s">
        <v>27</v>
      </c>
      <c r="G22">
        <v>1002</v>
      </c>
      <c r="H22">
        <v>86.459081836300001</v>
      </c>
      <c r="I22">
        <v>6718</v>
      </c>
      <c r="J22">
        <v>578</v>
      </c>
      <c r="K22">
        <v>5503</v>
      </c>
      <c r="L22">
        <v>695</v>
      </c>
      <c r="M22">
        <v>970</v>
      </c>
      <c r="N22">
        <v>419</v>
      </c>
      <c r="O22">
        <v>1625</v>
      </c>
      <c r="P22">
        <v>1054</v>
      </c>
      <c r="Q22">
        <v>1</v>
      </c>
      <c r="R22">
        <v>17</v>
      </c>
      <c r="AH22" t="s">
        <v>415</v>
      </c>
      <c r="AI22">
        <v>1088</v>
      </c>
      <c r="AJ22">
        <v>284.7729779412</v>
      </c>
      <c r="AK22">
        <v>1326</v>
      </c>
      <c r="AL22">
        <v>194</v>
      </c>
      <c r="AM22">
        <v>2031</v>
      </c>
      <c r="AN22">
        <v>825</v>
      </c>
      <c r="AO22">
        <v>840</v>
      </c>
      <c r="AP22">
        <v>641</v>
      </c>
      <c r="AQ22">
        <v>477</v>
      </c>
      <c r="AR22">
        <v>318</v>
      </c>
      <c r="AS22">
        <v>391</v>
      </c>
      <c r="AT22">
        <v>2</v>
      </c>
      <c r="AV22" t="s">
        <v>381</v>
      </c>
      <c r="AW22">
        <v>1385</v>
      </c>
      <c r="AX22">
        <v>112.86353790610001</v>
      </c>
      <c r="AY22">
        <v>1307</v>
      </c>
      <c r="AZ22">
        <v>203</v>
      </c>
      <c r="BA22">
        <v>1738</v>
      </c>
      <c r="BB22">
        <v>632</v>
      </c>
      <c r="BC22">
        <v>12</v>
      </c>
      <c r="BD22">
        <v>11</v>
      </c>
      <c r="BE22">
        <v>80</v>
      </c>
      <c r="BF22">
        <v>26</v>
      </c>
      <c r="BG22">
        <v>239</v>
      </c>
      <c r="BH22">
        <v>321</v>
      </c>
      <c r="BJ22" t="s">
        <v>389</v>
      </c>
      <c r="BK22" t="s">
        <v>389</v>
      </c>
      <c r="BL22">
        <v>56178</v>
      </c>
      <c r="BM22">
        <v>11120</v>
      </c>
      <c r="BN22">
        <v>88.953825340899996</v>
      </c>
      <c r="BO22">
        <v>159478</v>
      </c>
      <c r="BP22">
        <v>10505</v>
      </c>
      <c r="BQ22">
        <v>124.9293068636</v>
      </c>
      <c r="BR22">
        <v>124.89643027130001</v>
      </c>
      <c r="BS22">
        <v>22088</v>
      </c>
      <c r="BT22">
        <v>6503</v>
      </c>
      <c r="BU22">
        <v>103.2066733068</v>
      </c>
      <c r="BV22">
        <v>181259</v>
      </c>
      <c r="BW22">
        <v>11779</v>
      </c>
      <c r="BX22">
        <v>129.60654091660001</v>
      </c>
      <c r="BY22">
        <v>128.90941506070001</v>
      </c>
      <c r="CA22" t="s">
        <v>400</v>
      </c>
      <c r="CB22" t="s">
        <v>806</v>
      </c>
      <c r="CC22" t="s">
        <v>1006</v>
      </c>
      <c r="CD22">
        <v>5381</v>
      </c>
      <c r="CE22">
        <v>724</v>
      </c>
      <c r="CF22">
        <v>75.391191228400004</v>
      </c>
      <c r="CG22">
        <v>17062</v>
      </c>
      <c r="CH22">
        <v>1125</v>
      </c>
      <c r="CI22">
        <v>107.7457507912</v>
      </c>
      <c r="CJ22">
        <v>111.3191111111</v>
      </c>
      <c r="CL22" t="s">
        <v>400</v>
      </c>
      <c r="CM22" t="s">
        <v>781</v>
      </c>
      <c r="CN22" t="s">
        <v>786</v>
      </c>
      <c r="CO22">
        <v>265</v>
      </c>
      <c r="CP22">
        <v>22</v>
      </c>
      <c r="CQ22">
        <v>59.467924528300003</v>
      </c>
      <c r="CR22">
        <v>1887</v>
      </c>
      <c r="CS22">
        <v>125</v>
      </c>
      <c r="CT22">
        <v>63.133545310000002</v>
      </c>
      <c r="CU22">
        <v>65.768000000000001</v>
      </c>
      <c r="CW22" t="s">
        <v>400</v>
      </c>
      <c r="CX22" t="s">
        <v>794</v>
      </c>
      <c r="CY22" t="s">
        <v>799</v>
      </c>
      <c r="CZ22">
        <v>59</v>
      </c>
      <c r="DA22">
        <v>4</v>
      </c>
      <c r="DB22">
        <v>56.932203389800002</v>
      </c>
      <c r="DC22">
        <v>186</v>
      </c>
      <c r="DD22">
        <v>8</v>
      </c>
      <c r="DE22">
        <v>120.8978494624</v>
      </c>
      <c r="DF22">
        <v>78.875</v>
      </c>
      <c r="DH22" t="s">
        <v>400</v>
      </c>
      <c r="DI22" t="s">
        <v>768</v>
      </c>
      <c r="DJ22" t="s">
        <v>773</v>
      </c>
      <c r="DK22">
        <v>30</v>
      </c>
      <c r="DL22">
        <v>2</v>
      </c>
      <c r="DM22">
        <v>60.266666666699997</v>
      </c>
      <c r="DN22">
        <v>111</v>
      </c>
      <c r="DO22">
        <v>10</v>
      </c>
      <c r="DP22">
        <v>123.6936936937</v>
      </c>
      <c r="DQ22">
        <v>70.7</v>
      </c>
    </row>
    <row r="23" spans="2:121" x14ac:dyDescent="0.2">
      <c r="B23" t="s">
        <v>126</v>
      </c>
      <c r="C23">
        <v>10556</v>
      </c>
      <c r="D23">
        <v>6865</v>
      </c>
      <c r="F23" t="s">
        <v>58</v>
      </c>
      <c r="G23">
        <v>3665</v>
      </c>
      <c r="H23">
        <v>277.05948158249998</v>
      </c>
      <c r="I23">
        <v>9514</v>
      </c>
      <c r="J23">
        <v>1556</v>
      </c>
      <c r="K23">
        <v>9098</v>
      </c>
      <c r="L23">
        <v>3116</v>
      </c>
      <c r="M23">
        <v>3202</v>
      </c>
      <c r="N23">
        <v>2517</v>
      </c>
      <c r="O23">
        <v>1427</v>
      </c>
      <c r="P23">
        <v>1122</v>
      </c>
      <c r="Q23">
        <v>1</v>
      </c>
      <c r="R23">
        <v>282</v>
      </c>
      <c r="AH23" t="s">
        <v>375</v>
      </c>
      <c r="AI23">
        <v>7708</v>
      </c>
      <c r="AJ23">
        <v>629.86312921640001</v>
      </c>
      <c r="AK23">
        <v>6334</v>
      </c>
      <c r="AL23">
        <v>1503</v>
      </c>
      <c r="AM23">
        <v>11958</v>
      </c>
      <c r="AN23">
        <v>7250</v>
      </c>
      <c r="AO23">
        <v>4258</v>
      </c>
      <c r="AP23">
        <v>3678</v>
      </c>
      <c r="AQ23">
        <v>3341</v>
      </c>
      <c r="AR23">
        <v>2360</v>
      </c>
      <c r="AS23">
        <v>494</v>
      </c>
      <c r="AT23">
        <v>7</v>
      </c>
      <c r="AV23" t="s">
        <v>382</v>
      </c>
      <c r="AW23">
        <v>873</v>
      </c>
      <c r="AX23">
        <v>108.85108820160001</v>
      </c>
      <c r="AY23">
        <v>882</v>
      </c>
      <c r="AZ23">
        <v>146</v>
      </c>
      <c r="BA23">
        <v>1116</v>
      </c>
      <c r="BB23">
        <v>387</v>
      </c>
      <c r="BC23">
        <v>0</v>
      </c>
      <c r="BE23">
        <v>40</v>
      </c>
      <c r="BF23">
        <v>11</v>
      </c>
      <c r="BG23">
        <v>142</v>
      </c>
      <c r="BH23">
        <v>219</v>
      </c>
      <c r="BJ23" t="s">
        <v>570</v>
      </c>
      <c r="BK23" t="s">
        <v>389</v>
      </c>
      <c r="BL23">
        <v>4708</v>
      </c>
      <c r="BM23">
        <v>686</v>
      </c>
      <c r="BN23">
        <v>78.418011894599999</v>
      </c>
      <c r="BO23">
        <v>13180</v>
      </c>
      <c r="BP23">
        <v>874</v>
      </c>
      <c r="BQ23">
        <v>113.8093323217</v>
      </c>
      <c r="BR23">
        <v>112.6224256293</v>
      </c>
      <c r="BS23">
        <v>1798</v>
      </c>
      <c r="BT23">
        <v>483</v>
      </c>
      <c r="BU23">
        <v>103.8375973304</v>
      </c>
      <c r="BV23">
        <v>14551</v>
      </c>
      <c r="BW23">
        <v>662</v>
      </c>
      <c r="BX23">
        <v>126.86887499140001</v>
      </c>
      <c r="BY23">
        <v>130.01661631420001</v>
      </c>
      <c r="CA23" t="s">
        <v>396</v>
      </c>
      <c r="CB23" t="s">
        <v>806</v>
      </c>
      <c r="CC23" t="s">
        <v>1007</v>
      </c>
      <c r="CD23">
        <v>6211</v>
      </c>
      <c r="CE23">
        <v>1408</v>
      </c>
      <c r="CF23">
        <v>93.561423281299994</v>
      </c>
      <c r="CG23">
        <v>18472</v>
      </c>
      <c r="CH23">
        <v>1214</v>
      </c>
      <c r="CI23">
        <v>118.1817886531</v>
      </c>
      <c r="CJ23">
        <v>124.87891268529999</v>
      </c>
      <c r="CL23" t="s">
        <v>396</v>
      </c>
      <c r="CM23" t="s">
        <v>781</v>
      </c>
      <c r="CN23" t="s">
        <v>787</v>
      </c>
      <c r="CO23">
        <v>530</v>
      </c>
      <c r="CP23">
        <v>86</v>
      </c>
      <c r="CQ23">
        <v>76.452830188700005</v>
      </c>
      <c r="CR23">
        <v>3193</v>
      </c>
      <c r="CS23">
        <v>222</v>
      </c>
      <c r="CT23">
        <v>69.919198246199997</v>
      </c>
      <c r="CU23">
        <v>64.144144144099997</v>
      </c>
      <c r="CW23" t="s">
        <v>396</v>
      </c>
      <c r="CX23" t="s">
        <v>794</v>
      </c>
      <c r="CY23" t="s">
        <v>800</v>
      </c>
      <c r="CZ23">
        <v>99</v>
      </c>
      <c r="DA23">
        <v>8</v>
      </c>
      <c r="DB23">
        <v>58.9494949495</v>
      </c>
      <c r="DC23">
        <v>440</v>
      </c>
      <c r="DD23">
        <v>20</v>
      </c>
      <c r="DE23">
        <v>122.3613636364</v>
      </c>
      <c r="DF23">
        <v>99.6</v>
      </c>
      <c r="DH23" t="s">
        <v>396</v>
      </c>
      <c r="DI23" t="s">
        <v>768</v>
      </c>
      <c r="DJ23" t="s">
        <v>774</v>
      </c>
      <c r="DK23">
        <v>125</v>
      </c>
      <c r="DL23">
        <v>7</v>
      </c>
      <c r="DM23">
        <v>56.52</v>
      </c>
      <c r="DN23">
        <v>410</v>
      </c>
      <c r="DO23">
        <v>30</v>
      </c>
      <c r="DP23">
        <v>121.4829268293</v>
      </c>
      <c r="DQ23">
        <v>87.6</v>
      </c>
    </row>
    <row r="24" spans="2:121" x14ac:dyDescent="0.2">
      <c r="B24" t="s">
        <v>128</v>
      </c>
      <c r="C24">
        <v>913</v>
      </c>
      <c r="D24">
        <v>30</v>
      </c>
      <c r="F24" t="s">
        <v>42</v>
      </c>
      <c r="G24">
        <v>2435</v>
      </c>
      <c r="H24">
        <v>375.24312114989999</v>
      </c>
      <c r="I24">
        <v>7112</v>
      </c>
      <c r="J24">
        <v>1725</v>
      </c>
      <c r="K24">
        <v>7269</v>
      </c>
      <c r="L24">
        <v>3126</v>
      </c>
      <c r="M24">
        <v>2425</v>
      </c>
      <c r="N24">
        <v>2183</v>
      </c>
      <c r="O24">
        <v>1127</v>
      </c>
      <c r="P24">
        <v>543</v>
      </c>
      <c r="Q24">
        <v>1</v>
      </c>
      <c r="R24">
        <v>212</v>
      </c>
      <c r="T24" t="s">
        <v>646</v>
      </c>
      <c r="U24" t="s">
        <v>306</v>
      </c>
      <c r="V24" t="s">
        <v>133</v>
      </c>
      <c r="W24" t="s">
        <v>214</v>
      </c>
      <c r="X24" t="s">
        <v>215</v>
      </c>
      <c r="Y24" t="s">
        <v>216</v>
      </c>
      <c r="Z24" t="s">
        <v>217</v>
      </c>
      <c r="AA24" t="s">
        <v>218</v>
      </c>
      <c r="AB24" t="s">
        <v>219</v>
      </c>
      <c r="AC24" t="s">
        <v>220</v>
      </c>
      <c r="AD24" t="s">
        <v>221</v>
      </c>
      <c r="AE24" t="s">
        <v>222</v>
      </c>
      <c r="AF24" t="s">
        <v>223</v>
      </c>
      <c r="AH24" t="s">
        <v>370</v>
      </c>
      <c r="AI24">
        <v>3257</v>
      </c>
      <c r="AJ24">
        <v>553.4930918023</v>
      </c>
      <c r="AK24">
        <v>4431</v>
      </c>
      <c r="AL24">
        <v>922</v>
      </c>
      <c r="AM24">
        <v>7393</v>
      </c>
      <c r="AN24">
        <v>3556</v>
      </c>
      <c r="AO24">
        <v>2545</v>
      </c>
      <c r="AP24">
        <v>2120</v>
      </c>
      <c r="AQ24">
        <v>1265</v>
      </c>
      <c r="AR24">
        <v>927</v>
      </c>
      <c r="AS24">
        <v>798</v>
      </c>
      <c r="AT24">
        <v>13</v>
      </c>
      <c r="AV24" t="s">
        <v>408</v>
      </c>
      <c r="AW24">
        <v>164</v>
      </c>
      <c r="AX24">
        <v>65.140243902400002</v>
      </c>
      <c r="AY24">
        <v>249</v>
      </c>
      <c r="AZ24">
        <v>7</v>
      </c>
      <c r="BA24">
        <v>280</v>
      </c>
      <c r="BB24">
        <v>38</v>
      </c>
      <c r="BC24">
        <v>1</v>
      </c>
      <c r="BD24">
        <v>1</v>
      </c>
      <c r="BE24">
        <v>16</v>
      </c>
      <c r="BF24">
        <v>8</v>
      </c>
      <c r="BG24">
        <v>368</v>
      </c>
      <c r="BH24">
        <v>90</v>
      </c>
      <c r="BJ24" t="s">
        <v>634</v>
      </c>
      <c r="BK24" t="s">
        <v>389</v>
      </c>
      <c r="BL24">
        <v>1481</v>
      </c>
      <c r="BM24">
        <v>257</v>
      </c>
      <c r="BN24">
        <v>78.392302498299998</v>
      </c>
      <c r="BO24">
        <v>2777</v>
      </c>
      <c r="BP24">
        <v>191</v>
      </c>
      <c r="BQ24">
        <v>109.56751890530001</v>
      </c>
      <c r="BR24">
        <v>114.64397905760001</v>
      </c>
      <c r="BS24">
        <v>691</v>
      </c>
      <c r="BT24">
        <v>261</v>
      </c>
      <c r="BU24">
        <v>111.63386396529999</v>
      </c>
      <c r="BV24">
        <v>4754</v>
      </c>
      <c r="BW24">
        <v>282</v>
      </c>
      <c r="BX24">
        <v>132.21413546490001</v>
      </c>
      <c r="BY24">
        <v>150.634751773</v>
      </c>
      <c r="CA24" t="s">
        <v>399</v>
      </c>
      <c r="CB24" t="s">
        <v>806</v>
      </c>
      <c r="CC24" t="s">
        <v>1008</v>
      </c>
      <c r="CD24">
        <v>1821</v>
      </c>
      <c r="CE24">
        <v>220</v>
      </c>
      <c r="CF24">
        <v>71.490939044499996</v>
      </c>
      <c r="CG24">
        <v>6583</v>
      </c>
      <c r="CH24">
        <v>402</v>
      </c>
      <c r="CI24">
        <v>111.4145526356</v>
      </c>
      <c r="CJ24">
        <v>101.0895522388</v>
      </c>
      <c r="CL24" t="s">
        <v>399</v>
      </c>
      <c r="CM24" t="s">
        <v>781</v>
      </c>
      <c r="CN24" t="s">
        <v>788</v>
      </c>
      <c r="CO24">
        <v>113</v>
      </c>
      <c r="CP24">
        <v>13</v>
      </c>
      <c r="CQ24">
        <v>76.265486725700001</v>
      </c>
      <c r="CR24">
        <v>578</v>
      </c>
      <c r="CS24">
        <v>38</v>
      </c>
      <c r="CT24">
        <v>74.359861591699996</v>
      </c>
      <c r="CU24">
        <v>86.421052631600006</v>
      </c>
      <c r="CW24" t="s">
        <v>399</v>
      </c>
      <c r="CX24" t="s">
        <v>794</v>
      </c>
      <c r="CY24" t="s">
        <v>801</v>
      </c>
      <c r="CZ24">
        <v>50</v>
      </c>
      <c r="DA24">
        <v>4</v>
      </c>
      <c r="DB24">
        <v>59.56</v>
      </c>
      <c r="DC24">
        <v>108</v>
      </c>
      <c r="DD24">
        <v>5</v>
      </c>
      <c r="DE24">
        <v>116.2314814815</v>
      </c>
      <c r="DF24">
        <v>64.8</v>
      </c>
      <c r="DH24" t="s">
        <v>399</v>
      </c>
      <c r="DI24" t="s">
        <v>768</v>
      </c>
      <c r="DJ24" t="s">
        <v>775</v>
      </c>
      <c r="DK24">
        <v>89</v>
      </c>
      <c r="DL24">
        <v>2</v>
      </c>
      <c r="DM24">
        <v>52.2247191011</v>
      </c>
      <c r="DN24">
        <v>203</v>
      </c>
      <c r="DO24">
        <v>9</v>
      </c>
      <c r="DP24">
        <v>115.3448275862</v>
      </c>
      <c r="DQ24">
        <v>73.222222222200003</v>
      </c>
    </row>
    <row r="25" spans="2:121" x14ac:dyDescent="0.2">
      <c r="B25" t="s">
        <v>1060</v>
      </c>
      <c r="C25">
        <v>286</v>
      </c>
      <c r="D25">
        <v>109</v>
      </c>
      <c r="F25" t="s">
        <v>53</v>
      </c>
      <c r="G25">
        <v>6115</v>
      </c>
      <c r="H25">
        <v>476.13998364679998</v>
      </c>
      <c r="I25">
        <v>4248</v>
      </c>
      <c r="J25">
        <v>977</v>
      </c>
      <c r="K25">
        <v>9749</v>
      </c>
      <c r="L25">
        <v>6325</v>
      </c>
      <c r="M25">
        <v>3366</v>
      </c>
      <c r="N25">
        <v>3166</v>
      </c>
      <c r="O25">
        <v>1709</v>
      </c>
      <c r="P25">
        <v>1319</v>
      </c>
      <c r="Q25">
        <v>93</v>
      </c>
      <c r="R25">
        <v>316</v>
      </c>
      <c r="T25" t="s">
        <v>384</v>
      </c>
      <c r="U25">
        <v>39833</v>
      </c>
      <c r="V25">
        <v>325.33045464819998</v>
      </c>
      <c r="W25">
        <v>68106</v>
      </c>
      <c r="X25">
        <v>13227</v>
      </c>
      <c r="Y25">
        <v>79560</v>
      </c>
      <c r="Z25">
        <v>35005</v>
      </c>
      <c r="AA25">
        <v>21901</v>
      </c>
      <c r="AB25">
        <v>15915</v>
      </c>
      <c r="AC25">
        <v>33779</v>
      </c>
      <c r="AD25">
        <v>20735</v>
      </c>
      <c r="AE25">
        <v>1141</v>
      </c>
      <c r="AF25">
        <v>1157</v>
      </c>
      <c r="AH25" t="s">
        <v>394</v>
      </c>
      <c r="AI25">
        <v>2937</v>
      </c>
      <c r="AJ25">
        <v>351.48246510040002</v>
      </c>
      <c r="AK25">
        <v>7709</v>
      </c>
      <c r="AL25">
        <v>1852</v>
      </c>
      <c r="AM25">
        <v>7435</v>
      </c>
      <c r="AN25">
        <v>3395</v>
      </c>
      <c r="AO25">
        <v>2100</v>
      </c>
      <c r="AP25">
        <v>1782</v>
      </c>
      <c r="AQ25">
        <v>2877</v>
      </c>
      <c r="AR25">
        <v>1635</v>
      </c>
      <c r="AS25">
        <v>918</v>
      </c>
      <c r="AT25">
        <v>218</v>
      </c>
      <c r="AV25" t="s">
        <v>8</v>
      </c>
      <c r="AW25">
        <v>174</v>
      </c>
      <c r="AX25">
        <v>103.21839080460001</v>
      </c>
      <c r="AY25">
        <v>200</v>
      </c>
      <c r="AZ25">
        <v>85</v>
      </c>
      <c r="BA25">
        <v>364</v>
      </c>
      <c r="BB25">
        <v>211</v>
      </c>
      <c r="BC25">
        <v>8</v>
      </c>
      <c r="BD25">
        <v>7</v>
      </c>
      <c r="BE25">
        <v>14</v>
      </c>
      <c r="BF25">
        <v>4</v>
      </c>
      <c r="BG25">
        <v>62</v>
      </c>
      <c r="BH25">
        <v>24</v>
      </c>
      <c r="BJ25" t="s">
        <v>573</v>
      </c>
      <c r="BK25" t="s">
        <v>389</v>
      </c>
      <c r="BL25">
        <v>6241</v>
      </c>
      <c r="BM25">
        <v>1419</v>
      </c>
      <c r="BN25">
        <v>94.007050152199994</v>
      </c>
      <c r="BO25">
        <v>17528</v>
      </c>
      <c r="BP25">
        <v>1221</v>
      </c>
      <c r="BQ25">
        <v>121.2274075764</v>
      </c>
      <c r="BR25">
        <v>129.87387387390001</v>
      </c>
      <c r="BS25">
        <v>2635</v>
      </c>
      <c r="BT25">
        <v>742</v>
      </c>
      <c r="BU25">
        <v>102.41783681210001</v>
      </c>
      <c r="BV25">
        <v>20073</v>
      </c>
      <c r="BW25">
        <v>1637</v>
      </c>
      <c r="BX25">
        <v>123.1322672246</v>
      </c>
      <c r="BY25">
        <v>117.95418448380001</v>
      </c>
      <c r="CA25" t="s">
        <v>418</v>
      </c>
      <c r="CB25" t="s">
        <v>806</v>
      </c>
      <c r="CC25" t="s">
        <v>1009</v>
      </c>
      <c r="CD25">
        <v>666</v>
      </c>
      <c r="CE25">
        <v>90</v>
      </c>
      <c r="CF25">
        <v>71.803303303299998</v>
      </c>
      <c r="CG25">
        <v>2252</v>
      </c>
      <c r="CH25">
        <v>95</v>
      </c>
      <c r="CI25">
        <v>99.0031083481</v>
      </c>
      <c r="CJ25">
        <v>106.62105263159999</v>
      </c>
      <c r="CL25" t="s">
        <v>418</v>
      </c>
      <c r="CM25" t="s">
        <v>781</v>
      </c>
      <c r="CN25" t="s">
        <v>789</v>
      </c>
      <c r="CO25">
        <v>32</v>
      </c>
      <c r="CP25">
        <v>4</v>
      </c>
      <c r="CQ25">
        <v>64.40625</v>
      </c>
      <c r="CR25">
        <v>219</v>
      </c>
      <c r="CS25">
        <v>17</v>
      </c>
      <c r="CT25">
        <v>63.091324200899997</v>
      </c>
      <c r="CU25">
        <v>47.647058823499997</v>
      </c>
      <c r="CW25" t="s">
        <v>418</v>
      </c>
      <c r="CX25" t="s">
        <v>794</v>
      </c>
      <c r="CY25" t="s">
        <v>802</v>
      </c>
      <c r="CZ25">
        <v>12</v>
      </c>
      <c r="DA25">
        <v>1</v>
      </c>
      <c r="DB25">
        <v>45.666666666700003</v>
      </c>
      <c r="DC25">
        <v>37</v>
      </c>
      <c r="DD25">
        <v>0</v>
      </c>
      <c r="DE25">
        <v>114.5135135135</v>
      </c>
      <c r="DF25">
        <v>0</v>
      </c>
      <c r="DH25" t="s">
        <v>418</v>
      </c>
      <c r="DI25" t="s">
        <v>768</v>
      </c>
      <c r="DJ25" t="s">
        <v>776</v>
      </c>
      <c r="DK25">
        <v>11</v>
      </c>
      <c r="DL25">
        <v>0</v>
      </c>
      <c r="DM25">
        <v>54.727272727299997</v>
      </c>
      <c r="DN25">
        <v>16</v>
      </c>
      <c r="DO25">
        <v>2</v>
      </c>
      <c r="DP25">
        <v>104</v>
      </c>
      <c r="DQ25">
        <v>138</v>
      </c>
    </row>
    <row r="26" spans="2:121" x14ac:dyDescent="0.2">
      <c r="B26" t="s">
        <v>118</v>
      </c>
      <c r="C26">
        <v>25</v>
      </c>
      <c r="D26">
        <v>17</v>
      </c>
      <c r="F26" t="s">
        <v>429</v>
      </c>
      <c r="G26">
        <v>5168</v>
      </c>
      <c r="H26">
        <v>888.4200851393</v>
      </c>
      <c r="I26">
        <v>819</v>
      </c>
      <c r="J26">
        <v>110</v>
      </c>
      <c r="K26">
        <v>5551</v>
      </c>
      <c r="L26">
        <v>4341</v>
      </c>
      <c r="M26">
        <v>1050</v>
      </c>
      <c r="N26">
        <v>711</v>
      </c>
      <c r="O26">
        <v>1121</v>
      </c>
      <c r="P26">
        <v>1110</v>
      </c>
      <c r="Q26">
        <v>0</v>
      </c>
      <c r="R26">
        <v>0</v>
      </c>
      <c r="T26" t="s">
        <v>389</v>
      </c>
      <c r="U26">
        <v>29208</v>
      </c>
      <c r="V26">
        <v>369.14540536840002</v>
      </c>
      <c r="W26">
        <v>53801</v>
      </c>
      <c r="X26">
        <v>10728</v>
      </c>
      <c r="Y26">
        <v>64231</v>
      </c>
      <c r="Z26">
        <v>26131</v>
      </c>
      <c r="AA26">
        <v>17118</v>
      </c>
      <c r="AB26">
        <v>13166</v>
      </c>
      <c r="AC26">
        <v>22791</v>
      </c>
      <c r="AD26">
        <v>15346</v>
      </c>
      <c r="AE26">
        <v>4835</v>
      </c>
      <c r="AF26">
        <v>1129</v>
      </c>
      <c r="AH26" t="s">
        <v>400</v>
      </c>
      <c r="AI26">
        <v>1412</v>
      </c>
      <c r="AJ26">
        <v>166.10835694049999</v>
      </c>
      <c r="AK26">
        <v>5223</v>
      </c>
      <c r="AL26">
        <v>747</v>
      </c>
      <c r="AM26">
        <v>5231</v>
      </c>
      <c r="AN26">
        <v>828</v>
      </c>
      <c r="AO26">
        <v>1170</v>
      </c>
      <c r="AP26">
        <v>570</v>
      </c>
      <c r="AQ26">
        <v>1163</v>
      </c>
      <c r="AR26">
        <v>717</v>
      </c>
      <c r="AS26">
        <v>7</v>
      </c>
      <c r="AT26">
        <v>7</v>
      </c>
      <c r="AV26" t="s">
        <v>418</v>
      </c>
      <c r="AW26">
        <v>23</v>
      </c>
      <c r="AX26">
        <v>64.217391304299994</v>
      </c>
      <c r="AY26">
        <v>27</v>
      </c>
      <c r="AZ26">
        <v>1</v>
      </c>
      <c r="BA26">
        <v>43</v>
      </c>
      <c r="BB26">
        <v>4</v>
      </c>
      <c r="BC26">
        <v>0</v>
      </c>
      <c r="BE26">
        <v>1</v>
      </c>
      <c r="BG26">
        <v>64</v>
      </c>
      <c r="BH26">
        <v>15</v>
      </c>
      <c r="BJ26" t="s">
        <v>579</v>
      </c>
      <c r="BK26" t="s">
        <v>389</v>
      </c>
      <c r="BL26">
        <v>8381</v>
      </c>
      <c r="BM26">
        <v>1560</v>
      </c>
      <c r="BN26">
        <v>83.734876506399999</v>
      </c>
      <c r="BO26">
        <v>22101</v>
      </c>
      <c r="BP26">
        <v>1555</v>
      </c>
      <c r="BQ26">
        <v>116.0786389756</v>
      </c>
      <c r="BR26">
        <v>120.6926045016</v>
      </c>
      <c r="BS26">
        <v>3291</v>
      </c>
      <c r="BT26">
        <v>1130</v>
      </c>
      <c r="BU26">
        <v>106.8444241872</v>
      </c>
      <c r="BV26">
        <v>26574</v>
      </c>
      <c r="BW26">
        <v>1613</v>
      </c>
      <c r="BX26">
        <v>126.1707307895</v>
      </c>
      <c r="BY26">
        <v>139.4246745195</v>
      </c>
      <c r="CA26" t="s">
        <v>390</v>
      </c>
      <c r="CB26" t="s">
        <v>806</v>
      </c>
      <c r="CC26" t="s">
        <v>1010</v>
      </c>
      <c r="CD26">
        <v>8097</v>
      </c>
      <c r="CE26">
        <v>1728</v>
      </c>
      <c r="CF26">
        <v>96.240582931999995</v>
      </c>
      <c r="CG26">
        <v>26242</v>
      </c>
      <c r="CH26">
        <v>1624</v>
      </c>
      <c r="CI26">
        <v>127.7917079491</v>
      </c>
      <c r="CJ26">
        <v>124.3269704433</v>
      </c>
      <c r="CL26" t="s">
        <v>390</v>
      </c>
      <c r="CM26" t="s">
        <v>781</v>
      </c>
      <c r="CN26" t="s">
        <v>790</v>
      </c>
      <c r="CO26">
        <v>701</v>
      </c>
      <c r="CP26">
        <v>114</v>
      </c>
      <c r="CQ26">
        <v>78.925820256799994</v>
      </c>
      <c r="CR26">
        <v>5103</v>
      </c>
      <c r="CS26">
        <v>340</v>
      </c>
      <c r="CT26">
        <v>71.012541642200006</v>
      </c>
      <c r="CU26">
        <v>64.520588235299996</v>
      </c>
      <c r="CW26" t="s">
        <v>390</v>
      </c>
      <c r="CX26" t="s">
        <v>794</v>
      </c>
      <c r="CY26" t="s">
        <v>803</v>
      </c>
      <c r="CZ26">
        <v>152</v>
      </c>
      <c r="DA26">
        <v>14</v>
      </c>
      <c r="DB26">
        <v>55.710526315800003</v>
      </c>
      <c r="DC26">
        <v>589</v>
      </c>
      <c r="DD26">
        <v>47</v>
      </c>
      <c r="DE26">
        <v>133.3616298812</v>
      </c>
      <c r="DF26">
        <v>100.68085106380001</v>
      </c>
      <c r="DH26" t="s">
        <v>390</v>
      </c>
      <c r="DI26" t="s">
        <v>768</v>
      </c>
      <c r="DJ26" t="s">
        <v>777</v>
      </c>
      <c r="DK26">
        <v>152</v>
      </c>
      <c r="DL26">
        <v>12</v>
      </c>
      <c r="DM26">
        <v>61.598684210499997</v>
      </c>
      <c r="DN26">
        <v>409</v>
      </c>
      <c r="DO26">
        <v>28</v>
      </c>
      <c r="DP26">
        <v>131.15647921760001</v>
      </c>
      <c r="DQ26">
        <v>127.7142857143</v>
      </c>
    </row>
    <row r="27" spans="2:121" x14ac:dyDescent="0.2">
      <c r="B27" t="s">
        <v>90</v>
      </c>
      <c r="C27">
        <v>9947</v>
      </c>
      <c r="D27">
        <v>1939</v>
      </c>
      <c r="F27" t="s">
        <v>76</v>
      </c>
      <c r="G27">
        <v>3256</v>
      </c>
      <c r="H27">
        <v>152.8971130221</v>
      </c>
      <c r="I27">
        <v>11350</v>
      </c>
      <c r="J27">
        <v>2012</v>
      </c>
      <c r="K27">
        <v>12943</v>
      </c>
      <c r="L27">
        <v>2977</v>
      </c>
      <c r="M27">
        <v>4919</v>
      </c>
      <c r="N27">
        <v>3466</v>
      </c>
      <c r="O27">
        <v>1074</v>
      </c>
      <c r="P27">
        <v>686</v>
      </c>
      <c r="Q27">
        <v>33</v>
      </c>
      <c r="R27">
        <v>0</v>
      </c>
      <c r="T27" t="s">
        <v>368</v>
      </c>
      <c r="U27">
        <v>54784</v>
      </c>
      <c r="V27">
        <v>388.7526650117</v>
      </c>
      <c r="W27">
        <v>75160</v>
      </c>
      <c r="X27">
        <v>16961</v>
      </c>
      <c r="Y27">
        <v>100485</v>
      </c>
      <c r="Z27">
        <v>48421</v>
      </c>
      <c r="AA27">
        <v>34333</v>
      </c>
      <c r="AB27">
        <v>27227</v>
      </c>
      <c r="AC27">
        <v>39733</v>
      </c>
      <c r="AD27">
        <v>29387</v>
      </c>
      <c r="AE27">
        <v>9468</v>
      </c>
      <c r="AF27">
        <v>143</v>
      </c>
      <c r="AH27" t="s">
        <v>388</v>
      </c>
      <c r="AI27">
        <v>2877</v>
      </c>
      <c r="AJ27">
        <v>395.42961418139998</v>
      </c>
      <c r="AK27">
        <v>4899</v>
      </c>
      <c r="AL27">
        <v>1433</v>
      </c>
      <c r="AM27">
        <v>6558</v>
      </c>
      <c r="AN27">
        <v>3538</v>
      </c>
      <c r="AO27">
        <v>1950</v>
      </c>
      <c r="AP27">
        <v>1385</v>
      </c>
      <c r="AQ27">
        <v>1828</v>
      </c>
      <c r="AR27">
        <v>1257</v>
      </c>
      <c r="AS27">
        <v>401</v>
      </c>
      <c r="AT27">
        <v>253</v>
      </c>
      <c r="AV27" t="s">
        <v>416</v>
      </c>
      <c r="AW27">
        <v>41</v>
      </c>
      <c r="AX27">
        <v>114.756097561</v>
      </c>
      <c r="AY27">
        <v>42</v>
      </c>
      <c r="AZ27">
        <v>8</v>
      </c>
      <c r="BA27">
        <v>52</v>
      </c>
      <c r="BB27">
        <v>18</v>
      </c>
      <c r="BC27">
        <v>0</v>
      </c>
      <c r="BE27">
        <v>1</v>
      </c>
      <c r="BG27">
        <v>8</v>
      </c>
      <c r="BH27">
        <v>7</v>
      </c>
      <c r="BJ27" t="s">
        <v>638</v>
      </c>
      <c r="BK27" t="s">
        <v>389</v>
      </c>
      <c r="BL27">
        <v>2600</v>
      </c>
      <c r="BM27">
        <v>407</v>
      </c>
      <c r="BN27">
        <v>76.454999999999998</v>
      </c>
      <c r="BO27">
        <v>7715</v>
      </c>
      <c r="BP27">
        <v>500</v>
      </c>
      <c r="BQ27">
        <v>121.1472456254</v>
      </c>
      <c r="BR27">
        <v>114.81399999999999</v>
      </c>
      <c r="BS27">
        <v>666</v>
      </c>
      <c r="BT27">
        <v>196</v>
      </c>
      <c r="BU27">
        <v>98.9024024024</v>
      </c>
      <c r="BV27">
        <v>6740</v>
      </c>
      <c r="BW27">
        <v>497</v>
      </c>
      <c r="BX27">
        <v>123.17804154300001</v>
      </c>
      <c r="BY27">
        <v>132.01810865190001</v>
      </c>
      <c r="CA27" t="s">
        <v>419</v>
      </c>
      <c r="CB27" t="s">
        <v>806</v>
      </c>
      <c r="CC27" t="s">
        <v>1011</v>
      </c>
      <c r="CD27">
        <v>1107</v>
      </c>
      <c r="CE27">
        <v>260</v>
      </c>
      <c r="CF27">
        <v>88.859981933200004</v>
      </c>
      <c r="CG27">
        <v>2892</v>
      </c>
      <c r="CH27">
        <v>171</v>
      </c>
      <c r="CI27">
        <v>108.86099585060001</v>
      </c>
      <c r="CJ27">
        <v>124.0935672515</v>
      </c>
      <c r="CL27" t="s">
        <v>419</v>
      </c>
      <c r="CM27" t="s">
        <v>781</v>
      </c>
      <c r="CN27" t="s">
        <v>791</v>
      </c>
      <c r="CO27">
        <v>55</v>
      </c>
      <c r="CP27">
        <v>5</v>
      </c>
      <c r="CQ27">
        <v>55.363636363600001</v>
      </c>
      <c r="CR27">
        <v>406</v>
      </c>
      <c r="CS27">
        <v>26</v>
      </c>
      <c r="CT27">
        <v>62.812807881799998</v>
      </c>
      <c r="CU27">
        <v>68.5</v>
      </c>
      <c r="CW27" t="s">
        <v>419</v>
      </c>
      <c r="CX27" t="s">
        <v>794</v>
      </c>
      <c r="CY27" t="s">
        <v>804</v>
      </c>
      <c r="CZ27">
        <v>12</v>
      </c>
      <c r="DA27">
        <v>0</v>
      </c>
      <c r="DB27">
        <v>49.666666666700003</v>
      </c>
      <c r="DC27">
        <v>32</v>
      </c>
      <c r="DD27">
        <v>2</v>
      </c>
      <c r="DE27">
        <v>130.40625</v>
      </c>
      <c r="DF27">
        <v>61</v>
      </c>
      <c r="DH27" t="s">
        <v>419</v>
      </c>
      <c r="DI27" t="s">
        <v>768</v>
      </c>
      <c r="DJ27" t="s">
        <v>778</v>
      </c>
      <c r="DK27">
        <v>16</v>
      </c>
      <c r="DL27">
        <v>1</v>
      </c>
      <c r="DM27">
        <v>47.25</v>
      </c>
      <c r="DN27">
        <v>28</v>
      </c>
      <c r="DO27">
        <v>3</v>
      </c>
      <c r="DP27">
        <v>144.75</v>
      </c>
      <c r="DQ27">
        <v>90.333333333300004</v>
      </c>
    </row>
    <row r="28" spans="2:121" x14ac:dyDescent="0.2">
      <c r="B28" t="s">
        <v>95</v>
      </c>
      <c r="C28">
        <v>1185</v>
      </c>
      <c r="D28">
        <v>775</v>
      </c>
      <c r="F28" t="s">
        <v>50</v>
      </c>
      <c r="G28">
        <v>1501</v>
      </c>
      <c r="H28">
        <v>123.7701532312</v>
      </c>
      <c r="I28">
        <v>1924</v>
      </c>
      <c r="J28">
        <v>220</v>
      </c>
      <c r="K28">
        <v>3242</v>
      </c>
      <c r="L28">
        <v>829</v>
      </c>
      <c r="M28">
        <v>702</v>
      </c>
      <c r="N28">
        <v>431</v>
      </c>
      <c r="O28">
        <v>577</v>
      </c>
      <c r="P28">
        <v>372</v>
      </c>
      <c r="Q28">
        <v>1</v>
      </c>
      <c r="R28">
        <v>18</v>
      </c>
      <c r="T28" t="s">
        <v>8</v>
      </c>
      <c r="U28">
        <v>2870</v>
      </c>
      <c r="V28">
        <v>334.4860627178</v>
      </c>
      <c r="W28">
        <v>4258</v>
      </c>
      <c r="X28">
        <v>1651</v>
      </c>
      <c r="Y28">
        <v>4840</v>
      </c>
      <c r="Z28">
        <v>2718</v>
      </c>
      <c r="AA28">
        <v>1519</v>
      </c>
      <c r="AB28">
        <v>1007</v>
      </c>
      <c r="AC28">
        <v>1305</v>
      </c>
      <c r="AD28">
        <v>839</v>
      </c>
      <c r="AE28">
        <v>483</v>
      </c>
      <c r="AF28">
        <v>127</v>
      </c>
      <c r="AH28" t="s">
        <v>396</v>
      </c>
      <c r="AI28">
        <v>3653</v>
      </c>
      <c r="AJ28">
        <v>241.38187790859999</v>
      </c>
      <c r="AK28">
        <v>6345</v>
      </c>
      <c r="AL28">
        <v>1402</v>
      </c>
      <c r="AM28">
        <v>7557</v>
      </c>
      <c r="AN28">
        <v>3251</v>
      </c>
      <c r="AO28">
        <v>2474</v>
      </c>
      <c r="AP28">
        <v>2073</v>
      </c>
      <c r="AQ28">
        <v>4515</v>
      </c>
      <c r="AR28">
        <v>3330</v>
      </c>
      <c r="AS28">
        <v>815</v>
      </c>
      <c r="AT28">
        <v>65</v>
      </c>
      <c r="AV28" t="s">
        <v>377</v>
      </c>
      <c r="AW28">
        <v>740</v>
      </c>
      <c r="AX28">
        <v>105.1202702703</v>
      </c>
      <c r="AY28">
        <v>811</v>
      </c>
      <c r="AZ28">
        <v>126</v>
      </c>
      <c r="BA28">
        <v>1015</v>
      </c>
      <c r="BB28">
        <v>295</v>
      </c>
      <c r="BC28">
        <v>133</v>
      </c>
      <c r="BD28">
        <v>131</v>
      </c>
      <c r="BE28">
        <v>48</v>
      </c>
      <c r="BF28">
        <v>20</v>
      </c>
      <c r="BG28">
        <v>190</v>
      </c>
      <c r="BH28">
        <v>227</v>
      </c>
      <c r="BJ28" t="s">
        <v>532</v>
      </c>
      <c r="BK28" t="s">
        <v>368</v>
      </c>
      <c r="BL28">
        <v>5323</v>
      </c>
      <c r="BM28">
        <v>1340</v>
      </c>
      <c r="BN28">
        <v>98.620139019299998</v>
      </c>
      <c r="BO28">
        <v>13856</v>
      </c>
      <c r="BP28">
        <v>975</v>
      </c>
      <c r="BQ28">
        <v>141.85544168589999</v>
      </c>
      <c r="BR28">
        <v>131.51179487179999</v>
      </c>
      <c r="BS28">
        <v>541</v>
      </c>
      <c r="BT28">
        <v>213</v>
      </c>
      <c r="BU28">
        <v>119.6635859519</v>
      </c>
      <c r="BV28">
        <v>6977</v>
      </c>
      <c r="BW28">
        <v>405</v>
      </c>
      <c r="BX28">
        <v>144.54464669629999</v>
      </c>
      <c r="BY28">
        <v>154.7679012346</v>
      </c>
      <c r="CA28" t="s">
        <v>395</v>
      </c>
      <c r="CB28" t="s">
        <v>806</v>
      </c>
      <c r="CC28" t="s">
        <v>1012</v>
      </c>
      <c r="CD28">
        <v>4152</v>
      </c>
      <c r="CE28">
        <v>614</v>
      </c>
      <c r="CF28">
        <v>79.738680154099995</v>
      </c>
      <c r="CG28">
        <v>12325</v>
      </c>
      <c r="CH28">
        <v>799</v>
      </c>
      <c r="CI28">
        <v>112.7612981744</v>
      </c>
      <c r="CJ28">
        <v>111.68710888610001</v>
      </c>
      <c r="CL28" t="s">
        <v>395</v>
      </c>
      <c r="CM28" t="s">
        <v>781</v>
      </c>
      <c r="CN28" t="s">
        <v>792</v>
      </c>
      <c r="CO28">
        <v>236</v>
      </c>
      <c r="CP28">
        <v>28</v>
      </c>
      <c r="CQ28">
        <v>71.088983050799996</v>
      </c>
      <c r="CR28">
        <v>1984</v>
      </c>
      <c r="CS28">
        <v>142</v>
      </c>
      <c r="CT28">
        <v>59.752520161299998</v>
      </c>
      <c r="CU28">
        <v>53.8028169014</v>
      </c>
      <c r="CW28" t="s">
        <v>395</v>
      </c>
      <c r="CX28" t="s">
        <v>794</v>
      </c>
      <c r="CY28" t="s">
        <v>805</v>
      </c>
      <c r="CZ28">
        <v>64</v>
      </c>
      <c r="DA28">
        <v>8</v>
      </c>
      <c r="DB28">
        <v>59.6875</v>
      </c>
      <c r="DC28">
        <v>231</v>
      </c>
      <c r="DD28">
        <v>15</v>
      </c>
      <c r="DE28">
        <v>124.0173160173</v>
      </c>
      <c r="DF28">
        <v>101.53333333330001</v>
      </c>
      <c r="DH28" t="s">
        <v>395</v>
      </c>
      <c r="DI28" t="s">
        <v>768</v>
      </c>
      <c r="DJ28" t="s">
        <v>779</v>
      </c>
      <c r="DK28">
        <v>45</v>
      </c>
      <c r="DL28">
        <v>7</v>
      </c>
      <c r="DM28">
        <v>76.488888888899993</v>
      </c>
      <c r="DN28">
        <v>150</v>
      </c>
      <c r="DO28">
        <v>10</v>
      </c>
      <c r="DP28">
        <v>126.62</v>
      </c>
      <c r="DQ28">
        <v>162.30000000000001</v>
      </c>
    </row>
    <row r="29" spans="2:121" x14ac:dyDescent="0.2">
      <c r="B29" t="s">
        <v>94</v>
      </c>
      <c r="C29">
        <v>268</v>
      </c>
      <c r="D29">
        <v>235</v>
      </c>
      <c r="F29" t="s">
        <v>72</v>
      </c>
      <c r="G29">
        <v>708</v>
      </c>
      <c r="H29">
        <v>251</v>
      </c>
      <c r="I29">
        <v>1885</v>
      </c>
      <c r="J29">
        <v>639</v>
      </c>
      <c r="K29">
        <v>3452</v>
      </c>
      <c r="L29">
        <v>931</v>
      </c>
      <c r="M29">
        <v>822</v>
      </c>
      <c r="N29">
        <v>742</v>
      </c>
      <c r="O29">
        <v>804</v>
      </c>
      <c r="P29">
        <v>678</v>
      </c>
      <c r="Q29">
        <v>0</v>
      </c>
      <c r="R29">
        <v>2</v>
      </c>
      <c r="T29" t="s">
        <v>403</v>
      </c>
      <c r="U29">
        <v>42314</v>
      </c>
      <c r="V29">
        <v>387.0657701943</v>
      </c>
      <c r="W29">
        <v>64523</v>
      </c>
      <c r="X29">
        <v>13178</v>
      </c>
      <c r="Y29">
        <v>82475</v>
      </c>
      <c r="Z29">
        <v>40559</v>
      </c>
      <c r="AA29">
        <v>25199</v>
      </c>
      <c r="AB29">
        <v>18531</v>
      </c>
      <c r="AC29">
        <v>31487</v>
      </c>
      <c r="AD29">
        <v>22473</v>
      </c>
      <c r="AE29">
        <v>97</v>
      </c>
      <c r="AF29">
        <v>673</v>
      </c>
      <c r="AH29" t="s">
        <v>417</v>
      </c>
      <c r="AI29">
        <v>409</v>
      </c>
      <c r="AJ29">
        <v>240.69682151590001</v>
      </c>
      <c r="AK29">
        <v>750</v>
      </c>
      <c r="AL29">
        <v>64</v>
      </c>
      <c r="AM29">
        <v>1278</v>
      </c>
      <c r="AN29">
        <v>280</v>
      </c>
      <c r="AO29">
        <v>365</v>
      </c>
      <c r="AP29">
        <v>203</v>
      </c>
      <c r="AQ29">
        <v>468</v>
      </c>
      <c r="AR29">
        <v>259</v>
      </c>
      <c r="AS29">
        <v>1</v>
      </c>
      <c r="AT29">
        <v>3</v>
      </c>
      <c r="AV29" t="s">
        <v>395</v>
      </c>
      <c r="AW29">
        <v>239</v>
      </c>
      <c r="AX29">
        <v>47.267782426799997</v>
      </c>
      <c r="AY29">
        <v>395</v>
      </c>
      <c r="AZ29">
        <v>50</v>
      </c>
      <c r="BA29">
        <v>373</v>
      </c>
      <c r="BB29">
        <v>19</v>
      </c>
      <c r="BC29">
        <v>0</v>
      </c>
      <c r="BE29">
        <v>32</v>
      </c>
      <c r="BF29">
        <v>8</v>
      </c>
      <c r="BG29">
        <v>63</v>
      </c>
      <c r="BH29">
        <v>41</v>
      </c>
      <c r="BJ29" t="s">
        <v>511</v>
      </c>
      <c r="BK29" t="s">
        <v>368</v>
      </c>
      <c r="BL29">
        <v>3528</v>
      </c>
      <c r="BM29">
        <v>689</v>
      </c>
      <c r="BN29">
        <v>84.178854875300004</v>
      </c>
      <c r="BO29">
        <v>10074</v>
      </c>
      <c r="BP29">
        <v>628</v>
      </c>
      <c r="BQ29">
        <v>129.75848719480001</v>
      </c>
      <c r="BR29">
        <v>118.7722929936</v>
      </c>
      <c r="BS29">
        <v>1061</v>
      </c>
      <c r="BT29">
        <v>368</v>
      </c>
      <c r="BU29">
        <v>107.06032045240001</v>
      </c>
      <c r="BV29">
        <v>8669</v>
      </c>
      <c r="BW29">
        <v>547</v>
      </c>
      <c r="BX29">
        <v>130.86249855809999</v>
      </c>
      <c r="BY29">
        <v>131.12979890310001</v>
      </c>
      <c r="CA29" t="s">
        <v>389</v>
      </c>
      <c r="CB29" t="s">
        <v>806</v>
      </c>
      <c r="CD29">
        <v>53190</v>
      </c>
      <c r="CE29">
        <v>10405</v>
      </c>
      <c r="CF29">
        <v>88.781763489400007</v>
      </c>
      <c r="CG29">
        <v>158847</v>
      </c>
      <c r="CH29">
        <v>10316</v>
      </c>
      <c r="CI29">
        <v>121.8718200533</v>
      </c>
      <c r="CJ29">
        <v>120.89094610310001</v>
      </c>
      <c r="CL29" t="s">
        <v>389</v>
      </c>
      <c r="CM29" t="s">
        <v>781</v>
      </c>
      <c r="CO29">
        <v>4036</v>
      </c>
      <c r="CP29">
        <v>543</v>
      </c>
      <c r="CQ29">
        <v>71.669722497500004</v>
      </c>
      <c r="CR29">
        <v>27231</v>
      </c>
      <c r="CS29">
        <v>1870</v>
      </c>
      <c r="CT29">
        <v>69.559142154200003</v>
      </c>
      <c r="CU29">
        <v>65.896256684500003</v>
      </c>
      <c r="CW29" t="s">
        <v>389</v>
      </c>
      <c r="CX29" t="s">
        <v>794</v>
      </c>
      <c r="CZ29">
        <v>897</v>
      </c>
      <c r="DA29">
        <v>86</v>
      </c>
      <c r="DB29">
        <v>60.643255295400003</v>
      </c>
      <c r="DC29">
        <v>3169</v>
      </c>
      <c r="DD29">
        <v>186</v>
      </c>
      <c r="DE29">
        <v>129.08804039130001</v>
      </c>
      <c r="DF29">
        <v>96.188172042999994</v>
      </c>
      <c r="DH29" t="s">
        <v>389</v>
      </c>
      <c r="DI29" t="s">
        <v>768</v>
      </c>
      <c r="DK29">
        <v>929</v>
      </c>
      <c r="DL29">
        <v>87</v>
      </c>
      <c r="DM29">
        <v>63.804090419799998</v>
      </c>
      <c r="DN29">
        <v>2817</v>
      </c>
      <c r="DO29">
        <v>192</v>
      </c>
      <c r="DP29">
        <v>124.21050763220001</v>
      </c>
      <c r="DQ29">
        <v>108.3333333333</v>
      </c>
    </row>
    <row r="30" spans="2:121" x14ac:dyDescent="0.2">
      <c r="B30" t="s">
        <v>119</v>
      </c>
      <c r="C30">
        <v>27</v>
      </c>
      <c r="D30">
        <v>26</v>
      </c>
      <c r="F30" t="s">
        <v>68</v>
      </c>
      <c r="G30">
        <v>2204</v>
      </c>
      <c r="H30">
        <v>455.75317604359998</v>
      </c>
      <c r="I30">
        <v>3555</v>
      </c>
      <c r="J30">
        <v>965</v>
      </c>
      <c r="K30">
        <v>3519</v>
      </c>
      <c r="L30">
        <v>1969</v>
      </c>
      <c r="M30">
        <v>617</v>
      </c>
      <c r="N30">
        <v>465</v>
      </c>
      <c r="O30">
        <v>1137</v>
      </c>
      <c r="P30">
        <v>942</v>
      </c>
      <c r="Q30">
        <v>0</v>
      </c>
      <c r="R30">
        <v>126</v>
      </c>
      <c r="T30" t="s">
        <v>379</v>
      </c>
      <c r="U30">
        <v>58333</v>
      </c>
      <c r="V30">
        <v>343.33130475029998</v>
      </c>
      <c r="W30">
        <v>80509</v>
      </c>
      <c r="X30">
        <v>18733</v>
      </c>
      <c r="Y30">
        <v>105346</v>
      </c>
      <c r="Z30">
        <v>55777</v>
      </c>
      <c r="AA30">
        <v>31036</v>
      </c>
      <c r="AB30">
        <v>25141</v>
      </c>
      <c r="AC30">
        <v>41388</v>
      </c>
      <c r="AD30">
        <v>28735</v>
      </c>
      <c r="AE30">
        <v>6217</v>
      </c>
      <c r="AF30">
        <v>1295</v>
      </c>
      <c r="AH30" t="s">
        <v>399</v>
      </c>
      <c r="AI30">
        <v>773</v>
      </c>
      <c r="AJ30">
        <v>168.51228978009999</v>
      </c>
      <c r="AK30">
        <v>1962</v>
      </c>
      <c r="AL30">
        <v>237</v>
      </c>
      <c r="AM30">
        <v>2212</v>
      </c>
      <c r="AN30">
        <v>419</v>
      </c>
      <c r="AO30">
        <v>701</v>
      </c>
      <c r="AP30">
        <v>422</v>
      </c>
      <c r="AQ30">
        <v>737</v>
      </c>
      <c r="AR30">
        <v>371</v>
      </c>
      <c r="AS30">
        <v>4</v>
      </c>
      <c r="AT30">
        <v>15</v>
      </c>
      <c r="AV30" t="s">
        <v>370</v>
      </c>
      <c r="AW30">
        <v>374</v>
      </c>
      <c r="AX30">
        <v>104.0828877005</v>
      </c>
      <c r="AY30">
        <v>522</v>
      </c>
      <c r="AZ30">
        <v>97</v>
      </c>
      <c r="BA30">
        <v>533</v>
      </c>
      <c r="BB30">
        <v>144</v>
      </c>
      <c r="BC30">
        <v>4</v>
      </c>
      <c r="BD30">
        <v>4</v>
      </c>
      <c r="BE30">
        <v>27</v>
      </c>
      <c r="BF30">
        <v>6</v>
      </c>
      <c r="BG30">
        <v>44</v>
      </c>
      <c r="BH30">
        <v>111</v>
      </c>
      <c r="BJ30" t="s">
        <v>519</v>
      </c>
      <c r="BK30" t="s">
        <v>368</v>
      </c>
      <c r="BL30">
        <v>3713</v>
      </c>
      <c r="BM30">
        <v>740</v>
      </c>
      <c r="BN30">
        <v>88.061136547299995</v>
      </c>
      <c r="BO30">
        <v>11435</v>
      </c>
      <c r="BP30">
        <v>740</v>
      </c>
      <c r="BQ30">
        <v>133.26348928729999</v>
      </c>
      <c r="BR30">
        <v>129.73783783779999</v>
      </c>
      <c r="BS30">
        <v>1015</v>
      </c>
      <c r="BT30">
        <v>341</v>
      </c>
      <c r="BU30">
        <v>106.98817733990001</v>
      </c>
      <c r="BV30">
        <v>8912</v>
      </c>
      <c r="BW30">
        <v>386</v>
      </c>
      <c r="BX30">
        <v>135.09245960499999</v>
      </c>
      <c r="BY30">
        <v>162.24352331610001</v>
      </c>
      <c r="CA30" t="s">
        <v>372</v>
      </c>
      <c r="CB30" t="s">
        <v>855</v>
      </c>
      <c r="CC30" t="s">
        <v>978</v>
      </c>
      <c r="CD30">
        <v>1871</v>
      </c>
      <c r="CE30">
        <v>311</v>
      </c>
      <c r="CF30">
        <v>84.129877071099997</v>
      </c>
      <c r="CG30">
        <v>5943</v>
      </c>
      <c r="CH30">
        <v>385</v>
      </c>
      <c r="CI30">
        <v>112.60524987380001</v>
      </c>
      <c r="CJ30">
        <v>108.59740259740001</v>
      </c>
      <c r="CL30" t="s">
        <v>372</v>
      </c>
      <c r="CM30" t="s">
        <v>824</v>
      </c>
      <c r="CN30" t="s">
        <v>823</v>
      </c>
      <c r="CO30">
        <v>216</v>
      </c>
      <c r="CP30">
        <v>29</v>
      </c>
      <c r="CQ30">
        <v>69.782407407400001</v>
      </c>
      <c r="CR30">
        <v>818</v>
      </c>
      <c r="CS30">
        <v>76</v>
      </c>
      <c r="CT30">
        <v>97.2359413203</v>
      </c>
      <c r="CU30">
        <v>90.131578947400001</v>
      </c>
      <c r="CW30" t="s">
        <v>372</v>
      </c>
      <c r="CX30" t="s">
        <v>840</v>
      </c>
      <c r="CY30" t="s">
        <v>839</v>
      </c>
      <c r="CZ30">
        <v>52</v>
      </c>
      <c r="DA30">
        <v>5</v>
      </c>
      <c r="DB30">
        <v>67.884615384599996</v>
      </c>
      <c r="DC30">
        <v>130</v>
      </c>
      <c r="DD30">
        <v>9</v>
      </c>
      <c r="DE30">
        <v>132.7538461538</v>
      </c>
      <c r="DF30">
        <v>97.222222222200003</v>
      </c>
      <c r="DH30" t="s">
        <v>372</v>
      </c>
      <c r="DI30" t="s">
        <v>808</v>
      </c>
      <c r="DJ30" t="s">
        <v>807</v>
      </c>
      <c r="DK30">
        <v>36</v>
      </c>
      <c r="DL30">
        <v>3</v>
      </c>
      <c r="DM30">
        <v>58.75</v>
      </c>
      <c r="DN30">
        <v>141</v>
      </c>
      <c r="DO30">
        <v>7</v>
      </c>
      <c r="DP30">
        <v>133.21985815599999</v>
      </c>
      <c r="DQ30">
        <v>90.428571428599994</v>
      </c>
    </row>
    <row r="31" spans="2:121" x14ac:dyDescent="0.2">
      <c r="B31" t="s">
        <v>1058</v>
      </c>
      <c r="C31">
        <v>111</v>
      </c>
      <c r="D31">
        <v>101</v>
      </c>
      <c r="F31" t="s">
        <v>48</v>
      </c>
      <c r="G31">
        <v>5263</v>
      </c>
      <c r="H31">
        <v>519.20634619040004</v>
      </c>
      <c r="I31">
        <v>4851</v>
      </c>
      <c r="J31">
        <v>869</v>
      </c>
      <c r="K31">
        <v>10156</v>
      </c>
      <c r="L31">
        <v>6055</v>
      </c>
      <c r="M31">
        <v>2269</v>
      </c>
      <c r="N31">
        <v>1655</v>
      </c>
      <c r="O31">
        <v>2619</v>
      </c>
      <c r="P31">
        <v>2018</v>
      </c>
      <c r="Q31">
        <v>1</v>
      </c>
      <c r="R31">
        <v>238</v>
      </c>
      <c r="T31" t="s">
        <v>460</v>
      </c>
      <c r="U31">
        <v>227342</v>
      </c>
      <c r="V31">
        <v>362.46770944219998</v>
      </c>
      <c r="W31">
        <v>346357</v>
      </c>
      <c r="X31">
        <v>74478</v>
      </c>
      <c r="Y31">
        <v>436937</v>
      </c>
      <c r="Z31">
        <v>208611</v>
      </c>
      <c r="AA31">
        <v>131106</v>
      </c>
      <c r="AB31">
        <v>100987</v>
      </c>
      <c r="AC31">
        <v>170483</v>
      </c>
      <c r="AD31">
        <v>117515</v>
      </c>
      <c r="AE31">
        <v>22241</v>
      </c>
      <c r="AF31">
        <v>4524</v>
      </c>
      <c r="AH31" t="s">
        <v>412</v>
      </c>
      <c r="AI31">
        <v>2583</v>
      </c>
      <c r="AJ31">
        <v>429.28648857920001</v>
      </c>
      <c r="AK31">
        <v>4077</v>
      </c>
      <c r="AL31">
        <v>1005</v>
      </c>
      <c r="AM31">
        <v>4309</v>
      </c>
      <c r="AN31">
        <v>2363</v>
      </c>
      <c r="AO31">
        <v>1049</v>
      </c>
      <c r="AP31">
        <v>792</v>
      </c>
      <c r="AQ31">
        <v>1941</v>
      </c>
      <c r="AR31">
        <v>1473</v>
      </c>
      <c r="AS31">
        <v>3</v>
      </c>
      <c r="AT31">
        <v>124</v>
      </c>
      <c r="AV31" t="s">
        <v>375</v>
      </c>
      <c r="AW31">
        <v>301</v>
      </c>
      <c r="AX31">
        <v>102.7574750831</v>
      </c>
      <c r="AY31">
        <v>509</v>
      </c>
      <c r="AZ31">
        <v>77</v>
      </c>
      <c r="BA31">
        <v>488</v>
      </c>
      <c r="BB31">
        <v>146</v>
      </c>
      <c r="BC31">
        <v>5</v>
      </c>
      <c r="BD31">
        <v>5</v>
      </c>
      <c r="BE31">
        <v>27</v>
      </c>
      <c r="BF31">
        <v>9</v>
      </c>
      <c r="BG31">
        <v>81</v>
      </c>
      <c r="BH31">
        <v>131</v>
      </c>
      <c r="BJ31" t="s">
        <v>521</v>
      </c>
      <c r="BK31" t="s">
        <v>368</v>
      </c>
      <c r="BL31">
        <v>1850</v>
      </c>
      <c r="BM31">
        <v>339</v>
      </c>
      <c r="BN31">
        <v>86.567567567599994</v>
      </c>
      <c r="BO31">
        <v>5826</v>
      </c>
      <c r="BP31">
        <v>387</v>
      </c>
      <c r="BQ31">
        <v>115.2315482321</v>
      </c>
      <c r="BR31">
        <v>114.8165374677</v>
      </c>
      <c r="BS31">
        <v>842</v>
      </c>
      <c r="BT31">
        <v>211</v>
      </c>
      <c r="BU31">
        <v>103.432304038</v>
      </c>
      <c r="BV31">
        <v>8709</v>
      </c>
      <c r="BW31">
        <v>719</v>
      </c>
      <c r="BX31">
        <v>124.7430244575</v>
      </c>
      <c r="BY31">
        <v>112.56745479830001</v>
      </c>
      <c r="CA31" t="s">
        <v>422</v>
      </c>
      <c r="CB31" t="s">
        <v>855</v>
      </c>
      <c r="CC31" t="s">
        <v>979</v>
      </c>
      <c r="CD31">
        <v>982</v>
      </c>
      <c r="CE31">
        <v>236</v>
      </c>
      <c r="CF31">
        <v>99.847250509199995</v>
      </c>
      <c r="CG31">
        <v>2646</v>
      </c>
      <c r="CH31">
        <v>191</v>
      </c>
      <c r="CI31">
        <v>137.23696145119999</v>
      </c>
      <c r="CJ31">
        <v>142.16230366490001</v>
      </c>
      <c r="CL31" t="s">
        <v>422</v>
      </c>
      <c r="CM31" t="s">
        <v>824</v>
      </c>
      <c r="CN31" t="s">
        <v>825</v>
      </c>
      <c r="CO31">
        <v>67</v>
      </c>
      <c r="CP31">
        <v>6</v>
      </c>
      <c r="CQ31">
        <v>59.865671641799999</v>
      </c>
      <c r="CR31">
        <v>278</v>
      </c>
      <c r="CS31">
        <v>27</v>
      </c>
      <c r="CT31">
        <v>102.9532374101</v>
      </c>
      <c r="CU31">
        <v>124.2222222222</v>
      </c>
      <c r="CW31" t="s">
        <v>422</v>
      </c>
      <c r="CX31" t="s">
        <v>840</v>
      </c>
      <c r="CY31" t="s">
        <v>841</v>
      </c>
      <c r="CZ31">
        <v>15</v>
      </c>
      <c r="DA31">
        <v>1</v>
      </c>
      <c r="DB31">
        <v>46.2</v>
      </c>
      <c r="DC31">
        <v>43</v>
      </c>
      <c r="DD31">
        <v>2</v>
      </c>
      <c r="DE31">
        <v>153.58139534879999</v>
      </c>
      <c r="DF31">
        <v>124</v>
      </c>
      <c r="DH31" t="s">
        <v>422</v>
      </c>
      <c r="DI31" t="s">
        <v>808</v>
      </c>
      <c r="DJ31" t="s">
        <v>809</v>
      </c>
      <c r="DK31">
        <v>22</v>
      </c>
      <c r="DL31">
        <v>2</v>
      </c>
      <c r="DM31">
        <v>66.181818181799997</v>
      </c>
      <c r="DN31">
        <v>54</v>
      </c>
      <c r="DO31">
        <v>1</v>
      </c>
      <c r="DP31">
        <v>152.5</v>
      </c>
      <c r="DQ31">
        <v>186</v>
      </c>
    </row>
    <row r="32" spans="2:121" x14ac:dyDescent="0.2">
      <c r="B32" t="s">
        <v>91</v>
      </c>
      <c r="C32">
        <v>565</v>
      </c>
      <c r="D32">
        <v>19</v>
      </c>
      <c r="F32" t="s">
        <v>74</v>
      </c>
      <c r="G32">
        <v>283</v>
      </c>
      <c r="H32">
        <v>90.424028268599997</v>
      </c>
      <c r="I32">
        <v>1401</v>
      </c>
      <c r="J32">
        <v>255</v>
      </c>
      <c r="K32">
        <v>1127</v>
      </c>
      <c r="L32">
        <v>90</v>
      </c>
      <c r="M32">
        <v>390</v>
      </c>
      <c r="N32">
        <v>132</v>
      </c>
      <c r="O32">
        <v>30</v>
      </c>
      <c r="P32">
        <v>17</v>
      </c>
      <c r="Q32">
        <v>0</v>
      </c>
      <c r="R32">
        <v>0</v>
      </c>
      <c r="AH32" t="s">
        <v>414</v>
      </c>
      <c r="AI32">
        <v>945</v>
      </c>
      <c r="AJ32">
        <v>253.3227513228</v>
      </c>
      <c r="AK32">
        <v>1350</v>
      </c>
      <c r="AL32">
        <v>227</v>
      </c>
      <c r="AM32">
        <v>1938</v>
      </c>
      <c r="AN32">
        <v>809</v>
      </c>
      <c r="AO32">
        <v>381</v>
      </c>
      <c r="AP32">
        <v>264</v>
      </c>
      <c r="AQ32">
        <v>335</v>
      </c>
      <c r="AR32">
        <v>200</v>
      </c>
      <c r="AS32">
        <v>212</v>
      </c>
      <c r="AT32">
        <v>4</v>
      </c>
      <c r="AV32" t="s">
        <v>390</v>
      </c>
      <c r="AW32">
        <v>537</v>
      </c>
      <c r="AX32">
        <v>54.108007448800002</v>
      </c>
      <c r="AY32">
        <v>1122</v>
      </c>
      <c r="AZ32">
        <v>173</v>
      </c>
      <c r="BA32">
        <v>972</v>
      </c>
      <c r="BB32">
        <v>75</v>
      </c>
      <c r="BC32">
        <v>1</v>
      </c>
      <c r="BD32">
        <v>1</v>
      </c>
      <c r="BE32">
        <v>86</v>
      </c>
      <c r="BF32">
        <v>15</v>
      </c>
      <c r="BG32">
        <v>128</v>
      </c>
      <c r="BH32">
        <v>144</v>
      </c>
      <c r="BJ32" t="s">
        <v>536</v>
      </c>
      <c r="BK32" t="s">
        <v>368</v>
      </c>
      <c r="BL32">
        <v>2510</v>
      </c>
      <c r="BM32">
        <v>391</v>
      </c>
      <c r="BN32">
        <v>78.138645418300001</v>
      </c>
      <c r="BO32">
        <v>8238</v>
      </c>
      <c r="BP32">
        <v>515</v>
      </c>
      <c r="BQ32">
        <v>117.1113134256</v>
      </c>
      <c r="BR32">
        <v>118.0116504854</v>
      </c>
      <c r="BS32">
        <v>2738</v>
      </c>
      <c r="BT32">
        <v>398</v>
      </c>
      <c r="BU32">
        <v>80.663623082499996</v>
      </c>
      <c r="BV32">
        <v>14763</v>
      </c>
      <c r="BW32">
        <v>954</v>
      </c>
      <c r="BX32">
        <v>126.348574138</v>
      </c>
      <c r="BY32">
        <v>110.4779874214</v>
      </c>
      <c r="CA32" t="s">
        <v>413</v>
      </c>
      <c r="CB32" t="s">
        <v>855</v>
      </c>
      <c r="CC32" t="s">
        <v>980</v>
      </c>
      <c r="CD32">
        <v>415</v>
      </c>
      <c r="CE32">
        <v>94</v>
      </c>
      <c r="CF32">
        <v>92.4987951807</v>
      </c>
      <c r="CG32">
        <v>1208</v>
      </c>
      <c r="CH32">
        <v>88</v>
      </c>
      <c r="CI32">
        <v>142.5894039735</v>
      </c>
      <c r="CJ32">
        <v>161.1590909091</v>
      </c>
      <c r="CL32" t="s">
        <v>413</v>
      </c>
      <c r="CM32" t="s">
        <v>824</v>
      </c>
      <c r="CN32" t="s">
        <v>826</v>
      </c>
      <c r="CO32">
        <v>35</v>
      </c>
      <c r="CP32">
        <v>5</v>
      </c>
      <c r="CQ32">
        <v>74.942857142899996</v>
      </c>
      <c r="CR32">
        <v>231</v>
      </c>
      <c r="CS32">
        <v>18</v>
      </c>
      <c r="CT32">
        <v>108.8268398268</v>
      </c>
      <c r="CU32">
        <v>98.944444444400006</v>
      </c>
      <c r="CW32" t="s">
        <v>413</v>
      </c>
      <c r="CX32" t="s">
        <v>840</v>
      </c>
      <c r="CY32" t="s">
        <v>842</v>
      </c>
      <c r="CZ32">
        <v>10</v>
      </c>
      <c r="DA32">
        <v>1</v>
      </c>
      <c r="DB32">
        <v>50.8</v>
      </c>
      <c r="DC32">
        <v>40</v>
      </c>
      <c r="DD32">
        <v>1</v>
      </c>
      <c r="DE32">
        <v>150.65</v>
      </c>
      <c r="DF32">
        <v>86</v>
      </c>
      <c r="DH32" t="s">
        <v>413</v>
      </c>
      <c r="DI32" t="s">
        <v>808</v>
      </c>
      <c r="DJ32" t="s">
        <v>810</v>
      </c>
      <c r="DK32">
        <v>14</v>
      </c>
      <c r="DL32">
        <v>0</v>
      </c>
      <c r="DM32">
        <v>48.428571428600002</v>
      </c>
      <c r="DN32">
        <v>59</v>
      </c>
      <c r="DO32">
        <v>4</v>
      </c>
      <c r="DP32">
        <v>124.7118644068</v>
      </c>
      <c r="DQ32">
        <v>41.5</v>
      </c>
    </row>
    <row r="33" spans="2:121" x14ac:dyDescent="0.2">
      <c r="B33" t="s">
        <v>123</v>
      </c>
      <c r="C33">
        <v>44</v>
      </c>
      <c r="D33">
        <v>34</v>
      </c>
      <c r="F33" t="s">
        <v>40</v>
      </c>
      <c r="G33">
        <v>4700</v>
      </c>
      <c r="H33">
        <v>395.28659574469998</v>
      </c>
      <c r="I33">
        <v>7144</v>
      </c>
      <c r="J33">
        <v>2085</v>
      </c>
      <c r="K33">
        <v>9303</v>
      </c>
      <c r="L33">
        <v>4879</v>
      </c>
      <c r="M33">
        <v>3918</v>
      </c>
      <c r="N33">
        <v>3307</v>
      </c>
      <c r="O33">
        <v>690</v>
      </c>
      <c r="P33">
        <v>482</v>
      </c>
      <c r="Q33">
        <v>0</v>
      </c>
      <c r="R33">
        <v>52</v>
      </c>
      <c r="AH33" t="s">
        <v>373</v>
      </c>
      <c r="AI33">
        <v>1526</v>
      </c>
      <c r="AJ33">
        <v>295.08846657930002</v>
      </c>
      <c r="AK33">
        <v>4533</v>
      </c>
      <c r="AL33">
        <v>1237</v>
      </c>
      <c r="AM33">
        <v>4205</v>
      </c>
      <c r="AN33">
        <v>1607</v>
      </c>
      <c r="AO33">
        <v>1330</v>
      </c>
      <c r="AP33">
        <v>1120</v>
      </c>
      <c r="AQ33">
        <v>2443</v>
      </c>
      <c r="AR33">
        <v>1834</v>
      </c>
      <c r="AS33">
        <v>806</v>
      </c>
      <c r="AT33">
        <v>6</v>
      </c>
      <c r="AV33" t="s">
        <v>421</v>
      </c>
      <c r="AW33">
        <v>121</v>
      </c>
      <c r="AX33">
        <v>67.537190082600006</v>
      </c>
      <c r="AY33">
        <v>207</v>
      </c>
      <c r="AZ33">
        <v>7</v>
      </c>
      <c r="BA33">
        <v>203</v>
      </c>
      <c r="BB33">
        <v>20</v>
      </c>
      <c r="BC33">
        <v>1</v>
      </c>
      <c r="BE33">
        <v>12</v>
      </c>
      <c r="BF33">
        <v>5</v>
      </c>
      <c r="BG33">
        <v>188</v>
      </c>
      <c r="BH33">
        <v>40</v>
      </c>
      <c r="BJ33" t="s">
        <v>621</v>
      </c>
      <c r="BK33" t="s">
        <v>368</v>
      </c>
      <c r="BL33">
        <v>1338</v>
      </c>
      <c r="BM33">
        <v>203</v>
      </c>
      <c r="BN33">
        <v>77.544843049299999</v>
      </c>
      <c r="BO33">
        <v>3498</v>
      </c>
      <c r="BP33">
        <v>211</v>
      </c>
      <c r="BQ33">
        <v>126.61549456829999</v>
      </c>
      <c r="BR33">
        <v>122.3033175355</v>
      </c>
      <c r="BS33">
        <v>487</v>
      </c>
      <c r="BT33">
        <v>201</v>
      </c>
      <c r="BU33">
        <v>110.3655030801</v>
      </c>
      <c r="BV33">
        <v>3675</v>
      </c>
      <c r="BW33">
        <v>203</v>
      </c>
      <c r="BX33">
        <v>134.61768707479999</v>
      </c>
      <c r="BY33">
        <v>169.44334975370001</v>
      </c>
      <c r="CA33" t="s">
        <v>415</v>
      </c>
      <c r="CB33" t="s">
        <v>855</v>
      </c>
      <c r="CC33" t="s">
        <v>981</v>
      </c>
      <c r="CD33">
        <v>1245</v>
      </c>
      <c r="CE33">
        <v>188</v>
      </c>
      <c r="CF33">
        <v>73.596787148600001</v>
      </c>
      <c r="CG33">
        <v>4681</v>
      </c>
      <c r="CH33">
        <v>293</v>
      </c>
      <c r="CI33">
        <v>102.4061098056</v>
      </c>
      <c r="CJ33">
        <v>95.061433447100001</v>
      </c>
      <c r="CL33" t="s">
        <v>415</v>
      </c>
      <c r="CM33" t="s">
        <v>824</v>
      </c>
      <c r="CN33" t="s">
        <v>827</v>
      </c>
      <c r="CO33">
        <v>122</v>
      </c>
      <c r="CP33">
        <v>8</v>
      </c>
      <c r="CQ33">
        <v>59.655737704899998</v>
      </c>
      <c r="CR33">
        <v>509</v>
      </c>
      <c r="CS33">
        <v>36</v>
      </c>
      <c r="CT33">
        <v>88.049115913600005</v>
      </c>
      <c r="CU33">
        <v>93.166666666699996</v>
      </c>
      <c r="CW33" t="s">
        <v>415</v>
      </c>
      <c r="CX33" t="s">
        <v>840</v>
      </c>
      <c r="CY33" t="s">
        <v>843</v>
      </c>
      <c r="CZ33">
        <v>15</v>
      </c>
      <c r="DA33">
        <v>1</v>
      </c>
      <c r="DB33">
        <v>60.4666666667</v>
      </c>
      <c r="DC33">
        <v>53</v>
      </c>
      <c r="DD33">
        <v>3</v>
      </c>
      <c r="DE33">
        <v>146.47169811320001</v>
      </c>
      <c r="DF33">
        <v>175.6666666667</v>
      </c>
      <c r="DH33" t="s">
        <v>415</v>
      </c>
      <c r="DI33" t="s">
        <v>808</v>
      </c>
      <c r="DJ33" t="s">
        <v>811</v>
      </c>
      <c r="DK33">
        <v>15</v>
      </c>
      <c r="DL33">
        <v>1</v>
      </c>
      <c r="DM33">
        <v>57</v>
      </c>
      <c r="DN33">
        <v>54</v>
      </c>
      <c r="DO33">
        <v>2</v>
      </c>
      <c r="DP33">
        <v>128.9074074074</v>
      </c>
      <c r="DQ33">
        <v>47</v>
      </c>
    </row>
    <row r="34" spans="2:121" x14ac:dyDescent="0.2">
      <c r="B34" t="s">
        <v>116</v>
      </c>
      <c r="C34">
        <v>13764</v>
      </c>
      <c r="D34">
        <v>4364</v>
      </c>
      <c r="F34" t="s">
        <v>67</v>
      </c>
      <c r="G34">
        <v>820</v>
      </c>
      <c r="H34">
        <v>320.23292682930003</v>
      </c>
      <c r="I34">
        <v>2555</v>
      </c>
      <c r="J34">
        <v>364</v>
      </c>
      <c r="K34">
        <v>3015</v>
      </c>
      <c r="L34">
        <v>824</v>
      </c>
      <c r="M34">
        <v>1445</v>
      </c>
      <c r="N34">
        <v>1331</v>
      </c>
      <c r="O34">
        <v>429</v>
      </c>
      <c r="P34">
        <v>247</v>
      </c>
      <c r="Q34">
        <v>0</v>
      </c>
      <c r="R34">
        <v>1</v>
      </c>
      <c r="AH34" t="s">
        <v>404</v>
      </c>
      <c r="AI34">
        <v>815</v>
      </c>
      <c r="AJ34">
        <v>222.9435582822</v>
      </c>
      <c r="AK34">
        <v>2896</v>
      </c>
      <c r="AL34">
        <v>699</v>
      </c>
      <c r="AM34">
        <v>2027</v>
      </c>
      <c r="AN34">
        <v>643</v>
      </c>
      <c r="AO34">
        <v>553</v>
      </c>
      <c r="AP34">
        <v>323</v>
      </c>
      <c r="AQ34">
        <v>983</v>
      </c>
      <c r="AR34">
        <v>586</v>
      </c>
      <c r="AS34">
        <v>6</v>
      </c>
      <c r="AT34">
        <v>12</v>
      </c>
      <c r="AV34" t="s">
        <v>413</v>
      </c>
      <c r="AW34">
        <v>35</v>
      </c>
      <c r="AX34">
        <v>95.514285714300001</v>
      </c>
      <c r="AY34">
        <v>33</v>
      </c>
      <c r="AZ34">
        <v>5</v>
      </c>
      <c r="BA34">
        <v>53</v>
      </c>
      <c r="BB34">
        <v>13</v>
      </c>
      <c r="BC34">
        <v>2</v>
      </c>
      <c r="BD34">
        <v>2</v>
      </c>
      <c r="BE34">
        <v>2</v>
      </c>
      <c r="BF34">
        <v>1</v>
      </c>
      <c r="BG34">
        <v>5</v>
      </c>
      <c r="BH34">
        <v>12</v>
      </c>
      <c r="BJ34" t="s">
        <v>517</v>
      </c>
      <c r="BK34" t="s">
        <v>368</v>
      </c>
      <c r="BL34">
        <v>4903</v>
      </c>
      <c r="BM34">
        <v>1452</v>
      </c>
      <c r="BN34">
        <v>109.97470936160001</v>
      </c>
      <c r="BO34">
        <v>12729</v>
      </c>
      <c r="BP34">
        <v>937</v>
      </c>
      <c r="BQ34">
        <v>137.4996464765</v>
      </c>
      <c r="BR34">
        <v>139.30843116330001</v>
      </c>
      <c r="BS34">
        <v>795</v>
      </c>
      <c r="BT34">
        <v>305</v>
      </c>
      <c r="BU34">
        <v>121.4264150943</v>
      </c>
      <c r="BV34">
        <v>10097</v>
      </c>
      <c r="BW34">
        <v>749</v>
      </c>
      <c r="BX34">
        <v>133.7119936615</v>
      </c>
      <c r="BY34">
        <v>140.34312416559999</v>
      </c>
      <c r="CA34" t="s">
        <v>375</v>
      </c>
      <c r="CB34" t="s">
        <v>855</v>
      </c>
      <c r="CC34" t="s">
        <v>982</v>
      </c>
      <c r="CD34">
        <v>5927</v>
      </c>
      <c r="CE34">
        <v>1450</v>
      </c>
      <c r="CF34">
        <v>99.3639277881</v>
      </c>
      <c r="CG34">
        <v>16052</v>
      </c>
      <c r="CH34">
        <v>1144</v>
      </c>
      <c r="CI34">
        <v>136.37166708199999</v>
      </c>
      <c r="CJ34">
        <v>131.22814685309999</v>
      </c>
      <c r="CL34" t="s">
        <v>375</v>
      </c>
      <c r="CM34" t="s">
        <v>824</v>
      </c>
      <c r="CN34" t="s">
        <v>828</v>
      </c>
      <c r="CO34">
        <v>471</v>
      </c>
      <c r="CP34">
        <v>63</v>
      </c>
      <c r="CQ34">
        <v>68.259023354600004</v>
      </c>
      <c r="CR34">
        <v>1766</v>
      </c>
      <c r="CS34">
        <v>137</v>
      </c>
      <c r="CT34">
        <v>102.3935447339</v>
      </c>
      <c r="CU34">
        <v>119.9854014599</v>
      </c>
      <c r="CW34" t="s">
        <v>375</v>
      </c>
      <c r="CX34" t="s">
        <v>840</v>
      </c>
      <c r="CY34" t="s">
        <v>844</v>
      </c>
      <c r="CZ34">
        <v>167</v>
      </c>
      <c r="DA34">
        <v>21</v>
      </c>
      <c r="DB34">
        <v>70.706586826299997</v>
      </c>
      <c r="DC34">
        <v>529</v>
      </c>
      <c r="DD34">
        <v>24</v>
      </c>
      <c r="DE34">
        <v>144.8809073724</v>
      </c>
      <c r="DF34">
        <v>128.8333333333</v>
      </c>
      <c r="DH34" t="s">
        <v>375</v>
      </c>
      <c r="DI34" t="s">
        <v>808</v>
      </c>
      <c r="DJ34" t="s">
        <v>812</v>
      </c>
      <c r="DK34">
        <v>198</v>
      </c>
      <c r="DL34">
        <v>17</v>
      </c>
      <c r="DM34">
        <v>64.722222222200003</v>
      </c>
      <c r="DN34">
        <v>737</v>
      </c>
      <c r="DO34">
        <v>32</v>
      </c>
      <c r="DP34">
        <v>141.18995929440001</v>
      </c>
      <c r="DQ34">
        <v>108.65625</v>
      </c>
    </row>
    <row r="35" spans="2:121" x14ac:dyDescent="0.2">
      <c r="B35" t="s">
        <v>115</v>
      </c>
      <c r="C35">
        <v>5552</v>
      </c>
      <c r="D35">
        <v>1425</v>
      </c>
      <c r="F35" t="s">
        <v>59</v>
      </c>
      <c r="G35">
        <v>3398</v>
      </c>
      <c r="H35">
        <v>423.96203649210003</v>
      </c>
      <c r="I35">
        <v>4985</v>
      </c>
      <c r="J35">
        <v>1013</v>
      </c>
      <c r="K35">
        <v>6347</v>
      </c>
      <c r="L35">
        <v>3024</v>
      </c>
      <c r="M35">
        <v>1254</v>
      </c>
      <c r="N35">
        <v>891</v>
      </c>
      <c r="O35">
        <v>1884</v>
      </c>
      <c r="P35">
        <v>1345</v>
      </c>
      <c r="Q35">
        <v>2</v>
      </c>
      <c r="R35">
        <v>273</v>
      </c>
      <c r="AH35" t="s">
        <v>60</v>
      </c>
      <c r="AI35">
        <v>3329</v>
      </c>
      <c r="AJ35">
        <v>274.04656052870001</v>
      </c>
      <c r="AK35">
        <v>9112</v>
      </c>
      <c r="AL35">
        <v>2235</v>
      </c>
      <c r="AM35">
        <v>9050</v>
      </c>
      <c r="AN35">
        <v>3424</v>
      </c>
      <c r="AO35">
        <v>3112</v>
      </c>
      <c r="AP35">
        <v>2444</v>
      </c>
      <c r="AQ35">
        <v>6120</v>
      </c>
      <c r="AR35">
        <v>4600</v>
      </c>
      <c r="AS35">
        <v>1732</v>
      </c>
      <c r="AT35">
        <v>11</v>
      </c>
      <c r="AV35" t="s">
        <v>424</v>
      </c>
      <c r="AW35">
        <v>2573</v>
      </c>
      <c r="AX35">
        <v>101.4508356005</v>
      </c>
      <c r="AY35">
        <v>3149</v>
      </c>
      <c r="AZ35">
        <v>491</v>
      </c>
      <c r="BA35">
        <v>3439</v>
      </c>
      <c r="BB35">
        <v>1080</v>
      </c>
      <c r="BC35">
        <v>16</v>
      </c>
      <c r="BD35">
        <v>15</v>
      </c>
      <c r="BE35">
        <v>123</v>
      </c>
      <c r="BF35">
        <v>55</v>
      </c>
      <c r="BG35">
        <v>432</v>
      </c>
      <c r="BH35">
        <v>539</v>
      </c>
      <c r="BJ35" t="s">
        <v>523</v>
      </c>
      <c r="BK35" t="s">
        <v>368</v>
      </c>
      <c r="BL35">
        <v>2872</v>
      </c>
      <c r="BM35">
        <v>728</v>
      </c>
      <c r="BN35">
        <v>96.521239554299996</v>
      </c>
      <c r="BO35">
        <v>7062</v>
      </c>
      <c r="BP35">
        <v>449</v>
      </c>
      <c r="BQ35">
        <v>138.3501840838</v>
      </c>
      <c r="BR35">
        <v>147.70601336300001</v>
      </c>
      <c r="BS35">
        <v>738</v>
      </c>
      <c r="BT35">
        <v>282</v>
      </c>
      <c r="BU35">
        <v>119.5772357724</v>
      </c>
      <c r="BV35">
        <v>4686</v>
      </c>
      <c r="BW35">
        <v>310</v>
      </c>
      <c r="BX35">
        <v>145.35766111820001</v>
      </c>
      <c r="BY35">
        <v>170.27419354840001</v>
      </c>
      <c r="CA35" t="s">
        <v>370</v>
      </c>
      <c r="CB35" t="s">
        <v>855</v>
      </c>
      <c r="CC35" t="s">
        <v>983</v>
      </c>
      <c r="CD35">
        <v>4401</v>
      </c>
      <c r="CE35">
        <v>891</v>
      </c>
      <c r="CF35">
        <v>86.152919791000002</v>
      </c>
      <c r="CG35">
        <v>12493</v>
      </c>
      <c r="CH35">
        <v>781</v>
      </c>
      <c r="CI35">
        <v>126.06003361880001</v>
      </c>
      <c r="CJ35">
        <v>116.3213828425</v>
      </c>
      <c r="CL35" t="s">
        <v>370</v>
      </c>
      <c r="CM35" t="s">
        <v>824</v>
      </c>
      <c r="CN35" t="s">
        <v>829</v>
      </c>
      <c r="CO35">
        <v>434</v>
      </c>
      <c r="CP35">
        <v>56</v>
      </c>
      <c r="CQ35">
        <v>65.831797234999996</v>
      </c>
      <c r="CR35">
        <v>1685</v>
      </c>
      <c r="CS35">
        <v>134</v>
      </c>
      <c r="CT35">
        <v>93.936498516300006</v>
      </c>
      <c r="CU35">
        <v>93.455223880600002</v>
      </c>
      <c r="CW35" t="s">
        <v>370</v>
      </c>
      <c r="CX35" t="s">
        <v>840</v>
      </c>
      <c r="CY35" t="s">
        <v>845</v>
      </c>
      <c r="CZ35">
        <v>79</v>
      </c>
      <c r="DA35">
        <v>5</v>
      </c>
      <c r="DB35">
        <v>61.3291139241</v>
      </c>
      <c r="DC35">
        <v>207</v>
      </c>
      <c r="DD35">
        <v>14</v>
      </c>
      <c r="DE35">
        <v>134.25120772950001</v>
      </c>
      <c r="DF35">
        <v>93.285714285699996</v>
      </c>
      <c r="DH35" t="s">
        <v>370</v>
      </c>
      <c r="DI35" t="s">
        <v>808</v>
      </c>
      <c r="DJ35" t="s">
        <v>813</v>
      </c>
      <c r="DK35">
        <v>58</v>
      </c>
      <c r="DL35">
        <v>3</v>
      </c>
      <c r="DM35">
        <v>61.620689655200003</v>
      </c>
      <c r="DN35">
        <v>130</v>
      </c>
      <c r="DO35">
        <v>12</v>
      </c>
      <c r="DP35">
        <v>119.02307692310001</v>
      </c>
      <c r="DQ35">
        <v>67.166666666699996</v>
      </c>
    </row>
    <row r="36" spans="2:121" x14ac:dyDescent="0.2">
      <c r="B36" t="s">
        <v>108</v>
      </c>
      <c r="C36">
        <v>474</v>
      </c>
      <c r="D36">
        <v>388</v>
      </c>
      <c r="F36" t="s">
        <v>44</v>
      </c>
      <c r="G36">
        <v>541</v>
      </c>
      <c r="H36">
        <v>286.4251386322</v>
      </c>
      <c r="I36">
        <v>1724</v>
      </c>
      <c r="J36">
        <v>331</v>
      </c>
      <c r="K36">
        <v>2399</v>
      </c>
      <c r="L36">
        <v>647</v>
      </c>
      <c r="M36">
        <v>443</v>
      </c>
      <c r="N36">
        <v>265</v>
      </c>
      <c r="O36">
        <v>573</v>
      </c>
      <c r="P36">
        <v>450</v>
      </c>
      <c r="Q36">
        <v>0</v>
      </c>
      <c r="R36">
        <v>5</v>
      </c>
      <c r="T36" t="s">
        <v>645</v>
      </c>
      <c r="U36" t="s">
        <v>306</v>
      </c>
      <c r="V36" t="s">
        <v>133</v>
      </c>
      <c r="W36" t="s">
        <v>214</v>
      </c>
      <c r="X36" t="s">
        <v>458</v>
      </c>
      <c r="Y36" t="s">
        <v>216</v>
      </c>
      <c r="Z36" t="s">
        <v>217</v>
      </c>
      <c r="AA36" t="s">
        <v>218</v>
      </c>
      <c r="AB36" t="s">
        <v>459</v>
      </c>
      <c r="AC36" t="s">
        <v>220</v>
      </c>
      <c r="AD36" t="s">
        <v>221</v>
      </c>
      <c r="AE36" t="s">
        <v>222</v>
      </c>
      <c r="AF36" t="s">
        <v>223</v>
      </c>
      <c r="AH36" t="s">
        <v>381</v>
      </c>
      <c r="AI36">
        <v>13068</v>
      </c>
      <c r="AJ36">
        <v>339.59067952250001</v>
      </c>
      <c r="AK36">
        <v>18236</v>
      </c>
      <c r="AL36">
        <v>4131</v>
      </c>
      <c r="AM36">
        <v>20484</v>
      </c>
      <c r="AN36">
        <v>11184</v>
      </c>
      <c r="AO36">
        <v>8929</v>
      </c>
      <c r="AP36">
        <v>7016</v>
      </c>
      <c r="AQ36">
        <v>7609</v>
      </c>
      <c r="AR36">
        <v>5234</v>
      </c>
      <c r="AS36">
        <v>1242</v>
      </c>
      <c r="AT36">
        <v>42</v>
      </c>
      <c r="AV36" t="s">
        <v>80</v>
      </c>
      <c r="AW36">
        <v>178</v>
      </c>
      <c r="AX36">
        <v>69.831460674200002</v>
      </c>
      <c r="AY36">
        <v>351</v>
      </c>
      <c r="AZ36">
        <v>19</v>
      </c>
      <c r="BA36">
        <v>394</v>
      </c>
      <c r="BB36">
        <v>65</v>
      </c>
      <c r="BC36">
        <v>0</v>
      </c>
      <c r="BE36">
        <v>25</v>
      </c>
      <c r="BF36">
        <v>10</v>
      </c>
      <c r="BG36">
        <v>519</v>
      </c>
      <c r="BH36">
        <v>138</v>
      </c>
      <c r="BJ36" t="s">
        <v>368</v>
      </c>
      <c r="BK36" t="s">
        <v>368</v>
      </c>
      <c r="BL36">
        <v>74215</v>
      </c>
      <c r="BM36">
        <v>17144</v>
      </c>
      <c r="BN36">
        <v>94.764521996900001</v>
      </c>
      <c r="BO36">
        <v>207829</v>
      </c>
      <c r="BP36">
        <v>13652</v>
      </c>
      <c r="BQ36">
        <v>130.58255103959999</v>
      </c>
      <c r="BR36">
        <v>129.4625695869</v>
      </c>
      <c r="BS36">
        <v>25694</v>
      </c>
      <c r="BT36">
        <v>7199</v>
      </c>
      <c r="BU36">
        <v>100.97010975320001</v>
      </c>
      <c r="BV36">
        <v>199499</v>
      </c>
      <c r="BW36">
        <v>13542</v>
      </c>
      <c r="BX36">
        <v>129.62920616139999</v>
      </c>
      <c r="BY36">
        <v>127.2563875351</v>
      </c>
      <c r="CA36" t="s">
        <v>414</v>
      </c>
      <c r="CB36" t="s">
        <v>855</v>
      </c>
      <c r="CC36" t="s">
        <v>984</v>
      </c>
      <c r="CD36">
        <v>1367</v>
      </c>
      <c r="CE36">
        <v>213</v>
      </c>
      <c r="CF36">
        <v>77.991953182200007</v>
      </c>
      <c r="CG36">
        <v>3738</v>
      </c>
      <c r="CH36">
        <v>221</v>
      </c>
      <c r="CI36">
        <v>125.3448368111</v>
      </c>
      <c r="CJ36">
        <v>116.9819004525</v>
      </c>
      <c r="CL36" t="s">
        <v>414</v>
      </c>
      <c r="CM36" t="s">
        <v>824</v>
      </c>
      <c r="CN36" t="s">
        <v>830</v>
      </c>
      <c r="CO36">
        <v>93</v>
      </c>
      <c r="CP36">
        <v>15</v>
      </c>
      <c r="CQ36">
        <v>66.806451612900005</v>
      </c>
      <c r="CR36">
        <v>433</v>
      </c>
      <c r="CS36">
        <v>47</v>
      </c>
      <c r="CT36">
        <v>93</v>
      </c>
      <c r="CU36">
        <v>88.957446808499995</v>
      </c>
      <c r="CW36" t="s">
        <v>414</v>
      </c>
      <c r="CX36" t="s">
        <v>840</v>
      </c>
      <c r="CY36" t="s">
        <v>846</v>
      </c>
      <c r="CZ36">
        <v>29</v>
      </c>
      <c r="DA36">
        <v>3</v>
      </c>
      <c r="DB36">
        <v>68.793103448300002</v>
      </c>
      <c r="DC36">
        <v>54</v>
      </c>
      <c r="DD36">
        <v>2</v>
      </c>
      <c r="DE36">
        <v>142.0185185185</v>
      </c>
      <c r="DF36">
        <v>84.5</v>
      </c>
      <c r="DH36" t="s">
        <v>414</v>
      </c>
      <c r="DI36" t="s">
        <v>808</v>
      </c>
      <c r="DJ36" t="s">
        <v>814</v>
      </c>
      <c r="DK36">
        <v>13</v>
      </c>
      <c r="DL36">
        <v>1</v>
      </c>
      <c r="DM36">
        <v>41.2307692308</v>
      </c>
      <c r="DN36">
        <v>52</v>
      </c>
      <c r="DO36">
        <v>2</v>
      </c>
      <c r="DP36">
        <v>135.82692307689999</v>
      </c>
      <c r="DQ36">
        <v>72.5</v>
      </c>
    </row>
    <row r="37" spans="2:121" x14ac:dyDescent="0.2">
      <c r="B37" t="s">
        <v>21</v>
      </c>
      <c r="C37">
        <v>36110</v>
      </c>
      <c r="D37">
        <v>9626</v>
      </c>
      <c r="F37" t="s">
        <v>37</v>
      </c>
      <c r="G37">
        <v>4381</v>
      </c>
      <c r="H37">
        <v>488.4382561059</v>
      </c>
      <c r="I37">
        <v>6307</v>
      </c>
      <c r="J37">
        <v>1773</v>
      </c>
      <c r="K37">
        <v>7687</v>
      </c>
      <c r="L37">
        <v>4464</v>
      </c>
      <c r="M37">
        <v>1737</v>
      </c>
      <c r="N37">
        <v>1615</v>
      </c>
      <c r="O37">
        <v>1486</v>
      </c>
      <c r="P37">
        <v>955</v>
      </c>
      <c r="Q37">
        <v>0</v>
      </c>
      <c r="R37">
        <v>215</v>
      </c>
      <c r="T37" t="s">
        <v>389</v>
      </c>
      <c r="U37">
        <v>2994</v>
      </c>
      <c r="V37">
        <v>58.738142952600001</v>
      </c>
      <c r="W37">
        <v>5578</v>
      </c>
      <c r="X37">
        <v>708</v>
      </c>
      <c r="Y37">
        <v>4879</v>
      </c>
      <c r="Z37">
        <v>380</v>
      </c>
      <c r="AA37">
        <v>9</v>
      </c>
      <c r="AB37">
        <v>8</v>
      </c>
      <c r="AC37">
        <v>374</v>
      </c>
      <c r="AD37">
        <v>102</v>
      </c>
      <c r="AE37">
        <v>2356</v>
      </c>
      <c r="AF37">
        <v>846</v>
      </c>
      <c r="AH37" t="s">
        <v>418</v>
      </c>
      <c r="AI37">
        <v>243</v>
      </c>
      <c r="AJ37">
        <v>149.7037037037</v>
      </c>
      <c r="AK37">
        <v>623</v>
      </c>
      <c r="AL37">
        <v>93</v>
      </c>
      <c r="AM37">
        <v>879</v>
      </c>
      <c r="AN37">
        <v>115</v>
      </c>
      <c r="AO37">
        <v>163</v>
      </c>
      <c r="AP37">
        <v>76</v>
      </c>
      <c r="AQ37">
        <v>155</v>
      </c>
      <c r="AR37">
        <v>98</v>
      </c>
      <c r="AS37">
        <v>2</v>
      </c>
      <c r="AT37">
        <v>2</v>
      </c>
      <c r="AV37" t="s">
        <v>386</v>
      </c>
      <c r="AW37">
        <v>339</v>
      </c>
      <c r="AX37">
        <v>59.3274336283</v>
      </c>
      <c r="AY37">
        <v>503</v>
      </c>
      <c r="AZ37">
        <v>58</v>
      </c>
      <c r="BA37">
        <v>487</v>
      </c>
      <c r="BB37">
        <v>41</v>
      </c>
      <c r="BC37">
        <v>2</v>
      </c>
      <c r="BD37">
        <v>2</v>
      </c>
      <c r="BE37">
        <v>41</v>
      </c>
      <c r="BF37">
        <v>12</v>
      </c>
      <c r="BG37">
        <v>99</v>
      </c>
      <c r="BH37">
        <v>87</v>
      </c>
      <c r="BJ37" t="s">
        <v>525</v>
      </c>
      <c r="BK37" t="s">
        <v>368</v>
      </c>
      <c r="BL37">
        <v>8335</v>
      </c>
      <c r="BM37">
        <v>2678</v>
      </c>
      <c r="BN37">
        <v>120.28674265150001</v>
      </c>
      <c r="BO37">
        <v>20504</v>
      </c>
      <c r="BP37">
        <v>1326</v>
      </c>
      <c r="BQ37">
        <v>149.41621147090001</v>
      </c>
      <c r="BR37">
        <v>160.24283559579999</v>
      </c>
      <c r="BS37">
        <v>3317</v>
      </c>
      <c r="BT37">
        <v>1267</v>
      </c>
      <c r="BU37">
        <v>124.0141694302</v>
      </c>
      <c r="BV37">
        <v>21170</v>
      </c>
      <c r="BW37">
        <v>1506</v>
      </c>
      <c r="BX37">
        <v>145.201511573</v>
      </c>
      <c r="BY37">
        <v>140.8486055777</v>
      </c>
      <c r="CA37" t="s">
        <v>373</v>
      </c>
      <c r="CB37" t="s">
        <v>855</v>
      </c>
      <c r="CC37" t="s">
        <v>985</v>
      </c>
      <c r="CD37">
        <v>4419</v>
      </c>
      <c r="CE37">
        <v>1225</v>
      </c>
      <c r="CF37">
        <v>104.7071735687</v>
      </c>
      <c r="CG37">
        <v>10887</v>
      </c>
      <c r="CH37">
        <v>706</v>
      </c>
      <c r="CI37">
        <v>139.5073941398</v>
      </c>
      <c r="CJ37">
        <v>154.43342776200001</v>
      </c>
      <c r="CL37" t="s">
        <v>373</v>
      </c>
      <c r="CM37" t="s">
        <v>824</v>
      </c>
      <c r="CN37" t="s">
        <v>831</v>
      </c>
      <c r="CO37">
        <v>462</v>
      </c>
      <c r="CP37">
        <v>72</v>
      </c>
      <c r="CQ37">
        <v>70.129870129899999</v>
      </c>
      <c r="CR37">
        <v>1853</v>
      </c>
      <c r="CS37">
        <v>156</v>
      </c>
      <c r="CT37">
        <v>97.025364274200001</v>
      </c>
      <c r="CU37">
        <v>96.878205128199994</v>
      </c>
      <c r="CW37" t="s">
        <v>373</v>
      </c>
      <c r="CX37" t="s">
        <v>840</v>
      </c>
      <c r="CY37" t="s">
        <v>847</v>
      </c>
      <c r="CZ37">
        <v>95</v>
      </c>
      <c r="DA37">
        <v>7</v>
      </c>
      <c r="DB37">
        <v>58.494736842099996</v>
      </c>
      <c r="DC37">
        <v>247</v>
      </c>
      <c r="DD37">
        <v>18</v>
      </c>
      <c r="DE37">
        <v>143.4331983806</v>
      </c>
      <c r="DF37">
        <v>121.1111111111</v>
      </c>
      <c r="DH37" t="s">
        <v>373</v>
      </c>
      <c r="DI37" t="s">
        <v>808</v>
      </c>
      <c r="DJ37" t="s">
        <v>815</v>
      </c>
      <c r="DK37">
        <v>76</v>
      </c>
      <c r="DL37">
        <v>9</v>
      </c>
      <c r="DM37">
        <v>68.605263157899998</v>
      </c>
      <c r="DN37">
        <v>182</v>
      </c>
      <c r="DO37">
        <v>7</v>
      </c>
      <c r="DP37">
        <v>134.7362637363</v>
      </c>
      <c r="DQ37">
        <v>80.571428571400006</v>
      </c>
    </row>
    <row r="38" spans="2:121" x14ac:dyDescent="0.2">
      <c r="B38" t="s">
        <v>99</v>
      </c>
      <c r="C38">
        <v>20328</v>
      </c>
      <c r="D38">
        <v>3044</v>
      </c>
      <c r="F38" t="s">
        <v>71</v>
      </c>
      <c r="G38">
        <v>4849</v>
      </c>
      <c r="H38">
        <v>327.78614147249999</v>
      </c>
      <c r="I38">
        <v>12681</v>
      </c>
      <c r="J38">
        <v>2139</v>
      </c>
      <c r="K38">
        <v>17345</v>
      </c>
      <c r="L38">
        <v>7739</v>
      </c>
      <c r="M38">
        <v>6597</v>
      </c>
      <c r="N38">
        <v>4563</v>
      </c>
      <c r="O38">
        <v>2359</v>
      </c>
      <c r="P38">
        <v>1644</v>
      </c>
      <c r="Q38">
        <v>0</v>
      </c>
      <c r="R38">
        <v>63</v>
      </c>
      <c r="T38" t="s">
        <v>379</v>
      </c>
      <c r="U38">
        <v>7338</v>
      </c>
      <c r="V38">
        <v>100.5117198147</v>
      </c>
      <c r="W38">
        <v>8088</v>
      </c>
      <c r="X38">
        <v>1196</v>
      </c>
      <c r="Y38">
        <v>9867</v>
      </c>
      <c r="Z38">
        <v>2989</v>
      </c>
      <c r="AA38">
        <v>24</v>
      </c>
      <c r="AB38">
        <v>22</v>
      </c>
      <c r="AC38">
        <v>434</v>
      </c>
      <c r="AD38">
        <v>152</v>
      </c>
      <c r="AE38">
        <v>1253</v>
      </c>
      <c r="AF38">
        <v>1521</v>
      </c>
      <c r="AH38" t="s">
        <v>390</v>
      </c>
      <c r="AI38">
        <v>4809</v>
      </c>
      <c r="AJ38">
        <v>489.14992721980002</v>
      </c>
      <c r="AK38">
        <v>8501</v>
      </c>
      <c r="AL38">
        <v>1795</v>
      </c>
      <c r="AM38">
        <v>9654</v>
      </c>
      <c r="AN38">
        <v>4438</v>
      </c>
      <c r="AO38">
        <v>2863</v>
      </c>
      <c r="AP38">
        <v>2535</v>
      </c>
      <c r="AQ38">
        <v>4331</v>
      </c>
      <c r="AR38">
        <v>3179</v>
      </c>
      <c r="AS38">
        <v>1040</v>
      </c>
      <c r="AT38">
        <v>338</v>
      </c>
      <c r="AV38" t="s">
        <v>372</v>
      </c>
      <c r="AW38">
        <v>207</v>
      </c>
      <c r="AX38">
        <v>102.4057971014</v>
      </c>
      <c r="AY38">
        <v>333</v>
      </c>
      <c r="AZ38">
        <v>53</v>
      </c>
      <c r="BA38">
        <v>274</v>
      </c>
      <c r="BB38">
        <v>78</v>
      </c>
      <c r="BC38">
        <v>0</v>
      </c>
      <c r="BE38">
        <v>16</v>
      </c>
      <c r="BF38">
        <v>6</v>
      </c>
      <c r="BG38">
        <v>17</v>
      </c>
      <c r="BH38">
        <v>43</v>
      </c>
      <c r="BJ38" t="s">
        <v>528</v>
      </c>
      <c r="BK38" t="s">
        <v>368</v>
      </c>
      <c r="BL38">
        <v>4421</v>
      </c>
      <c r="BM38">
        <v>1371</v>
      </c>
      <c r="BN38">
        <v>114.5632209907</v>
      </c>
      <c r="BO38">
        <v>11811</v>
      </c>
      <c r="BP38">
        <v>898</v>
      </c>
      <c r="BQ38">
        <v>157.21031242059999</v>
      </c>
      <c r="BR38">
        <v>153.58240534519999</v>
      </c>
      <c r="BS38">
        <v>951</v>
      </c>
      <c r="BT38">
        <v>362</v>
      </c>
      <c r="BU38">
        <v>124.8717139853</v>
      </c>
      <c r="BV38">
        <v>9737</v>
      </c>
      <c r="BW38">
        <v>510</v>
      </c>
      <c r="BX38">
        <v>174.23877991169999</v>
      </c>
      <c r="BY38">
        <v>185.33921568630001</v>
      </c>
      <c r="CA38" t="s">
        <v>60</v>
      </c>
      <c r="CB38" t="s">
        <v>855</v>
      </c>
      <c r="CC38" t="s">
        <v>517</v>
      </c>
      <c r="CD38">
        <v>8866</v>
      </c>
      <c r="CE38">
        <v>2189</v>
      </c>
      <c r="CF38">
        <v>98.891946762900005</v>
      </c>
      <c r="CG38">
        <v>25128</v>
      </c>
      <c r="CH38">
        <v>1752</v>
      </c>
      <c r="CI38">
        <v>129.51424705509999</v>
      </c>
      <c r="CJ38">
        <v>127.1466894977</v>
      </c>
      <c r="CL38" t="s">
        <v>60</v>
      </c>
      <c r="CM38" t="s">
        <v>824</v>
      </c>
      <c r="CN38" t="s">
        <v>832</v>
      </c>
      <c r="CO38">
        <v>1083</v>
      </c>
      <c r="CP38">
        <v>122</v>
      </c>
      <c r="CQ38">
        <v>64.571560480100004</v>
      </c>
      <c r="CR38">
        <v>4738</v>
      </c>
      <c r="CS38">
        <v>400</v>
      </c>
      <c r="CT38">
        <v>99.517095820999998</v>
      </c>
      <c r="CU38">
        <v>102.0425</v>
      </c>
      <c r="CW38" t="s">
        <v>60</v>
      </c>
      <c r="CX38" t="s">
        <v>840</v>
      </c>
      <c r="CY38" t="s">
        <v>848</v>
      </c>
      <c r="CZ38">
        <v>223</v>
      </c>
      <c r="DA38">
        <v>18</v>
      </c>
      <c r="DB38">
        <v>58.869955157</v>
      </c>
      <c r="DC38">
        <v>551</v>
      </c>
      <c r="DD38">
        <v>36</v>
      </c>
      <c r="DE38">
        <v>136.4010889292</v>
      </c>
      <c r="DF38">
        <v>110.1388888889</v>
      </c>
      <c r="DH38" t="s">
        <v>60</v>
      </c>
      <c r="DI38" t="s">
        <v>808</v>
      </c>
      <c r="DJ38" t="s">
        <v>816</v>
      </c>
      <c r="DK38">
        <v>150</v>
      </c>
      <c r="DL38">
        <v>17</v>
      </c>
      <c r="DM38">
        <v>61.593333333300002</v>
      </c>
      <c r="DN38">
        <v>401</v>
      </c>
      <c r="DO38">
        <v>28</v>
      </c>
      <c r="DP38">
        <v>127.63840399</v>
      </c>
      <c r="DQ38">
        <v>90.25</v>
      </c>
    </row>
    <row r="39" spans="2:121" x14ac:dyDescent="0.2">
      <c r="B39" t="s">
        <v>102</v>
      </c>
      <c r="C39">
        <v>25336</v>
      </c>
      <c r="D39">
        <v>17360</v>
      </c>
      <c r="F39" t="s">
        <v>8</v>
      </c>
      <c r="G39">
        <v>79</v>
      </c>
      <c r="H39">
        <v>367.34177215189999</v>
      </c>
      <c r="I39">
        <v>63</v>
      </c>
      <c r="J39">
        <v>54</v>
      </c>
      <c r="K39">
        <v>283</v>
      </c>
      <c r="L39">
        <v>95</v>
      </c>
      <c r="M39">
        <v>136</v>
      </c>
      <c r="N39">
        <v>80</v>
      </c>
      <c r="O39">
        <v>66493</v>
      </c>
      <c r="P39">
        <v>40090</v>
      </c>
      <c r="Q39">
        <v>0</v>
      </c>
      <c r="R39">
        <v>0</v>
      </c>
      <c r="T39" t="s">
        <v>384</v>
      </c>
      <c r="U39">
        <v>2184</v>
      </c>
      <c r="V39">
        <v>64.433150183199999</v>
      </c>
      <c r="W39">
        <v>3167</v>
      </c>
      <c r="X39">
        <v>200</v>
      </c>
      <c r="Y39">
        <v>3661</v>
      </c>
      <c r="Z39">
        <v>363</v>
      </c>
      <c r="AA39">
        <v>20</v>
      </c>
      <c r="AB39">
        <v>20</v>
      </c>
      <c r="AC39">
        <v>253</v>
      </c>
      <c r="AD39">
        <v>89</v>
      </c>
      <c r="AE39">
        <v>3278</v>
      </c>
      <c r="AF39">
        <v>945</v>
      </c>
      <c r="AH39" t="s">
        <v>411</v>
      </c>
      <c r="AI39">
        <v>1439</v>
      </c>
      <c r="AJ39">
        <v>166.93745656710001</v>
      </c>
      <c r="AK39">
        <v>7001</v>
      </c>
      <c r="AL39">
        <v>648</v>
      </c>
      <c r="AM39">
        <v>4646</v>
      </c>
      <c r="AN39">
        <v>688</v>
      </c>
      <c r="AO39">
        <v>1070</v>
      </c>
      <c r="AP39">
        <v>551</v>
      </c>
      <c r="AQ39">
        <v>2960</v>
      </c>
      <c r="AR39">
        <v>1849</v>
      </c>
      <c r="AS39">
        <v>9</v>
      </c>
      <c r="AT39">
        <v>22</v>
      </c>
      <c r="AV39" t="s">
        <v>396</v>
      </c>
      <c r="AW39">
        <v>409</v>
      </c>
      <c r="AX39">
        <v>52.547677261600001</v>
      </c>
      <c r="AY39">
        <v>713</v>
      </c>
      <c r="AZ39">
        <v>99</v>
      </c>
      <c r="BA39">
        <v>641</v>
      </c>
      <c r="BB39">
        <v>44</v>
      </c>
      <c r="BC39">
        <v>2</v>
      </c>
      <c r="BD39">
        <v>2</v>
      </c>
      <c r="BE39">
        <v>53</v>
      </c>
      <c r="BF39">
        <v>18</v>
      </c>
      <c r="BG39">
        <v>136</v>
      </c>
      <c r="BH39">
        <v>74</v>
      </c>
      <c r="BJ39" t="s">
        <v>513</v>
      </c>
      <c r="BK39" t="s">
        <v>368</v>
      </c>
      <c r="BL39">
        <v>2757</v>
      </c>
      <c r="BM39">
        <v>374</v>
      </c>
      <c r="BN39">
        <v>72.486760972100001</v>
      </c>
      <c r="BO39">
        <v>19198</v>
      </c>
      <c r="BP39">
        <v>1239</v>
      </c>
      <c r="BQ39">
        <v>56.720231274100001</v>
      </c>
      <c r="BR39">
        <v>59.926553672300003</v>
      </c>
      <c r="BS39">
        <v>1973</v>
      </c>
      <c r="BT39">
        <v>270</v>
      </c>
      <c r="BU39">
        <v>65.5549923974</v>
      </c>
      <c r="BV39">
        <v>23467</v>
      </c>
      <c r="BW39">
        <v>1613</v>
      </c>
      <c r="BX39">
        <v>72.232454084500006</v>
      </c>
      <c r="BY39">
        <v>71.2765034098</v>
      </c>
      <c r="CA39" t="s">
        <v>381</v>
      </c>
      <c r="CB39" t="s">
        <v>855</v>
      </c>
      <c r="CC39" t="s">
        <v>986</v>
      </c>
      <c r="CD39">
        <v>17535</v>
      </c>
      <c r="CE39">
        <v>3991</v>
      </c>
      <c r="CF39">
        <v>90.687368120900004</v>
      </c>
      <c r="CG39">
        <v>45422</v>
      </c>
      <c r="CH39">
        <v>3001</v>
      </c>
      <c r="CI39">
        <v>135.1586455902</v>
      </c>
      <c r="CJ39">
        <v>126.5831389537</v>
      </c>
      <c r="CL39" t="s">
        <v>381</v>
      </c>
      <c r="CM39" t="s">
        <v>824</v>
      </c>
      <c r="CN39" t="s">
        <v>833</v>
      </c>
      <c r="CO39">
        <v>1243</v>
      </c>
      <c r="CP39">
        <v>170</v>
      </c>
      <c r="CQ39">
        <v>69.514883346700003</v>
      </c>
      <c r="CR39">
        <v>4765</v>
      </c>
      <c r="CS39">
        <v>392</v>
      </c>
      <c r="CT39">
        <v>98.010073452300006</v>
      </c>
      <c r="CU39">
        <v>103.76530612240001</v>
      </c>
      <c r="CW39" t="s">
        <v>381</v>
      </c>
      <c r="CX39" t="s">
        <v>840</v>
      </c>
      <c r="CY39" t="s">
        <v>849</v>
      </c>
      <c r="CZ39">
        <v>483</v>
      </c>
      <c r="DA39">
        <v>53</v>
      </c>
      <c r="DB39">
        <v>68.519668737100005</v>
      </c>
      <c r="DC39">
        <v>1208</v>
      </c>
      <c r="DD39">
        <v>79</v>
      </c>
      <c r="DE39">
        <v>148.69205298009999</v>
      </c>
      <c r="DF39">
        <v>129.86075949369999</v>
      </c>
      <c r="DH39" t="s">
        <v>381</v>
      </c>
      <c r="DI39" t="s">
        <v>808</v>
      </c>
      <c r="DJ39" t="s">
        <v>817</v>
      </c>
      <c r="DK39">
        <v>799</v>
      </c>
      <c r="DL39">
        <v>56</v>
      </c>
      <c r="DM39">
        <v>56.769712140199999</v>
      </c>
      <c r="DN39">
        <v>2100</v>
      </c>
      <c r="DO39">
        <v>71</v>
      </c>
      <c r="DP39">
        <v>140.35238095240001</v>
      </c>
      <c r="DQ39">
        <v>113.9154929577</v>
      </c>
    </row>
    <row r="40" spans="2:121" x14ac:dyDescent="0.2">
      <c r="B40" t="s">
        <v>1057</v>
      </c>
      <c r="C40">
        <v>1064</v>
      </c>
      <c r="D40">
        <v>517</v>
      </c>
      <c r="F40" t="s">
        <v>64</v>
      </c>
      <c r="G40">
        <v>3190</v>
      </c>
      <c r="H40">
        <v>230.94827586209999</v>
      </c>
      <c r="I40">
        <v>4890</v>
      </c>
      <c r="J40">
        <v>698</v>
      </c>
      <c r="K40">
        <v>6340</v>
      </c>
      <c r="L40">
        <v>1992</v>
      </c>
      <c r="M40">
        <v>1886</v>
      </c>
      <c r="N40">
        <v>1117</v>
      </c>
      <c r="O40">
        <v>1223</v>
      </c>
      <c r="P40">
        <v>786</v>
      </c>
      <c r="Q40">
        <v>0</v>
      </c>
      <c r="R40">
        <v>82</v>
      </c>
      <c r="T40" t="s">
        <v>368</v>
      </c>
      <c r="U40">
        <v>6641</v>
      </c>
      <c r="V40">
        <v>105.4524920946</v>
      </c>
      <c r="W40">
        <v>8818</v>
      </c>
      <c r="X40">
        <v>1455</v>
      </c>
      <c r="Y40">
        <v>9234</v>
      </c>
      <c r="Z40">
        <v>2764</v>
      </c>
      <c r="AA40">
        <v>167</v>
      </c>
      <c r="AB40">
        <v>163</v>
      </c>
      <c r="AC40">
        <v>418</v>
      </c>
      <c r="AD40">
        <v>137</v>
      </c>
      <c r="AE40">
        <v>1104</v>
      </c>
      <c r="AF40">
        <v>1663</v>
      </c>
      <c r="AH40" t="s">
        <v>408</v>
      </c>
      <c r="AI40">
        <v>5149</v>
      </c>
      <c r="AJ40">
        <v>373.13400660320002</v>
      </c>
      <c r="AK40">
        <v>4765</v>
      </c>
      <c r="AL40">
        <v>916</v>
      </c>
      <c r="AM40">
        <v>8727</v>
      </c>
      <c r="AN40">
        <v>4520</v>
      </c>
      <c r="AO40">
        <v>3400</v>
      </c>
      <c r="AP40">
        <v>2796</v>
      </c>
      <c r="AQ40">
        <v>3198</v>
      </c>
      <c r="AR40">
        <v>2302</v>
      </c>
      <c r="AS40">
        <v>7</v>
      </c>
      <c r="AT40">
        <v>110</v>
      </c>
      <c r="AV40" t="s">
        <v>406</v>
      </c>
      <c r="AW40">
        <v>1087</v>
      </c>
      <c r="AX40">
        <v>67.308187672499997</v>
      </c>
      <c r="AY40">
        <v>1718</v>
      </c>
      <c r="AZ40">
        <v>96</v>
      </c>
      <c r="BA40">
        <v>1883</v>
      </c>
      <c r="BB40">
        <v>239</v>
      </c>
      <c r="BC40">
        <v>8</v>
      </c>
      <c r="BD40">
        <v>7</v>
      </c>
      <c r="BE40">
        <v>114</v>
      </c>
      <c r="BF40">
        <v>48</v>
      </c>
      <c r="BG40">
        <v>1601</v>
      </c>
      <c r="BH40">
        <v>534</v>
      </c>
      <c r="BJ40" t="s">
        <v>534</v>
      </c>
      <c r="BK40" t="s">
        <v>368</v>
      </c>
      <c r="BL40">
        <v>11508</v>
      </c>
      <c r="BM40">
        <v>2251</v>
      </c>
      <c r="BN40">
        <v>87.489137991000007</v>
      </c>
      <c r="BO40">
        <v>30684</v>
      </c>
      <c r="BP40">
        <v>1890</v>
      </c>
      <c r="BQ40">
        <v>135.98289010560001</v>
      </c>
      <c r="BR40">
        <v>140.69312169310001</v>
      </c>
      <c r="BS40">
        <v>3500</v>
      </c>
      <c r="BT40">
        <v>929</v>
      </c>
      <c r="BU40">
        <v>102.7508571429</v>
      </c>
      <c r="BV40">
        <v>31246</v>
      </c>
      <c r="BW40">
        <v>2346</v>
      </c>
      <c r="BX40">
        <v>132.29728605259999</v>
      </c>
      <c r="BY40">
        <v>125.4714407502</v>
      </c>
      <c r="CA40" t="s">
        <v>374</v>
      </c>
      <c r="CB40" t="s">
        <v>855</v>
      </c>
      <c r="CC40" t="s">
        <v>987</v>
      </c>
      <c r="CD40">
        <v>9425</v>
      </c>
      <c r="CE40">
        <v>2820</v>
      </c>
      <c r="CF40">
        <v>113.6941114058</v>
      </c>
      <c r="CG40">
        <v>25350</v>
      </c>
      <c r="CH40">
        <v>1677</v>
      </c>
      <c r="CI40">
        <v>140.88481262330001</v>
      </c>
      <c r="CJ40">
        <v>147.3249850924</v>
      </c>
      <c r="CL40" t="s">
        <v>374</v>
      </c>
      <c r="CM40" t="s">
        <v>824</v>
      </c>
      <c r="CN40" t="s">
        <v>834</v>
      </c>
      <c r="CO40">
        <v>1332</v>
      </c>
      <c r="CP40">
        <v>147</v>
      </c>
      <c r="CQ40">
        <v>67.069819819800003</v>
      </c>
      <c r="CR40">
        <v>5573</v>
      </c>
      <c r="CS40">
        <v>490</v>
      </c>
      <c r="CT40">
        <v>96.836892158599994</v>
      </c>
      <c r="CU40">
        <v>96.157142857099998</v>
      </c>
      <c r="CW40" t="s">
        <v>374</v>
      </c>
      <c r="CX40" t="s">
        <v>840</v>
      </c>
      <c r="CY40" t="s">
        <v>850</v>
      </c>
      <c r="CZ40">
        <v>168</v>
      </c>
      <c r="DA40">
        <v>19</v>
      </c>
      <c r="DB40">
        <v>67.101190476200003</v>
      </c>
      <c r="DC40">
        <v>448</v>
      </c>
      <c r="DD40">
        <v>30</v>
      </c>
      <c r="DE40">
        <v>138.85491071429999</v>
      </c>
      <c r="DF40">
        <v>106.03333333330001</v>
      </c>
      <c r="DH40" t="s">
        <v>374</v>
      </c>
      <c r="DI40" t="s">
        <v>808</v>
      </c>
      <c r="DJ40" t="s">
        <v>818</v>
      </c>
      <c r="DK40">
        <v>131</v>
      </c>
      <c r="DL40">
        <v>20</v>
      </c>
      <c r="DM40">
        <v>71.534351145000002</v>
      </c>
      <c r="DN40">
        <v>375</v>
      </c>
      <c r="DO40">
        <v>29</v>
      </c>
      <c r="DP40">
        <v>127.544</v>
      </c>
      <c r="DQ40">
        <v>88</v>
      </c>
    </row>
    <row r="41" spans="2:121" x14ac:dyDescent="0.2">
      <c r="B41" t="s">
        <v>109</v>
      </c>
      <c r="C41">
        <v>17717</v>
      </c>
      <c r="D41">
        <v>14628</v>
      </c>
      <c r="F41" t="s">
        <v>62</v>
      </c>
      <c r="G41">
        <v>6571</v>
      </c>
      <c r="H41">
        <v>454.95221427479999</v>
      </c>
      <c r="I41">
        <v>11513</v>
      </c>
      <c r="J41">
        <v>2853</v>
      </c>
      <c r="K41">
        <v>12089</v>
      </c>
      <c r="L41">
        <v>7342</v>
      </c>
      <c r="M41">
        <v>3711</v>
      </c>
      <c r="N41">
        <v>3334</v>
      </c>
      <c r="O41">
        <v>2701</v>
      </c>
      <c r="P41">
        <v>2150</v>
      </c>
      <c r="Q41">
        <v>0</v>
      </c>
      <c r="R41">
        <v>50</v>
      </c>
      <c r="T41" t="s">
        <v>8</v>
      </c>
      <c r="U41">
        <v>174</v>
      </c>
      <c r="V41">
        <v>103.21839080460001</v>
      </c>
      <c r="W41">
        <v>200</v>
      </c>
      <c r="X41">
        <v>85</v>
      </c>
      <c r="Y41">
        <v>364</v>
      </c>
      <c r="Z41">
        <v>211</v>
      </c>
      <c r="AA41">
        <v>8</v>
      </c>
      <c r="AB41">
        <v>7</v>
      </c>
      <c r="AC41">
        <v>14</v>
      </c>
      <c r="AD41">
        <v>4</v>
      </c>
      <c r="AE41">
        <v>62</v>
      </c>
      <c r="AF41">
        <v>24</v>
      </c>
      <c r="AH41" t="s">
        <v>8</v>
      </c>
      <c r="AI41">
        <v>2870</v>
      </c>
      <c r="AJ41">
        <v>334.4860627178</v>
      </c>
      <c r="AK41">
        <v>4258</v>
      </c>
      <c r="AL41">
        <v>1651</v>
      </c>
      <c r="AM41">
        <v>4840</v>
      </c>
      <c r="AN41">
        <v>2718</v>
      </c>
      <c r="AO41">
        <v>1519</v>
      </c>
      <c r="AP41">
        <v>1007</v>
      </c>
      <c r="AQ41">
        <v>1305</v>
      </c>
      <c r="AR41">
        <v>839</v>
      </c>
      <c r="AS41">
        <v>483</v>
      </c>
      <c r="AT41">
        <v>127</v>
      </c>
      <c r="AV41" t="s">
        <v>373</v>
      </c>
      <c r="AW41">
        <v>452</v>
      </c>
      <c r="AX41">
        <v>105.3517699115</v>
      </c>
      <c r="AY41">
        <v>619</v>
      </c>
      <c r="AZ41">
        <v>115</v>
      </c>
      <c r="BA41">
        <v>626</v>
      </c>
      <c r="BB41">
        <v>178</v>
      </c>
      <c r="BC41">
        <v>1</v>
      </c>
      <c r="BD41">
        <v>1</v>
      </c>
      <c r="BE41">
        <v>24</v>
      </c>
      <c r="BF41">
        <v>9</v>
      </c>
      <c r="BG41">
        <v>59</v>
      </c>
      <c r="BH41">
        <v>134</v>
      </c>
      <c r="BJ41" t="s">
        <v>626</v>
      </c>
      <c r="BK41" t="s">
        <v>368</v>
      </c>
      <c r="BL41">
        <v>1574</v>
      </c>
      <c r="BM41">
        <v>189</v>
      </c>
      <c r="BN41">
        <v>72.481575603600007</v>
      </c>
      <c r="BO41">
        <v>4569</v>
      </c>
      <c r="BP41">
        <v>291</v>
      </c>
      <c r="BQ41">
        <v>103.77763186689999</v>
      </c>
      <c r="BR41">
        <v>102.9243986254</v>
      </c>
      <c r="BS41">
        <v>1934</v>
      </c>
      <c r="BT41">
        <v>318</v>
      </c>
      <c r="BU41">
        <v>82.088417786999997</v>
      </c>
      <c r="BV41">
        <v>15493</v>
      </c>
      <c r="BW41">
        <v>1106</v>
      </c>
      <c r="BX41">
        <v>122.8623894662</v>
      </c>
      <c r="BY41">
        <v>95.499095840899997</v>
      </c>
      <c r="CA41" t="s">
        <v>371</v>
      </c>
      <c r="CB41" t="s">
        <v>855</v>
      </c>
      <c r="CC41" t="s">
        <v>988</v>
      </c>
      <c r="CD41">
        <v>914</v>
      </c>
      <c r="CE41">
        <v>170</v>
      </c>
      <c r="CF41">
        <v>86.991247264799995</v>
      </c>
      <c r="CG41">
        <v>2964</v>
      </c>
      <c r="CH41">
        <v>185</v>
      </c>
      <c r="CI41">
        <v>106.8414304993</v>
      </c>
      <c r="CJ41">
        <v>107.8648648649</v>
      </c>
      <c r="CL41" t="s">
        <v>371</v>
      </c>
      <c r="CM41" t="s">
        <v>824</v>
      </c>
      <c r="CN41" t="s">
        <v>835</v>
      </c>
      <c r="CO41">
        <v>89</v>
      </c>
      <c r="CP41">
        <v>11</v>
      </c>
      <c r="CQ41">
        <v>64.415730337100001</v>
      </c>
      <c r="CR41">
        <v>428</v>
      </c>
      <c r="CS41">
        <v>40</v>
      </c>
      <c r="CT41">
        <v>98.130841121499998</v>
      </c>
      <c r="CU41">
        <v>95.75</v>
      </c>
      <c r="CW41" t="s">
        <v>371</v>
      </c>
      <c r="CX41" t="s">
        <v>840</v>
      </c>
      <c r="CY41" t="s">
        <v>851</v>
      </c>
      <c r="CZ41">
        <v>7</v>
      </c>
      <c r="DA41">
        <v>0</v>
      </c>
      <c r="DB41">
        <v>54.714285714299997</v>
      </c>
      <c r="DC41">
        <v>29</v>
      </c>
      <c r="DD41">
        <v>1</v>
      </c>
      <c r="DE41">
        <v>152.7586206897</v>
      </c>
      <c r="DF41">
        <v>123</v>
      </c>
      <c r="DH41" t="s">
        <v>371</v>
      </c>
      <c r="DI41" t="s">
        <v>808</v>
      </c>
      <c r="DJ41" t="s">
        <v>819</v>
      </c>
      <c r="DK41">
        <v>11</v>
      </c>
      <c r="DL41">
        <v>1</v>
      </c>
      <c r="DM41">
        <v>54.818181818200003</v>
      </c>
      <c r="DN41">
        <v>24</v>
      </c>
      <c r="DO41">
        <v>1</v>
      </c>
      <c r="DP41">
        <v>121.8333333333</v>
      </c>
      <c r="DQ41">
        <v>50</v>
      </c>
    </row>
    <row r="42" spans="2:121" x14ac:dyDescent="0.2">
      <c r="B42" t="s">
        <v>117</v>
      </c>
      <c r="C42">
        <v>4956</v>
      </c>
      <c r="D42">
        <v>1000</v>
      </c>
      <c r="F42" t="s">
        <v>24</v>
      </c>
      <c r="G42">
        <v>598</v>
      </c>
      <c r="H42">
        <v>147.4799331104</v>
      </c>
      <c r="I42">
        <v>3707</v>
      </c>
      <c r="J42">
        <v>751</v>
      </c>
      <c r="K42">
        <v>2919</v>
      </c>
      <c r="L42">
        <v>869</v>
      </c>
      <c r="M42">
        <v>927</v>
      </c>
      <c r="N42">
        <v>614</v>
      </c>
      <c r="O42">
        <v>310</v>
      </c>
      <c r="P42">
        <v>157</v>
      </c>
      <c r="Q42">
        <v>0</v>
      </c>
      <c r="R42">
        <v>0</v>
      </c>
      <c r="T42" t="s">
        <v>403</v>
      </c>
      <c r="U42">
        <v>1960</v>
      </c>
      <c r="V42">
        <v>66.495408163299999</v>
      </c>
      <c r="W42">
        <v>3093</v>
      </c>
      <c r="X42">
        <v>169</v>
      </c>
      <c r="Y42">
        <v>3528</v>
      </c>
      <c r="Z42">
        <v>458</v>
      </c>
      <c r="AA42">
        <v>11</v>
      </c>
      <c r="AB42">
        <v>10</v>
      </c>
      <c r="AC42">
        <v>200</v>
      </c>
      <c r="AD42">
        <v>83</v>
      </c>
      <c r="AE42">
        <v>3655</v>
      </c>
      <c r="AF42">
        <v>1033</v>
      </c>
      <c r="AH42" t="s">
        <v>374</v>
      </c>
      <c r="AI42">
        <v>4852</v>
      </c>
      <c r="AJ42">
        <v>493.92827699920002</v>
      </c>
      <c r="AK42">
        <v>9712</v>
      </c>
      <c r="AL42">
        <v>2827</v>
      </c>
      <c r="AM42">
        <v>10967</v>
      </c>
      <c r="AN42">
        <v>5083</v>
      </c>
      <c r="AO42">
        <v>2367</v>
      </c>
      <c r="AP42">
        <v>1958</v>
      </c>
      <c r="AQ42">
        <v>6503</v>
      </c>
      <c r="AR42">
        <v>5311</v>
      </c>
      <c r="AS42">
        <v>1640</v>
      </c>
      <c r="AT42">
        <v>16</v>
      </c>
      <c r="AV42" t="s">
        <v>402</v>
      </c>
      <c r="AW42">
        <v>139</v>
      </c>
      <c r="AX42">
        <v>69.697841726600004</v>
      </c>
      <c r="AY42">
        <v>241</v>
      </c>
      <c r="AZ42">
        <v>9</v>
      </c>
      <c r="BA42">
        <v>314</v>
      </c>
      <c r="BB42">
        <v>35</v>
      </c>
      <c r="BC42">
        <v>3</v>
      </c>
      <c r="BD42">
        <v>3</v>
      </c>
      <c r="BE42">
        <v>16</v>
      </c>
      <c r="BF42">
        <v>10</v>
      </c>
      <c r="BG42">
        <v>419</v>
      </c>
      <c r="BH42">
        <v>87</v>
      </c>
      <c r="BJ42" t="s">
        <v>628</v>
      </c>
      <c r="BK42" t="s">
        <v>368</v>
      </c>
      <c r="BL42">
        <v>558</v>
      </c>
      <c r="BM42">
        <v>118</v>
      </c>
      <c r="BN42">
        <v>89.693548387099995</v>
      </c>
      <c r="BO42">
        <v>1367</v>
      </c>
      <c r="BP42">
        <v>92</v>
      </c>
      <c r="BQ42">
        <v>137.8624725677</v>
      </c>
      <c r="BR42">
        <v>137.80434782610001</v>
      </c>
      <c r="BS42">
        <v>320</v>
      </c>
      <c r="BT42">
        <v>99</v>
      </c>
      <c r="BU42">
        <v>97.978125000000006</v>
      </c>
      <c r="BV42">
        <v>1978</v>
      </c>
      <c r="BW42">
        <v>119</v>
      </c>
      <c r="BX42">
        <v>147.55712841249999</v>
      </c>
      <c r="BY42">
        <v>197.27731092440001</v>
      </c>
      <c r="CA42" t="s">
        <v>416</v>
      </c>
      <c r="CB42" t="s">
        <v>855</v>
      </c>
      <c r="CC42" t="s">
        <v>989</v>
      </c>
      <c r="CD42">
        <v>564</v>
      </c>
      <c r="CE42">
        <v>121</v>
      </c>
      <c r="CF42">
        <v>89.762411347500006</v>
      </c>
      <c r="CG42">
        <v>1337</v>
      </c>
      <c r="CH42">
        <v>83</v>
      </c>
      <c r="CI42">
        <v>132.5003739716</v>
      </c>
      <c r="CJ42">
        <v>138.22891566269999</v>
      </c>
      <c r="CL42" t="s">
        <v>416</v>
      </c>
      <c r="CM42" t="s">
        <v>824</v>
      </c>
      <c r="CN42" t="s">
        <v>836</v>
      </c>
      <c r="CO42">
        <v>43</v>
      </c>
      <c r="CP42">
        <v>7</v>
      </c>
      <c r="CQ42">
        <v>69.023255813999995</v>
      </c>
      <c r="CR42">
        <v>150</v>
      </c>
      <c r="CS42">
        <v>11</v>
      </c>
      <c r="CT42">
        <v>98.926666666700001</v>
      </c>
      <c r="CU42">
        <v>68.454545454500007</v>
      </c>
      <c r="CW42" t="s">
        <v>416</v>
      </c>
      <c r="CX42" t="s">
        <v>840</v>
      </c>
      <c r="CY42" t="s">
        <v>852</v>
      </c>
      <c r="CZ42">
        <v>10</v>
      </c>
      <c r="DA42">
        <v>1</v>
      </c>
      <c r="DB42">
        <v>46.3</v>
      </c>
      <c r="DC42">
        <v>13</v>
      </c>
      <c r="DD42">
        <v>0</v>
      </c>
      <c r="DE42">
        <v>148.61538461539999</v>
      </c>
      <c r="DF42">
        <v>0</v>
      </c>
      <c r="DH42" t="s">
        <v>416</v>
      </c>
      <c r="DI42" t="s">
        <v>808</v>
      </c>
      <c r="DJ42" t="s">
        <v>820</v>
      </c>
      <c r="DK42">
        <v>11</v>
      </c>
      <c r="DL42">
        <v>1</v>
      </c>
      <c r="DM42">
        <v>65.727272727300004</v>
      </c>
      <c r="DN42">
        <v>12</v>
      </c>
      <c r="DO42">
        <v>0</v>
      </c>
      <c r="DP42">
        <v>115.4166666667</v>
      </c>
      <c r="DQ42">
        <v>0</v>
      </c>
    </row>
    <row r="43" spans="2:121" x14ac:dyDescent="0.2">
      <c r="B43" t="s">
        <v>100</v>
      </c>
      <c r="C43">
        <v>354</v>
      </c>
      <c r="D43">
        <v>275</v>
      </c>
      <c r="F43" t="s">
        <v>54</v>
      </c>
      <c r="G43">
        <v>909</v>
      </c>
      <c r="H43">
        <v>251.76897689770001</v>
      </c>
      <c r="I43">
        <v>1239</v>
      </c>
      <c r="J43">
        <v>200</v>
      </c>
      <c r="K43">
        <v>1755</v>
      </c>
      <c r="L43">
        <v>736</v>
      </c>
      <c r="M43">
        <v>242</v>
      </c>
      <c r="N43">
        <v>147</v>
      </c>
      <c r="O43">
        <v>127</v>
      </c>
      <c r="P43">
        <v>72</v>
      </c>
      <c r="Q43">
        <v>0</v>
      </c>
      <c r="R43">
        <v>1</v>
      </c>
      <c r="AH43" t="s">
        <v>426</v>
      </c>
      <c r="AI43">
        <v>1177</v>
      </c>
      <c r="AJ43">
        <v>234.75785896350001</v>
      </c>
      <c r="AK43">
        <v>3041</v>
      </c>
      <c r="AL43">
        <v>696</v>
      </c>
      <c r="AM43">
        <v>4405</v>
      </c>
      <c r="AN43">
        <v>1524</v>
      </c>
      <c r="AO43">
        <v>945</v>
      </c>
      <c r="AP43">
        <v>756</v>
      </c>
      <c r="AQ43">
        <v>1793</v>
      </c>
      <c r="AR43">
        <v>1284</v>
      </c>
      <c r="AS43">
        <v>386</v>
      </c>
      <c r="AT43">
        <v>2</v>
      </c>
      <c r="AV43" t="s">
        <v>405</v>
      </c>
      <c r="AW43">
        <v>79</v>
      </c>
      <c r="AX43">
        <v>61.367088607600003</v>
      </c>
      <c r="AY43">
        <v>143</v>
      </c>
      <c r="AZ43">
        <v>2</v>
      </c>
      <c r="BA43">
        <v>138</v>
      </c>
      <c r="BB43">
        <v>13</v>
      </c>
      <c r="BC43">
        <v>0</v>
      </c>
      <c r="BE43">
        <v>4</v>
      </c>
      <c r="BF43">
        <v>1</v>
      </c>
      <c r="BG43">
        <v>173</v>
      </c>
      <c r="BH43">
        <v>34</v>
      </c>
      <c r="BJ43" t="s">
        <v>642</v>
      </c>
      <c r="BK43" t="s">
        <v>368</v>
      </c>
      <c r="BL43">
        <v>842</v>
      </c>
      <c r="BM43">
        <v>187</v>
      </c>
      <c r="BN43">
        <v>91.351543942999996</v>
      </c>
      <c r="BO43">
        <v>2183</v>
      </c>
      <c r="BP43">
        <v>138</v>
      </c>
      <c r="BQ43">
        <v>139.99679340360001</v>
      </c>
      <c r="BR43">
        <v>131.9927536232</v>
      </c>
      <c r="BS43">
        <v>212</v>
      </c>
      <c r="BT43">
        <v>131</v>
      </c>
      <c r="BU43">
        <v>169.55660377359999</v>
      </c>
      <c r="BV43">
        <v>1326</v>
      </c>
      <c r="BW43">
        <v>101</v>
      </c>
      <c r="BX43">
        <v>139.70663650079999</v>
      </c>
      <c r="BY43">
        <v>199.2871287129</v>
      </c>
      <c r="CA43" t="s">
        <v>377</v>
      </c>
      <c r="CB43" t="s">
        <v>855</v>
      </c>
      <c r="CC43" t="s">
        <v>990</v>
      </c>
      <c r="CD43">
        <v>11417</v>
      </c>
      <c r="CE43">
        <v>2102</v>
      </c>
      <c r="CF43">
        <v>85.2189717089</v>
      </c>
      <c r="CG43">
        <v>31793</v>
      </c>
      <c r="CH43">
        <v>1921</v>
      </c>
      <c r="CI43">
        <v>129.74497530900001</v>
      </c>
      <c r="CJ43">
        <v>124.8318584071</v>
      </c>
      <c r="CL43" t="s">
        <v>377</v>
      </c>
      <c r="CM43" t="s">
        <v>824</v>
      </c>
      <c r="CN43" t="s">
        <v>837</v>
      </c>
      <c r="CO43">
        <v>865</v>
      </c>
      <c r="CP43">
        <v>156</v>
      </c>
      <c r="CQ43">
        <v>73.747976878599999</v>
      </c>
      <c r="CR43">
        <v>3002</v>
      </c>
      <c r="CS43">
        <v>257</v>
      </c>
      <c r="CT43">
        <v>101.03297801470001</v>
      </c>
      <c r="CU43">
        <v>98.571984435800005</v>
      </c>
      <c r="CW43" t="s">
        <v>377</v>
      </c>
      <c r="CX43" t="s">
        <v>840</v>
      </c>
      <c r="CY43" t="s">
        <v>853</v>
      </c>
      <c r="CZ43">
        <v>561</v>
      </c>
      <c r="DA43">
        <v>69</v>
      </c>
      <c r="DB43">
        <v>72.472370766500006</v>
      </c>
      <c r="DC43">
        <v>1376</v>
      </c>
      <c r="DD43">
        <v>65</v>
      </c>
      <c r="DE43">
        <v>152.49781976739999</v>
      </c>
      <c r="DF43">
        <v>131.0153846154</v>
      </c>
      <c r="DH43" t="s">
        <v>377</v>
      </c>
      <c r="DI43" t="s">
        <v>808</v>
      </c>
      <c r="DJ43" t="s">
        <v>821</v>
      </c>
      <c r="DK43">
        <v>812</v>
      </c>
      <c r="DL43">
        <v>65</v>
      </c>
      <c r="DM43">
        <v>59.570197044300002</v>
      </c>
      <c r="DN43">
        <v>2301</v>
      </c>
      <c r="DO43">
        <v>94</v>
      </c>
      <c r="DP43">
        <v>146.5528031291</v>
      </c>
      <c r="DQ43">
        <v>129.17021276599999</v>
      </c>
    </row>
    <row r="44" spans="2:121" x14ac:dyDescent="0.2">
      <c r="B44" t="s">
        <v>110</v>
      </c>
      <c r="C44">
        <v>886</v>
      </c>
      <c r="D44">
        <v>350</v>
      </c>
      <c r="F44" t="s">
        <v>43</v>
      </c>
      <c r="G44">
        <v>254</v>
      </c>
      <c r="H44">
        <v>85.433070866099996</v>
      </c>
      <c r="I44">
        <v>1087</v>
      </c>
      <c r="J44">
        <v>138</v>
      </c>
      <c r="K44">
        <v>1048</v>
      </c>
      <c r="L44">
        <v>50</v>
      </c>
      <c r="M44">
        <v>171</v>
      </c>
      <c r="N44">
        <v>74</v>
      </c>
      <c r="O44">
        <v>62</v>
      </c>
      <c r="P44">
        <v>42</v>
      </c>
      <c r="Q44">
        <v>0</v>
      </c>
      <c r="R44">
        <v>0</v>
      </c>
      <c r="AH44" t="s">
        <v>371</v>
      </c>
      <c r="AI44">
        <v>235</v>
      </c>
      <c r="AJ44">
        <v>221.08936170210001</v>
      </c>
      <c r="AK44">
        <v>930</v>
      </c>
      <c r="AL44">
        <v>175</v>
      </c>
      <c r="AM44">
        <v>993</v>
      </c>
      <c r="AN44">
        <v>228</v>
      </c>
      <c r="AO44">
        <v>230</v>
      </c>
      <c r="AP44">
        <v>159</v>
      </c>
      <c r="AQ44">
        <v>232</v>
      </c>
      <c r="AR44">
        <v>130</v>
      </c>
      <c r="AS44">
        <v>194</v>
      </c>
      <c r="AT44">
        <v>3</v>
      </c>
      <c r="AV44" t="s">
        <v>407</v>
      </c>
      <c r="AW44">
        <v>64</v>
      </c>
      <c r="AX44">
        <v>77.078125</v>
      </c>
      <c r="AY44">
        <v>94</v>
      </c>
      <c r="AZ44">
        <v>6</v>
      </c>
      <c r="BA44">
        <v>117</v>
      </c>
      <c r="BB44">
        <v>20</v>
      </c>
      <c r="BC44">
        <v>1</v>
      </c>
      <c r="BD44">
        <v>1</v>
      </c>
      <c r="BE44">
        <v>6</v>
      </c>
      <c r="BF44">
        <v>1</v>
      </c>
      <c r="BG44">
        <v>118</v>
      </c>
      <c r="BH44">
        <v>26</v>
      </c>
      <c r="BJ44" t="s">
        <v>542</v>
      </c>
      <c r="BK44" t="s">
        <v>368</v>
      </c>
      <c r="BL44">
        <v>18183</v>
      </c>
      <c r="BM44">
        <v>4094</v>
      </c>
      <c r="BN44">
        <v>90.787768795000005</v>
      </c>
      <c r="BO44">
        <v>44795</v>
      </c>
      <c r="BP44">
        <v>2936</v>
      </c>
      <c r="BQ44">
        <v>142.5580087063</v>
      </c>
      <c r="BR44">
        <v>132.6069482289</v>
      </c>
      <c r="BS44">
        <v>5270</v>
      </c>
      <c r="BT44">
        <v>1504</v>
      </c>
      <c r="BU44">
        <v>97.873434535100003</v>
      </c>
      <c r="BV44">
        <v>28594</v>
      </c>
      <c r="BW44">
        <v>1968</v>
      </c>
      <c r="BX44">
        <v>141.86353780510001</v>
      </c>
      <c r="BY44">
        <v>143.52032520329999</v>
      </c>
      <c r="CA44" t="s">
        <v>378</v>
      </c>
      <c r="CB44" t="s">
        <v>855</v>
      </c>
      <c r="CC44" t="s">
        <v>991</v>
      </c>
      <c r="CD44">
        <v>2530</v>
      </c>
      <c r="CE44">
        <v>409</v>
      </c>
      <c r="CF44">
        <v>79.437154150200001</v>
      </c>
      <c r="CG44">
        <v>8406</v>
      </c>
      <c r="CH44">
        <v>505</v>
      </c>
      <c r="CI44">
        <v>116.8043064478</v>
      </c>
      <c r="CJ44">
        <v>116.9940594059</v>
      </c>
      <c r="CL44" t="s">
        <v>378</v>
      </c>
      <c r="CM44" t="s">
        <v>824</v>
      </c>
      <c r="CN44" t="s">
        <v>838</v>
      </c>
      <c r="CO44">
        <v>205</v>
      </c>
      <c r="CP44">
        <v>22</v>
      </c>
      <c r="CQ44">
        <v>62.439024390199997</v>
      </c>
      <c r="CR44">
        <v>997</v>
      </c>
      <c r="CS44">
        <v>89</v>
      </c>
      <c r="CT44">
        <v>98.824473420299995</v>
      </c>
      <c r="CU44">
        <v>93.134831460699999</v>
      </c>
      <c r="CW44" t="s">
        <v>378</v>
      </c>
      <c r="CX44" t="s">
        <v>840</v>
      </c>
      <c r="CY44" t="s">
        <v>854</v>
      </c>
      <c r="CZ44">
        <v>24</v>
      </c>
      <c r="DA44">
        <v>5</v>
      </c>
      <c r="DB44">
        <v>69.791666666699996</v>
      </c>
      <c r="DC44">
        <v>48</v>
      </c>
      <c r="DD44">
        <v>2</v>
      </c>
      <c r="DE44">
        <v>138.4583333333</v>
      </c>
      <c r="DF44">
        <v>98</v>
      </c>
      <c r="DH44" t="s">
        <v>378</v>
      </c>
      <c r="DI44" t="s">
        <v>808</v>
      </c>
      <c r="DJ44" t="s">
        <v>822</v>
      </c>
      <c r="DK44">
        <v>15</v>
      </c>
      <c r="DL44">
        <v>2</v>
      </c>
      <c r="DM44">
        <v>60.8</v>
      </c>
      <c r="DN44">
        <v>78</v>
      </c>
      <c r="DO44">
        <v>3</v>
      </c>
      <c r="DP44">
        <v>123.6025641026</v>
      </c>
      <c r="DQ44">
        <v>72.666666666699996</v>
      </c>
    </row>
    <row r="45" spans="2:121" x14ac:dyDescent="0.2">
      <c r="B45" t="s">
        <v>92</v>
      </c>
      <c r="C45">
        <v>4</v>
      </c>
      <c r="D45">
        <v>2</v>
      </c>
      <c r="F45" t="s">
        <v>79</v>
      </c>
      <c r="G45">
        <v>10033</v>
      </c>
      <c r="H45">
        <v>286.27509219580003</v>
      </c>
      <c r="I45">
        <v>17107</v>
      </c>
      <c r="J45">
        <v>3039</v>
      </c>
      <c r="K45">
        <v>16774</v>
      </c>
      <c r="L45">
        <v>6895</v>
      </c>
      <c r="M45">
        <v>3709</v>
      </c>
      <c r="N45">
        <v>2527</v>
      </c>
      <c r="O45">
        <v>8897</v>
      </c>
      <c r="P45">
        <v>4396</v>
      </c>
      <c r="Q45">
        <v>3</v>
      </c>
      <c r="R45">
        <v>225</v>
      </c>
      <c r="AH45" t="s">
        <v>382</v>
      </c>
      <c r="AI45">
        <v>6458</v>
      </c>
      <c r="AJ45">
        <v>332.57122948279999</v>
      </c>
      <c r="AK45">
        <v>10034</v>
      </c>
      <c r="AL45">
        <v>2609</v>
      </c>
      <c r="AM45">
        <v>12416</v>
      </c>
      <c r="AN45">
        <v>6798</v>
      </c>
      <c r="AO45">
        <v>3242</v>
      </c>
      <c r="AP45">
        <v>2499</v>
      </c>
      <c r="AQ45">
        <v>3829</v>
      </c>
      <c r="AR45">
        <v>2542</v>
      </c>
      <c r="AS45">
        <v>763</v>
      </c>
      <c r="AT45">
        <v>65</v>
      </c>
      <c r="AV45" t="s">
        <v>409</v>
      </c>
      <c r="AW45">
        <v>977</v>
      </c>
      <c r="AX45">
        <v>68.461617195499997</v>
      </c>
      <c r="AY45">
        <v>1367</v>
      </c>
      <c r="AZ45">
        <v>61</v>
      </c>
      <c r="BA45">
        <v>1683</v>
      </c>
      <c r="BB45">
        <v>165</v>
      </c>
      <c r="BC45">
        <v>6</v>
      </c>
      <c r="BD45">
        <v>6</v>
      </c>
      <c r="BE45">
        <v>92</v>
      </c>
      <c r="BF45">
        <v>37</v>
      </c>
      <c r="BG45">
        <v>1599</v>
      </c>
      <c r="BH45">
        <v>560</v>
      </c>
      <c r="BJ45" t="s">
        <v>8</v>
      </c>
      <c r="BK45" t="s">
        <v>8</v>
      </c>
      <c r="BL45">
        <v>91</v>
      </c>
      <c r="BM45">
        <v>72</v>
      </c>
      <c r="BN45">
        <v>207.23076923080001</v>
      </c>
      <c r="BO45">
        <v>579</v>
      </c>
      <c r="BP45">
        <v>10</v>
      </c>
      <c r="BQ45">
        <v>230.286701209</v>
      </c>
      <c r="BR45">
        <v>330.1</v>
      </c>
      <c r="BS45">
        <v>211719</v>
      </c>
      <c r="BT45">
        <v>40000</v>
      </c>
      <c r="BU45">
        <v>86.489908794200005</v>
      </c>
      <c r="BV45">
        <v>17</v>
      </c>
      <c r="BW45">
        <v>2</v>
      </c>
      <c r="BX45">
        <v>136.6470588235</v>
      </c>
      <c r="BY45">
        <v>65.5</v>
      </c>
      <c r="CA45" t="s">
        <v>368</v>
      </c>
      <c r="CB45" t="s">
        <v>855</v>
      </c>
      <c r="CD45">
        <v>71878</v>
      </c>
      <c r="CE45">
        <v>16410</v>
      </c>
      <c r="CF45">
        <v>94.124488717000006</v>
      </c>
      <c r="CG45">
        <v>198048</v>
      </c>
      <c r="CH45">
        <v>12933</v>
      </c>
      <c r="CI45">
        <v>131.285976127</v>
      </c>
      <c r="CJ45">
        <v>128.88471352350001</v>
      </c>
      <c r="CL45" t="s">
        <v>368</v>
      </c>
      <c r="CM45" t="s">
        <v>824</v>
      </c>
      <c r="CO45">
        <v>6760</v>
      </c>
      <c r="CP45">
        <v>889</v>
      </c>
      <c r="CQ45">
        <v>67.941863905299996</v>
      </c>
      <c r="CR45">
        <v>27226</v>
      </c>
      <c r="CS45">
        <v>2310</v>
      </c>
      <c r="CT45">
        <v>98.220561228199998</v>
      </c>
      <c r="CU45">
        <v>99.744155844199994</v>
      </c>
      <c r="CW45" t="s">
        <v>368</v>
      </c>
      <c r="CX45" t="s">
        <v>840</v>
      </c>
      <c r="CZ45">
        <v>1938</v>
      </c>
      <c r="DA45">
        <v>209</v>
      </c>
      <c r="DB45">
        <v>67.346233230099998</v>
      </c>
      <c r="DC45">
        <v>4976</v>
      </c>
      <c r="DD45">
        <v>286</v>
      </c>
      <c r="DE45">
        <v>145.7011655949</v>
      </c>
      <c r="DF45">
        <v>121.4090909091</v>
      </c>
      <c r="DH45" t="s">
        <v>368</v>
      </c>
      <c r="DI45" t="s">
        <v>808</v>
      </c>
      <c r="DK45">
        <v>2361</v>
      </c>
      <c r="DL45">
        <v>198</v>
      </c>
      <c r="DM45">
        <v>60.068191444299998</v>
      </c>
      <c r="DN45">
        <v>6700</v>
      </c>
      <c r="DO45">
        <v>293</v>
      </c>
      <c r="DP45">
        <v>139.90641791039999</v>
      </c>
      <c r="DQ45">
        <v>108.0136518771</v>
      </c>
    </row>
    <row r="46" spans="2:121" x14ac:dyDescent="0.2">
      <c r="B46" t="s">
        <v>101</v>
      </c>
      <c r="C46">
        <v>128275</v>
      </c>
      <c r="D46">
        <v>76608</v>
      </c>
      <c r="F46" t="s">
        <v>39</v>
      </c>
      <c r="G46">
        <v>7004</v>
      </c>
      <c r="H46">
        <v>316.90134209019999</v>
      </c>
      <c r="I46">
        <v>9559</v>
      </c>
      <c r="J46">
        <v>2467</v>
      </c>
      <c r="K46">
        <v>13711</v>
      </c>
      <c r="L46">
        <v>7826</v>
      </c>
      <c r="M46">
        <v>2975</v>
      </c>
      <c r="N46">
        <v>2325</v>
      </c>
      <c r="O46">
        <v>1564</v>
      </c>
      <c r="P46">
        <v>1072</v>
      </c>
      <c r="Q46">
        <v>1</v>
      </c>
      <c r="R46">
        <v>61</v>
      </c>
      <c r="AH46" t="s">
        <v>419</v>
      </c>
      <c r="AI46">
        <v>337</v>
      </c>
      <c r="AJ46">
        <v>165.8724035608</v>
      </c>
      <c r="AK46">
        <v>1065</v>
      </c>
      <c r="AL46">
        <v>264</v>
      </c>
      <c r="AM46">
        <v>1174</v>
      </c>
      <c r="AN46">
        <v>148</v>
      </c>
      <c r="AO46">
        <v>322</v>
      </c>
      <c r="AP46">
        <v>127</v>
      </c>
      <c r="AQ46">
        <v>165</v>
      </c>
      <c r="AR46">
        <v>97</v>
      </c>
      <c r="AS46">
        <v>4</v>
      </c>
      <c r="AT46">
        <v>2</v>
      </c>
      <c r="AV46" t="s">
        <v>423</v>
      </c>
      <c r="AW46">
        <v>16</v>
      </c>
      <c r="AX46">
        <v>45.6875</v>
      </c>
      <c r="AY46">
        <v>8</v>
      </c>
      <c r="BA46">
        <v>29</v>
      </c>
      <c r="BB46">
        <v>1</v>
      </c>
      <c r="BC46">
        <v>0</v>
      </c>
      <c r="BE46">
        <v>3</v>
      </c>
      <c r="BF46">
        <v>1</v>
      </c>
      <c r="BG46">
        <v>43</v>
      </c>
      <c r="BH46">
        <v>11</v>
      </c>
      <c r="BJ46" t="s">
        <v>685</v>
      </c>
      <c r="BK46" t="s">
        <v>8</v>
      </c>
      <c r="BL46">
        <v>91</v>
      </c>
      <c r="BM46">
        <v>72</v>
      </c>
      <c r="BN46">
        <v>207.23076923080001</v>
      </c>
      <c r="BO46">
        <v>579</v>
      </c>
      <c r="BP46">
        <v>10</v>
      </c>
      <c r="BQ46">
        <v>230.286701209</v>
      </c>
      <c r="BR46">
        <v>330.1</v>
      </c>
      <c r="BS46">
        <v>211719</v>
      </c>
      <c r="BT46">
        <v>40000</v>
      </c>
      <c r="BU46">
        <v>86.489908794200005</v>
      </c>
      <c r="BV46">
        <v>17</v>
      </c>
      <c r="BW46">
        <v>2</v>
      </c>
      <c r="BX46">
        <v>136.6470588235</v>
      </c>
      <c r="BY46">
        <v>65.5</v>
      </c>
      <c r="CA46" t="s">
        <v>8</v>
      </c>
      <c r="CB46" t="s">
        <v>685</v>
      </c>
      <c r="CC46" t="s">
        <v>685</v>
      </c>
      <c r="CD46">
        <v>3439</v>
      </c>
      <c r="CE46">
        <v>1177</v>
      </c>
      <c r="CF46">
        <v>116.26141320150001</v>
      </c>
      <c r="CG46">
        <v>8537</v>
      </c>
      <c r="CH46">
        <v>747</v>
      </c>
      <c r="CI46">
        <v>169.20417008320001</v>
      </c>
      <c r="CJ46">
        <v>153.3627844712</v>
      </c>
      <c r="CL46" t="s">
        <v>8</v>
      </c>
      <c r="CM46" t="s">
        <v>857</v>
      </c>
      <c r="CN46" t="s">
        <v>857</v>
      </c>
      <c r="CO46">
        <v>226</v>
      </c>
      <c r="CP46">
        <v>43</v>
      </c>
      <c r="CQ46">
        <v>85.292035398199999</v>
      </c>
      <c r="CR46">
        <v>807</v>
      </c>
      <c r="CS46">
        <v>58</v>
      </c>
      <c r="CT46">
        <v>101.81536555140001</v>
      </c>
      <c r="CU46">
        <v>133.68965517239999</v>
      </c>
      <c r="CW46" t="s">
        <v>8</v>
      </c>
      <c r="CX46" t="s">
        <v>858</v>
      </c>
      <c r="CY46" t="s">
        <v>858</v>
      </c>
      <c r="CZ46">
        <v>34</v>
      </c>
      <c r="DA46">
        <v>1</v>
      </c>
      <c r="DB46">
        <v>63.794117647100002</v>
      </c>
      <c r="DC46">
        <v>55</v>
      </c>
      <c r="DD46">
        <v>4</v>
      </c>
      <c r="DE46">
        <v>139.30909090910001</v>
      </c>
      <c r="DF46">
        <v>133.75</v>
      </c>
      <c r="DH46" t="s">
        <v>8</v>
      </c>
      <c r="DI46" t="s">
        <v>856</v>
      </c>
      <c r="DJ46" t="s">
        <v>856</v>
      </c>
      <c r="DK46">
        <v>88</v>
      </c>
      <c r="DL46">
        <v>7</v>
      </c>
      <c r="DM46">
        <v>66.090909090899999</v>
      </c>
      <c r="DN46">
        <v>146</v>
      </c>
      <c r="DO46">
        <v>8</v>
      </c>
      <c r="DP46">
        <v>113.3493150685</v>
      </c>
      <c r="DQ46">
        <v>84.5</v>
      </c>
    </row>
    <row r="47" spans="2:121" x14ac:dyDescent="0.2">
      <c r="B47" t="s">
        <v>104</v>
      </c>
      <c r="C47">
        <v>34359</v>
      </c>
      <c r="D47">
        <v>23958</v>
      </c>
      <c r="F47" t="s">
        <v>33</v>
      </c>
      <c r="G47">
        <v>7502</v>
      </c>
      <c r="H47">
        <v>699.06558251130002</v>
      </c>
      <c r="I47">
        <v>5368</v>
      </c>
      <c r="J47">
        <v>1332</v>
      </c>
      <c r="K47">
        <v>10194</v>
      </c>
      <c r="L47">
        <v>7047</v>
      </c>
      <c r="M47">
        <v>3396</v>
      </c>
      <c r="N47">
        <v>3068</v>
      </c>
      <c r="O47">
        <v>1527</v>
      </c>
      <c r="P47">
        <v>1226</v>
      </c>
      <c r="Q47">
        <v>0</v>
      </c>
      <c r="R47">
        <v>7</v>
      </c>
      <c r="AH47" t="s">
        <v>383</v>
      </c>
      <c r="AI47">
        <v>4410</v>
      </c>
      <c r="AJ47">
        <v>272.34013605439998</v>
      </c>
      <c r="AK47">
        <v>9734</v>
      </c>
      <c r="AL47">
        <v>1654</v>
      </c>
      <c r="AM47">
        <v>9592</v>
      </c>
      <c r="AN47">
        <v>3690</v>
      </c>
      <c r="AO47">
        <v>2853</v>
      </c>
      <c r="AP47">
        <v>2242</v>
      </c>
      <c r="AQ47">
        <v>3186</v>
      </c>
      <c r="AR47">
        <v>2166</v>
      </c>
      <c r="AS47">
        <v>679</v>
      </c>
      <c r="AT47">
        <v>286</v>
      </c>
      <c r="AV47" t="s">
        <v>60</v>
      </c>
      <c r="AW47">
        <v>1024</v>
      </c>
      <c r="AX47">
        <v>103.7255859375</v>
      </c>
      <c r="AY47">
        <v>1775</v>
      </c>
      <c r="AZ47">
        <v>306</v>
      </c>
      <c r="BA47">
        <v>1500</v>
      </c>
      <c r="BB47">
        <v>414</v>
      </c>
      <c r="BC47">
        <v>5</v>
      </c>
      <c r="BD47">
        <v>5</v>
      </c>
      <c r="BE47">
        <v>52</v>
      </c>
      <c r="BF47">
        <v>22</v>
      </c>
      <c r="BG47">
        <v>177</v>
      </c>
      <c r="BH47">
        <v>258</v>
      </c>
      <c r="BJ47" t="s">
        <v>585</v>
      </c>
      <c r="BK47" t="s">
        <v>403</v>
      </c>
      <c r="BL47">
        <v>3045</v>
      </c>
      <c r="BM47">
        <v>717</v>
      </c>
      <c r="BN47">
        <v>92.466995073899994</v>
      </c>
      <c r="BO47">
        <v>7948</v>
      </c>
      <c r="BP47">
        <v>415</v>
      </c>
      <c r="BQ47">
        <v>133.4743331656</v>
      </c>
      <c r="BR47">
        <v>125.86987951810001</v>
      </c>
      <c r="BS47">
        <v>828</v>
      </c>
      <c r="BT47">
        <v>265</v>
      </c>
      <c r="BU47">
        <v>106.47826086960001</v>
      </c>
      <c r="BV47">
        <v>8481</v>
      </c>
      <c r="BW47">
        <v>704</v>
      </c>
      <c r="BX47">
        <v>130.026647801</v>
      </c>
      <c r="BY47">
        <v>114.7315340909</v>
      </c>
      <c r="CA47" t="s">
        <v>8</v>
      </c>
      <c r="CB47" t="s">
        <v>685</v>
      </c>
      <c r="CC47" t="s">
        <v>685</v>
      </c>
      <c r="CD47">
        <v>3439</v>
      </c>
      <c r="CE47">
        <v>1177</v>
      </c>
      <c r="CF47">
        <v>116.26141320150001</v>
      </c>
      <c r="CG47">
        <v>8537</v>
      </c>
      <c r="CH47">
        <v>747</v>
      </c>
      <c r="CI47">
        <v>169.20417008320001</v>
      </c>
      <c r="CJ47">
        <v>153.3627844712</v>
      </c>
      <c r="CL47" t="s">
        <v>8</v>
      </c>
      <c r="CM47" t="s">
        <v>857</v>
      </c>
      <c r="CN47" t="s">
        <v>857</v>
      </c>
      <c r="CO47">
        <v>226</v>
      </c>
      <c r="CP47">
        <v>43</v>
      </c>
      <c r="CQ47">
        <v>85.292035398199999</v>
      </c>
      <c r="CR47">
        <v>807</v>
      </c>
      <c r="CS47">
        <v>58</v>
      </c>
      <c r="CT47">
        <v>101.81536555140001</v>
      </c>
      <c r="CU47">
        <v>133.68965517239999</v>
      </c>
      <c r="CW47" t="s">
        <v>8</v>
      </c>
      <c r="CX47" t="s">
        <v>858</v>
      </c>
      <c r="CY47" t="s">
        <v>858</v>
      </c>
      <c r="CZ47">
        <v>34</v>
      </c>
      <c r="DA47">
        <v>1</v>
      </c>
      <c r="DB47">
        <v>63.794117647100002</v>
      </c>
      <c r="DC47">
        <v>55</v>
      </c>
      <c r="DD47">
        <v>4</v>
      </c>
      <c r="DE47">
        <v>139.30909090910001</v>
      </c>
      <c r="DF47">
        <v>133.75</v>
      </c>
      <c r="DH47" t="s">
        <v>8</v>
      </c>
      <c r="DI47" t="s">
        <v>856</v>
      </c>
      <c r="DJ47" t="s">
        <v>856</v>
      </c>
      <c r="DK47">
        <v>88</v>
      </c>
      <c r="DL47">
        <v>7</v>
      </c>
      <c r="DM47">
        <v>66.090909090899999</v>
      </c>
      <c r="DN47">
        <v>146</v>
      </c>
      <c r="DO47">
        <v>8</v>
      </c>
      <c r="DP47">
        <v>113.3493150685</v>
      </c>
      <c r="DQ47">
        <v>84.5</v>
      </c>
    </row>
    <row r="48" spans="2:121" x14ac:dyDescent="0.2">
      <c r="B48" t="s">
        <v>125</v>
      </c>
      <c r="C48">
        <v>33949</v>
      </c>
      <c r="D48">
        <v>7282</v>
      </c>
      <c r="F48" t="s">
        <v>57</v>
      </c>
      <c r="G48">
        <v>9837</v>
      </c>
      <c r="H48">
        <v>342.79007827589999</v>
      </c>
      <c r="I48">
        <v>7788</v>
      </c>
      <c r="J48">
        <v>1888</v>
      </c>
      <c r="K48">
        <v>13723</v>
      </c>
      <c r="L48">
        <v>7812</v>
      </c>
      <c r="M48">
        <v>4103</v>
      </c>
      <c r="N48">
        <v>3728</v>
      </c>
      <c r="O48">
        <v>1754</v>
      </c>
      <c r="P48">
        <v>753</v>
      </c>
      <c r="Q48">
        <v>1</v>
      </c>
      <c r="R48">
        <v>420</v>
      </c>
      <c r="AH48" t="s">
        <v>409</v>
      </c>
      <c r="AI48">
        <v>22095</v>
      </c>
      <c r="AJ48">
        <v>319.89391264990002</v>
      </c>
      <c r="AK48">
        <v>37254</v>
      </c>
      <c r="AL48">
        <v>7619</v>
      </c>
      <c r="AM48">
        <v>40744</v>
      </c>
      <c r="AN48">
        <v>19051</v>
      </c>
      <c r="AO48">
        <v>9675</v>
      </c>
      <c r="AP48">
        <v>7221</v>
      </c>
      <c r="AQ48">
        <v>20001</v>
      </c>
      <c r="AR48">
        <v>11887</v>
      </c>
      <c r="AS48">
        <v>20</v>
      </c>
      <c r="AT48">
        <v>449</v>
      </c>
      <c r="AV48" t="s">
        <v>392</v>
      </c>
      <c r="AW48">
        <v>221</v>
      </c>
      <c r="AX48">
        <v>64.343891402699995</v>
      </c>
      <c r="AY48">
        <v>442</v>
      </c>
      <c r="AZ48">
        <v>60</v>
      </c>
      <c r="BA48">
        <v>402</v>
      </c>
      <c r="BB48">
        <v>47</v>
      </c>
      <c r="BC48">
        <v>0</v>
      </c>
      <c r="BE48">
        <v>49</v>
      </c>
      <c r="BF48">
        <v>12</v>
      </c>
      <c r="BG48">
        <v>79</v>
      </c>
      <c r="BH48">
        <v>72</v>
      </c>
      <c r="BJ48" t="s">
        <v>644</v>
      </c>
      <c r="BK48" t="s">
        <v>403</v>
      </c>
      <c r="BL48">
        <v>1089</v>
      </c>
      <c r="BM48">
        <v>276</v>
      </c>
      <c r="BN48">
        <v>100.9816345271</v>
      </c>
      <c r="BO48">
        <v>2952</v>
      </c>
      <c r="BP48">
        <v>237</v>
      </c>
      <c r="BQ48">
        <v>139.2022357724</v>
      </c>
      <c r="BR48">
        <v>136.40084388189999</v>
      </c>
      <c r="BS48">
        <v>179</v>
      </c>
      <c r="BT48">
        <v>81</v>
      </c>
      <c r="BU48">
        <v>118.5865921788</v>
      </c>
      <c r="BV48">
        <v>2377</v>
      </c>
      <c r="BW48">
        <v>185</v>
      </c>
      <c r="BX48">
        <v>149.50652082459999</v>
      </c>
      <c r="BY48">
        <v>160.5459459459</v>
      </c>
      <c r="CA48" t="s">
        <v>8</v>
      </c>
      <c r="CB48" t="s">
        <v>685</v>
      </c>
      <c r="CC48" t="s">
        <v>685</v>
      </c>
      <c r="CD48">
        <v>3439</v>
      </c>
      <c r="CE48">
        <v>1177</v>
      </c>
      <c r="CF48">
        <v>116.26141320150001</v>
      </c>
      <c r="CG48">
        <v>8537</v>
      </c>
      <c r="CH48">
        <v>747</v>
      </c>
      <c r="CI48">
        <v>169.20417008320001</v>
      </c>
      <c r="CJ48">
        <v>153.3627844712</v>
      </c>
      <c r="CL48" t="s">
        <v>8</v>
      </c>
      <c r="CM48" t="s">
        <v>857</v>
      </c>
      <c r="CN48" t="s">
        <v>857</v>
      </c>
      <c r="CO48">
        <v>226</v>
      </c>
      <c r="CP48">
        <v>43</v>
      </c>
      <c r="CQ48">
        <v>85.292035398199999</v>
      </c>
      <c r="CR48">
        <v>807</v>
      </c>
      <c r="CS48">
        <v>58</v>
      </c>
      <c r="CT48">
        <v>101.81536555140001</v>
      </c>
      <c r="CU48">
        <v>133.68965517239999</v>
      </c>
      <c r="CW48" t="s">
        <v>8</v>
      </c>
      <c r="CX48" t="s">
        <v>858</v>
      </c>
      <c r="CY48" t="s">
        <v>858</v>
      </c>
      <c r="CZ48">
        <v>34</v>
      </c>
      <c r="DA48">
        <v>1</v>
      </c>
      <c r="DB48">
        <v>63.794117647100002</v>
      </c>
      <c r="DC48">
        <v>55</v>
      </c>
      <c r="DD48">
        <v>4</v>
      </c>
      <c r="DE48">
        <v>139.30909090910001</v>
      </c>
      <c r="DF48">
        <v>133.75</v>
      </c>
      <c r="DH48" t="s">
        <v>8</v>
      </c>
      <c r="DI48" t="s">
        <v>856</v>
      </c>
      <c r="DJ48" t="s">
        <v>856</v>
      </c>
      <c r="DK48">
        <v>88</v>
      </c>
      <c r="DL48">
        <v>7</v>
      </c>
      <c r="DM48">
        <v>66.090909090899999</v>
      </c>
      <c r="DN48">
        <v>146</v>
      </c>
      <c r="DO48">
        <v>8</v>
      </c>
      <c r="DP48">
        <v>113.3493150685</v>
      </c>
      <c r="DQ48">
        <v>84.5</v>
      </c>
    </row>
    <row r="49" spans="2:121" x14ac:dyDescent="0.2">
      <c r="B49" t="s">
        <v>124</v>
      </c>
      <c r="C49">
        <v>264</v>
      </c>
      <c r="D49">
        <v>90</v>
      </c>
      <c r="F49" t="s">
        <v>35</v>
      </c>
      <c r="G49">
        <v>3149</v>
      </c>
      <c r="H49">
        <v>608.66624325179998</v>
      </c>
      <c r="I49">
        <v>3278</v>
      </c>
      <c r="J49">
        <v>685</v>
      </c>
      <c r="K49">
        <v>6490</v>
      </c>
      <c r="L49">
        <v>3493</v>
      </c>
      <c r="M49">
        <v>2496</v>
      </c>
      <c r="N49">
        <v>2076</v>
      </c>
      <c r="O49">
        <v>542</v>
      </c>
      <c r="P49">
        <v>474</v>
      </c>
      <c r="Q49">
        <v>0</v>
      </c>
      <c r="R49">
        <v>4</v>
      </c>
      <c r="AH49" t="s">
        <v>405</v>
      </c>
      <c r="AI49">
        <v>708</v>
      </c>
      <c r="AJ49">
        <v>208.68079096049999</v>
      </c>
      <c r="AK49">
        <v>1862</v>
      </c>
      <c r="AL49">
        <v>427</v>
      </c>
      <c r="AM49">
        <v>2067</v>
      </c>
      <c r="AN49">
        <v>443</v>
      </c>
      <c r="AO49">
        <v>619</v>
      </c>
      <c r="AP49">
        <v>297</v>
      </c>
      <c r="AQ49">
        <v>600</v>
      </c>
      <c r="AR49">
        <v>330</v>
      </c>
      <c r="AS49">
        <v>0</v>
      </c>
      <c r="AT49">
        <v>4</v>
      </c>
      <c r="AV49" t="s">
        <v>380</v>
      </c>
      <c r="AW49">
        <v>1192</v>
      </c>
      <c r="AX49">
        <v>106.0796979866</v>
      </c>
      <c r="AY49">
        <v>1439</v>
      </c>
      <c r="AZ49">
        <v>222</v>
      </c>
      <c r="BA49">
        <v>1623</v>
      </c>
      <c r="BB49">
        <v>546</v>
      </c>
      <c r="BC49">
        <v>2</v>
      </c>
      <c r="BD49">
        <v>1</v>
      </c>
      <c r="BE49">
        <v>80</v>
      </c>
      <c r="BF49">
        <v>29</v>
      </c>
      <c r="BG49">
        <v>213</v>
      </c>
      <c r="BH49">
        <v>369</v>
      </c>
      <c r="BJ49" t="s">
        <v>600</v>
      </c>
      <c r="BK49" t="s">
        <v>403</v>
      </c>
      <c r="BL49">
        <v>1704</v>
      </c>
      <c r="BM49">
        <v>448</v>
      </c>
      <c r="BN49">
        <v>97.730046948400002</v>
      </c>
      <c r="BO49">
        <v>4122</v>
      </c>
      <c r="BP49">
        <v>262</v>
      </c>
      <c r="BQ49">
        <v>117.8760310529</v>
      </c>
      <c r="BR49">
        <v>139.60305343510001</v>
      </c>
      <c r="BS49">
        <v>959</v>
      </c>
      <c r="BT49">
        <v>289</v>
      </c>
      <c r="BU49">
        <v>101.4869655892</v>
      </c>
      <c r="BV49">
        <v>5775</v>
      </c>
      <c r="BW49">
        <v>480</v>
      </c>
      <c r="BX49">
        <v>119.25835497840001</v>
      </c>
      <c r="BY49">
        <v>130.83750000000001</v>
      </c>
      <c r="CA49" t="s">
        <v>8</v>
      </c>
      <c r="CB49" t="s">
        <v>685</v>
      </c>
      <c r="CD49">
        <v>3439</v>
      </c>
      <c r="CE49">
        <v>1177</v>
      </c>
      <c r="CF49">
        <v>116.26141320150001</v>
      </c>
      <c r="CG49">
        <v>8537</v>
      </c>
      <c r="CH49">
        <v>747</v>
      </c>
      <c r="CI49">
        <v>169.20417008320001</v>
      </c>
      <c r="CJ49">
        <v>153.3627844712</v>
      </c>
      <c r="CL49" t="s">
        <v>8</v>
      </c>
      <c r="CM49" t="s">
        <v>857</v>
      </c>
      <c r="CO49">
        <v>226</v>
      </c>
      <c r="CP49">
        <v>43</v>
      </c>
      <c r="CQ49">
        <v>85.292035398199999</v>
      </c>
      <c r="CR49">
        <v>807</v>
      </c>
      <c r="CS49">
        <v>58</v>
      </c>
      <c r="CT49">
        <v>101.81536555140001</v>
      </c>
      <c r="CU49">
        <v>133.68965517239999</v>
      </c>
      <c r="CW49" t="s">
        <v>8</v>
      </c>
      <c r="CX49" t="s">
        <v>858</v>
      </c>
      <c r="CZ49">
        <v>34</v>
      </c>
      <c r="DA49">
        <v>1</v>
      </c>
      <c r="DB49">
        <v>63.794117647100002</v>
      </c>
      <c r="DC49">
        <v>55</v>
      </c>
      <c r="DD49">
        <v>4</v>
      </c>
      <c r="DE49">
        <v>139.30909090910001</v>
      </c>
      <c r="DF49">
        <v>133.75</v>
      </c>
      <c r="DH49" t="s">
        <v>8</v>
      </c>
      <c r="DI49" t="s">
        <v>856</v>
      </c>
      <c r="DK49">
        <v>88</v>
      </c>
      <c r="DL49">
        <v>7</v>
      </c>
      <c r="DM49">
        <v>66.090909090899999</v>
      </c>
      <c r="DN49">
        <v>146</v>
      </c>
      <c r="DO49">
        <v>8</v>
      </c>
      <c r="DP49">
        <v>113.3493150685</v>
      </c>
      <c r="DQ49">
        <v>84.5</v>
      </c>
    </row>
    <row r="50" spans="2:121" x14ac:dyDescent="0.2">
      <c r="B50" t="s">
        <v>1061</v>
      </c>
      <c r="C50">
        <v>1</v>
      </c>
      <c r="F50" t="s">
        <v>34</v>
      </c>
      <c r="G50">
        <v>393</v>
      </c>
      <c r="H50">
        <v>88.984732824399998</v>
      </c>
      <c r="I50">
        <v>1704</v>
      </c>
      <c r="J50">
        <v>446</v>
      </c>
      <c r="K50">
        <v>1286</v>
      </c>
      <c r="L50">
        <v>145</v>
      </c>
      <c r="M50">
        <v>249</v>
      </c>
      <c r="N50">
        <v>72</v>
      </c>
      <c r="O50">
        <v>122</v>
      </c>
      <c r="P50">
        <v>81</v>
      </c>
      <c r="Q50">
        <v>0</v>
      </c>
      <c r="R50">
        <v>5</v>
      </c>
      <c r="AH50" t="s">
        <v>416</v>
      </c>
      <c r="AI50">
        <v>415</v>
      </c>
      <c r="AJ50">
        <v>321.21445783130002</v>
      </c>
      <c r="AK50">
        <v>539</v>
      </c>
      <c r="AL50">
        <v>123</v>
      </c>
      <c r="AM50">
        <v>1087</v>
      </c>
      <c r="AN50">
        <v>403</v>
      </c>
      <c r="AO50">
        <v>282</v>
      </c>
      <c r="AP50">
        <v>184</v>
      </c>
      <c r="AQ50">
        <v>203</v>
      </c>
      <c r="AR50">
        <v>124</v>
      </c>
      <c r="AS50">
        <v>85</v>
      </c>
      <c r="AT50">
        <v>3</v>
      </c>
      <c r="AV50" t="s">
        <v>410</v>
      </c>
      <c r="AW50">
        <v>194</v>
      </c>
      <c r="AX50">
        <v>63.742268041199999</v>
      </c>
      <c r="AY50">
        <v>259</v>
      </c>
      <c r="AZ50">
        <v>25</v>
      </c>
      <c r="BA50">
        <v>283</v>
      </c>
      <c r="BB50">
        <v>29</v>
      </c>
      <c r="BC50">
        <v>4</v>
      </c>
      <c r="BD50">
        <v>4</v>
      </c>
      <c r="BE50">
        <v>31</v>
      </c>
      <c r="BF50">
        <v>10</v>
      </c>
      <c r="BG50">
        <v>82</v>
      </c>
      <c r="BH50">
        <v>46</v>
      </c>
      <c r="BJ50" t="s">
        <v>640</v>
      </c>
      <c r="BK50" t="s">
        <v>403</v>
      </c>
      <c r="BL50">
        <v>2475</v>
      </c>
      <c r="BM50">
        <v>419</v>
      </c>
      <c r="BN50">
        <v>79.671919191900002</v>
      </c>
      <c r="BO50">
        <v>6333</v>
      </c>
      <c r="BP50">
        <v>408</v>
      </c>
      <c r="BQ50">
        <v>125.0918995737</v>
      </c>
      <c r="BR50">
        <v>118.387254902</v>
      </c>
      <c r="BS50">
        <v>727</v>
      </c>
      <c r="BT50">
        <v>207</v>
      </c>
      <c r="BU50">
        <v>95.291609353499993</v>
      </c>
      <c r="BV50">
        <v>6010</v>
      </c>
      <c r="BW50">
        <v>410</v>
      </c>
      <c r="BX50">
        <v>124.3188019967</v>
      </c>
      <c r="BY50">
        <v>137.70243902440001</v>
      </c>
      <c r="CA50" t="s">
        <v>423</v>
      </c>
      <c r="CB50" t="s">
        <v>889</v>
      </c>
      <c r="CC50" t="s">
        <v>1013</v>
      </c>
      <c r="CD50">
        <v>1097</v>
      </c>
      <c r="CE50">
        <v>274</v>
      </c>
      <c r="CF50">
        <v>98.972652689200004</v>
      </c>
      <c r="CG50">
        <v>3634</v>
      </c>
      <c r="CH50">
        <v>276</v>
      </c>
      <c r="CI50">
        <v>114.5685195377</v>
      </c>
      <c r="CJ50">
        <v>118.82608695650001</v>
      </c>
      <c r="CL50" t="s">
        <v>423</v>
      </c>
      <c r="CM50" t="s">
        <v>870</v>
      </c>
      <c r="CN50" t="s">
        <v>869</v>
      </c>
      <c r="CO50">
        <v>29</v>
      </c>
      <c r="CP50">
        <v>3</v>
      </c>
      <c r="CQ50">
        <v>85.103448275900007</v>
      </c>
      <c r="CR50">
        <v>183</v>
      </c>
      <c r="CS50">
        <v>12</v>
      </c>
      <c r="CT50">
        <v>75.021857923499994</v>
      </c>
      <c r="CU50">
        <v>80.333333333300004</v>
      </c>
      <c r="CW50" t="s">
        <v>423</v>
      </c>
      <c r="CX50" t="s">
        <v>880</v>
      </c>
      <c r="CY50" t="s">
        <v>879</v>
      </c>
      <c r="CZ50">
        <v>24</v>
      </c>
      <c r="DA50">
        <v>2</v>
      </c>
      <c r="DB50">
        <v>60.333333333299997</v>
      </c>
      <c r="DC50">
        <v>59</v>
      </c>
      <c r="DD50">
        <v>5</v>
      </c>
      <c r="DE50">
        <v>116.9152542373</v>
      </c>
      <c r="DF50">
        <v>76.400000000000006</v>
      </c>
      <c r="DH50" t="s">
        <v>423</v>
      </c>
      <c r="DI50" t="s">
        <v>860</v>
      </c>
      <c r="DJ50" t="s">
        <v>859</v>
      </c>
      <c r="DK50">
        <v>27</v>
      </c>
      <c r="DL50">
        <v>4</v>
      </c>
      <c r="DM50">
        <v>62.925925925900003</v>
      </c>
      <c r="DN50">
        <v>100</v>
      </c>
      <c r="DO50">
        <v>6</v>
      </c>
      <c r="DP50">
        <v>122.11</v>
      </c>
      <c r="DQ50">
        <v>102</v>
      </c>
    </row>
    <row r="51" spans="2:121" x14ac:dyDescent="0.2">
      <c r="B51" t="s">
        <v>103</v>
      </c>
      <c r="C51">
        <v>21</v>
      </c>
      <c r="D51">
        <v>19</v>
      </c>
      <c r="F51" t="s">
        <v>46</v>
      </c>
      <c r="G51">
        <v>9583</v>
      </c>
      <c r="H51">
        <v>363.85808202020002</v>
      </c>
      <c r="I51">
        <v>17607</v>
      </c>
      <c r="J51">
        <v>4193</v>
      </c>
      <c r="K51">
        <v>17496</v>
      </c>
      <c r="L51">
        <v>9314</v>
      </c>
      <c r="M51">
        <v>3625</v>
      </c>
      <c r="N51">
        <v>2941</v>
      </c>
      <c r="O51">
        <v>3441</v>
      </c>
      <c r="P51">
        <v>2845</v>
      </c>
      <c r="Q51">
        <v>1</v>
      </c>
      <c r="R51">
        <v>253</v>
      </c>
      <c r="AH51" t="s">
        <v>377</v>
      </c>
      <c r="AI51">
        <v>14833</v>
      </c>
      <c r="AJ51">
        <v>308.13025011799999</v>
      </c>
      <c r="AK51">
        <v>12816</v>
      </c>
      <c r="AL51">
        <v>2300</v>
      </c>
      <c r="AM51">
        <v>22573</v>
      </c>
      <c r="AN51">
        <v>10705</v>
      </c>
      <c r="AO51">
        <v>8526</v>
      </c>
      <c r="AP51">
        <v>6538</v>
      </c>
      <c r="AQ51">
        <v>7982</v>
      </c>
      <c r="AR51">
        <v>6109</v>
      </c>
      <c r="AS51">
        <v>1068</v>
      </c>
      <c r="AT51">
        <v>23</v>
      </c>
      <c r="AV51" t="s">
        <v>400</v>
      </c>
      <c r="AW51">
        <v>206</v>
      </c>
      <c r="AX51">
        <v>76.058252427200003</v>
      </c>
      <c r="AY51">
        <v>270</v>
      </c>
      <c r="AZ51">
        <v>13</v>
      </c>
      <c r="BA51">
        <v>311</v>
      </c>
      <c r="BB51">
        <v>35</v>
      </c>
      <c r="BC51">
        <v>1</v>
      </c>
      <c r="BD51">
        <v>1</v>
      </c>
      <c r="BE51">
        <v>16</v>
      </c>
      <c r="BF51">
        <v>5</v>
      </c>
      <c r="BG51">
        <v>781</v>
      </c>
      <c r="BH51">
        <v>80</v>
      </c>
      <c r="BJ51" t="s">
        <v>592</v>
      </c>
      <c r="BK51" t="s">
        <v>403</v>
      </c>
      <c r="BL51">
        <v>10867</v>
      </c>
      <c r="BM51">
        <v>2191</v>
      </c>
      <c r="BN51">
        <v>85.687126161799995</v>
      </c>
      <c r="BO51">
        <v>25919</v>
      </c>
      <c r="BP51">
        <v>1900</v>
      </c>
      <c r="BQ51">
        <v>133.43072649410001</v>
      </c>
      <c r="BR51">
        <v>136.25157894739999</v>
      </c>
      <c r="BS51">
        <v>1830</v>
      </c>
      <c r="BT51">
        <v>435</v>
      </c>
      <c r="BU51">
        <v>89.701092896199995</v>
      </c>
      <c r="BV51">
        <v>21403</v>
      </c>
      <c r="BW51">
        <v>1645</v>
      </c>
      <c r="BX51">
        <v>126.86464514319999</v>
      </c>
      <c r="BY51">
        <v>138.17446808509999</v>
      </c>
      <c r="CA51" t="s">
        <v>425</v>
      </c>
      <c r="CB51" t="s">
        <v>889</v>
      </c>
      <c r="CC51" t="s">
        <v>1014</v>
      </c>
      <c r="CD51">
        <v>5523</v>
      </c>
      <c r="CE51">
        <v>951</v>
      </c>
      <c r="CF51">
        <v>85.015028064500001</v>
      </c>
      <c r="CG51">
        <v>18386</v>
      </c>
      <c r="CH51">
        <v>1096</v>
      </c>
      <c r="CI51">
        <v>122.8188839334</v>
      </c>
      <c r="CJ51">
        <v>120.5939781022</v>
      </c>
      <c r="CL51" t="s">
        <v>425</v>
      </c>
      <c r="CM51" t="s">
        <v>870</v>
      </c>
      <c r="CN51" t="s">
        <v>871</v>
      </c>
      <c r="CO51">
        <v>493</v>
      </c>
      <c r="CP51">
        <v>41</v>
      </c>
      <c r="CQ51">
        <v>64.860040568000002</v>
      </c>
      <c r="CR51">
        <v>3084</v>
      </c>
      <c r="CS51">
        <v>214</v>
      </c>
      <c r="CT51">
        <v>68.696498054499997</v>
      </c>
      <c r="CU51">
        <v>75.2570093458</v>
      </c>
      <c r="CW51" t="s">
        <v>425</v>
      </c>
      <c r="CX51" t="s">
        <v>880</v>
      </c>
      <c r="CY51" t="s">
        <v>881</v>
      </c>
      <c r="CZ51">
        <v>147</v>
      </c>
      <c r="DA51">
        <v>14</v>
      </c>
      <c r="DB51">
        <v>59.795918367299997</v>
      </c>
      <c r="DC51">
        <v>491</v>
      </c>
      <c r="DD51">
        <v>30</v>
      </c>
      <c r="DE51">
        <v>126.2301425662</v>
      </c>
      <c r="DF51">
        <v>89.133333333300001</v>
      </c>
      <c r="DH51" t="s">
        <v>425</v>
      </c>
      <c r="DI51" t="s">
        <v>860</v>
      </c>
      <c r="DJ51" t="s">
        <v>861</v>
      </c>
      <c r="DK51">
        <v>114</v>
      </c>
      <c r="DL51">
        <v>5</v>
      </c>
      <c r="DM51">
        <v>63.868421052599999</v>
      </c>
      <c r="DN51">
        <v>364</v>
      </c>
      <c r="DO51">
        <v>16</v>
      </c>
      <c r="DP51">
        <v>126.76098901100001</v>
      </c>
      <c r="DQ51">
        <v>145.375</v>
      </c>
    </row>
    <row r="52" spans="2:121" x14ac:dyDescent="0.2">
      <c r="B52" t="s">
        <v>120</v>
      </c>
      <c r="C52">
        <v>187</v>
      </c>
      <c r="D52">
        <v>187</v>
      </c>
      <c r="F52" t="s">
        <v>47</v>
      </c>
      <c r="G52">
        <v>1795</v>
      </c>
      <c r="H52">
        <v>241.17883008359999</v>
      </c>
      <c r="I52">
        <v>2368</v>
      </c>
      <c r="J52">
        <v>378</v>
      </c>
      <c r="K52">
        <v>3416</v>
      </c>
      <c r="L52">
        <v>1715</v>
      </c>
      <c r="M52">
        <v>471</v>
      </c>
      <c r="N52">
        <v>384</v>
      </c>
      <c r="O52">
        <v>1317</v>
      </c>
      <c r="P52">
        <v>961</v>
      </c>
      <c r="Q52">
        <v>0</v>
      </c>
      <c r="R52">
        <v>4</v>
      </c>
      <c r="AH52" t="s">
        <v>80</v>
      </c>
      <c r="AI52">
        <v>8356</v>
      </c>
      <c r="AJ52">
        <v>371.54080899949997</v>
      </c>
      <c r="AK52">
        <v>7643</v>
      </c>
      <c r="AL52">
        <v>1448</v>
      </c>
      <c r="AM52">
        <v>15406</v>
      </c>
      <c r="AN52">
        <v>8220</v>
      </c>
      <c r="AO52">
        <v>4284</v>
      </c>
      <c r="AP52">
        <v>2885</v>
      </c>
      <c r="AQ52">
        <v>5774</v>
      </c>
      <c r="AR52">
        <v>4467</v>
      </c>
      <c r="AS52">
        <v>15</v>
      </c>
      <c r="AT52">
        <v>154</v>
      </c>
      <c r="AV52" t="s">
        <v>391</v>
      </c>
      <c r="AW52">
        <v>258</v>
      </c>
      <c r="AX52">
        <v>62.457364341100003</v>
      </c>
      <c r="AY52">
        <v>590</v>
      </c>
      <c r="AZ52">
        <v>87</v>
      </c>
      <c r="BA52">
        <v>466</v>
      </c>
      <c r="BB52">
        <v>39</v>
      </c>
      <c r="BC52">
        <v>2</v>
      </c>
      <c r="BD52">
        <v>2</v>
      </c>
      <c r="BE52">
        <v>35</v>
      </c>
      <c r="BF52">
        <v>9</v>
      </c>
      <c r="BG52">
        <v>77</v>
      </c>
      <c r="BH52">
        <v>91</v>
      </c>
      <c r="BJ52" t="s">
        <v>614</v>
      </c>
      <c r="BK52" t="s">
        <v>403</v>
      </c>
      <c r="BL52">
        <v>750</v>
      </c>
      <c r="BM52">
        <v>216</v>
      </c>
      <c r="BN52">
        <v>102.9226666667</v>
      </c>
      <c r="BO52">
        <v>2430</v>
      </c>
      <c r="BP52">
        <v>161</v>
      </c>
      <c r="BQ52">
        <v>132.10905349789999</v>
      </c>
      <c r="BR52">
        <v>151.29192546580001</v>
      </c>
      <c r="BS52">
        <v>835</v>
      </c>
      <c r="BT52">
        <v>312</v>
      </c>
      <c r="BU52">
        <v>120.74131736530001</v>
      </c>
      <c r="BV52">
        <v>5441</v>
      </c>
      <c r="BW52">
        <v>409</v>
      </c>
      <c r="BX52">
        <v>152.77724682959999</v>
      </c>
      <c r="BY52">
        <v>145.40097799509999</v>
      </c>
      <c r="CA52" t="s">
        <v>406</v>
      </c>
      <c r="CB52" t="s">
        <v>889</v>
      </c>
      <c r="CC52" t="s">
        <v>1015</v>
      </c>
      <c r="CD52">
        <v>32783</v>
      </c>
      <c r="CE52">
        <v>7033</v>
      </c>
      <c r="CF52">
        <v>89.275264618899996</v>
      </c>
      <c r="CG52">
        <v>82519</v>
      </c>
      <c r="CH52">
        <v>5411</v>
      </c>
      <c r="CI52">
        <v>131.08799185640001</v>
      </c>
      <c r="CJ52">
        <v>131.78026242839999</v>
      </c>
      <c r="CL52" t="s">
        <v>406</v>
      </c>
      <c r="CM52" t="s">
        <v>870</v>
      </c>
      <c r="CN52" t="s">
        <v>872</v>
      </c>
      <c r="CO52">
        <v>2082</v>
      </c>
      <c r="CP52">
        <v>168</v>
      </c>
      <c r="CQ52">
        <v>59.393371757899999</v>
      </c>
      <c r="CR52">
        <v>12283</v>
      </c>
      <c r="CS52">
        <v>864</v>
      </c>
      <c r="CT52">
        <v>67.065456321699997</v>
      </c>
      <c r="CU52">
        <v>68.758101851899994</v>
      </c>
      <c r="CW52" t="s">
        <v>406</v>
      </c>
      <c r="CX52" t="s">
        <v>880</v>
      </c>
      <c r="CY52" t="s">
        <v>882</v>
      </c>
      <c r="CZ52">
        <v>1197</v>
      </c>
      <c r="DA52">
        <v>132</v>
      </c>
      <c r="DB52">
        <v>64.900584795300006</v>
      </c>
      <c r="DC52">
        <v>3288</v>
      </c>
      <c r="DD52">
        <v>196</v>
      </c>
      <c r="DE52">
        <v>126.1161800487</v>
      </c>
      <c r="DF52">
        <v>97.709183673499993</v>
      </c>
      <c r="DH52" t="s">
        <v>406</v>
      </c>
      <c r="DI52" t="s">
        <v>860</v>
      </c>
      <c r="DJ52" t="s">
        <v>862</v>
      </c>
      <c r="DK52">
        <v>726</v>
      </c>
      <c r="DL52">
        <v>60</v>
      </c>
      <c r="DM52">
        <v>63.333333333299997</v>
      </c>
      <c r="DN52">
        <v>1928</v>
      </c>
      <c r="DO52">
        <v>98</v>
      </c>
      <c r="DP52">
        <v>118.89211618260001</v>
      </c>
      <c r="DQ52">
        <v>109.1326530612</v>
      </c>
    </row>
    <row r="53" spans="2:121" x14ac:dyDescent="0.2">
      <c r="F53" t="s">
        <v>82</v>
      </c>
      <c r="G53">
        <v>452</v>
      </c>
      <c r="H53">
        <v>386.435840708</v>
      </c>
      <c r="I53">
        <v>807</v>
      </c>
      <c r="J53">
        <v>186</v>
      </c>
      <c r="K53">
        <v>797</v>
      </c>
      <c r="L53">
        <v>353</v>
      </c>
      <c r="M53">
        <v>49</v>
      </c>
      <c r="N53">
        <v>46</v>
      </c>
      <c r="O53">
        <v>92</v>
      </c>
      <c r="P53">
        <v>53</v>
      </c>
      <c r="Q53">
        <v>0</v>
      </c>
      <c r="R53">
        <v>0</v>
      </c>
      <c r="AH53" t="s">
        <v>378</v>
      </c>
      <c r="AI53">
        <v>1840</v>
      </c>
      <c r="AJ53">
        <v>271.74021739130001</v>
      </c>
      <c r="AK53">
        <v>2555</v>
      </c>
      <c r="AL53">
        <v>426</v>
      </c>
      <c r="AM53">
        <v>3341</v>
      </c>
      <c r="AN53">
        <v>1726</v>
      </c>
      <c r="AO53">
        <v>485</v>
      </c>
      <c r="AP53">
        <v>366</v>
      </c>
      <c r="AQ53">
        <v>1574</v>
      </c>
      <c r="AR53">
        <v>1089</v>
      </c>
      <c r="AS53">
        <v>385</v>
      </c>
      <c r="AT53">
        <v>7</v>
      </c>
      <c r="AV53" t="s">
        <v>378</v>
      </c>
      <c r="AW53">
        <v>263</v>
      </c>
      <c r="AX53">
        <v>108.28517110270001</v>
      </c>
      <c r="AY53">
        <v>213</v>
      </c>
      <c r="AZ53">
        <v>28</v>
      </c>
      <c r="BA53">
        <v>351</v>
      </c>
      <c r="BB53">
        <v>112</v>
      </c>
      <c r="BC53">
        <v>0</v>
      </c>
      <c r="BE53">
        <v>14</v>
      </c>
      <c r="BF53">
        <v>5</v>
      </c>
      <c r="BG53">
        <v>50</v>
      </c>
      <c r="BH53">
        <v>59</v>
      </c>
      <c r="BJ53" t="s">
        <v>590</v>
      </c>
      <c r="BK53" t="s">
        <v>403</v>
      </c>
      <c r="BL53">
        <v>11488</v>
      </c>
      <c r="BM53">
        <v>2950</v>
      </c>
      <c r="BN53">
        <v>99.996779247899994</v>
      </c>
      <c r="BO53">
        <v>27719</v>
      </c>
      <c r="BP53">
        <v>1804</v>
      </c>
      <c r="BQ53">
        <v>145.4776507089</v>
      </c>
      <c r="BR53">
        <v>142.61862527720001</v>
      </c>
      <c r="BS53">
        <v>2760</v>
      </c>
      <c r="BT53">
        <v>882</v>
      </c>
      <c r="BU53">
        <v>111.54891304349999</v>
      </c>
      <c r="BV53">
        <v>15930</v>
      </c>
      <c r="BW53">
        <v>1044</v>
      </c>
      <c r="BX53">
        <v>149.91632140620001</v>
      </c>
      <c r="BY53">
        <v>153.4300766284</v>
      </c>
      <c r="CA53" t="s">
        <v>427</v>
      </c>
      <c r="CB53" t="s">
        <v>889</v>
      </c>
      <c r="CC53" t="s">
        <v>1016</v>
      </c>
      <c r="CD53">
        <v>2043</v>
      </c>
      <c r="CE53">
        <v>325</v>
      </c>
      <c r="CF53">
        <v>77.667645619200002</v>
      </c>
      <c r="CG53">
        <v>6429</v>
      </c>
      <c r="CH53">
        <v>378</v>
      </c>
      <c r="CI53">
        <v>107.6470679732</v>
      </c>
      <c r="CJ53">
        <v>101.84391534389999</v>
      </c>
      <c r="CL53" t="s">
        <v>427</v>
      </c>
      <c r="CM53" t="s">
        <v>870</v>
      </c>
      <c r="CN53" t="s">
        <v>873</v>
      </c>
      <c r="CO53">
        <v>70</v>
      </c>
      <c r="CP53">
        <v>10</v>
      </c>
      <c r="CQ53">
        <v>73</v>
      </c>
      <c r="CR53">
        <v>381</v>
      </c>
      <c r="CS53">
        <v>28</v>
      </c>
      <c r="CT53">
        <v>71.559055118100005</v>
      </c>
      <c r="CU53">
        <v>72.928571428599994</v>
      </c>
      <c r="CW53" t="s">
        <v>427</v>
      </c>
      <c r="CX53" t="s">
        <v>880</v>
      </c>
      <c r="CY53" t="s">
        <v>883</v>
      </c>
      <c r="CZ53">
        <v>32</v>
      </c>
      <c r="DA53">
        <v>0</v>
      </c>
      <c r="DB53">
        <v>48.875</v>
      </c>
      <c r="DC53">
        <v>106</v>
      </c>
      <c r="DD53">
        <v>6</v>
      </c>
      <c r="DE53">
        <v>123.4245283019</v>
      </c>
      <c r="DF53">
        <v>113.1666666667</v>
      </c>
      <c r="DH53" t="s">
        <v>427</v>
      </c>
      <c r="DI53" t="s">
        <v>860</v>
      </c>
      <c r="DJ53" t="s">
        <v>863</v>
      </c>
      <c r="DK53">
        <v>105</v>
      </c>
      <c r="DL53">
        <v>8</v>
      </c>
      <c r="DM53">
        <v>56.380952381</v>
      </c>
      <c r="DN53">
        <v>202</v>
      </c>
      <c r="DO53">
        <v>24</v>
      </c>
      <c r="DP53">
        <v>113.83663366339999</v>
      </c>
      <c r="DQ53">
        <v>90.916666666699996</v>
      </c>
    </row>
    <row r="54" spans="2:121" x14ac:dyDescent="0.2">
      <c r="F54" t="s">
        <v>135</v>
      </c>
      <c r="G54">
        <v>475</v>
      </c>
      <c r="H54">
        <v>337.58105263160002</v>
      </c>
      <c r="I54">
        <v>496</v>
      </c>
      <c r="J54">
        <v>115</v>
      </c>
      <c r="K54">
        <v>1096</v>
      </c>
      <c r="L54">
        <v>429</v>
      </c>
      <c r="M54">
        <v>215</v>
      </c>
      <c r="N54">
        <v>128</v>
      </c>
      <c r="O54">
        <v>194</v>
      </c>
      <c r="P54">
        <v>128</v>
      </c>
      <c r="Q54">
        <v>1</v>
      </c>
      <c r="R54">
        <v>2</v>
      </c>
      <c r="AH54" t="s">
        <v>395</v>
      </c>
      <c r="AI54">
        <v>3095</v>
      </c>
      <c r="AJ54">
        <v>209.4636510501</v>
      </c>
      <c r="AK54">
        <v>4072</v>
      </c>
      <c r="AL54">
        <v>644</v>
      </c>
      <c r="AM54">
        <v>5924</v>
      </c>
      <c r="AN54">
        <v>1936</v>
      </c>
      <c r="AO54">
        <v>942</v>
      </c>
      <c r="AP54">
        <v>585</v>
      </c>
      <c r="AQ54">
        <v>1045</v>
      </c>
      <c r="AR54">
        <v>660</v>
      </c>
      <c r="AS54">
        <v>581</v>
      </c>
      <c r="AT54">
        <v>6</v>
      </c>
      <c r="AV54" t="s">
        <v>415</v>
      </c>
      <c r="AW54">
        <v>105</v>
      </c>
      <c r="AX54">
        <v>95.819047619000003</v>
      </c>
      <c r="AY54">
        <v>130</v>
      </c>
      <c r="AZ54">
        <v>22</v>
      </c>
      <c r="BA54">
        <v>149</v>
      </c>
      <c r="BB54">
        <v>38</v>
      </c>
      <c r="BC54">
        <v>1</v>
      </c>
      <c r="BD54">
        <v>1</v>
      </c>
      <c r="BE54">
        <v>11</v>
      </c>
      <c r="BF54">
        <v>4</v>
      </c>
      <c r="BG54">
        <v>23</v>
      </c>
      <c r="BH54">
        <v>23</v>
      </c>
      <c r="BJ54" t="s">
        <v>403</v>
      </c>
      <c r="BK54" t="s">
        <v>403</v>
      </c>
      <c r="BL54">
        <v>64579</v>
      </c>
      <c r="BM54">
        <v>13417</v>
      </c>
      <c r="BN54">
        <v>88.500565199199997</v>
      </c>
      <c r="BO54">
        <v>194398</v>
      </c>
      <c r="BP54">
        <v>12618</v>
      </c>
      <c r="BQ54">
        <v>114.8824010535</v>
      </c>
      <c r="BR54">
        <v>116.0814709146</v>
      </c>
      <c r="BS54">
        <v>22965</v>
      </c>
      <c r="BT54">
        <v>5552</v>
      </c>
      <c r="BU54">
        <v>92.759503592399994</v>
      </c>
      <c r="BV54">
        <v>194478</v>
      </c>
      <c r="BW54">
        <v>13824</v>
      </c>
      <c r="BX54">
        <v>113.093434733</v>
      </c>
      <c r="BY54">
        <v>116.0434027778</v>
      </c>
      <c r="CA54" t="s">
        <v>407</v>
      </c>
      <c r="CB54" t="s">
        <v>889</v>
      </c>
      <c r="CC54" t="s">
        <v>1017</v>
      </c>
      <c r="CD54">
        <v>1806</v>
      </c>
      <c r="CE54">
        <v>466</v>
      </c>
      <c r="CF54">
        <v>96.434108527099994</v>
      </c>
      <c r="CG54">
        <v>4466</v>
      </c>
      <c r="CH54">
        <v>274</v>
      </c>
      <c r="CI54">
        <v>114.81549484999999</v>
      </c>
      <c r="CJ54">
        <v>134.0948905109</v>
      </c>
      <c r="CL54" t="s">
        <v>407</v>
      </c>
      <c r="CM54" t="s">
        <v>870</v>
      </c>
      <c r="CN54" t="s">
        <v>874</v>
      </c>
      <c r="CO54">
        <v>121</v>
      </c>
      <c r="CP54">
        <v>10</v>
      </c>
      <c r="CQ54">
        <v>62.181818181799997</v>
      </c>
      <c r="CR54">
        <v>717</v>
      </c>
      <c r="CS54">
        <v>56</v>
      </c>
      <c r="CT54">
        <v>66.683403068299995</v>
      </c>
      <c r="CU54">
        <v>71.821428571400006</v>
      </c>
      <c r="CW54" t="s">
        <v>407</v>
      </c>
      <c r="CX54" t="s">
        <v>880</v>
      </c>
      <c r="CY54" t="s">
        <v>884</v>
      </c>
      <c r="CZ54">
        <v>37</v>
      </c>
      <c r="DA54">
        <v>5</v>
      </c>
      <c r="DB54">
        <v>62</v>
      </c>
      <c r="DC54">
        <v>89</v>
      </c>
      <c r="DD54">
        <v>6</v>
      </c>
      <c r="DE54">
        <v>138.4157303371</v>
      </c>
      <c r="DF54">
        <v>146.6666666667</v>
      </c>
      <c r="DH54" t="s">
        <v>407</v>
      </c>
      <c r="DI54" t="s">
        <v>860</v>
      </c>
      <c r="DJ54" t="s">
        <v>864</v>
      </c>
      <c r="DK54">
        <v>51</v>
      </c>
      <c r="DL54">
        <v>4</v>
      </c>
      <c r="DM54">
        <v>61.666666666700003</v>
      </c>
      <c r="DN54">
        <v>130</v>
      </c>
      <c r="DO54">
        <v>7</v>
      </c>
      <c r="DP54">
        <v>116.4230769231</v>
      </c>
      <c r="DQ54">
        <v>85.428571428599994</v>
      </c>
    </row>
    <row r="55" spans="2:121" x14ac:dyDescent="0.2">
      <c r="F55" t="s">
        <v>52</v>
      </c>
      <c r="G55">
        <v>5872</v>
      </c>
      <c r="H55">
        <v>434.51566757490002</v>
      </c>
      <c r="I55">
        <v>10867</v>
      </c>
      <c r="J55">
        <v>2114</v>
      </c>
      <c r="K55">
        <v>10349</v>
      </c>
      <c r="L55">
        <v>5098</v>
      </c>
      <c r="M55">
        <v>1022</v>
      </c>
      <c r="N55">
        <v>856</v>
      </c>
      <c r="O55">
        <v>3982</v>
      </c>
      <c r="P55">
        <v>3288</v>
      </c>
      <c r="Q55">
        <v>4</v>
      </c>
      <c r="R55">
        <v>36</v>
      </c>
      <c r="AH55" t="s">
        <v>420</v>
      </c>
      <c r="AI55">
        <v>258</v>
      </c>
      <c r="AJ55">
        <v>323.02325581399998</v>
      </c>
      <c r="AK55">
        <v>790</v>
      </c>
      <c r="AL55">
        <v>81</v>
      </c>
      <c r="AM55">
        <v>755</v>
      </c>
      <c r="AN55">
        <v>291</v>
      </c>
      <c r="AO55">
        <v>216</v>
      </c>
      <c r="AP55">
        <v>140</v>
      </c>
      <c r="AQ55">
        <v>189</v>
      </c>
      <c r="AR55">
        <v>114</v>
      </c>
      <c r="AS55">
        <v>2</v>
      </c>
      <c r="AT55">
        <v>1</v>
      </c>
      <c r="AV55" t="s">
        <v>417</v>
      </c>
      <c r="AW55">
        <v>31</v>
      </c>
      <c r="AX55">
        <v>72.967741935500001</v>
      </c>
      <c r="AY55">
        <v>57</v>
      </c>
      <c r="AZ55">
        <v>6</v>
      </c>
      <c r="BA55">
        <v>70</v>
      </c>
      <c r="BB55">
        <v>8</v>
      </c>
      <c r="BC55">
        <v>0</v>
      </c>
      <c r="BE55">
        <v>2</v>
      </c>
      <c r="BG55">
        <v>126</v>
      </c>
      <c r="BH55">
        <v>23</v>
      </c>
      <c r="BJ55" t="s">
        <v>594</v>
      </c>
      <c r="BK55" t="s">
        <v>403</v>
      </c>
      <c r="BL55">
        <v>5097</v>
      </c>
      <c r="BM55">
        <v>710</v>
      </c>
      <c r="BN55">
        <v>80.653521679400001</v>
      </c>
      <c r="BO55">
        <v>14218</v>
      </c>
      <c r="BP55">
        <v>945</v>
      </c>
      <c r="BQ55">
        <v>124.6980587987</v>
      </c>
      <c r="BR55">
        <v>120.79153439149999</v>
      </c>
      <c r="BS55">
        <v>3544</v>
      </c>
      <c r="BT55">
        <v>585</v>
      </c>
      <c r="BU55">
        <v>78.608916478599994</v>
      </c>
      <c r="BV55">
        <v>23279</v>
      </c>
      <c r="BW55">
        <v>1838</v>
      </c>
      <c r="BX55">
        <v>124.02787920439999</v>
      </c>
      <c r="BY55">
        <v>113.6126224157</v>
      </c>
      <c r="CA55" t="s">
        <v>412</v>
      </c>
      <c r="CB55" t="s">
        <v>889</v>
      </c>
      <c r="CC55" t="s">
        <v>1018</v>
      </c>
      <c r="CD55">
        <v>3971</v>
      </c>
      <c r="CE55">
        <v>1004</v>
      </c>
      <c r="CF55">
        <v>97.042810375200006</v>
      </c>
      <c r="CG55">
        <v>10468</v>
      </c>
      <c r="CH55">
        <v>734</v>
      </c>
      <c r="CI55">
        <v>136.8349254872</v>
      </c>
      <c r="CJ55">
        <v>131.68664850139999</v>
      </c>
      <c r="CL55" t="s">
        <v>412</v>
      </c>
      <c r="CM55" t="s">
        <v>870</v>
      </c>
      <c r="CN55" t="s">
        <v>875</v>
      </c>
      <c r="CO55">
        <v>186</v>
      </c>
      <c r="CP55">
        <v>19</v>
      </c>
      <c r="CQ55">
        <v>63.4946236559</v>
      </c>
      <c r="CR55">
        <v>1350</v>
      </c>
      <c r="CS55">
        <v>92</v>
      </c>
      <c r="CT55">
        <v>68.569629629600001</v>
      </c>
      <c r="CU55">
        <v>73.576086956500006</v>
      </c>
      <c r="CW55" t="s">
        <v>412</v>
      </c>
      <c r="CX55" t="s">
        <v>880</v>
      </c>
      <c r="CY55" t="s">
        <v>885</v>
      </c>
      <c r="CZ55">
        <v>63</v>
      </c>
      <c r="DA55">
        <v>5</v>
      </c>
      <c r="DB55">
        <v>57.126984127</v>
      </c>
      <c r="DC55">
        <v>267</v>
      </c>
      <c r="DD55">
        <v>18</v>
      </c>
      <c r="DE55">
        <v>127.595505618</v>
      </c>
      <c r="DF55">
        <v>89.666666666699996</v>
      </c>
      <c r="DH55" t="s">
        <v>412</v>
      </c>
      <c r="DI55" t="s">
        <v>860</v>
      </c>
      <c r="DJ55" t="s">
        <v>865</v>
      </c>
      <c r="DK55">
        <v>87</v>
      </c>
      <c r="DL55">
        <v>6</v>
      </c>
      <c r="DM55">
        <v>57.0114942529</v>
      </c>
      <c r="DN55">
        <v>295</v>
      </c>
      <c r="DO55">
        <v>18</v>
      </c>
      <c r="DP55">
        <v>118.21355932199999</v>
      </c>
      <c r="DQ55">
        <v>113.5</v>
      </c>
    </row>
    <row r="56" spans="2:121" x14ac:dyDescent="0.2">
      <c r="F56" t="s">
        <v>60</v>
      </c>
      <c r="G56">
        <v>2147</v>
      </c>
      <c r="H56">
        <v>300.39217512810001</v>
      </c>
      <c r="I56">
        <v>4650</v>
      </c>
      <c r="J56">
        <v>1414</v>
      </c>
      <c r="K56">
        <v>4889</v>
      </c>
      <c r="L56">
        <v>1909</v>
      </c>
      <c r="M56">
        <v>1900</v>
      </c>
      <c r="N56">
        <v>1611</v>
      </c>
      <c r="O56">
        <v>3996</v>
      </c>
      <c r="P56">
        <v>3361</v>
      </c>
      <c r="Q56">
        <v>0</v>
      </c>
      <c r="R56">
        <v>2</v>
      </c>
      <c r="BJ56" t="s">
        <v>602</v>
      </c>
      <c r="BK56" t="s">
        <v>403</v>
      </c>
      <c r="BL56">
        <v>5036</v>
      </c>
      <c r="BM56">
        <v>950</v>
      </c>
      <c r="BN56">
        <v>85.297061159699993</v>
      </c>
      <c r="BO56">
        <v>13850</v>
      </c>
      <c r="BP56">
        <v>1035</v>
      </c>
      <c r="BQ56">
        <v>134.4346570397</v>
      </c>
      <c r="BR56">
        <v>120.91594202900001</v>
      </c>
      <c r="BS56">
        <v>2312</v>
      </c>
      <c r="BT56">
        <v>546</v>
      </c>
      <c r="BU56">
        <v>95.387975778500007</v>
      </c>
      <c r="BV56">
        <v>13297</v>
      </c>
      <c r="BW56">
        <v>892</v>
      </c>
      <c r="BX56">
        <v>135.26141234869999</v>
      </c>
      <c r="BY56">
        <v>127.5549327354</v>
      </c>
      <c r="CA56" t="s">
        <v>404</v>
      </c>
      <c r="CB56" t="s">
        <v>889</v>
      </c>
      <c r="CC56" t="s">
        <v>1019</v>
      </c>
      <c r="CD56">
        <v>2849</v>
      </c>
      <c r="CE56">
        <v>682</v>
      </c>
      <c r="CF56">
        <v>91.418743418700004</v>
      </c>
      <c r="CG56">
        <v>7432</v>
      </c>
      <c r="CH56">
        <v>386</v>
      </c>
      <c r="CI56">
        <v>132.5573196986</v>
      </c>
      <c r="CJ56">
        <v>119.91450777199999</v>
      </c>
      <c r="CL56" t="s">
        <v>404</v>
      </c>
      <c r="CM56" t="s">
        <v>870</v>
      </c>
      <c r="CN56" t="s">
        <v>876</v>
      </c>
      <c r="CO56">
        <v>205</v>
      </c>
      <c r="CP56">
        <v>19</v>
      </c>
      <c r="CQ56">
        <v>66.580487804900002</v>
      </c>
      <c r="CR56">
        <v>1061</v>
      </c>
      <c r="CS56">
        <v>53</v>
      </c>
      <c r="CT56">
        <v>61.859566446700001</v>
      </c>
      <c r="CU56">
        <v>69.396226415100003</v>
      </c>
      <c r="CW56" t="s">
        <v>404</v>
      </c>
      <c r="CX56" t="s">
        <v>880</v>
      </c>
      <c r="CY56" t="s">
        <v>886</v>
      </c>
      <c r="CZ56">
        <v>63</v>
      </c>
      <c r="DA56">
        <v>11</v>
      </c>
      <c r="DB56">
        <v>72.079365079400006</v>
      </c>
      <c r="DC56">
        <v>142</v>
      </c>
      <c r="DD56">
        <v>13</v>
      </c>
      <c r="DE56">
        <v>143.9154929577</v>
      </c>
      <c r="DF56">
        <v>132.1538461538</v>
      </c>
      <c r="DH56" t="s">
        <v>404</v>
      </c>
      <c r="DI56" t="s">
        <v>860</v>
      </c>
      <c r="DJ56" t="s">
        <v>866</v>
      </c>
      <c r="DK56">
        <v>64</v>
      </c>
      <c r="DL56">
        <v>6</v>
      </c>
      <c r="DM56">
        <v>63.46875</v>
      </c>
      <c r="DN56">
        <v>179</v>
      </c>
      <c r="DO56">
        <v>7</v>
      </c>
      <c r="DP56">
        <v>126.5139664804</v>
      </c>
      <c r="DQ56">
        <v>99</v>
      </c>
    </row>
    <row r="57" spans="2:121" x14ac:dyDescent="0.2">
      <c r="F57" t="s">
        <v>49</v>
      </c>
      <c r="G57">
        <v>2463</v>
      </c>
      <c r="H57">
        <v>404.70483150630002</v>
      </c>
      <c r="I57">
        <v>4595</v>
      </c>
      <c r="J57">
        <v>1413</v>
      </c>
      <c r="K57">
        <v>6373</v>
      </c>
      <c r="L57">
        <v>3532</v>
      </c>
      <c r="M57">
        <v>2638</v>
      </c>
      <c r="N57">
        <v>2054</v>
      </c>
      <c r="O57">
        <v>841</v>
      </c>
      <c r="P57">
        <v>673</v>
      </c>
      <c r="Q57">
        <v>46</v>
      </c>
      <c r="R57">
        <v>293</v>
      </c>
      <c r="BJ57" t="s">
        <v>610</v>
      </c>
      <c r="BK57" t="s">
        <v>403</v>
      </c>
      <c r="BL57">
        <v>3545</v>
      </c>
      <c r="BM57">
        <v>974</v>
      </c>
      <c r="BN57">
        <v>102.3133991537</v>
      </c>
      <c r="BO57">
        <v>9681</v>
      </c>
      <c r="BP57">
        <v>698</v>
      </c>
      <c r="BQ57">
        <v>141.0529903936</v>
      </c>
      <c r="BR57">
        <v>134.50573065899999</v>
      </c>
      <c r="BS57">
        <v>798</v>
      </c>
      <c r="BT57">
        <v>243</v>
      </c>
      <c r="BU57">
        <v>106.35338345860001</v>
      </c>
      <c r="BV57">
        <v>8774</v>
      </c>
      <c r="BW57">
        <v>751</v>
      </c>
      <c r="BX57">
        <v>132.73022566669999</v>
      </c>
      <c r="BY57">
        <v>141.2796271638</v>
      </c>
      <c r="CA57" t="s">
        <v>408</v>
      </c>
      <c r="CB57" t="s">
        <v>889</v>
      </c>
      <c r="CC57" t="s">
        <v>1020</v>
      </c>
      <c r="CD57">
        <v>4887</v>
      </c>
      <c r="CE57">
        <v>883</v>
      </c>
      <c r="CF57">
        <v>85.218129731900007</v>
      </c>
      <c r="CG57">
        <v>13990</v>
      </c>
      <c r="CH57">
        <v>1048</v>
      </c>
      <c r="CI57">
        <v>134.14145818439999</v>
      </c>
      <c r="CJ57">
        <v>122.5734732824</v>
      </c>
      <c r="CL57" t="s">
        <v>408</v>
      </c>
      <c r="CM57" t="s">
        <v>870</v>
      </c>
      <c r="CN57" t="s">
        <v>877</v>
      </c>
      <c r="CO57">
        <v>349</v>
      </c>
      <c r="CP57">
        <v>29</v>
      </c>
      <c r="CQ57">
        <v>62.148997134699997</v>
      </c>
      <c r="CR57">
        <v>1995</v>
      </c>
      <c r="CS57">
        <v>137</v>
      </c>
      <c r="CT57">
        <v>69.904761904799997</v>
      </c>
      <c r="CU57">
        <v>75.766423357700006</v>
      </c>
      <c r="CW57" t="s">
        <v>408</v>
      </c>
      <c r="CX57" t="s">
        <v>880</v>
      </c>
      <c r="CY57" t="s">
        <v>887</v>
      </c>
      <c r="CZ57">
        <v>51</v>
      </c>
      <c r="DA57">
        <v>2</v>
      </c>
      <c r="DB57">
        <v>45.588235294100002</v>
      </c>
      <c r="DC57">
        <v>252</v>
      </c>
      <c r="DD57">
        <v>20</v>
      </c>
      <c r="DE57">
        <v>132.4801587302</v>
      </c>
      <c r="DF57">
        <v>110.65</v>
      </c>
      <c r="DH57" t="s">
        <v>408</v>
      </c>
      <c r="DI57" t="s">
        <v>860</v>
      </c>
      <c r="DJ57" t="s">
        <v>867</v>
      </c>
      <c r="DK57">
        <v>44</v>
      </c>
      <c r="DL57">
        <v>4</v>
      </c>
      <c r="DM57">
        <v>60.2954545455</v>
      </c>
      <c r="DN57">
        <v>132</v>
      </c>
      <c r="DO57">
        <v>3</v>
      </c>
      <c r="DP57">
        <v>123.6666666667</v>
      </c>
      <c r="DQ57">
        <v>137.6666666667</v>
      </c>
    </row>
    <row r="58" spans="2:121" x14ac:dyDescent="0.2">
      <c r="F58" t="s">
        <v>38</v>
      </c>
      <c r="G58">
        <v>4274</v>
      </c>
      <c r="H58">
        <v>367.20074871309998</v>
      </c>
      <c r="I58">
        <v>7663</v>
      </c>
      <c r="J58">
        <v>1593</v>
      </c>
      <c r="K58">
        <v>7987</v>
      </c>
      <c r="L58">
        <v>3270</v>
      </c>
      <c r="M58">
        <v>1974</v>
      </c>
      <c r="N58">
        <v>1795</v>
      </c>
      <c r="O58">
        <v>2861</v>
      </c>
      <c r="P58">
        <v>2282</v>
      </c>
      <c r="Q58">
        <v>1</v>
      </c>
      <c r="R58">
        <v>333</v>
      </c>
      <c r="BJ58" t="s">
        <v>623</v>
      </c>
      <c r="BK58" t="s">
        <v>403</v>
      </c>
      <c r="BL58">
        <v>11132</v>
      </c>
      <c r="BM58">
        <v>2075</v>
      </c>
      <c r="BN58">
        <v>83.427326625899994</v>
      </c>
      <c r="BO58">
        <v>28703</v>
      </c>
      <c r="BP58">
        <v>1671</v>
      </c>
      <c r="BQ58">
        <v>123.811099885</v>
      </c>
      <c r="BR58">
        <v>125.499700778</v>
      </c>
      <c r="BS58">
        <v>4747</v>
      </c>
      <c r="BT58">
        <v>1026</v>
      </c>
      <c r="BU58">
        <v>92.195491889600007</v>
      </c>
      <c r="BV58">
        <v>30361</v>
      </c>
      <c r="BW58">
        <v>2004</v>
      </c>
      <c r="BX58">
        <v>125.8505648694</v>
      </c>
      <c r="BY58">
        <v>123.0124750499</v>
      </c>
      <c r="CA58" t="s">
        <v>80</v>
      </c>
      <c r="CB58" t="s">
        <v>889</v>
      </c>
      <c r="CC58" t="s">
        <v>1021</v>
      </c>
      <c r="CD58">
        <v>7363</v>
      </c>
      <c r="CE58">
        <v>1422</v>
      </c>
      <c r="CF58">
        <v>86.341029471699997</v>
      </c>
      <c r="CG58">
        <v>21634</v>
      </c>
      <c r="CH58">
        <v>1367</v>
      </c>
      <c r="CI58">
        <v>110.17098086350001</v>
      </c>
      <c r="CJ58">
        <v>130.314557425</v>
      </c>
      <c r="CL58" t="s">
        <v>80</v>
      </c>
      <c r="CM58" t="s">
        <v>870</v>
      </c>
      <c r="CN58" t="s">
        <v>878</v>
      </c>
      <c r="CO58">
        <v>494</v>
      </c>
      <c r="CP58">
        <v>56</v>
      </c>
      <c r="CQ58">
        <v>74.947368421099995</v>
      </c>
      <c r="CR58">
        <v>2969</v>
      </c>
      <c r="CS58">
        <v>178</v>
      </c>
      <c r="CT58">
        <v>71.977770293000006</v>
      </c>
      <c r="CU58">
        <v>74.825842696600006</v>
      </c>
      <c r="CW58" t="s">
        <v>80</v>
      </c>
      <c r="CX58" t="s">
        <v>880</v>
      </c>
      <c r="CY58" t="s">
        <v>888</v>
      </c>
      <c r="CZ58">
        <v>301</v>
      </c>
      <c r="DA58">
        <v>22</v>
      </c>
      <c r="DB58">
        <v>57.9568106312</v>
      </c>
      <c r="DC58">
        <v>815</v>
      </c>
      <c r="DD58">
        <v>52</v>
      </c>
      <c r="DE58">
        <v>120.8809815951</v>
      </c>
      <c r="DF58">
        <v>98.884615384599996</v>
      </c>
      <c r="DH58" t="s">
        <v>80</v>
      </c>
      <c r="DI58" t="s">
        <v>860</v>
      </c>
      <c r="DJ58" t="s">
        <v>868</v>
      </c>
      <c r="DK58">
        <v>430</v>
      </c>
      <c r="DL58">
        <v>31</v>
      </c>
      <c r="DM58">
        <v>59.834883720900002</v>
      </c>
      <c r="DN58">
        <v>1182</v>
      </c>
      <c r="DO58">
        <v>64</v>
      </c>
      <c r="DP58">
        <v>118.3747884941</v>
      </c>
      <c r="DQ58">
        <v>104.921875</v>
      </c>
    </row>
    <row r="59" spans="2:121" x14ac:dyDescent="0.2">
      <c r="F59" t="s">
        <v>56</v>
      </c>
      <c r="G59">
        <v>4777</v>
      </c>
      <c r="H59">
        <v>152.15114088339999</v>
      </c>
      <c r="I59">
        <v>6846</v>
      </c>
      <c r="J59">
        <v>1177</v>
      </c>
      <c r="K59">
        <v>8768</v>
      </c>
      <c r="L59">
        <v>2159</v>
      </c>
      <c r="M59">
        <v>1097</v>
      </c>
      <c r="N59">
        <v>698</v>
      </c>
      <c r="O59">
        <v>624</v>
      </c>
      <c r="P59">
        <v>371</v>
      </c>
      <c r="Q59">
        <v>7523</v>
      </c>
      <c r="R59">
        <v>0</v>
      </c>
      <c r="BJ59" t="s">
        <v>596</v>
      </c>
      <c r="BK59" t="s">
        <v>403</v>
      </c>
      <c r="BL59">
        <v>8351</v>
      </c>
      <c r="BM59">
        <v>1491</v>
      </c>
      <c r="BN59">
        <v>80.331577056599997</v>
      </c>
      <c r="BO59">
        <v>50523</v>
      </c>
      <c r="BP59">
        <v>3082</v>
      </c>
      <c r="BQ59">
        <v>63.673297310099997</v>
      </c>
      <c r="BR59">
        <v>68.742375081099993</v>
      </c>
      <c r="BS59">
        <v>3446</v>
      </c>
      <c r="BT59">
        <v>681</v>
      </c>
      <c r="BU59">
        <v>75.372025536899997</v>
      </c>
      <c r="BV59">
        <v>53350</v>
      </c>
      <c r="BW59">
        <v>3462</v>
      </c>
      <c r="BX59">
        <v>65.494414245499996</v>
      </c>
      <c r="BY59">
        <v>72.8734835355</v>
      </c>
      <c r="CA59" t="s">
        <v>403</v>
      </c>
      <c r="CB59" t="s">
        <v>889</v>
      </c>
      <c r="CD59">
        <v>62322</v>
      </c>
      <c r="CE59">
        <v>13040</v>
      </c>
      <c r="CF59">
        <v>88.823465229000007</v>
      </c>
      <c r="CG59">
        <v>168958</v>
      </c>
      <c r="CH59">
        <v>10970</v>
      </c>
      <c r="CI59">
        <v>126.5060014915</v>
      </c>
      <c r="CJ59">
        <v>127.8770282589</v>
      </c>
      <c r="CL59" t="s">
        <v>403</v>
      </c>
      <c r="CM59" t="s">
        <v>870</v>
      </c>
      <c r="CO59">
        <v>4029</v>
      </c>
      <c r="CP59">
        <v>355</v>
      </c>
      <c r="CQ59">
        <v>63.2683047903</v>
      </c>
      <c r="CR59">
        <v>24023</v>
      </c>
      <c r="CS59">
        <v>1634</v>
      </c>
      <c r="CT59">
        <v>68.092827706799994</v>
      </c>
      <c r="CU59">
        <v>71.411260709900006</v>
      </c>
      <c r="CW59" t="s">
        <v>403</v>
      </c>
      <c r="CX59" t="s">
        <v>880</v>
      </c>
      <c r="CZ59">
        <v>1915</v>
      </c>
      <c r="DA59">
        <v>193</v>
      </c>
      <c r="DB59">
        <v>62.502349869500001</v>
      </c>
      <c r="DC59">
        <v>5509</v>
      </c>
      <c r="DD59">
        <v>346</v>
      </c>
      <c r="DE59">
        <v>126.2218188419</v>
      </c>
      <c r="DF59">
        <v>99.575144508700006</v>
      </c>
      <c r="DH59" t="s">
        <v>403</v>
      </c>
      <c r="DI59" t="s">
        <v>860</v>
      </c>
      <c r="DK59">
        <v>1648</v>
      </c>
      <c r="DL59">
        <v>128</v>
      </c>
      <c r="DM59">
        <v>61.546723301</v>
      </c>
      <c r="DN59">
        <v>4512</v>
      </c>
      <c r="DO59">
        <v>243</v>
      </c>
      <c r="DP59">
        <v>119.5629432624</v>
      </c>
      <c r="DQ59">
        <v>108.1358024691</v>
      </c>
    </row>
    <row r="60" spans="2:121" x14ac:dyDescent="0.2">
      <c r="F60" t="s">
        <v>55</v>
      </c>
      <c r="G60">
        <v>448</v>
      </c>
      <c r="H60">
        <v>205.3147321429</v>
      </c>
      <c r="I60">
        <v>824</v>
      </c>
      <c r="J60">
        <v>234</v>
      </c>
      <c r="K60">
        <v>792</v>
      </c>
      <c r="L60">
        <v>332</v>
      </c>
      <c r="M60">
        <v>384</v>
      </c>
      <c r="N60">
        <v>319</v>
      </c>
      <c r="O60">
        <v>288</v>
      </c>
      <c r="P60">
        <v>145</v>
      </c>
      <c r="Q60">
        <v>448</v>
      </c>
      <c r="R60">
        <v>132</v>
      </c>
      <c r="BJ60" t="s">
        <v>538</v>
      </c>
      <c r="BK60" t="s">
        <v>379</v>
      </c>
      <c r="BL60">
        <v>18445</v>
      </c>
      <c r="BM60">
        <v>5077</v>
      </c>
      <c r="BN60">
        <v>97.472811059899996</v>
      </c>
      <c r="BO60">
        <v>41915</v>
      </c>
      <c r="BP60">
        <v>3049</v>
      </c>
      <c r="BQ60">
        <v>145.14763211260001</v>
      </c>
      <c r="BR60">
        <v>144.1282387668</v>
      </c>
      <c r="BS60">
        <v>4948</v>
      </c>
      <c r="BT60">
        <v>1609</v>
      </c>
      <c r="BU60">
        <v>114.9953516572</v>
      </c>
      <c r="BV60">
        <v>31109</v>
      </c>
      <c r="BW60">
        <v>1808</v>
      </c>
      <c r="BX60">
        <v>141.78112443340001</v>
      </c>
      <c r="BY60">
        <v>149.1432522124</v>
      </c>
      <c r="CA60" t="s">
        <v>387</v>
      </c>
      <c r="CB60" t="s">
        <v>914</v>
      </c>
      <c r="CC60" t="s">
        <v>1022</v>
      </c>
      <c r="CD60">
        <v>8290</v>
      </c>
      <c r="CE60">
        <v>2005</v>
      </c>
      <c r="CF60">
        <v>94.045597104899997</v>
      </c>
      <c r="CG60">
        <v>21674</v>
      </c>
      <c r="CH60">
        <v>1398</v>
      </c>
      <c r="CI60">
        <v>145.67597120970001</v>
      </c>
      <c r="CJ60">
        <v>139.04792560800001</v>
      </c>
      <c r="CL60" t="s">
        <v>387</v>
      </c>
      <c r="CM60" t="s">
        <v>899</v>
      </c>
      <c r="CN60" t="s">
        <v>898</v>
      </c>
      <c r="CO60">
        <v>580</v>
      </c>
      <c r="CP60">
        <v>83</v>
      </c>
      <c r="CQ60">
        <v>73.548275862099999</v>
      </c>
      <c r="CR60">
        <v>4154</v>
      </c>
      <c r="CS60">
        <v>270</v>
      </c>
      <c r="CT60">
        <v>67.687048627799996</v>
      </c>
      <c r="CU60">
        <v>65.692592592599993</v>
      </c>
      <c r="CW60" t="s">
        <v>387</v>
      </c>
      <c r="CX60" t="s">
        <v>907</v>
      </c>
      <c r="CY60" t="s">
        <v>906</v>
      </c>
      <c r="CZ60">
        <v>138</v>
      </c>
      <c r="DA60">
        <v>22</v>
      </c>
      <c r="DB60">
        <v>74.311594202899997</v>
      </c>
      <c r="DC60">
        <v>381</v>
      </c>
      <c r="DD60">
        <v>22</v>
      </c>
      <c r="DE60">
        <v>152.0131233596</v>
      </c>
      <c r="DF60">
        <v>104.1818181818</v>
      </c>
      <c r="DH60" t="s">
        <v>387</v>
      </c>
      <c r="DI60" t="s">
        <v>891</v>
      </c>
      <c r="DJ60" t="s">
        <v>890</v>
      </c>
      <c r="DK60">
        <v>128</v>
      </c>
      <c r="DL60">
        <v>11</v>
      </c>
      <c r="DM60">
        <v>69.9296875</v>
      </c>
      <c r="DN60">
        <v>450</v>
      </c>
      <c r="DO60">
        <v>21</v>
      </c>
      <c r="DP60">
        <v>144.81777777779999</v>
      </c>
      <c r="DQ60">
        <v>121.4761904762</v>
      </c>
    </row>
    <row r="61" spans="2:121" x14ac:dyDescent="0.2">
      <c r="F61" t="s">
        <v>36</v>
      </c>
      <c r="G61">
        <v>164</v>
      </c>
      <c r="H61">
        <v>285.47560975610003</v>
      </c>
      <c r="I61">
        <v>743</v>
      </c>
      <c r="J61">
        <v>79</v>
      </c>
      <c r="K61">
        <v>609</v>
      </c>
      <c r="L61">
        <v>177</v>
      </c>
      <c r="M61">
        <v>163</v>
      </c>
      <c r="N61">
        <v>99</v>
      </c>
      <c r="O61">
        <v>117</v>
      </c>
      <c r="P61">
        <v>50</v>
      </c>
      <c r="Q61">
        <v>2</v>
      </c>
      <c r="R61">
        <v>4</v>
      </c>
      <c r="BJ61" t="s">
        <v>546</v>
      </c>
      <c r="BK61" t="s">
        <v>379</v>
      </c>
      <c r="BL61">
        <v>9619</v>
      </c>
      <c r="BM61">
        <v>2441</v>
      </c>
      <c r="BN61">
        <v>97.196590082100002</v>
      </c>
      <c r="BO61">
        <v>23082</v>
      </c>
      <c r="BP61">
        <v>1630</v>
      </c>
      <c r="BQ61">
        <v>134.7126765445</v>
      </c>
      <c r="BR61">
        <v>137.08650306749999</v>
      </c>
      <c r="BS61">
        <v>4406</v>
      </c>
      <c r="BT61">
        <v>1066</v>
      </c>
      <c r="BU61">
        <v>96.697458011799995</v>
      </c>
      <c r="BV61">
        <v>24029</v>
      </c>
      <c r="BW61">
        <v>1573</v>
      </c>
      <c r="BX61">
        <v>132.83045486699999</v>
      </c>
      <c r="BY61">
        <v>141.81881754610001</v>
      </c>
      <c r="CA61" t="s">
        <v>424</v>
      </c>
      <c r="CB61" t="s">
        <v>914</v>
      </c>
      <c r="CC61" t="s">
        <v>1023</v>
      </c>
      <c r="CD61">
        <v>25312</v>
      </c>
      <c r="CE61">
        <v>6086</v>
      </c>
      <c r="CF61">
        <v>95.182719658699995</v>
      </c>
      <c r="CG61">
        <v>65961</v>
      </c>
      <c r="CH61">
        <v>5045</v>
      </c>
      <c r="CI61">
        <v>138.21972074409999</v>
      </c>
      <c r="CJ61">
        <v>135.02061446979999</v>
      </c>
      <c r="CL61" t="s">
        <v>424</v>
      </c>
      <c r="CM61" t="s">
        <v>899</v>
      </c>
      <c r="CN61" t="s">
        <v>900</v>
      </c>
      <c r="CO61">
        <v>2527</v>
      </c>
      <c r="CP61">
        <v>306</v>
      </c>
      <c r="CQ61">
        <v>64.7586070439</v>
      </c>
      <c r="CR61">
        <v>9778</v>
      </c>
      <c r="CS61">
        <v>899</v>
      </c>
      <c r="CT61">
        <v>96.459194109199998</v>
      </c>
      <c r="CU61">
        <v>99.478309232499996</v>
      </c>
      <c r="CW61" t="s">
        <v>424</v>
      </c>
      <c r="CX61" t="s">
        <v>907</v>
      </c>
      <c r="CY61" t="s">
        <v>908</v>
      </c>
      <c r="CZ61">
        <v>656</v>
      </c>
      <c r="DA61">
        <v>74</v>
      </c>
      <c r="DB61">
        <v>69.875</v>
      </c>
      <c r="DC61">
        <v>1714</v>
      </c>
      <c r="DD61">
        <v>106</v>
      </c>
      <c r="DE61">
        <v>148.1995332555</v>
      </c>
      <c r="DF61">
        <v>121.6226415094</v>
      </c>
      <c r="DH61" t="s">
        <v>424</v>
      </c>
      <c r="DI61" t="s">
        <v>891</v>
      </c>
      <c r="DJ61" t="s">
        <v>892</v>
      </c>
      <c r="DK61">
        <v>724</v>
      </c>
      <c r="DL61">
        <v>63</v>
      </c>
      <c r="DM61">
        <v>63.535911602200002</v>
      </c>
      <c r="DN61">
        <v>2408</v>
      </c>
      <c r="DO61">
        <v>122</v>
      </c>
      <c r="DP61">
        <v>138.1283222591</v>
      </c>
      <c r="DQ61">
        <v>110.7213114754</v>
      </c>
    </row>
    <row r="62" spans="2:121" x14ac:dyDescent="0.2">
      <c r="BJ62" t="s">
        <v>562</v>
      </c>
      <c r="BK62" t="s">
        <v>379</v>
      </c>
      <c r="BL62">
        <v>4181</v>
      </c>
      <c r="BM62">
        <v>825</v>
      </c>
      <c r="BN62">
        <v>92.887586701700002</v>
      </c>
      <c r="BO62">
        <v>13679</v>
      </c>
      <c r="BP62">
        <v>736</v>
      </c>
      <c r="BQ62">
        <v>128.79252869359999</v>
      </c>
      <c r="BR62">
        <v>119.0706521739</v>
      </c>
      <c r="BS62">
        <v>2111</v>
      </c>
      <c r="BT62">
        <v>675</v>
      </c>
      <c r="BU62">
        <v>121.35433443869999</v>
      </c>
      <c r="BV62">
        <v>20125</v>
      </c>
      <c r="BW62">
        <v>1320</v>
      </c>
      <c r="BX62">
        <v>147.84472049690001</v>
      </c>
      <c r="BY62">
        <v>137.63181818180001</v>
      </c>
      <c r="CA62" t="s">
        <v>380</v>
      </c>
      <c r="CB62" t="s">
        <v>914</v>
      </c>
      <c r="CC62" t="s">
        <v>1024</v>
      </c>
      <c r="CD62">
        <v>19420</v>
      </c>
      <c r="CE62">
        <v>5273</v>
      </c>
      <c r="CF62">
        <v>98.533110195700004</v>
      </c>
      <c r="CG62">
        <v>47187</v>
      </c>
      <c r="CH62">
        <v>3403</v>
      </c>
      <c r="CI62">
        <v>136.63405175150001</v>
      </c>
      <c r="CJ62">
        <v>137.09462239199999</v>
      </c>
      <c r="CL62" t="s">
        <v>380</v>
      </c>
      <c r="CM62" t="s">
        <v>899</v>
      </c>
      <c r="CN62" t="s">
        <v>901</v>
      </c>
      <c r="CO62">
        <v>1289</v>
      </c>
      <c r="CP62">
        <v>160</v>
      </c>
      <c r="CQ62">
        <v>67.003878975999996</v>
      </c>
      <c r="CR62">
        <v>4889</v>
      </c>
      <c r="CS62">
        <v>411</v>
      </c>
      <c r="CT62">
        <v>99.976886888899998</v>
      </c>
      <c r="CU62">
        <v>104.4428223844</v>
      </c>
      <c r="CW62" t="s">
        <v>380</v>
      </c>
      <c r="CX62" t="s">
        <v>907</v>
      </c>
      <c r="CY62" t="s">
        <v>909</v>
      </c>
      <c r="CZ62">
        <v>423</v>
      </c>
      <c r="DA62">
        <v>55</v>
      </c>
      <c r="DB62">
        <v>76.420803782500002</v>
      </c>
      <c r="DC62">
        <v>997</v>
      </c>
      <c r="DD62">
        <v>49</v>
      </c>
      <c r="DE62">
        <v>150.46339017049999</v>
      </c>
      <c r="DF62">
        <v>146.81632653060001</v>
      </c>
      <c r="DH62" t="s">
        <v>380</v>
      </c>
      <c r="DI62" t="s">
        <v>891</v>
      </c>
      <c r="DJ62" t="s">
        <v>893</v>
      </c>
      <c r="DK62">
        <v>402</v>
      </c>
      <c r="DL62">
        <v>43</v>
      </c>
      <c r="DM62">
        <v>68.296019900499999</v>
      </c>
      <c r="DN62">
        <v>1177</v>
      </c>
      <c r="DO62">
        <v>55</v>
      </c>
      <c r="DP62">
        <v>137.71962616819999</v>
      </c>
      <c r="DQ62">
        <v>134.2727272727</v>
      </c>
    </row>
    <row r="63" spans="2:121" x14ac:dyDescent="0.2">
      <c r="BJ63" t="s">
        <v>552</v>
      </c>
      <c r="BK63" t="s">
        <v>379</v>
      </c>
      <c r="BL63">
        <v>8021</v>
      </c>
      <c r="BM63">
        <v>1980</v>
      </c>
      <c r="BN63">
        <v>96.339857873100001</v>
      </c>
      <c r="BO63">
        <v>20747</v>
      </c>
      <c r="BP63">
        <v>1309</v>
      </c>
      <c r="BQ63">
        <v>153.033884417</v>
      </c>
      <c r="BR63">
        <v>147.64935064939999</v>
      </c>
      <c r="BS63">
        <v>2052</v>
      </c>
      <c r="BT63">
        <v>618</v>
      </c>
      <c r="BU63">
        <v>101.246588694</v>
      </c>
      <c r="BV63">
        <v>19453</v>
      </c>
      <c r="BW63">
        <v>1145</v>
      </c>
      <c r="BX63">
        <v>150.11041998659999</v>
      </c>
      <c r="BY63">
        <v>148.15109170310001</v>
      </c>
      <c r="CA63" t="s">
        <v>392</v>
      </c>
      <c r="CB63" t="s">
        <v>914</v>
      </c>
      <c r="CC63" t="s">
        <v>1025</v>
      </c>
      <c r="CD63">
        <v>3817</v>
      </c>
      <c r="CE63">
        <v>546</v>
      </c>
      <c r="CF63">
        <v>77.486769714399998</v>
      </c>
      <c r="CG63">
        <v>13941</v>
      </c>
      <c r="CH63">
        <v>758</v>
      </c>
      <c r="CI63">
        <v>114.8358797791</v>
      </c>
      <c r="CJ63">
        <v>108.4063324538</v>
      </c>
      <c r="CL63" t="s">
        <v>392</v>
      </c>
      <c r="CM63" t="s">
        <v>899</v>
      </c>
      <c r="CN63" t="s">
        <v>902</v>
      </c>
      <c r="CO63">
        <v>317</v>
      </c>
      <c r="CP63">
        <v>48</v>
      </c>
      <c r="CQ63">
        <v>73.794952681400005</v>
      </c>
      <c r="CR63">
        <v>2176</v>
      </c>
      <c r="CS63">
        <v>140</v>
      </c>
      <c r="CT63">
        <v>70.307904411799996</v>
      </c>
      <c r="CU63">
        <v>68.528571428600003</v>
      </c>
      <c r="CW63" t="s">
        <v>392</v>
      </c>
      <c r="CX63" t="s">
        <v>907</v>
      </c>
      <c r="CY63" t="s">
        <v>910</v>
      </c>
      <c r="CZ63">
        <v>71</v>
      </c>
      <c r="DA63">
        <v>4</v>
      </c>
      <c r="DB63">
        <v>61.084507042299997</v>
      </c>
      <c r="DC63">
        <v>248</v>
      </c>
      <c r="DD63">
        <v>20</v>
      </c>
      <c r="DE63">
        <v>141.3306451613</v>
      </c>
      <c r="DF63">
        <v>105</v>
      </c>
      <c r="DH63" t="s">
        <v>392</v>
      </c>
      <c r="DI63" t="s">
        <v>891</v>
      </c>
      <c r="DJ63" t="s">
        <v>894</v>
      </c>
      <c r="DK63">
        <v>125</v>
      </c>
      <c r="DL63">
        <v>13</v>
      </c>
      <c r="DM63">
        <v>63.048000000000002</v>
      </c>
      <c r="DN63">
        <v>383</v>
      </c>
      <c r="DO63">
        <v>22</v>
      </c>
      <c r="DP63">
        <v>129.64490861620001</v>
      </c>
      <c r="DQ63">
        <v>63.0454545455</v>
      </c>
    </row>
    <row r="64" spans="2:121" x14ac:dyDescent="0.2">
      <c r="BJ64" t="s">
        <v>548</v>
      </c>
      <c r="BK64" t="s">
        <v>379</v>
      </c>
      <c r="BL64">
        <v>9541</v>
      </c>
      <c r="BM64">
        <v>1473</v>
      </c>
      <c r="BN64">
        <v>78.996331621400003</v>
      </c>
      <c r="BO64">
        <v>27439</v>
      </c>
      <c r="BP64">
        <v>1824</v>
      </c>
      <c r="BQ64">
        <v>119.70108240099999</v>
      </c>
      <c r="BR64">
        <v>117.1606359649</v>
      </c>
      <c r="BS64">
        <v>4170</v>
      </c>
      <c r="BT64">
        <v>901</v>
      </c>
      <c r="BU64">
        <v>90.158033573099999</v>
      </c>
      <c r="BV64">
        <v>28200</v>
      </c>
      <c r="BW64">
        <v>1712</v>
      </c>
      <c r="BX64">
        <v>125.035</v>
      </c>
      <c r="BY64">
        <v>128.61214953269999</v>
      </c>
      <c r="CA64" t="s">
        <v>426</v>
      </c>
      <c r="CB64" t="s">
        <v>914</v>
      </c>
      <c r="CC64" t="s">
        <v>1026</v>
      </c>
      <c r="CD64">
        <v>2958</v>
      </c>
      <c r="CE64">
        <v>661</v>
      </c>
      <c r="CF64">
        <v>94.927991886399994</v>
      </c>
      <c r="CG64">
        <v>8466</v>
      </c>
      <c r="CH64">
        <v>601</v>
      </c>
      <c r="CI64">
        <v>146.74994094019999</v>
      </c>
      <c r="CJ64">
        <v>131.19966722129999</v>
      </c>
      <c r="CL64" t="s">
        <v>426</v>
      </c>
      <c r="CM64" t="s">
        <v>899</v>
      </c>
      <c r="CN64" t="s">
        <v>903</v>
      </c>
      <c r="CO64">
        <v>484</v>
      </c>
      <c r="CP64">
        <v>70</v>
      </c>
      <c r="CQ64">
        <v>70.652892562000005</v>
      </c>
      <c r="CR64">
        <v>1831</v>
      </c>
      <c r="CS64">
        <v>216</v>
      </c>
      <c r="CT64">
        <v>107.956854178</v>
      </c>
      <c r="CU64">
        <v>104.3472222222</v>
      </c>
      <c r="CW64" t="s">
        <v>426</v>
      </c>
      <c r="CX64" t="s">
        <v>907</v>
      </c>
      <c r="CY64" t="s">
        <v>911</v>
      </c>
      <c r="CZ64">
        <v>18</v>
      </c>
      <c r="DA64">
        <v>2</v>
      </c>
      <c r="DB64">
        <v>84.888888888899999</v>
      </c>
      <c r="DC64">
        <v>23</v>
      </c>
      <c r="DD64">
        <v>2</v>
      </c>
      <c r="DE64">
        <v>127.2608695652</v>
      </c>
      <c r="DF64">
        <v>102</v>
      </c>
      <c r="DH64" t="s">
        <v>426</v>
      </c>
      <c r="DI64" t="s">
        <v>891</v>
      </c>
      <c r="DJ64" t="s">
        <v>895</v>
      </c>
      <c r="DK64">
        <v>20</v>
      </c>
      <c r="DL64">
        <v>2</v>
      </c>
      <c r="DM64">
        <v>69.95</v>
      </c>
      <c r="DN64">
        <v>45</v>
      </c>
      <c r="DO64">
        <v>3</v>
      </c>
      <c r="DP64">
        <v>121.1111111111</v>
      </c>
      <c r="DQ64">
        <v>85</v>
      </c>
    </row>
    <row r="65" spans="62:121" x14ac:dyDescent="0.2">
      <c r="BJ65" t="s">
        <v>612</v>
      </c>
      <c r="BK65" t="s">
        <v>379</v>
      </c>
      <c r="BL65">
        <v>1933</v>
      </c>
      <c r="BM65">
        <v>641</v>
      </c>
      <c r="BN65">
        <v>101.7361614071</v>
      </c>
      <c r="BO65">
        <v>8225</v>
      </c>
      <c r="BP65">
        <v>482</v>
      </c>
      <c r="BQ65">
        <v>150.32984802429999</v>
      </c>
      <c r="BR65">
        <v>142.1099585062</v>
      </c>
      <c r="BS65">
        <v>849</v>
      </c>
      <c r="BT65">
        <v>209</v>
      </c>
      <c r="BU65">
        <v>101.480565371</v>
      </c>
      <c r="BV65">
        <v>9777</v>
      </c>
      <c r="BW65">
        <v>808</v>
      </c>
      <c r="BX65">
        <v>148.01963792570001</v>
      </c>
      <c r="BY65">
        <v>133.86386138610001</v>
      </c>
      <c r="CA65" t="s">
        <v>382</v>
      </c>
      <c r="CB65" t="s">
        <v>914</v>
      </c>
      <c r="CC65" t="s">
        <v>1027</v>
      </c>
      <c r="CD65">
        <v>9707</v>
      </c>
      <c r="CE65">
        <v>2484</v>
      </c>
      <c r="CF65">
        <v>98.073143092600006</v>
      </c>
      <c r="CG65">
        <v>24504</v>
      </c>
      <c r="CH65">
        <v>1662</v>
      </c>
      <c r="CI65">
        <v>132.19094841660001</v>
      </c>
      <c r="CJ65">
        <v>136.63116726839999</v>
      </c>
      <c r="CL65" t="s">
        <v>382</v>
      </c>
      <c r="CM65" t="s">
        <v>899</v>
      </c>
      <c r="CN65" t="s">
        <v>904</v>
      </c>
      <c r="CO65">
        <v>823</v>
      </c>
      <c r="CP65">
        <v>122</v>
      </c>
      <c r="CQ65">
        <v>71.752126367000002</v>
      </c>
      <c r="CR65">
        <v>2976</v>
      </c>
      <c r="CS65">
        <v>301</v>
      </c>
      <c r="CT65">
        <v>95.654569892500007</v>
      </c>
      <c r="CU65">
        <v>101.3887043189</v>
      </c>
      <c r="CW65" t="s">
        <v>382</v>
      </c>
      <c r="CX65" t="s">
        <v>907</v>
      </c>
      <c r="CY65" t="s">
        <v>912</v>
      </c>
      <c r="CZ65">
        <v>169</v>
      </c>
      <c r="DA65">
        <v>28</v>
      </c>
      <c r="DB65">
        <v>79.366863905299994</v>
      </c>
      <c r="DC65">
        <v>514</v>
      </c>
      <c r="DD65">
        <v>29</v>
      </c>
      <c r="DE65">
        <v>159.1128404669</v>
      </c>
      <c r="DF65">
        <v>134.03448275860001</v>
      </c>
      <c r="DH65" t="s">
        <v>382</v>
      </c>
      <c r="DI65" t="s">
        <v>891</v>
      </c>
      <c r="DJ65" t="s">
        <v>896</v>
      </c>
      <c r="DK65">
        <v>213</v>
      </c>
      <c r="DL65">
        <v>20</v>
      </c>
      <c r="DM65">
        <v>66.286384976500003</v>
      </c>
      <c r="DN65">
        <v>605</v>
      </c>
      <c r="DO65">
        <v>32</v>
      </c>
      <c r="DP65">
        <v>139.58677685949999</v>
      </c>
      <c r="DQ65">
        <v>139.96875</v>
      </c>
    </row>
    <row r="66" spans="62:121" x14ac:dyDescent="0.2">
      <c r="BJ66" t="s">
        <v>379</v>
      </c>
      <c r="BK66" t="s">
        <v>379</v>
      </c>
      <c r="BL66">
        <v>76088</v>
      </c>
      <c r="BM66">
        <v>18110</v>
      </c>
      <c r="BN66">
        <v>93.883753022799993</v>
      </c>
      <c r="BO66">
        <v>195101</v>
      </c>
      <c r="BP66">
        <v>13735</v>
      </c>
      <c r="BQ66">
        <v>139.41119215180001</v>
      </c>
      <c r="BR66">
        <v>136.70906443390001</v>
      </c>
      <c r="BS66">
        <v>27646</v>
      </c>
      <c r="BT66">
        <v>7643</v>
      </c>
      <c r="BU66">
        <v>103.8675396079</v>
      </c>
      <c r="BV66">
        <v>179556</v>
      </c>
      <c r="BW66">
        <v>9868</v>
      </c>
      <c r="BX66">
        <v>139.2329301165</v>
      </c>
      <c r="BY66">
        <v>141.3534657479</v>
      </c>
      <c r="CA66" t="s">
        <v>383</v>
      </c>
      <c r="CB66" t="s">
        <v>914</v>
      </c>
      <c r="CC66" t="s">
        <v>1028</v>
      </c>
      <c r="CD66">
        <v>9628</v>
      </c>
      <c r="CE66">
        <v>1521</v>
      </c>
      <c r="CF66">
        <v>79.572185292900002</v>
      </c>
      <c r="CG66">
        <v>28319</v>
      </c>
      <c r="CH66">
        <v>1919</v>
      </c>
      <c r="CI66">
        <v>116.9226667608</v>
      </c>
      <c r="CJ66">
        <v>116.5951016154</v>
      </c>
      <c r="CL66" t="s">
        <v>383</v>
      </c>
      <c r="CM66" t="s">
        <v>899</v>
      </c>
      <c r="CN66" t="s">
        <v>905</v>
      </c>
      <c r="CO66">
        <v>620</v>
      </c>
      <c r="CP66">
        <v>90</v>
      </c>
      <c r="CQ66">
        <v>72.175806451599996</v>
      </c>
      <c r="CR66">
        <v>3811</v>
      </c>
      <c r="CS66">
        <v>292</v>
      </c>
      <c r="CT66">
        <v>68.895040671700002</v>
      </c>
      <c r="CU66">
        <v>62.273972602699999</v>
      </c>
      <c r="CW66" t="s">
        <v>383</v>
      </c>
      <c r="CX66" t="s">
        <v>907</v>
      </c>
      <c r="CY66" t="s">
        <v>913</v>
      </c>
      <c r="CZ66">
        <v>215</v>
      </c>
      <c r="DA66">
        <v>33</v>
      </c>
      <c r="DB66">
        <v>81.018604651199993</v>
      </c>
      <c r="DC66">
        <v>500</v>
      </c>
      <c r="DD66">
        <v>30</v>
      </c>
      <c r="DE66">
        <v>154.346</v>
      </c>
      <c r="DF66">
        <v>128.9333333333</v>
      </c>
      <c r="DH66" t="s">
        <v>383</v>
      </c>
      <c r="DI66" t="s">
        <v>891</v>
      </c>
      <c r="DJ66" t="s">
        <v>897</v>
      </c>
      <c r="DK66">
        <v>289</v>
      </c>
      <c r="DL66">
        <v>34</v>
      </c>
      <c r="DM66">
        <v>65.141868512100004</v>
      </c>
      <c r="DN66">
        <v>992</v>
      </c>
      <c r="DO66">
        <v>47</v>
      </c>
      <c r="DP66">
        <v>138.26713709680001</v>
      </c>
      <c r="DQ66">
        <v>133.21276595739999</v>
      </c>
    </row>
    <row r="67" spans="62:121" x14ac:dyDescent="0.2">
      <c r="BJ67" t="s">
        <v>540</v>
      </c>
      <c r="BK67" t="s">
        <v>379</v>
      </c>
      <c r="BL67">
        <v>24348</v>
      </c>
      <c r="BM67">
        <v>5673</v>
      </c>
      <c r="BN67">
        <v>94.428371940199995</v>
      </c>
      <c r="BO67">
        <v>60014</v>
      </c>
      <c r="BP67">
        <v>4705</v>
      </c>
      <c r="BQ67">
        <v>142.4379978005</v>
      </c>
      <c r="BR67">
        <v>138.5109458023</v>
      </c>
      <c r="BS67">
        <v>9110</v>
      </c>
      <c r="BT67">
        <v>2565</v>
      </c>
      <c r="BU67">
        <v>104.327442371</v>
      </c>
      <c r="BV67">
        <v>46863</v>
      </c>
      <c r="BW67">
        <v>1502</v>
      </c>
      <c r="BX67">
        <v>139.32117021959999</v>
      </c>
      <c r="BY67">
        <v>148.12982689750001</v>
      </c>
      <c r="CA67" t="s">
        <v>379</v>
      </c>
      <c r="CB67" t="s">
        <v>914</v>
      </c>
      <c r="CD67">
        <v>79132</v>
      </c>
      <c r="CE67">
        <v>18576</v>
      </c>
      <c r="CF67">
        <v>93.477948238400003</v>
      </c>
      <c r="CG67">
        <v>210052</v>
      </c>
      <c r="CH67">
        <v>14786</v>
      </c>
      <c r="CI67">
        <v>133.85016567330001</v>
      </c>
      <c r="CJ67">
        <v>132.14872176380001</v>
      </c>
      <c r="CL67" t="s">
        <v>379</v>
      </c>
      <c r="CM67" t="s">
        <v>899</v>
      </c>
      <c r="CO67">
        <v>6640</v>
      </c>
      <c r="CP67">
        <v>879</v>
      </c>
      <c r="CQ67">
        <v>68.382680722900005</v>
      </c>
      <c r="CR67">
        <v>29615</v>
      </c>
      <c r="CS67">
        <v>2529</v>
      </c>
      <c r="CT67">
        <v>88.165557994300002</v>
      </c>
      <c r="CU67">
        <v>91.312376433400004</v>
      </c>
      <c r="CW67" t="s">
        <v>379</v>
      </c>
      <c r="CX67" t="s">
        <v>907</v>
      </c>
      <c r="CZ67">
        <v>1690</v>
      </c>
      <c r="DA67">
        <v>218</v>
      </c>
      <c r="DB67">
        <v>74.033136094699998</v>
      </c>
      <c r="DC67">
        <v>4377</v>
      </c>
      <c r="DD67">
        <v>258</v>
      </c>
      <c r="DE67">
        <v>150.53164267759999</v>
      </c>
      <c r="DF67">
        <v>125.7248062016</v>
      </c>
      <c r="DH67" t="s">
        <v>379</v>
      </c>
      <c r="DI67" t="s">
        <v>891</v>
      </c>
      <c r="DK67">
        <v>1901</v>
      </c>
      <c r="DL67">
        <v>186</v>
      </c>
      <c r="DM67">
        <v>65.560757496099995</v>
      </c>
      <c r="DN67">
        <v>6060</v>
      </c>
      <c r="DO67">
        <v>302</v>
      </c>
      <c r="DP67">
        <v>138.05148514850001</v>
      </c>
      <c r="DQ67">
        <v>118.6291390728</v>
      </c>
    </row>
    <row r="68" spans="62:121" x14ac:dyDescent="0.2">
      <c r="BJ68" t="s">
        <v>308</v>
      </c>
      <c r="BK68" t="s">
        <v>694</v>
      </c>
      <c r="BL68">
        <v>7457</v>
      </c>
      <c r="BM68">
        <v>640</v>
      </c>
      <c r="BN68">
        <v>62.763711948500003</v>
      </c>
      <c r="BO68">
        <v>21366</v>
      </c>
      <c r="BP68">
        <v>1116</v>
      </c>
      <c r="BQ68">
        <v>128.17172142659999</v>
      </c>
      <c r="BR68">
        <v>112.6738351254</v>
      </c>
      <c r="BS68">
        <v>7351</v>
      </c>
      <c r="BT68">
        <v>558</v>
      </c>
      <c r="BU68">
        <v>59.233301591599997</v>
      </c>
      <c r="BV68">
        <v>5998</v>
      </c>
      <c r="BW68">
        <v>149</v>
      </c>
      <c r="BX68">
        <v>127.2080693565</v>
      </c>
      <c r="BY68">
        <v>102.5838926174</v>
      </c>
      <c r="CA68" t="s">
        <v>697</v>
      </c>
      <c r="CD68">
        <v>378640</v>
      </c>
      <c r="CE68">
        <v>77360</v>
      </c>
      <c r="CF68">
        <v>88.251510669799998</v>
      </c>
      <c r="CG68">
        <v>1120445</v>
      </c>
      <c r="CH68">
        <v>74829</v>
      </c>
      <c r="CI68">
        <v>123.0197153809</v>
      </c>
      <c r="CJ68">
        <v>121.0327413169</v>
      </c>
      <c r="CL68" t="s">
        <v>697</v>
      </c>
      <c r="CO68">
        <v>378640</v>
      </c>
      <c r="CP68">
        <v>77360</v>
      </c>
      <c r="CQ68">
        <v>88.251510669799998</v>
      </c>
      <c r="CR68">
        <v>1120445</v>
      </c>
      <c r="CS68">
        <v>74829</v>
      </c>
      <c r="CT68">
        <v>123.0197153809</v>
      </c>
      <c r="CU68">
        <v>121.0327413169</v>
      </c>
      <c r="CW68" t="s">
        <v>697</v>
      </c>
      <c r="CZ68">
        <v>378640</v>
      </c>
      <c r="DA68">
        <v>77360</v>
      </c>
      <c r="DB68">
        <v>88.251510669799998</v>
      </c>
      <c r="DC68">
        <v>1120445</v>
      </c>
      <c r="DD68">
        <v>74829</v>
      </c>
      <c r="DE68">
        <v>123.0197153809</v>
      </c>
      <c r="DF68">
        <v>121.0327413169</v>
      </c>
      <c r="DH68" t="s">
        <v>697</v>
      </c>
      <c r="DK68">
        <v>378640</v>
      </c>
      <c r="DL68">
        <v>77360</v>
      </c>
      <c r="DM68">
        <v>88.251510669799998</v>
      </c>
      <c r="DN68">
        <v>1120445</v>
      </c>
      <c r="DO68">
        <v>74829</v>
      </c>
      <c r="DP68">
        <v>123.0197153809</v>
      </c>
      <c r="DQ68">
        <v>121.0327413169</v>
      </c>
    </row>
    <row r="69" spans="62:121" x14ac:dyDescent="0.2">
      <c r="BJ69" t="s">
        <v>211</v>
      </c>
      <c r="BK69" t="s">
        <v>694</v>
      </c>
      <c r="BL69">
        <v>58</v>
      </c>
      <c r="BM69">
        <v>5</v>
      </c>
      <c r="BN69">
        <v>62.327586206900001</v>
      </c>
      <c r="BO69">
        <v>196</v>
      </c>
      <c r="BP69">
        <v>11</v>
      </c>
      <c r="BQ69">
        <v>126.18367346940001</v>
      </c>
      <c r="BR69">
        <v>68.727272727300004</v>
      </c>
      <c r="BS69">
        <v>568</v>
      </c>
      <c r="BT69">
        <v>41</v>
      </c>
      <c r="BU69">
        <v>59.244718309900001</v>
      </c>
      <c r="BV69">
        <v>10391</v>
      </c>
      <c r="BW69">
        <v>620</v>
      </c>
      <c r="BX69">
        <v>118.3096910788</v>
      </c>
      <c r="BY69">
        <v>111.1677419355</v>
      </c>
    </row>
    <row r="70" spans="62:121" x14ac:dyDescent="0.2">
      <c r="BJ70" t="s">
        <v>694</v>
      </c>
      <c r="BK70" t="s">
        <v>694</v>
      </c>
      <c r="BL70">
        <v>8655</v>
      </c>
      <c r="BM70">
        <v>738</v>
      </c>
      <c r="BN70">
        <v>62.254650491</v>
      </c>
      <c r="BO70">
        <v>25586</v>
      </c>
      <c r="BP70">
        <v>1310</v>
      </c>
      <c r="BQ70">
        <v>130.08512467759999</v>
      </c>
      <c r="BR70">
        <v>110.8671755725</v>
      </c>
      <c r="BS70">
        <v>8655</v>
      </c>
      <c r="BT70">
        <v>738</v>
      </c>
      <c r="BU70">
        <v>62.254650491</v>
      </c>
      <c r="BV70">
        <v>25586</v>
      </c>
      <c r="BW70">
        <v>1310</v>
      </c>
      <c r="BX70">
        <v>130.08512467759999</v>
      </c>
      <c r="BY70">
        <v>110.8671755725</v>
      </c>
    </row>
    <row r="71" spans="62:121" x14ac:dyDescent="0.2">
      <c r="BJ71" t="s">
        <v>213</v>
      </c>
      <c r="BK71" t="s">
        <v>694</v>
      </c>
      <c r="BL71">
        <v>1140</v>
      </c>
      <c r="BM71">
        <v>93</v>
      </c>
      <c r="BN71">
        <v>58.921052631599999</v>
      </c>
      <c r="BO71">
        <v>4024</v>
      </c>
      <c r="BP71">
        <v>183</v>
      </c>
      <c r="BQ71">
        <v>140.43464214709999</v>
      </c>
      <c r="BR71">
        <v>102.38251366119999</v>
      </c>
      <c r="BS71">
        <v>736</v>
      </c>
      <c r="BT71">
        <v>139</v>
      </c>
      <c r="BU71">
        <v>94.754076087000001</v>
      </c>
      <c r="BV71">
        <v>9197</v>
      </c>
      <c r="BW71">
        <v>541</v>
      </c>
      <c r="BX71">
        <v>145.26563009680001</v>
      </c>
      <c r="BY71">
        <v>112.8040665434</v>
      </c>
    </row>
    <row r="72" spans="62:121" x14ac:dyDescent="0.2">
      <c r="BJ72" t="s">
        <v>209</v>
      </c>
      <c r="BK72" t="s">
        <v>695</v>
      </c>
      <c r="BL72">
        <v>5421</v>
      </c>
      <c r="BM72">
        <v>776</v>
      </c>
      <c r="BN72">
        <v>70.042427596400003</v>
      </c>
      <c r="BO72">
        <v>36707</v>
      </c>
      <c r="BP72">
        <v>2545</v>
      </c>
      <c r="BQ72">
        <v>70.455798621499994</v>
      </c>
      <c r="BR72">
        <v>65.256974459700004</v>
      </c>
      <c r="BS72">
        <v>5471</v>
      </c>
      <c r="BT72">
        <v>770</v>
      </c>
      <c r="BU72">
        <v>69.622372509599998</v>
      </c>
      <c r="BV72">
        <v>37135</v>
      </c>
      <c r="BW72">
        <v>2611</v>
      </c>
      <c r="BX72">
        <v>70.7618149993</v>
      </c>
      <c r="BY72">
        <v>66.231711987699995</v>
      </c>
    </row>
    <row r="73" spans="62:121" x14ac:dyDescent="0.2">
      <c r="BJ73" t="s">
        <v>224</v>
      </c>
      <c r="BK73" t="s">
        <v>695</v>
      </c>
      <c r="BL73">
        <v>787</v>
      </c>
      <c r="BM73">
        <v>379</v>
      </c>
      <c r="BN73">
        <v>184.0165184244</v>
      </c>
      <c r="BO73">
        <v>4878</v>
      </c>
      <c r="BP73">
        <v>399</v>
      </c>
      <c r="BQ73">
        <v>65.396678966799996</v>
      </c>
      <c r="BR73">
        <v>84.007518797000003</v>
      </c>
      <c r="BS73">
        <v>819</v>
      </c>
      <c r="BT73">
        <v>453</v>
      </c>
      <c r="BU73">
        <v>201.50183150180001</v>
      </c>
      <c r="BV73">
        <v>3942</v>
      </c>
      <c r="BW73">
        <v>287</v>
      </c>
      <c r="BX73">
        <v>53.200152207000002</v>
      </c>
      <c r="BY73">
        <v>77.104529616700006</v>
      </c>
    </row>
    <row r="74" spans="62:121" x14ac:dyDescent="0.2">
      <c r="BJ74" t="s">
        <v>210</v>
      </c>
      <c r="BK74" t="s">
        <v>695</v>
      </c>
      <c r="BL74">
        <v>11617</v>
      </c>
      <c r="BM74">
        <v>1378</v>
      </c>
      <c r="BN74">
        <v>63.855040027500003</v>
      </c>
      <c r="BO74">
        <v>44554</v>
      </c>
      <c r="BP74">
        <v>3949</v>
      </c>
      <c r="BQ74">
        <v>99.326143556100007</v>
      </c>
      <c r="BR74">
        <v>100.8969359331</v>
      </c>
      <c r="BS74">
        <v>11403</v>
      </c>
      <c r="BT74">
        <v>1323</v>
      </c>
      <c r="BU74">
        <v>62.700955888800003</v>
      </c>
      <c r="BV74">
        <v>44461</v>
      </c>
      <c r="BW74">
        <v>3884</v>
      </c>
      <c r="BX74">
        <v>99.881986459999993</v>
      </c>
      <c r="BY74">
        <v>101.28836251289999</v>
      </c>
    </row>
    <row r="75" spans="62:121" x14ac:dyDescent="0.2">
      <c r="BJ75" t="s">
        <v>212</v>
      </c>
      <c r="BK75" t="s">
        <v>695</v>
      </c>
      <c r="BL75">
        <v>7822</v>
      </c>
      <c r="BM75">
        <v>616</v>
      </c>
      <c r="BN75">
        <v>60.123242137600002</v>
      </c>
      <c r="BO75">
        <v>46153</v>
      </c>
      <c r="BP75">
        <v>3116</v>
      </c>
      <c r="BQ75">
        <v>68.531818083299996</v>
      </c>
      <c r="BR75">
        <v>71.338254172000006</v>
      </c>
      <c r="BS75">
        <v>7953</v>
      </c>
      <c r="BT75">
        <v>602</v>
      </c>
      <c r="BU75">
        <v>59.7442474538</v>
      </c>
      <c r="BV75">
        <v>46754</v>
      </c>
      <c r="BW75">
        <v>3227</v>
      </c>
      <c r="BX75">
        <v>68.769388715399998</v>
      </c>
      <c r="BY75">
        <v>71.851874806300003</v>
      </c>
    </row>
    <row r="76" spans="62:121" x14ac:dyDescent="0.2">
      <c r="BJ76" t="s">
        <v>695</v>
      </c>
      <c r="BK76" t="s">
        <v>695</v>
      </c>
      <c r="BL76">
        <v>25647</v>
      </c>
      <c r="BM76">
        <v>3149</v>
      </c>
      <c r="BN76">
        <v>67.71197411</v>
      </c>
      <c r="BO76">
        <v>132292</v>
      </c>
      <c r="BP76">
        <v>10009</v>
      </c>
      <c r="BQ76">
        <v>79.321138088500007</v>
      </c>
      <c r="BR76">
        <v>81.959236687000001</v>
      </c>
      <c r="BS76">
        <v>25646</v>
      </c>
      <c r="BT76">
        <v>3148</v>
      </c>
      <c r="BU76">
        <v>67.693168525299996</v>
      </c>
      <c r="BV76">
        <v>132292</v>
      </c>
      <c r="BW76">
        <v>10009</v>
      </c>
      <c r="BX76">
        <v>79.321138088500007</v>
      </c>
      <c r="BY76">
        <v>81.959236687000001</v>
      </c>
    </row>
    <row r="77" spans="62:121" x14ac:dyDescent="0.2">
      <c r="BJ77" t="s">
        <v>307</v>
      </c>
      <c r="BK77" t="s">
        <v>696</v>
      </c>
      <c r="BL77">
        <v>5298</v>
      </c>
      <c r="BM77">
        <v>650</v>
      </c>
      <c r="BN77">
        <v>69.015666289199999</v>
      </c>
      <c r="BO77">
        <v>14961</v>
      </c>
      <c r="BP77">
        <v>901</v>
      </c>
      <c r="BQ77">
        <v>137.65196176730001</v>
      </c>
      <c r="BR77">
        <v>114.6892341842</v>
      </c>
      <c r="BS77">
        <v>6008</v>
      </c>
      <c r="BT77">
        <v>620</v>
      </c>
      <c r="BU77">
        <v>60.209886817600001</v>
      </c>
      <c r="BV77">
        <v>3936</v>
      </c>
      <c r="BW77">
        <v>97</v>
      </c>
      <c r="BX77">
        <v>133.21443089429999</v>
      </c>
      <c r="BY77">
        <v>121.32989690719999</v>
      </c>
    </row>
    <row r="78" spans="62:121" x14ac:dyDescent="0.2">
      <c r="BJ78" t="s">
        <v>955</v>
      </c>
      <c r="BK78" t="s">
        <v>696</v>
      </c>
      <c r="BL78">
        <v>1437</v>
      </c>
      <c r="BM78">
        <v>124</v>
      </c>
      <c r="BN78">
        <v>59.842032011100002</v>
      </c>
      <c r="BO78">
        <v>4139</v>
      </c>
      <c r="BP78">
        <v>220</v>
      </c>
      <c r="BQ78">
        <v>122.62647982599999</v>
      </c>
      <c r="BR78">
        <v>100.73181818179999</v>
      </c>
      <c r="BS78">
        <v>518</v>
      </c>
      <c r="BT78">
        <v>144</v>
      </c>
      <c r="BU78">
        <v>109.8436293436</v>
      </c>
      <c r="BV78">
        <v>10357</v>
      </c>
      <c r="BW78">
        <v>758</v>
      </c>
      <c r="BX78">
        <v>123.03099353090001</v>
      </c>
      <c r="BY78">
        <v>100.3377308707</v>
      </c>
    </row>
    <row r="79" spans="62:121" x14ac:dyDescent="0.2">
      <c r="BJ79" t="s">
        <v>696</v>
      </c>
      <c r="BK79" t="s">
        <v>696</v>
      </c>
      <c r="BL79">
        <v>7895</v>
      </c>
      <c r="BM79">
        <v>885</v>
      </c>
      <c r="BN79">
        <v>66.609246358500002</v>
      </c>
      <c r="BO79">
        <v>22704</v>
      </c>
      <c r="BP79">
        <v>1349</v>
      </c>
      <c r="BQ79">
        <v>136.25858879489999</v>
      </c>
      <c r="BR79">
        <v>110.07412898440001</v>
      </c>
      <c r="BS79">
        <v>7895</v>
      </c>
      <c r="BT79">
        <v>885</v>
      </c>
      <c r="BU79">
        <v>66.609246358500002</v>
      </c>
      <c r="BV79">
        <v>22704</v>
      </c>
      <c r="BW79">
        <v>1349</v>
      </c>
      <c r="BX79">
        <v>136.25858879489999</v>
      </c>
      <c r="BY79">
        <v>110.07412898440001</v>
      </c>
    </row>
    <row r="80" spans="62:121" x14ac:dyDescent="0.2">
      <c r="BJ80" t="s">
        <v>956</v>
      </c>
      <c r="BK80" t="s">
        <v>696</v>
      </c>
      <c r="BL80">
        <v>1160</v>
      </c>
      <c r="BM80">
        <v>111</v>
      </c>
      <c r="BN80">
        <v>64.001724137899998</v>
      </c>
      <c r="BO80">
        <v>3604</v>
      </c>
      <c r="BP80">
        <v>228</v>
      </c>
      <c r="BQ80">
        <v>146.1301331853</v>
      </c>
      <c r="BR80">
        <v>100.850877193</v>
      </c>
      <c r="BS80">
        <v>1369</v>
      </c>
      <c r="BT80">
        <v>121</v>
      </c>
      <c r="BU80">
        <v>78.334550766999996</v>
      </c>
      <c r="BV80">
        <v>8411</v>
      </c>
      <c r="BW80">
        <v>494</v>
      </c>
      <c r="BX80">
        <v>153.97110926170001</v>
      </c>
      <c r="BY80">
        <v>122.8036437247</v>
      </c>
    </row>
    <row r="81" spans="62:77" x14ac:dyDescent="0.2">
      <c r="BJ81" t="s">
        <v>697</v>
      </c>
      <c r="BL81">
        <v>378640</v>
      </c>
      <c r="BM81">
        <v>77360</v>
      </c>
      <c r="BN81" s="153">
        <v>88.251510669799998</v>
      </c>
      <c r="BO81">
        <v>1120445</v>
      </c>
      <c r="BP81">
        <v>74829</v>
      </c>
      <c r="BQ81">
        <v>123.0197153809</v>
      </c>
      <c r="BR81">
        <v>121.0327413169</v>
      </c>
      <c r="BS81">
        <v>378640</v>
      </c>
      <c r="BT81">
        <v>77360</v>
      </c>
      <c r="BU81">
        <v>88.251510669799998</v>
      </c>
      <c r="BV81">
        <v>1120445</v>
      </c>
      <c r="BW81">
        <v>74829</v>
      </c>
      <c r="BX81">
        <v>123.0197153809</v>
      </c>
      <c r="BY81">
        <v>121.0327413169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378640</CP_Inventory>
    <Fiscal_Year xmlns="c9744be7-b815-40bc-84fa-afc9c406d9bc">2016</Fiscal_Year>
    <CP_Backlog xmlns="c9744be7-b815-40bc-84fa-afc9c406d9bc">77360</CP_Backlog>
    <Creation_date xmlns="c9744be7-b815-40bc-84fa-afc9c406d9bc">2016-08-22T04:00:00</Creation_date>
    <Data_date xmlns="c9744be7-b815-40bc-84fa-afc9c406d9bc">2016-08-20T02:00:00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c9744be7-b815-40bc-84fa-afc9c406d9bc"/>
    <ds:schemaRef ds:uri="http://purl.org/dc/terms/"/>
    <ds:schemaRef ds:uri="fef9c9dc-374b-4157-9e06-089f148416e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22,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2016-08-22T12:34:41Z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