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866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L25" i="36"/>
  <c r="G26" i="46"/>
  <c r="C25" i="46"/>
  <c r="C30" i="46"/>
  <c r="E17" i="36"/>
  <c r="E22" i="46"/>
  <c r="F30" i="46"/>
  <c r="C26" i="46"/>
  <c r="H30" i="46"/>
  <c r="D30" i="46"/>
  <c r="G22" i="46"/>
  <c r="I17" i="36"/>
  <c r="H17" i="36"/>
  <c r="I26" i="46"/>
  <c r="C28" i="36"/>
  <c r="D24" i="46"/>
  <c r="F23" i="46"/>
  <c r="G15" i="46"/>
  <c r="D17" i="36"/>
  <c r="G17" i="36"/>
  <c r="F17" i="36"/>
  <c r="F21" i="46" l="1"/>
  <c r="F29" i="46"/>
  <c r="G28" i="36"/>
  <c r="F20" i="36"/>
  <c r="L22" i="36"/>
  <c r="D22" i="46"/>
  <c r="H18" i="46"/>
  <c r="I18" i="46"/>
  <c r="I20" i="36"/>
  <c r="F16" i="36"/>
  <c r="I30" i="36"/>
  <c r="I22" i="3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K14" i="36" l="1"/>
  <c r="M14" i="36"/>
  <c r="L14"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<sst xmlns="http://schemas.openxmlformats.org/spreadsheetml/2006/main" count="1617" uniqueCount="472">
  <si>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</si>
  <si>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</si>
  <si>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</si>
  <si>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</si>
  <si>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</si>
  <si>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</si>
  <si>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</si>
  <si>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</si>
  <si>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</si>
  <si>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</si>
  <si>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</si>
  <si>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</si>
  <si>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</si>
  <si>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</si>
  <si>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</si>
  <si>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</si>
  <si>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</si>
  <si>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</si>
  <si>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</si>
  <si>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</si>
  <si>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</si>
  <si>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</si>
  <si>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</si>
  <si>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</si>
  <si>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</si>
  <si>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</si>
  <si>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</si>
  <si>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</si>
  <si>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</si>
  <si>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</si>
  <si>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</si>
  <si>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</si>
  <si>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</si>
  <si>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</si>
  <si>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</si>
  <si>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</si>
  <si>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</si>
  <si>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</si>
  <si>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</si>
  <si>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</si>
  <si>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</si>
  <si>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</si>
  <si>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</si>
  <si>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</si>
  <si>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</si>
  <si>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</si>
  <si>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</si>
  <si>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</si>
  <si>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</si>
  <si>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</si>
  <si>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</si>
  <si>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</si>
  <si>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</si>
  <si>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</si>
  <si>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</si>
  <si>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</si>
  <si>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</si>
  <si>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</si>
  <si>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</si>
  <si>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</si>
  <si>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</si>
  <si>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</si>
  <si>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</si>
  <si>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</si>
  <si>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</si>
  <si>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</si>
  <si>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</si>
  <si>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</si>
  <si>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</si>
  <si>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</si>
  <si>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</si>
  <si>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</si>
  <si>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</si>
  <si>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</si>
  <si>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</si>
  <si>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</si>
  <si>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</si>
  <si>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</si>
  <si>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</si>
  <si>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</si>
  <si>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</si>
  <si>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</si>
  <si>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</si>
  <si>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</si>
  <si>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</si>
  <si>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</si>
  <si>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</si>
  <si>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</si>
  <si>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</si>
  <si>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</si>
  <si>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</si>
  <si>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</si>
  <si>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</si>
  <si>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</si>
  <si>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</si>
  <si>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</si>
  <si>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</si>
  <si>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</si>
  <si>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</si>
  <si>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</si>
  <si>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</si>
  <si>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</si>
  <si>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</si>
  <si>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</si>
  <si>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</si>
  <si>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</si>
  <si>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</si>
  <si>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</si>
  <si>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</si>
  <si>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</si>
  <si>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</si>
  <si>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</si>
  <si>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</si>
  <si>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</si>
  <si>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</si>
  <si>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</si>
  <si>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</si>
  <si>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</si>
  <si>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</si>
  <si>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</si>
  <si>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</si>
  <si>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</si>
  <si>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</si>
  <si>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</si>
  <si>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</si>
  <si>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</si>
  <si>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</si>
  <si>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</si>
  <si>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</si>
  <si>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</si>
  <si>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</si>
  <si>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</si>
  <si>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</si>
  <si>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</si>
  <si>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</si>
  <si>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</si>
  <si>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</si>
  <si>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</si>
  <si>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</si>
  <si>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</si>
  <si>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</si>
  <si>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</si>
  <si>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</si>
  <si>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</si>
  <si>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</si>
  <si>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</si>
  <si>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</si>
  <si>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</si>
  <si>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</si>
  <si>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</si>
  <si>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</si>
  <si>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</si>
  <si>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</si>
  <si>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</si>
  <si>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</si>
  <si>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</si>
  <si>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</si>
  <si>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</si>
  <si>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</si>
  <si>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</si>
  <si>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</si>
  <si>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</si>
  <si>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</si>
  <si>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</si>
  <si>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</si>
  <si>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</si>
  <si>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</si>
  <si>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</si>
  <si>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</si>
  <si>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</si>
  <si>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</si>
  <si>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</si>
  <si>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</si>
  <si>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</si>
  <si>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</si>
  <si>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</si>
  <si>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</si>
  <si>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</si>
  <si>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</si>
  <si>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</si>
  <si>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</si>
  <si>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</si>
  <si>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</si>
  <si>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</si>
  <si>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</si>
  <si>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</si>
  <si>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</si>
  <si>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</si>
  <si>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</si>
  <si>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</si>
  <si>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</si>
  <si>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</si>
  <si>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</si>
  <si>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</si>
  <si>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</si>
  <si>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</si>
  <si>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</si>
  <si>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</si>
  <si>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</si>
  <si>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</si>
  <si>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</si>
  <si>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</si>
  <si>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</si>
  <si>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</si>
  <si>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</si>
  <si>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</si>
  <si>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</si>
  <si>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</si>
  <si>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</si>
  <si>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</si>
  <si>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</si>
  <si>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</si>
  <si>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</si>
  <si>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</si>
  <si>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</si>
  <si>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</si>
  <si>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</si>
  <si>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</si>
  <si>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</si>
  <si>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</si>
  <si>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</si>
  <si>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</si>
  <si>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</si>
  <si>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</si>
  <si>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</si>
  <si>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</si>
  <si>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</si>
  <si>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</si>
  <si>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</si>
  <si>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</si>
  <si>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</si>
  <si>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</si>
  <si>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</si>
  <si>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</si>
  <si>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</si>
  <si>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</si>
  <si>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</si>
  <si>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</si>
  <si>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</si>
  <si>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</si>
  <si>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</si>
  <si>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</si>
  <si>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</si>
  <si>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</si>
  <si>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</si>
  <si>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</si>
  <si>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</si>
  <si>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</si>
  <si>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</si>
  <si>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</si>
  <si>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</si>
  <si>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</si>
  <si>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</si>
  <si>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</si>
  <si>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</si>
  <si>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</si>
  <si>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</si>
  <si>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</si>
  <si>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</si>
  <si>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</si>
  <si>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</si>
  <si>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</si>
  <si>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</si>
  <si>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</si>
  <si>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</si>
  <si>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</si>
  <si>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</si>
  <si>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</si>
  <si>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</si>
  <si>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</si>
  <si>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</si>
  <si>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</si>
  <si>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</si>
  <si>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</si>
  <si>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</si>
  <si>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</si>
  <si>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</si>
  <si>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</si>
  <si>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</si>
  <si>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</si>
  <si>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</si>
  <si>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</si>
  <si>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</si>
  <si>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</si>
  <si>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</si>
  <si>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</si>
  <si>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</si>
  <si>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</si>
  <si>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</si>
  <si>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</si>
  <si>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</si>
  <si>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</si>
  <si>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</si>
  <si>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</si>
  <si>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</si>
  <si>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</si>
  <si>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</si>
  <si>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</si>
  <si>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</si>
  <si>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</si>
  <si>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</si>
  <si>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</si>
  <si>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</si>
  <si>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</si>
  <si>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</si>
  <si>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</si>
  <si>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</si>
  <si>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</si>
  <si>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</si>
  <si>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</si>
  <si>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</si>
  <si>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</si>
  <si>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</si>
  <si>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</si>
  <si>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</si>
  <si>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</si>
  <si>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</si>
  <si>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</si>
  <si>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</si>
  <si>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</si>
  <si>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</si>
  <si>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</si>
  <si>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</si>
  <si>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</si>
  <si>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</si>
  <si>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</si>
  <si>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</si>
  <si>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</si>
  <si>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</si>
  <si>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</si>
  <si>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</si>
  <si>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</si>
  <si>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</si>
  <si>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</si>
  <si>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</si>
  <si>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</si>
  <si>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</si>
  <si>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</si>
  <si>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</si>
  <si>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</si>
  <si>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</si>
  <si>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</si>
  <si>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</si>
  <si>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</si>
  <si>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</si>
  <si>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</si>
  <si>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</si>
  <si>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</si>
  <si>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</si>
  <si>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</si>
  <si>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</si>
  <si>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</si>
  <si>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</si>
  <si>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</si>
  <si>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</si>
  <si>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</si>
  <si>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</si>
  <si>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</si>
  <si>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</si>
  <si>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</si>
  <si>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</si>
  <si>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</si>
  <si>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</si>
  <si>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</si>
  <si>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</si>
  <si>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</si>
  <si>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</si>
  <si>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</si>
  <si>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</si>
  <si>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</si>
  <si>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</si>
  <si>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</si>
  <si>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</si>
  <si>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</si>
  <si>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</si>
  <si>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</si>
  <si>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</si>
  <si>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</si>
  <si>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</si>
  <si>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</si>
  <si>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</si>
  <si>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</si>
  <si>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</si>
  <si>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</si>
  <si>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</si>
  <si>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</si>
  <si>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</si>
  <si>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</si>
  <si>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</si>
  <si>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</si>
  <si>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</si>
  <si>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</si>
  <si>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</si>
  <si>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</si>
  <si>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</si>
  <si>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</si>
  <si>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</si>
  <si>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</si>
  <si>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</si>
  <si>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</si>
  <si>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</si>
  <si>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</si>
  <si>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</si>
  <si>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</si>
  <si>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</si>
  <si>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</si>
  <si>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</si>
  <si>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</si>
  <si>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</si>
  <si>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</si>
  <si>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</si>
  <si>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</si>
  <si>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</si>
  <si>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</si>
  <si>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</si>
  <si>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</si>
  <si>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</si>
  <si>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</si>
  <si>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</si>
  <si>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</si>
  <si>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</si>
  <si>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</si>
  <si>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</si>
  <si>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</si>
  <si>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</si>
  <si>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</si>
  <si>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</si>
  <si>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</si>
  <si>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</si>
  <si>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</si>
  <si>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</si>
  <si>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</si>
  <si>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</si>
  <si>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</si>
  <si>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</si>
  <si>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</si>
  <si>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</si>
  <si>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</si>
  <si>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</si>
  <si>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</si>
  <si>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</si>
  <si>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</si>
  <si>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</si>
  <si>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</si>
  <si>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</si>
  <si>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</si>
  <si>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</si>
  <si>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</si>
  <si>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</si>
  <si>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</si>
  <si>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</si>
  <si>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</si>
  <si>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</si>
  <si>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</si>
  <si>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</si>
  <si>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</si>
  <si>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</si>
  <si>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</si>
  <si>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</si>
  <si>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</si>
  <si>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</si>
  <si>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</si>
  <si>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</si>
  <si>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</si>
  <si>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</si>
  <si>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</si>
  <si>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</si>
  <si>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</si>
  <si>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As of June 20, 2015</t>
  </si>
  <si>
    <t>409</t>
  </si>
  <si>
    <t/>
  </si>
  <si>
    <t>***honolulu manually changed due to rounding isue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</si>
</sst>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6" x14ac:knownFonts="1">
    <font>
      <sz val="10"/>
      <name val="Arial"/>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7">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45">
    <xf numFmtId="0" fontId="0" fillId="0" borderId="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31" borderId="83" applyNumberFormat="0" applyAlignment="0" applyProtection="0"/>
    <xf numFmtId="0" fontId="56" fillId="32" borderId="84" applyNumberFormat="0" applyAlignment="0" applyProtection="0"/>
    <xf numFmtId="43" fontId="2"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0" fontId="6" fillId="0" borderId="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31" fillId="0" borderId="0" applyFont="0" applyFill="0" applyBorder="0" applyAlignment="0" applyProtection="0"/>
    <xf numFmtId="43" fontId="36" fillId="0" borderId="0" applyFont="0" applyFill="0" applyBorder="0" applyAlignment="0" applyProtection="0"/>
    <xf numFmtId="43" fontId="52" fillId="0" borderId="0" applyFont="0" applyFill="0" applyBorder="0" applyAlignment="0" applyProtection="0"/>
    <xf numFmtId="44" fontId="20"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0" fontId="57" fillId="0" borderId="0" applyNumberFormat="0" applyFill="0" applyBorder="0" applyAlignment="0" applyProtection="0"/>
    <xf numFmtId="0" fontId="58" fillId="33" borderId="0" applyNumberFormat="0" applyBorder="0" applyAlignment="0" applyProtection="0"/>
    <xf numFmtId="0" fontId="59" fillId="0" borderId="85" applyNumberFormat="0" applyFill="0" applyAlignment="0" applyProtection="0"/>
    <xf numFmtId="0" fontId="60" fillId="0" borderId="86" applyNumberFormat="0" applyFill="0" applyAlignment="0" applyProtection="0"/>
    <xf numFmtId="0" fontId="61" fillId="0" borderId="87"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alignment vertical="top"/>
      <protection locked="0"/>
    </xf>
    <xf numFmtId="0" fontId="62" fillId="34" borderId="83" applyNumberFormat="0" applyAlignment="0" applyProtection="0"/>
    <xf numFmtId="0" fontId="63" fillId="0" borderId="88" applyNumberFormat="0" applyFill="0" applyAlignment="0" applyProtection="0"/>
    <xf numFmtId="0" fontId="64" fillId="35" borderId="0" applyNumberFormat="0" applyBorder="0" applyAlignment="0" applyProtection="0"/>
    <xf numFmtId="0" fontId="6" fillId="0" borderId="0"/>
    <xf numFmtId="0" fontId="52" fillId="0" borderId="0"/>
    <xf numFmtId="0" fontId="52" fillId="0" borderId="0"/>
    <xf numFmtId="0" fontId="52" fillId="36" borderId="89" applyNumberFormat="0" applyFont="0" applyAlignment="0" applyProtection="0"/>
    <xf numFmtId="0" fontId="65" fillId="31" borderId="90" applyNumberFormat="0" applyAlignment="0" applyProtection="0"/>
    <xf numFmtId="9" fontId="2"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36" fillId="0" borderId="0" applyFont="0" applyFill="0" applyBorder="0" applyAlignment="0" applyProtection="0"/>
    <xf numFmtId="0" fontId="66" fillId="0" borderId="0" applyNumberFormat="0" applyFill="0" applyBorder="0" applyAlignment="0" applyProtection="0"/>
    <xf numFmtId="0" fontId="67" fillId="0" borderId="91" applyNumberFormat="0" applyFill="0" applyAlignment="0" applyProtection="0"/>
    <xf numFmtId="0" fontId="68" fillId="0" borderId="0" applyNumberFormat="0" applyFill="0" applyBorder="0" applyAlignment="0" applyProtection="0"/>
    <xf numFmtId="0" fontId="2"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1" fillId="0" borderId="0"/>
    <xf numFmtId="0" fontId="1" fillId="36" borderId="8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1" fillId="0" borderId="0"/>
    <xf numFmtId="0" fontId="1" fillId="36" borderId="8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621">
    <xf numFmtId="0" fontId="0" fillId="0" borderId="0" xfId="0"/>
    <xf numFmtId="0" fontId="9"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0" fillId="0" borderId="0" xfId="0" applyFont="1" applyFill="1" applyBorder="1" applyAlignment="1">
      <alignment horizontal="right" vertical="center" wrapText="1"/>
    </xf>
    <xf numFmtId="4" fontId="6" fillId="0" borderId="0" xfId="0" applyNumberFormat="1" applyFont="1" applyFill="1" applyBorder="1"/>
    <xf numFmtId="0" fontId="6" fillId="0" borderId="0" xfId="0" applyFont="1" applyBorder="1"/>
    <xf numFmtId="0" fontId="6" fillId="0" borderId="0" xfId="0" applyFont="1" applyBorder="1" applyAlignment="1">
      <alignment horizontal="center"/>
    </xf>
    <xf numFmtId="4" fontId="6" fillId="0" borderId="0" xfId="0" applyNumberFormat="1" applyFont="1" applyFill="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center" wrapText="1"/>
    </xf>
    <xf numFmtId="4" fontId="4" fillId="0" borderId="3" xfId="0" applyNumberFormat="1" applyFont="1" applyFill="1" applyBorder="1" applyAlignment="1">
      <alignment vertical="center" wrapText="1"/>
    </xf>
    <xf numFmtId="4" fontId="3" fillId="0" borderId="0" xfId="0" applyNumberFormat="1" applyFont="1" applyFill="1" applyBorder="1" applyAlignment="1">
      <alignment vertical="center" wrapText="1"/>
    </xf>
    <xf numFmtId="0" fontId="6" fillId="0" borderId="0" xfId="0" applyFont="1" applyFill="1" applyBorder="1"/>
    <xf numFmtId="0" fontId="6" fillId="0" borderId="2" xfId="0" applyFont="1" applyFill="1" applyBorder="1" applyAlignment="1">
      <alignment horizontal="center" vertical="center" wrapText="1"/>
    </xf>
    <xf numFmtId="4" fontId="6" fillId="0" borderId="4" xfId="0" applyNumberFormat="1" applyFont="1" applyFill="1" applyBorder="1"/>
    <xf numFmtId="0" fontId="6" fillId="0" borderId="5" xfId="0" applyFont="1" applyBorder="1"/>
    <xf numFmtId="0" fontId="6" fillId="0" borderId="0" xfId="0" applyFont="1"/>
    <xf numFmtId="4" fontId="6" fillId="0" borderId="6" xfId="0" applyNumberFormat="1" applyFont="1" applyFill="1" applyBorder="1"/>
    <xf numFmtId="166" fontId="6" fillId="0" borderId="0" xfId="0" applyNumberFormat="1" applyFont="1"/>
    <xf numFmtId="0" fontId="12"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2" borderId="7" xfId="0" applyFont="1" applyFill="1" applyBorder="1" applyAlignment="1">
      <alignment vertical="center" wrapText="1"/>
    </xf>
    <xf numFmtId="0" fontId="13"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4" fontId="3" fillId="0" borderId="8" xfId="0" applyNumberFormat="1" applyFont="1" applyFill="1" applyBorder="1" applyAlignment="1">
      <alignment vertical="center" wrapText="1"/>
    </xf>
    <xf numFmtId="4" fontId="6" fillId="0" borderId="6" xfId="0" applyNumberFormat="1" applyFont="1" applyFill="1" applyBorder="1" applyAlignment="1">
      <alignment vertical="center" wrapText="1"/>
    </xf>
    <xf numFmtId="4" fontId="6" fillId="0" borderId="8" xfId="0" applyNumberFormat="1" applyFont="1" applyFill="1" applyBorder="1"/>
    <xf numFmtId="0" fontId="6" fillId="0" borderId="3" xfId="0" applyFont="1" applyFill="1" applyBorder="1" applyAlignment="1">
      <alignment horizontal="center" vertical="center" wrapText="1"/>
    </xf>
    <xf numFmtId="0" fontId="6" fillId="0" borderId="4" xfId="0" applyFont="1" applyBorder="1"/>
    <xf numFmtId="0" fontId="17" fillId="0" borderId="0" xfId="49" applyFont="1" applyAlignment="1" applyProtection="1">
      <alignment horizontal="left"/>
    </xf>
    <xf numFmtId="0" fontId="15" fillId="0" borderId="0" xfId="0" applyFont="1" applyFill="1" applyBorder="1" applyAlignment="1">
      <alignment horizontal="center" vertical="center" wrapText="1"/>
    </xf>
    <xf numFmtId="0" fontId="16"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5" fillId="0" borderId="0" xfId="0" applyFont="1" applyFill="1" applyBorder="1" applyAlignment="1">
      <alignment horizontal="center" vertical="center"/>
    </xf>
    <xf numFmtId="3" fontId="15" fillId="0" borderId="0" xfId="0" applyNumberFormat="1" applyFont="1" applyFill="1" applyBorder="1" applyAlignment="1">
      <alignment horizontal="center" vertical="center" wrapText="1"/>
    </xf>
    <xf numFmtId="167" fontId="15" fillId="0" borderId="0" xfId="60" applyNumberFormat="1" applyFont="1" applyFill="1" applyBorder="1" applyAlignment="1">
      <alignment horizontal="center" vertical="center" wrapText="1"/>
    </xf>
    <xf numFmtId="166" fontId="6" fillId="0" borderId="0" xfId="28" applyNumberFormat="1" applyFont="1" applyBorder="1" applyAlignment="1">
      <alignment horizontal="center"/>
    </xf>
    <xf numFmtId="167" fontId="6" fillId="0" borderId="0" xfId="58" applyNumberFormat="1" applyFont="1" applyBorder="1" applyAlignment="1">
      <alignment horizontal="center"/>
    </xf>
    <xf numFmtId="0" fontId="11" fillId="0" borderId="0" xfId="0" applyFont="1" applyBorder="1" applyAlignment="1">
      <alignment horizontal="center" wrapText="1"/>
    </xf>
    <xf numFmtId="0" fontId="23" fillId="0" borderId="0" xfId="31" applyNumberFormat="1" applyFont="1" applyFill="1" applyBorder="1" applyAlignment="1" applyProtection="1">
      <alignment horizontal="center"/>
    </xf>
    <xf numFmtId="4" fontId="6" fillId="0" borderId="0" xfId="53" applyNumberFormat="1" applyFont="1" applyFill="1" applyBorder="1" applyAlignment="1">
      <alignment horizontal="center" vertical="center" wrapText="1"/>
    </xf>
    <xf numFmtId="4" fontId="7" fillId="0" borderId="0" xfId="0" applyNumberFormat="1" applyFont="1" applyFill="1" applyBorder="1"/>
    <xf numFmtId="0" fontId="15" fillId="0" borderId="0" xfId="0" applyFont="1" applyAlignment="1">
      <alignment wrapText="1"/>
    </xf>
    <xf numFmtId="4" fontId="7" fillId="0" borderId="0" xfId="0" applyNumberFormat="1" applyFont="1" applyFill="1" applyBorder="1" applyAlignment="1">
      <alignment horizontal="center" vertical="center" wrapText="1"/>
    </xf>
    <xf numFmtId="0" fontId="16" fillId="0" borderId="0" xfId="0" applyFont="1" applyFill="1" applyBorder="1" applyAlignment="1">
      <alignment wrapText="1"/>
    </xf>
    <xf numFmtId="0" fontId="15" fillId="0" borderId="0" xfId="0" applyFont="1" applyFill="1" applyBorder="1" applyAlignment="1">
      <alignment wrapText="1"/>
    </xf>
    <xf numFmtId="4" fontId="6" fillId="0" borderId="3" xfId="0" applyNumberFormat="1" applyFont="1" applyFill="1" applyBorder="1" applyAlignment="1">
      <alignment horizontal="center" vertical="center" wrapText="1"/>
    </xf>
    <xf numFmtId="0" fontId="6" fillId="0" borderId="0" xfId="0" applyFont="1" applyFill="1"/>
    <xf numFmtId="0" fontId="17" fillId="0" borderId="0" xfId="49" applyFont="1" applyFill="1" applyAlignment="1" applyProtection="1">
      <alignment horizontal="left"/>
    </xf>
    <xf numFmtId="167" fontId="4" fillId="0" borderId="0" xfId="58" applyNumberFormat="1" applyFont="1" applyFill="1" applyBorder="1" applyAlignment="1">
      <alignment horizontal="right" vertical="center" wrapText="1"/>
    </xf>
    <xf numFmtId="0" fontId="7" fillId="0" borderId="0" xfId="0" applyFont="1" applyFill="1" applyBorder="1" applyAlignment="1">
      <alignment horizontal="center"/>
    </xf>
    <xf numFmtId="4" fontId="7" fillId="0" borderId="0" xfId="0" applyNumberFormat="1" applyFont="1" applyFill="1" applyBorder="1" applyAlignment="1">
      <alignment horizontal="center" wrapText="1"/>
    </xf>
    <xf numFmtId="0" fontId="6" fillId="0" borderId="0" xfId="0" applyFont="1" applyAlignment="1"/>
    <xf numFmtId="0" fontId="15"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4" fontId="4" fillId="0" borderId="0" xfId="0" applyNumberFormat="1" applyFont="1" applyFill="1" applyBorder="1" applyAlignment="1">
      <alignment vertical="center" wrapText="1"/>
    </xf>
    <xf numFmtId="0" fontId="69" fillId="0" borderId="0" xfId="0" applyFont="1" applyBorder="1"/>
    <xf numFmtId="0" fontId="0" fillId="0" borderId="16" xfId="0" applyBorder="1"/>
    <xf numFmtId="0" fontId="0" fillId="0" borderId="17" xfId="0" applyBorder="1"/>
    <xf numFmtId="14" fontId="6" fillId="0" borderId="0" xfId="0" applyNumberFormat="1" applyFont="1" applyBorder="1" applyAlignment="1">
      <alignment horizontal="center"/>
    </xf>
    <xf numFmtId="0" fontId="70" fillId="0" borderId="92" xfId="0" applyFont="1" applyBorder="1"/>
    <xf numFmtId="0" fontId="71" fillId="0" borderId="92" xfId="0" applyFont="1" applyBorder="1"/>
    <xf numFmtId="0" fontId="22" fillId="0" borderId="0" xfId="28" applyNumberFormat="1" applyFont="1" applyFill="1" applyBorder="1" applyAlignment="1" applyProtection="1"/>
    <xf numFmtId="0" fontId="6" fillId="0" borderId="17" xfId="0" applyFont="1" applyBorder="1"/>
    <xf numFmtId="0" fontId="70" fillId="37" borderId="93" xfId="0" applyFont="1" applyFill="1" applyBorder="1"/>
    <xf numFmtId="0" fontId="7" fillId="38" borderId="18" xfId="0" applyFont="1" applyFill="1" applyBorder="1" applyAlignment="1">
      <alignment horizontal="center"/>
    </xf>
    <xf numFmtId="164" fontId="4" fillId="0" borderId="8" xfId="58" applyNumberFormat="1" applyFont="1" applyFill="1" applyBorder="1" applyAlignment="1">
      <alignment horizontal="right" vertical="center" wrapText="1"/>
    </xf>
    <xf numFmtId="166" fontId="4" fillId="0" borderId="8" xfId="28" applyNumberFormat="1" applyFont="1" applyFill="1" applyBorder="1" applyAlignment="1">
      <alignment horizontal="right" vertical="center" wrapText="1"/>
    </xf>
    <xf numFmtId="166" fontId="3" fillId="0" borderId="4" xfId="28" applyNumberFormat="1" applyFont="1" applyFill="1" applyBorder="1" applyAlignment="1">
      <alignment horizontal="right" vertical="center" wrapText="1"/>
    </xf>
    <xf numFmtId="166" fontId="7" fillId="0" borderId="4" xfId="0" applyNumberFormat="1" applyFont="1" applyBorder="1" applyAlignment="1">
      <alignment horizontal="center"/>
    </xf>
    <xf numFmtId="167" fontId="7" fillId="0" borderId="19" xfId="58" applyNumberFormat="1" applyFont="1" applyFill="1" applyBorder="1" applyAlignment="1">
      <alignment horizontal="right"/>
    </xf>
    <xf numFmtId="166" fontId="4" fillId="0" borderId="3" xfId="28" applyNumberFormat="1" applyFont="1" applyFill="1" applyBorder="1" applyAlignment="1">
      <alignment horizontal="right" vertical="center" wrapText="1"/>
    </xf>
    <xf numFmtId="166" fontId="3" fillId="0" borderId="3" xfId="28" applyNumberFormat="1" applyFont="1" applyFill="1" applyBorder="1" applyAlignment="1">
      <alignment horizontal="right" vertical="center" wrapText="1"/>
    </xf>
    <xf numFmtId="3" fontId="7" fillId="0" borderId="0" xfId="0" applyNumberFormat="1" applyFont="1" applyFill="1" applyBorder="1"/>
    <xf numFmtId="165" fontId="7" fillId="0" borderId="0" xfId="0" applyNumberFormat="1" applyFont="1" applyFill="1" applyBorder="1"/>
    <xf numFmtId="164" fontId="3" fillId="0" borderId="0" xfId="58" applyNumberFormat="1" applyFont="1" applyFill="1" applyBorder="1" applyAlignment="1">
      <alignment horizontal="right" vertical="center" wrapText="1"/>
    </xf>
    <xf numFmtId="166" fontId="3" fillId="0" borderId="0" xfId="28" applyNumberFormat="1" applyFont="1" applyFill="1" applyBorder="1" applyAlignment="1">
      <alignment horizontal="right" vertical="center" wrapText="1"/>
    </xf>
    <xf numFmtId="167" fontId="6" fillId="0" borderId="0" xfId="58" applyNumberFormat="1" applyFont="1" applyFill="1" applyBorder="1" applyAlignment="1">
      <alignment horizontal="right"/>
    </xf>
    <xf numFmtId="4" fontId="4" fillId="0" borderId="8" xfId="0" applyNumberFormat="1" applyFont="1" applyFill="1" applyBorder="1" applyAlignment="1">
      <alignment vertical="center" wrapText="1"/>
    </xf>
    <xf numFmtId="0" fontId="0" fillId="0" borderId="4" xfId="0" applyBorder="1"/>
    <xf numFmtId="0" fontId="70" fillId="0" borderId="94" xfId="0" applyFont="1" applyFill="1" applyBorder="1"/>
    <xf numFmtId="0" fontId="0" fillId="0" borderId="6" xfId="0" applyBorder="1"/>
    <xf numFmtId="0" fontId="0" fillId="0" borderId="4" xfId="0" applyFont="1" applyFill="1" applyBorder="1"/>
    <xf numFmtId="0" fontId="6" fillId="0" borderId="95" xfId="0" applyFont="1" applyBorder="1"/>
    <xf numFmtId="0" fontId="70" fillId="0" borderId="96" xfId="0" applyFont="1" applyBorder="1"/>
    <xf numFmtId="4" fontId="6" fillId="0" borderId="10" xfId="0" applyNumberFormat="1" applyFont="1" applyFill="1" applyBorder="1"/>
    <xf numFmtId="3" fontId="15" fillId="3" borderId="3" xfId="0" applyNumberFormat="1" applyFont="1" applyFill="1" applyBorder="1" applyAlignment="1">
      <alignment horizontal="center" vertical="center" wrapText="1"/>
    </xf>
    <xf numFmtId="4" fontId="6" fillId="39" borderId="3" xfId="53" applyNumberFormat="1" applyFont="1" applyFill="1" applyBorder="1" applyAlignment="1">
      <alignment horizontal="center" vertical="center" wrapText="1"/>
    </xf>
    <xf numFmtId="0" fontId="6" fillId="40" borderId="20" xfId="0" applyFont="1" applyFill="1" applyBorder="1" applyAlignment="1">
      <alignment horizontal="center" vertical="center" wrapText="1"/>
    </xf>
    <xf numFmtId="0" fontId="12" fillId="0" borderId="0" xfId="0" applyFont="1" applyFill="1" applyBorder="1" applyAlignment="1">
      <alignment horizontal="left" wrapText="1"/>
    </xf>
    <xf numFmtId="0" fontId="72" fillId="0" borderId="0" xfId="0" applyFont="1" applyFill="1" applyBorder="1" applyAlignment="1">
      <alignment horizontal="left" wrapText="1"/>
    </xf>
    <xf numFmtId="4" fontId="6" fillId="4" borderId="3" xfId="53"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3" borderId="14" xfId="0" applyFont="1" applyFill="1" applyBorder="1" applyAlignment="1">
      <alignment horizontal="left" vertical="center" wrapText="1"/>
    </xf>
    <xf numFmtId="166" fontId="6" fillId="0" borderId="0" xfId="0" applyNumberFormat="1" applyFont="1" applyFill="1" applyBorder="1"/>
    <xf numFmtId="167" fontId="6" fillId="0" borderId="0" xfId="58" applyNumberFormat="1" applyFont="1" applyFill="1" applyBorder="1"/>
    <xf numFmtId="10" fontId="15" fillId="3" borderId="3" xfId="0" applyNumberFormat="1" applyFont="1" applyFill="1" applyBorder="1" applyAlignment="1">
      <alignment horizontal="center" vertical="center" wrapText="1"/>
    </xf>
    <xf numFmtId="4" fontId="7" fillId="41" borderId="22" xfId="0" applyNumberFormat="1" applyFont="1" applyFill="1" applyBorder="1"/>
    <xf numFmtId="4" fontId="3" fillId="41" borderId="19" xfId="0" applyNumberFormat="1" applyFont="1" applyFill="1" applyBorder="1" applyAlignment="1" applyProtection="1">
      <alignment vertical="center" wrapText="1"/>
      <protection locked="0" hidden="1"/>
    </xf>
    <xf numFmtId="4" fontId="6" fillId="41" borderId="19" xfId="0" applyNumberFormat="1" applyFont="1" applyFill="1" applyBorder="1" applyAlignment="1" applyProtection="1">
      <alignment vertical="center" wrapText="1"/>
      <protection locked="0" hidden="1"/>
    </xf>
    <xf numFmtId="4" fontId="3" fillId="41" borderId="23" xfId="0" applyNumberFormat="1" applyFont="1" applyFill="1" applyBorder="1" applyAlignment="1" applyProtection="1">
      <alignment vertical="center" wrapText="1"/>
      <protection locked="0" hidden="1"/>
    </xf>
    <xf numFmtId="4" fontId="6" fillId="41" borderId="6" xfId="0" applyNumberFormat="1" applyFont="1" applyFill="1" applyBorder="1"/>
    <xf numFmtId="4" fontId="6" fillId="41" borderId="4" xfId="0" applyNumberFormat="1" applyFont="1" applyFill="1" applyBorder="1" applyAlignment="1" applyProtection="1">
      <protection locked="0" hidden="1"/>
    </xf>
    <xf numFmtId="4" fontId="6" fillId="41" borderId="6" xfId="0" applyNumberFormat="1" applyFont="1" applyFill="1" applyBorder="1" applyAlignment="1" applyProtection="1">
      <protection locked="0" hidden="1"/>
    </xf>
    <xf numFmtId="4" fontId="6" fillId="41" borderId="9" xfId="0" applyNumberFormat="1" applyFont="1" applyFill="1" applyBorder="1"/>
    <xf numFmtId="166" fontId="6" fillId="41" borderId="3" xfId="0" applyNumberFormat="1" applyFont="1" applyFill="1" applyBorder="1"/>
    <xf numFmtId="167" fontId="6" fillId="41" borderId="24" xfId="58" applyNumberFormat="1" applyFont="1" applyFill="1" applyBorder="1"/>
    <xf numFmtId="0" fontId="6" fillId="41" borderId="25" xfId="0" applyFont="1" applyFill="1" applyBorder="1"/>
    <xf numFmtId="4" fontId="6" fillId="41" borderId="26" xfId="0" applyNumberFormat="1" applyFont="1" applyFill="1" applyBorder="1"/>
    <xf numFmtId="49" fontId="12" fillId="41" borderId="9" xfId="0" applyNumberFormat="1" applyFont="1" applyFill="1" applyBorder="1" applyAlignment="1">
      <alignment horizontal="left" vertical="center" wrapText="1"/>
    </xf>
    <xf numFmtId="49" fontId="15" fillId="41" borderId="5" xfId="0" applyNumberFormat="1" applyFont="1" applyFill="1" applyBorder="1" applyAlignment="1">
      <alignment horizontal="center" vertical="center" wrapText="1"/>
    </xf>
    <xf numFmtId="3" fontId="16" fillId="41" borderId="5" xfId="30" applyNumberFormat="1" applyFont="1" applyFill="1" applyBorder="1" applyAlignment="1">
      <alignment horizontal="center" vertical="center" wrapText="1"/>
    </xf>
    <xf numFmtId="167" fontId="16" fillId="41" borderId="10" xfId="60" applyNumberFormat="1" applyFont="1" applyFill="1" applyBorder="1" applyAlignment="1">
      <alignment horizontal="center" vertical="center" wrapText="1"/>
    </xf>
    <xf numFmtId="0" fontId="12" fillId="41" borderId="9" xfId="0" applyFont="1" applyFill="1" applyBorder="1" applyAlignment="1">
      <alignment horizontal="left" vertical="center" wrapText="1"/>
    </xf>
    <xf numFmtId="0" fontId="15" fillId="41" borderId="5" xfId="0" quotePrefix="1" applyFont="1" applyFill="1" applyBorder="1" applyAlignment="1">
      <alignment horizontal="center" vertical="center" wrapText="1"/>
    </xf>
    <xf numFmtId="3" fontId="16" fillId="41" borderId="4" xfId="30" applyNumberFormat="1" applyFont="1" applyFill="1" applyBorder="1" applyAlignment="1">
      <alignment horizontal="center" vertical="center" wrapText="1"/>
    </xf>
    <xf numFmtId="0" fontId="15" fillId="41" borderId="0" xfId="0" quotePrefix="1" applyFont="1" applyFill="1" applyBorder="1" applyAlignment="1">
      <alignment horizontal="center" vertical="center" wrapText="1"/>
    </xf>
    <xf numFmtId="167" fontId="16" fillId="41" borderId="27" xfId="60" applyNumberFormat="1" applyFont="1" applyFill="1" applyBorder="1" applyAlignment="1">
      <alignment horizontal="center" vertical="center" wrapText="1"/>
    </xf>
    <xf numFmtId="0" fontId="15" fillId="41"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166" fontId="7" fillId="0" borderId="0" xfId="0" applyNumberFormat="1" applyFont="1" applyFill="1" applyBorder="1"/>
    <xf numFmtId="166" fontId="7" fillId="0" borderId="0" xfId="0" applyNumberFormat="1" applyFont="1" applyBorder="1"/>
    <xf numFmtId="167" fontId="7" fillId="0" borderId="0" xfId="58" applyNumberFormat="1" applyFont="1" applyBorder="1"/>
    <xf numFmtId="166" fontId="6" fillId="0" borderId="0" xfId="0" applyNumberFormat="1" applyFont="1" applyBorder="1"/>
    <xf numFmtId="167" fontId="6" fillId="0" borderId="0" xfId="58" applyNumberFormat="1" applyFont="1" applyBorder="1"/>
    <xf numFmtId="49" fontId="33" fillId="0" borderId="0" xfId="0" applyNumberFormat="1" applyFont="1" applyFill="1" applyBorder="1" applyAlignment="1">
      <alignment horizontal="center" vertical="center" wrapText="1"/>
    </xf>
    <xf numFmtId="0" fontId="12" fillId="0" borderId="0" xfId="0" applyFont="1" applyFill="1" applyBorder="1" applyAlignment="1">
      <alignment horizontal="center" wrapText="1"/>
    </xf>
    <xf numFmtId="166" fontId="6" fillId="41" borderId="8" xfId="0" applyNumberFormat="1" applyFont="1" applyFill="1" applyBorder="1"/>
    <xf numFmtId="167" fontId="6" fillId="41" borderId="28" xfId="58" applyNumberFormat="1" applyFont="1" applyFill="1" applyBorder="1"/>
    <xf numFmtId="0" fontId="7" fillId="3" borderId="29" xfId="0" applyFont="1" applyFill="1" applyBorder="1" applyAlignment="1">
      <alignment horizontal="left" vertical="center" wrapText="1"/>
    </xf>
    <xf numFmtId="3" fontId="15" fillId="3" borderId="6" xfId="0" applyNumberFormat="1" applyFont="1" applyFill="1" applyBorder="1" applyAlignment="1">
      <alignment horizontal="center" vertical="center" wrapText="1"/>
    </xf>
    <xf numFmtId="10" fontId="15" fillId="3" borderId="6" xfId="0" applyNumberFormat="1" applyFont="1" applyFill="1" applyBorder="1" applyAlignment="1">
      <alignment horizontal="center" vertical="center" wrapText="1"/>
    </xf>
    <xf numFmtId="0" fontId="13" fillId="2" borderId="30" xfId="0" applyFont="1" applyFill="1" applyBorder="1" applyAlignment="1">
      <alignment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4" fillId="0" borderId="0" xfId="49" applyFill="1" applyBorder="1" applyAlignment="1" applyProtection="1">
      <alignment horizontal="center" vertical="center" wrapText="1"/>
    </xf>
    <xf numFmtId="0" fontId="12" fillId="40" borderId="9" xfId="0" applyFont="1" applyFill="1" applyBorder="1" applyAlignment="1">
      <alignment vertical="center"/>
    </xf>
    <xf numFmtId="0" fontId="5" fillId="40" borderId="0" xfId="0" applyFont="1" applyFill="1" applyBorder="1" applyAlignment="1">
      <alignment vertical="center"/>
    </xf>
    <xf numFmtId="0" fontId="13" fillId="0" borderId="0" xfId="0" applyFont="1" applyFill="1" applyBorder="1" applyAlignment="1">
      <alignment horizontal="left" vertical="center" wrapText="1"/>
    </xf>
    <xf numFmtId="0" fontId="15" fillId="0" borderId="0" xfId="0" quotePrefix="1" applyFont="1" applyFill="1" applyBorder="1" applyAlignment="1">
      <alignment horizontal="center" vertical="center" wrapText="1"/>
    </xf>
    <xf numFmtId="3" fontId="16" fillId="0" borderId="0" xfId="28" applyNumberFormat="1" applyFont="1" applyFill="1" applyBorder="1" applyAlignment="1">
      <alignment horizontal="center" vertical="center" wrapText="1"/>
    </xf>
    <xf numFmtId="167" fontId="16" fillId="0" borderId="0" xfId="58"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3" fontId="12" fillId="41" borderId="5" xfId="28" applyNumberFormat="1" applyFont="1" applyFill="1" applyBorder="1" applyAlignment="1">
      <alignment horizontal="center" vertical="center" wrapText="1"/>
    </xf>
    <xf numFmtId="0" fontId="11" fillId="0" borderId="17" xfId="0" applyFont="1" applyBorder="1" applyAlignment="1">
      <alignment horizontal="center" wrapText="1"/>
    </xf>
    <xf numFmtId="0" fontId="6" fillId="40" borderId="36" xfId="0" applyFont="1" applyFill="1" applyBorder="1" applyAlignment="1">
      <alignment horizontal="center" vertical="center" wrapText="1"/>
    </xf>
    <xf numFmtId="3" fontId="12" fillId="41" borderId="4" xfId="28" applyNumberFormat="1" applyFont="1" applyFill="1" applyBorder="1" applyAlignment="1">
      <alignment horizontal="center" vertical="center" wrapText="1"/>
    </xf>
    <xf numFmtId="0" fontId="11" fillId="0" borderId="0" xfId="0" applyFont="1" applyFill="1" applyBorder="1" applyAlignment="1">
      <alignment horizontal="center" wrapText="1"/>
    </xf>
    <xf numFmtId="167" fontId="13" fillId="0" borderId="0" xfId="58"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11" fillId="0" borderId="0" xfId="0" applyFont="1" applyBorder="1" applyAlignment="1">
      <alignment wrapText="1"/>
    </xf>
    <xf numFmtId="0" fontId="6" fillId="0" borderId="10" xfId="0" applyFont="1" applyBorder="1" applyAlignment="1"/>
    <xf numFmtId="0" fontId="6" fillId="0" borderId="34" xfId="0" applyFont="1" applyBorder="1" applyAlignment="1"/>
    <xf numFmtId="0" fontId="14" fillId="0" borderId="18" xfId="49" applyFill="1" applyBorder="1" applyAlignment="1" applyProtection="1">
      <alignment horizontal="center" vertical="center" wrapText="1"/>
    </xf>
    <xf numFmtId="0" fontId="69" fillId="0" borderId="0" xfId="0" applyFont="1" applyFill="1" applyBorder="1"/>
    <xf numFmtId="164" fontId="4" fillId="0" borderId="8" xfId="65" applyNumberFormat="1" applyFont="1" applyFill="1" applyBorder="1" applyAlignment="1">
      <alignment horizontal="right" vertical="center" wrapText="1"/>
    </xf>
    <xf numFmtId="166" fontId="4" fillId="0" borderId="8" xfId="37" applyNumberFormat="1" applyFont="1" applyFill="1" applyBorder="1" applyAlignment="1">
      <alignment horizontal="right" vertical="center" wrapText="1"/>
    </xf>
    <xf numFmtId="167" fontId="7" fillId="0" borderId="19" xfId="65" applyNumberFormat="1" applyFont="1" applyFill="1" applyBorder="1" applyAlignment="1">
      <alignment horizontal="right"/>
    </xf>
    <xf numFmtId="167" fontId="7" fillId="0" borderId="40" xfId="65" applyNumberFormat="1" applyFont="1" applyFill="1" applyBorder="1" applyAlignment="1">
      <alignment horizontal="right"/>
    </xf>
    <xf numFmtId="167" fontId="6" fillId="0" borderId="40"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4" fontId="3" fillId="0" borderId="41" xfId="65" applyNumberFormat="1" applyFont="1" applyFill="1" applyBorder="1" applyAlignment="1">
      <alignment horizontal="right" vertical="center" wrapText="1"/>
    </xf>
    <xf numFmtId="166" fontId="3" fillId="0" borderId="6" xfId="37" applyNumberFormat="1" applyFont="1" applyFill="1" applyBorder="1" applyAlignment="1">
      <alignment horizontal="right" vertical="center" wrapText="1"/>
    </xf>
    <xf numFmtId="167" fontId="6" fillId="0" borderId="23" xfId="65" applyNumberFormat="1" applyFont="1" applyFill="1" applyBorder="1" applyAlignment="1">
      <alignment horizontal="right"/>
    </xf>
    <xf numFmtId="164" fontId="4" fillId="0" borderId="4" xfId="65" applyNumberFormat="1" applyFont="1" applyFill="1" applyBorder="1" applyAlignment="1">
      <alignment horizontal="right" vertical="center" wrapText="1"/>
    </xf>
    <xf numFmtId="166" fontId="4" fillId="0" borderId="4" xfId="37" applyNumberFormat="1" applyFont="1" applyFill="1" applyBorder="1" applyAlignment="1">
      <alignment horizontal="right" vertical="center" wrapText="1"/>
    </xf>
    <xf numFmtId="164" fontId="3" fillId="0" borderId="6" xfId="65" applyNumberFormat="1" applyFont="1" applyFill="1" applyBorder="1" applyAlignment="1">
      <alignment horizontal="right" vertical="center" wrapText="1"/>
    </xf>
    <xf numFmtId="164" fontId="3" fillId="0" borderId="5" xfId="65" applyNumberFormat="1" applyFont="1" applyFill="1" applyBorder="1" applyAlignment="1">
      <alignment horizontal="right" vertical="center" wrapText="1"/>
    </xf>
    <xf numFmtId="164" fontId="4" fillId="0" borderId="3" xfId="65" applyNumberFormat="1" applyFont="1" applyFill="1" applyBorder="1" applyAlignment="1">
      <alignment horizontal="right" vertical="center" wrapText="1"/>
    </xf>
    <xf numFmtId="166" fontId="4" fillId="0" borderId="3" xfId="37" applyNumberFormat="1" applyFont="1" applyFill="1" applyBorder="1" applyAlignment="1">
      <alignment horizontal="right" vertical="center" wrapText="1"/>
    </xf>
    <xf numFmtId="167" fontId="7" fillId="0" borderId="22" xfId="65" applyNumberFormat="1" applyFont="1" applyFill="1" applyBorder="1" applyAlignment="1">
      <alignment horizontal="right"/>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6" fontId="6" fillId="41" borderId="4" xfId="0" applyNumberFormat="1" applyFont="1" applyFill="1" applyBorder="1"/>
    <xf numFmtId="166" fontId="6" fillId="41" borderId="6" xfId="0" applyNumberFormat="1" applyFont="1" applyFill="1" applyBorder="1"/>
    <xf numFmtId="167" fontId="6" fillId="41" borderId="27" xfId="58" applyNumberFormat="1" applyFont="1" applyFill="1" applyBorder="1"/>
    <xf numFmtId="167" fontId="6" fillId="41" borderId="42" xfId="58" applyNumberFormat="1" applyFont="1" applyFill="1" applyBorder="1"/>
    <xf numFmtId="3" fontId="12" fillId="41" borderId="37" xfId="0" applyNumberFormat="1" applyFont="1" applyFill="1" applyBorder="1" applyAlignment="1">
      <alignment horizontal="center" vertical="center" wrapText="1"/>
    </xf>
    <xf numFmtId="3" fontId="12" fillId="41" borderId="27" xfId="0" applyNumberFormat="1" applyFont="1" applyFill="1" applyBorder="1" applyAlignment="1">
      <alignment horizontal="center" vertical="center" wrapText="1"/>
    </xf>
    <xf numFmtId="0" fontId="7" fillId="43" borderId="3" xfId="0" applyFont="1" applyFill="1" applyBorder="1" applyAlignment="1">
      <alignment horizontal="center"/>
    </xf>
    <xf numFmtId="4" fontId="32" fillId="0" borderId="10" xfId="0" applyNumberFormat="1" applyFont="1" applyFill="1" applyBorder="1" applyAlignment="1">
      <alignment horizontal="center" vertical="center" wrapText="1"/>
    </xf>
    <xf numFmtId="4" fontId="7" fillId="41" borderId="4" xfId="0" applyNumberFormat="1" applyFont="1" applyFill="1" applyBorder="1" applyAlignment="1" applyProtection="1">
      <protection locked="0" hidden="1"/>
    </xf>
    <xf numFmtId="4" fontId="6" fillId="41" borderId="4" xfId="0" applyNumberFormat="1" applyFont="1" applyFill="1" applyBorder="1"/>
    <xf numFmtId="4" fontId="7" fillId="41" borderId="4" xfId="0" applyNumberFormat="1" applyFont="1" applyFill="1" applyBorder="1" applyAlignment="1">
      <alignment wrapText="1"/>
    </xf>
    <xf numFmtId="4" fontId="4" fillId="41" borderId="8" xfId="0" applyNumberFormat="1" applyFont="1" applyFill="1" applyBorder="1" applyAlignment="1" applyProtection="1">
      <alignment vertical="center" wrapText="1"/>
      <protection locked="0" hidden="1"/>
    </xf>
    <xf numFmtId="4" fontId="4" fillId="41" borderId="4" xfId="0" applyNumberFormat="1" applyFont="1" applyFill="1" applyBorder="1" applyAlignment="1" applyProtection="1">
      <alignment vertical="center" wrapText="1"/>
      <protection locked="0" hidden="1"/>
    </xf>
    <xf numFmtId="4" fontId="7" fillId="41" borderId="8" xfId="0" applyNumberFormat="1" applyFont="1" applyFill="1" applyBorder="1"/>
    <xf numFmtId="4" fontId="6" fillId="0" borderId="0" xfId="53" applyNumberFormat="1" applyFont="1" applyFill="1" applyBorder="1" applyAlignment="1">
      <alignment vertical="center" wrapText="1"/>
    </xf>
    <xf numFmtId="0" fontId="12" fillId="0" borderId="0" xfId="0" applyFont="1" applyBorder="1" applyAlignment="1">
      <alignment vertical="center" wrapText="1"/>
    </xf>
    <xf numFmtId="4" fontId="32" fillId="0" borderId="10" xfId="0" applyNumberFormat="1" applyFont="1" applyFill="1" applyBorder="1" applyAlignment="1">
      <alignment vertical="center" wrapText="1"/>
    </xf>
    <xf numFmtId="3" fontId="26" fillId="44" borderId="18" xfId="0" applyNumberFormat="1" applyFont="1" applyFill="1" applyBorder="1" applyAlignment="1">
      <alignment horizontal="center" vertical="center" wrapText="1"/>
    </xf>
    <xf numFmtId="3" fontId="26" fillId="44" borderId="18" xfId="28" applyNumberFormat="1" applyFont="1" applyFill="1" applyBorder="1" applyAlignment="1">
      <alignment horizontal="center" vertical="center" wrapText="1"/>
    </xf>
    <xf numFmtId="10" fontId="26" fillId="44" borderId="43" xfId="28" applyNumberFormat="1" applyFont="1" applyFill="1" applyBorder="1" applyAlignment="1">
      <alignment horizontal="center" vertical="center" wrapText="1"/>
    </xf>
    <xf numFmtId="3" fontId="26" fillId="44" borderId="18" xfId="30" applyNumberFormat="1" applyFont="1" applyFill="1" applyBorder="1" applyAlignment="1">
      <alignment horizontal="center" vertical="center" wrapText="1"/>
    </xf>
    <xf numFmtId="10" fontId="26" fillId="44" borderId="43" xfId="30" applyNumberFormat="1" applyFont="1" applyFill="1" applyBorder="1" applyAlignment="1">
      <alignment horizontal="center" vertical="center" wrapText="1"/>
    </xf>
    <xf numFmtId="10" fontId="26" fillId="44" borderId="43" xfId="0" applyNumberFormat="1" applyFont="1" applyFill="1" applyBorder="1" applyAlignment="1">
      <alignment horizontal="center" vertical="center" wrapText="1"/>
    </xf>
    <xf numFmtId="167" fontId="26" fillId="44" borderId="43" xfId="58" applyNumberFormat="1" applyFont="1" applyFill="1" applyBorder="1" applyAlignment="1">
      <alignment horizontal="center" vertical="center" wrapText="1"/>
    </xf>
    <xf numFmtId="3" fontId="26" fillId="44" borderId="44" xfId="28" applyNumberFormat="1" applyFont="1" applyFill="1" applyBorder="1" applyAlignment="1">
      <alignment horizontal="center" vertical="center" wrapText="1"/>
    </xf>
    <xf numFmtId="3" fontId="26" fillId="44" borderId="43" xfId="0" applyNumberFormat="1" applyFont="1" applyFill="1" applyBorder="1" applyAlignment="1">
      <alignment horizontal="center" vertical="center" wrapText="1"/>
    </xf>
    <xf numFmtId="3" fontId="26" fillId="44" borderId="43" xfId="28" applyNumberFormat="1" applyFont="1" applyFill="1" applyBorder="1" applyAlignment="1">
      <alignment horizontal="center" vertical="center" wrapText="1"/>
    </xf>
    <xf numFmtId="3" fontId="26" fillId="44" borderId="43" xfId="28" quotePrefix="1" applyNumberFormat="1" applyFont="1" applyFill="1" applyBorder="1" applyAlignment="1">
      <alignment horizontal="center" vertical="center" wrapText="1"/>
    </xf>
    <xf numFmtId="0" fontId="0" fillId="0" borderId="0" xfId="0" applyAlignment="1">
      <alignment wrapText="1"/>
    </xf>
    <xf numFmtId="0" fontId="69" fillId="0" borderId="0" xfId="0" applyFont="1" applyBorder="1" applyAlignment="1">
      <alignment vertical="center" wrapText="1"/>
    </xf>
    <xf numFmtId="49" fontId="69" fillId="0" borderId="0" xfId="0" applyNumberFormat="1" applyFont="1" applyBorder="1"/>
    <xf numFmtId="49" fontId="69" fillId="0" borderId="0" xfId="0" applyNumberFormat="1" applyFont="1" applyFill="1" applyBorder="1"/>
    <xf numFmtId="49" fontId="69" fillId="0" borderId="5" xfId="0" applyNumberFormat="1" applyFont="1" applyBorder="1"/>
    <xf numFmtId="0" fontId="26" fillId="44" borderId="30" xfId="0" applyFont="1" applyFill="1" applyBorder="1" applyAlignment="1">
      <alignment horizontal="left" vertical="center" wrapText="1"/>
    </xf>
    <xf numFmtId="0" fontId="26" fillId="44" borderId="18" xfId="0" applyFont="1" applyFill="1" applyBorder="1" applyAlignment="1">
      <alignment horizontal="left" vertical="center" wrapText="1"/>
    </xf>
    <xf numFmtId="0" fontId="26" fillId="44" borderId="14" xfId="0" applyFont="1" applyFill="1" applyBorder="1" applyAlignment="1">
      <alignment horizontal="left" vertical="center" wrapText="1"/>
    </xf>
    <xf numFmtId="3" fontId="26" fillId="44" borderId="3" xfId="0" applyNumberFormat="1" applyFont="1" applyFill="1" applyBorder="1" applyAlignment="1">
      <alignment horizontal="center" vertical="center" wrapText="1"/>
    </xf>
    <xf numFmtId="10" fontId="26" fillId="44" borderId="24" xfId="0" applyNumberFormat="1" applyFont="1" applyFill="1" applyBorder="1" applyAlignment="1">
      <alignment horizontal="center" vertical="center" wrapText="1"/>
    </xf>
    <xf numFmtId="0" fontId="7"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6" fillId="41" borderId="3" xfId="53" applyNumberFormat="1" applyFont="1" applyFill="1" applyBorder="1" applyAlignment="1" applyProtection="1">
      <alignment horizontal="center" vertical="center" wrapText="1"/>
      <protection hidden="1"/>
    </xf>
    <xf numFmtId="165" fontId="6" fillId="41" borderId="3" xfId="53" applyNumberFormat="1" applyFont="1" applyFill="1" applyBorder="1" applyAlignment="1" applyProtection="1">
      <alignment horizontal="center" vertical="center" wrapText="1"/>
      <protection hidden="1"/>
    </xf>
    <xf numFmtId="167" fontId="6" fillId="41" borderId="3" xfId="53" applyNumberFormat="1" applyFont="1" applyFill="1" applyBorder="1" applyAlignment="1" applyProtection="1">
      <alignment horizontal="center" vertical="center" wrapText="1"/>
      <protection hidden="1"/>
    </xf>
    <xf numFmtId="4" fontId="6" fillId="4" borderId="3" xfId="53" applyNumberFormat="1" applyFont="1" applyFill="1" applyBorder="1" applyAlignment="1" applyProtection="1">
      <alignment horizontal="center" vertical="center" wrapText="1"/>
      <protection hidden="1"/>
    </xf>
    <xf numFmtId="0" fontId="7" fillId="43" borderId="2" xfId="0" applyFont="1" applyFill="1" applyBorder="1" applyAlignment="1">
      <alignment horizontal="center"/>
    </xf>
    <xf numFmtId="0" fontId="29" fillId="0" borderId="0" xfId="0" applyFont="1" applyFill="1" applyBorder="1" applyAlignment="1">
      <alignment horizontal="center"/>
    </xf>
    <xf numFmtId="4" fontId="6" fillId="41" borderId="6" xfId="0" applyNumberFormat="1" applyFont="1" applyFill="1" applyBorder="1" applyAlignment="1">
      <alignment wrapText="1"/>
    </xf>
    <xf numFmtId="0" fontId="7"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13" fillId="0" borderId="10" xfId="0" applyFont="1" applyFill="1" applyBorder="1" applyAlignment="1">
      <alignment vertical="center" wrapText="1"/>
    </xf>
    <xf numFmtId="0" fontId="7" fillId="0" borderId="10" xfId="0" applyFont="1" applyBorder="1" applyAlignment="1">
      <alignment horizontal="center" vertical="center" wrapText="1"/>
    </xf>
    <xf numFmtId="4" fontId="4" fillId="0" borderId="6" xfId="0" applyNumberFormat="1" applyFont="1" applyFill="1" applyBorder="1" applyAlignment="1">
      <alignment vertical="center" wrapText="1"/>
    </xf>
    <xf numFmtId="166" fontId="4" fillId="0" borderId="4" xfId="28" applyNumberFormat="1" applyFont="1" applyFill="1" applyBorder="1" applyAlignment="1">
      <alignment horizontal="right" vertical="center" wrapText="1"/>
    </xf>
    <xf numFmtId="3" fontId="4" fillId="0" borderId="8" xfId="0" applyNumberFormat="1" applyFont="1" applyFill="1" applyBorder="1" applyAlignment="1">
      <alignment vertical="center" wrapText="1"/>
    </xf>
    <xf numFmtId="3" fontId="4" fillId="0" borderId="3" xfId="0" applyNumberFormat="1" applyFont="1" applyFill="1" applyBorder="1" applyAlignment="1">
      <alignment vertical="center" wrapText="1"/>
    </xf>
    <xf numFmtId="1" fontId="4" fillId="0" borderId="4" xfId="65" applyNumberFormat="1" applyFont="1" applyFill="1" applyBorder="1" applyAlignment="1">
      <alignment horizontal="right" vertical="center" wrapText="1"/>
    </xf>
    <xf numFmtId="3" fontId="12" fillId="0" borderId="0" xfId="0" applyNumberFormat="1" applyFont="1" applyFill="1" applyBorder="1" applyAlignment="1">
      <alignment vertical="center" wrapText="1"/>
    </xf>
    <xf numFmtId="166" fontId="4" fillId="46" borderId="45" xfId="28" applyNumberFormat="1" applyFont="1" applyFill="1" applyBorder="1" applyAlignment="1">
      <alignment horizontal="right" vertical="center" wrapText="1"/>
    </xf>
    <xf numFmtId="3" fontId="3" fillId="0" borderId="17" xfId="0" applyNumberFormat="1" applyFont="1" applyFill="1" applyBorder="1" applyAlignment="1">
      <alignment horizontal="center" vertical="center" wrapText="1"/>
    </xf>
    <xf numFmtId="0" fontId="7" fillId="0" borderId="46" xfId="0" applyFont="1" applyFill="1" applyBorder="1" applyAlignment="1">
      <alignment horizontal="center"/>
    </xf>
    <xf numFmtId="1" fontId="7" fillId="0" borderId="36" xfId="58" applyNumberFormat="1" applyFont="1" applyFill="1" applyBorder="1" applyAlignment="1">
      <alignment horizontal="right"/>
    </xf>
    <xf numFmtId="0" fontId="6" fillId="0" borderId="0" xfId="0" applyFont="1" applyFill="1" applyBorder="1" applyAlignment="1">
      <alignment horizontal="center"/>
    </xf>
    <xf numFmtId="1" fontId="6" fillId="0" borderId="47" xfId="58" applyNumberFormat="1" applyFont="1" applyFill="1" applyBorder="1" applyAlignment="1">
      <alignment horizontal="right"/>
    </xf>
    <xf numFmtId="0" fontId="6" fillId="0" borderId="17" xfId="0" applyFont="1" applyFill="1" applyBorder="1" applyAlignment="1">
      <alignment horizontal="center"/>
    </xf>
    <xf numFmtId="166" fontId="3" fillId="0" borderId="48" xfId="28" applyNumberFormat="1" applyFont="1" applyFill="1" applyBorder="1" applyAlignment="1">
      <alignment horizontal="right" vertical="center" wrapText="1"/>
    </xf>
    <xf numFmtId="0" fontId="6" fillId="0" borderId="9" xfId="0" applyFont="1" applyFill="1" applyBorder="1"/>
    <xf numFmtId="0" fontId="6" fillId="0" borderId="47" xfId="0" applyFont="1" applyFill="1" applyBorder="1"/>
    <xf numFmtId="0" fontId="6" fillId="0" borderId="48" xfId="0" applyFont="1" applyFill="1" applyBorder="1"/>
    <xf numFmtId="0" fontId="6" fillId="47" borderId="47" xfId="0" applyFont="1" applyFill="1" applyBorder="1"/>
    <xf numFmtId="10" fontId="6" fillId="41" borderId="3" xfId="53" applyNumberFormat="1" applyFont="1" applyFill="1" applyBorder="1" applyAlignment="1" applyProtection="1">
      <alignment horizontal="center" vertical="center" wrapText="1"/>
      <protection hidden="1"/>
    </xf>
    <xf numFmtId="10" fontId="12" fillId="0" borderId="0" xfId="58" applyNumberFormat="1" applyFont="1" applyFill="1" applyBorder="1" applyAlignment="1">
      <alignment vertical="center" wrapText="1"/>
    </xf>
    <xf numFmtId="3" fontId="11" fillId="0" borderId="0" xfId="0" applyNumberFormat="1" applyFont="1" applyBorder="1" applyAlignment="1">
      <alignment horizontal="center" wrapText="1"/>
    </xf>
    <xf numFmtId="0" fontId="73" fillId="0" borderId="0" xfId="0" applyFont="1" applyBorder="1" applyAlignment="1">
      <alignment horizontal="left" vertical="center"/>
    </xf>
    <xf numFmtId="0" fontId="7" fillId="38" borderId="16" xfId="0" applyFont="1" applyFill="1" applyBorder="1" applyAlignment="1">
      <alignment horizontal="left"/>
    </xf>
    <xf numFmtId="0" fontId="7" fillId="38" borderId="17" xfId="0" applyFont="1" applyFill="1" applyBorder="1" applyAlignment="1">
      <alignment horizontal="center"/>
    </xf>
    <xf numFmtId="0" fontId="6" fillId="48" borderId="3" xfId="0" applyFont="1" applyFill="1" applyBorder="1" applyAlignment="1">
      <alignment horizontal="center"/>
    </xf>
    <xf numFmtId="0" fontId="6" fillId="42" borderId="0" xfId="0" applyFont="1" applyFill="1"/>
    <xf numFmtId="0" fontId="0" fillId="42" borderId="0" xfId="0" applyFill="1"/>
    <xf numFmtId="167" fontId="6" fillId="41" borderId="28" xfId="60" applyNumberFormat="1" applyFont="1" applyFill="1" applyBorder="1"/>
    <xf numFmtId="167" fontId="6" fillId="41" borderId="27" xfId="60" applyNumberFormat="1" applyFont="1" applyFill="1" applyBorder="1"/>
    <xf numFmtId="167" fontId="6" fillId="41" borderId="42" xfId="60" applyNumberFormat="1" applyFont="1" applyFill="1" applyBorder="1"/>
    <xf numFmtId="167" fontId="4" fillId="46" borderId="49" xfId="58" applyNumberFormat="1" applyFont="1" applyFill="1" applyBorder="1" applyAlignment="1">
      <alignment horizontal="right" vertical="center" wrapText="1"/>
    </xf>
    <xf numFmtId="0" fontId="6" fillId="49" borderId="47" xfId="0" applyFont="1" applyFill="1" applyBorder="1"/>
    <xf numFmtId="0" fontId="0" fillId="0" borderId="0" xfId="0" applyFill="1"/>
    <xf numFmtId="0" fontId="0" fillId="0" borderId="0" xfId="0" applyBorder="1" applyAlignment="1">
      <alignment horizontal="center"/>
    </xf>
    <xf numFmtId="0" fontId="0" fillId="0" borderId="103" xfId="0" applyBorder="1"/>
    <xf numFmtId="0" fontId="0" fillId="0" borderId="104" xfId="0" applyBorder="1"/>
    <xf numFmtId="0" fontId="0" fillId="0" borderId="105" xfId="0" applyBorder="1"/>
    <xf numFmtId="10" fontId="23" fillId="0" borderId="105" xfId="0" applyNumberFormat="1" applyFont="1" applyFill="1" applyBorder="1" applyAlignment="1">
      <alignment horizontal="right" vertical="top"/>
    </xf>
    <xf numFmtId="0" fontId="0" fillId="0" borderId="105" xfId="0" applyFill="1" applyBorder="1"/>
    <xf numFmtId="10" fontId="23" fillId="0" borderId="105" xfId="31" applyNumberFormat="1" applyFont="1" applyFill="1" applyBorder="1"/>
    <xf numFmtId="10" fontId="24" fillId="0" borderId="105" xfId="0" applyNumberFormat="1" applyFont="1" applyFill="1" applyBorder="1" applyAlignment="1">
      <alignment horizontal="right" vertical="top"/>
    </xf>
    <xf numFmtId="10" fontId="25" fillId="0" borderId="105" xfId="0" applyNumberFormat="1" applyFont="1" applyFill="1" applyBorder="1" applyAlignment="1">
      <alignment horizontal="right" vertical="top"/>
    </xf>
    <xf numFmtId="0" fontId="0" fillId="0" borderId="104" xfId="0" applyFill="1" applyBorder="1"/>
    <xf numFmtId="0" fontId="14" fillId="0" borderId="0" xfId="49" applyFill="1" applyBorder="1" applyAlignment="1" applyProtection="1">
      <alignment horizontal="left"/>
    </xf>
    <xf numFmtId="0" fontId="5" fillId="0" borderId="106"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7" fillId="0" borderId="107" xfId="0" applyFont="1" applyFill="1" applyBorder="1" applyAlignment="1"/>
    <xf numFmtId="0" fontId="0" fillId="0" borderId="108" xfId="0" applyBorder="1"/>
    <xf numFmtId="0" fontId="7" fillId="0" borderId="108" xfId="0" applyFont="1" applyFill="1" applyBorder="1" applyAlignment="1"/>
    <xf numFmtId="0" fontId="7" fillId="0" borderId="108" xfId="0" applyFont="1" applyFill="1" applyBorder="1"/>
    <xf numFmtId="0" fontId="7" fillId="0" borderId="109" xfId="0" applyFont="1" applyFill="1" applyBorder="1" applyAlignment="1">
      <alignment horizontal="center"/>
    </xf>
    <xf numFmtId="0" fontId="14" fillId="0" borderId="50" xfId="49" applyFill="1" applyBorder="1" applyAlignment="1" applyProtection="1">
      <alignment horizontal="left"/>
    </xf>
    <xf numFmtId="0" fontId="0" fillId="0" borderId="58" xfId="0" applyFill="1" applyBorder="1"/>
    <xf numFmtId="0" fontId="0" fillId="0" borderId="23" xfId="0" applyFill="1" applyBorder="1"/>
    <xf numFmtId="0" fontId="0" fillId="0" borderId="51" xfId="0" applyFill="1" applyBorder="1"/>
    <xf numFmtId="4" fontId="7" fillId="46" borderId="0" xfId="0" applyNumberFormat="1" applyFont="1" applyFill="1" applyBorder="1" applyAlignment="1">
      <alignment horizontal="center" vertical="center" wrapText="1"/>
    </xf>
    <xf numFmtId="4" fontId="7" fillId="46" borderId="61" xfId="0" applyNumberFormat="1" applyFont="1" applyFill="1" applyBorder="1" applyAlignment="1">
      <alignment horizontal="center" vertical="center" wrapText="1"/>
    </xf>
    <xf numFmtId="0" fontId="0" fillId="0" borderId="107" xfId="0" applyBorder="1"/>
    <xf numFmtId="0" fontId="0" fillId="0" borderId="109" xfId="0" applyBorder="1"/>
    <xf numFmtId="0" fontId="0" fillId="5" borderId="58" xfId="0" applyFill="1" applyBorder="1"/>
    <xf numFmtId="0" fontId="0" fillId="5" borderId="51" xfId="0" applyFill="1" applyBorder="1"/>
    <xf numFmtId="0" fontId="0" fillId="5" borderId="0" xfId="0" applyFill="1" applyBorder="1"/>
    <xf numFmtId="0" fontId="0" fillId="0" borderId="108" xfId="0" applyFill="1" applyBorder="1"/>
    <xf numFmtId="0" fontId="0" fillId="0" borderId="109" xfId="0" applyFill="1" applyBorder="1"/>
    <xf numFmtId="0" fontId="49" fillId="0" borderId="58" xfId="49" applyFont="1" applyFill="1" applyBorder="1" applyAlignment="1" applyProtection="1">
      <alignment horizontal="left" vertical="center"/>
    </xf>
    <xf numFmtId="0" fontId="14" fillId="0" borderId="51" xfId="49" applyFill="1" applyBorder="1" applyAlignment="1" applyProtection="1">
      <alignment horizontal="left"/>
    </xf>
    <xf numFmtId="4" fontId="4" fillId="0" borderId="62" xfId="0" applyNumberFormat="1" applyFont="1" applyFill="1" applyBorder="1" applyAlignment="1">
      <alignment vertical="center" wrapText="1"/>
    </xf>
    <xf numFmtId="10" fontId="7" fillId="0" borderId="63" xfId="58" applyNumberFormat="1" applyFont="1" applyFill="1" applyBorder="1" applyAlignment="1">
      <alignment horizontal="right"/>
    </xf>
    <xf numFmtId="0" fontId="7" fillId="0" borderId="64" xfId="0" applyFont="1" applyFill="1" applyBorder="1" applyAlignment="1">
      <alignment horizontal="center"/>
    </xf>
    <xf numFmtId="166" fontId="7" fillId="0" borderId="65" xfId="28" applyNumberFormat="1" applyFont="1" applyFill="1" applyBorder="1" applyAlignment="1">
      <alignment horizontal="center"/>
    </xf>
    <xf numFmtId="4" fontId="4" fillId="0" borderId="66" xfId="0" applyNumberFormat="1" applyFont="1" applyFill="1" applyBorder="1" applyAlignment="1">
      <alignment vertical="center" wrapText="1"/>
    </xf>
    <xf numFmtId="166" fontId="4" fillId="46" borderId="67" xfId="28" applyNumberFormat="1" applyFont="1" applyFill="1" applyBorder="1" applyAlignment="1">
      <alignment horizontal="right" vertical="center" wrapText="1"/>
    </xf>
    <xf numFmtId="4" fontId="4" fillId="0" borderId="68" xfId="0" applyNumberFormat="1" applyFont="1" applyFill="1" applyBorder="1" applyAlignment="1">
      <alignment vertical="center" wrapText="1"/>
    </xf>
    <xf numFmtId="1" fontId="7" fillId="0" borderId="69" xfId="58" applyNumberFormat="1" applyFont="1" applyFill="1" applyBorder="1" applyAlignment="1">
      <alignment horizontal="right"/>
    </xf>
    <xf numFmtId="4" fontId="3" fillId="0" borderId="70" xfId="0" applyNumberFormat="1" applyFont="1" applyFill="1" applyBorder="1" applyAlignment="1">
      <alignment vertical="center" wrapText="1"/>
    </xf>
    <xf numFmtId="1" fontId="6" fillId="0" borderId="71" xfId="58" applyNumberFormat="1" applyFont="1" applyFill="1" applyBorder="1" applyAlignment="1">
      <alignment horizontal="right"/>
    </xf>
    <xf numFmtId="4" fontId="3" fillId="0" borderId="70" xfId="0" applyNumberFormat="1" applyFont="1" applyFill="1" applyBorder="1" applyAlignment="1">
      <alignment horizontal="left" vertical="center" wrapText="1"/>
    </xf>
    <xf numFmtId="4" fontId="3" fillId="0" borderId="72" xfId="0" applyNumberFormat="1" applyFont="1" applyFill="1" applyBorder="1" applyAlignment="1">
      <alignment vertical="center" wrapText="1"/>
    </xf>
    <xf numFmtId="166" fontId="3" fillId="0" borderId="73" xfId="28" applyNumberFormat="1" applyFont="1" applyFill="1" applyBorder="1" applyAlignment="1">
      <alignment horizontal="right" vertical="center" wrapText="1"/>
    </xf>
    <xf numFmtId="169" fontId="24" fillId="0" borderId="71" xfId="0" applyNumberFormat="1" applyFont="1" applyFill="1" applyBorder="1" applyAlignment="1">
      <alignment horizontal="right" vertical="top"/>
    </xf>
    <xf numFmtId="0" fontId="6" fillId="0" borderId="70" xfId="0" applyFont="1" applyFill="1" applyBorder="1"/>
    <xf numFmtId="0" fontId="6" fillId="0" borderId="71" xfId="0" applyFont="1" applyFill="1" applyBorder="1"/>
    <xf numFmtId="0" fontId="6" fillId="0" borderId="73" xfId="0" applyFont="1" applyFill="1" applyBorder="1"/>
    <xf numFmtId="0" fontId="7" fillId="0" borderId="68" xfId="0" applyFont="1" applyBorder="1"/>
    <xf numFmtId="0" fontId="0" fillId="0" borderId="70" xfId="0" applyBorder="1"/>
    <xf numFmtId="0" fontId="6" fillId="49" borderId="71" xfId="0" applyFont="1" applyFill="1" applyBorder="1"/>
    <xf numFmtId="0" fontId="0" fillId="0" borderId="74" xfId="0" applyBorder="1"/>
    <xf numFmtId="169" fontId="24" fillId="0" borderId="75" xfId="0" applyNumberFormat="1" applyFont="1" applyFill="1" applyBorder="1" applyAlignment="1">
      <alignment horizontal="center" vertical="top"/>
    </xf>
    <xf numFmtId="0" fontId="6" fillId="47" borderId="76" xfId="0" applyFont="1" applyFill="1" applyBorder="1"/>
    <xf numFmtId="0" fontId="6" fillId="49" borderId="76" xfId="0" applyFont="1" applyFill="1" applyBorder="1"/>
    <xf numFmtId="0" fontId="6" fillId="49" borderId="77" xfId="0" applyFont="1" applyFill="1" applyBorder="1"/>
    <xf numFmtId="0" fontId="22" fillId="0" borderId="78" xfId="28" applyNumberFormat="1" applyFont="1" applyFill="1" applyBorder="1" applyAlignment="1" applyProtection="1"/>
    <xf numFmtId="0" fontId="7" fillId="56" borderId="79" xfId="0" applyFont="1" applyFill="1" applyBorder="1" applyAlignment="1">
      <alignment horizontal="center"/>
    </xf>
    <xf numFmtId="167" fontId="7" fillId="0" borderId="20" xfId="58" applyNumberFormat="1" applyFont="1" applyFill="1" applyBorder="1" applyAlignment="1">
      <alignment horizontal="right"/>
    </xf>
    <xf numFmtId="167" fontId="6" fillId="0" borderId="10" xfId="58" applyNumberFormat="1" applyFont="1" applyFill="1" applyBorder="1" applyAlignment="1">
      <alignment horizontal="right"/>
    </xf>
    <xf numFmtId="167" fontId="3" fillId="0" borderId="34" xfId="58" applyNumberFormat="1" applyFont="1" applyFill="1" applyBorder="1" applyAlignment="1">
      <alignment horizontal="right" vertical="center" wrapText="1"/>
    </xf>
    <xf numFmtId="10" fontId="7" fillId="0" borderId="20" xfId="58" applyNumberFormat="1" applyFont="1" applyFill="1" applyBorder="1" applyAlignment="1">
      <alignment horizontal="right"/>
    </xf>
    <xf numFmtId="167" fontId="6" fillId="49" borderId="10" xfId="58" applyNumberFormat="1" applyFont="1" applyFill="1" applyBorder="1"/>
    <xf numFmtId="167" fontId="6" fillId="49" borderId="80" xfId="58" applyNumberFormat="1" applyFont="1" applyFill="1" applyBorder="1"/>
    <xf numFmtId="4" fontId="7" fillId="46" borderId="117" xfId="0" applyNumberFormat="1" applyFont="1" applyFill="1" applyBorder="1" applyAlignment="1">
      <alignment horizontal="center" vertical="center" wrapText="1"/>
    </xf>
    <xf numFmtId="4" fontId="7" fillId="46" borderId="118" xfId="0" applyNumberFormat="1" applyFont="1" applyFill="1" applyBorder="1" applyAlignment="1">
      <alignment horizontal="center" vertical="center" wrapText="1"/>
    </xf>
    <xf numFmtId="10" fontId="7" fillId="0" borderId="119" xfId="58" applyNumberFormat="1" applyFont="1" applyFill="1" applyBorder="1" applyAlignment="1">
      <alignment horizontal="right"/>
    </xf>
    <xf numFmtId="166" fontId="7" fillId="0" borderId="120" xfId="28" applyNumberFormat="1" applyFont="1" applyFill="1" applyBorder="1" applyAlignment="1">
      <alignment horizontal="center"/>
    </xf>
    <xf numFmtId="167" fontId="4" fillId="46" borderId="121" xfId="58" applyNumberFormat="1" applyFont="1" applyFill="1" applyBorder="1" applyAlignment="1">
      <alignment horizontal="right" vertical="center" wrapText="1"/>
    </xf>
    <xf numFmtId="166" fontId="4" fillId="46" borderId="122" xfId="28" applyNumberFormat="1" applyFont="1" applyFill="1" applyBorder="1" applyAlignment="1">
      <alignment horizontal="right" vertical="center" wrapText="1"/>
    </xf>
    <xf numFmtId="167" fontId="7" fillId="0" borderId="123" xfId="58" applyNumberFormat="1" applyFont="1" applyFill="1" applyBorder="1" applyAlignment="1">
      <alignment horizontal="right"/>
    </xf>
    <xf numFmtId="1" fontId="7" fillId="0" borderId="124" xfId="58" applyNumberFormat="1" applyFont="1" applyFill="1" applyBorder="1" applyAlignment="1">
      <alignment horizontal="right"/>
    </xf>
    <xf numFmtId="167" fontId="6" fillId="0" borderId="125" xfId="58" applyNumberFormat="1" applyFont="1" applyFill="1" applyBorder="1" applyAlignment="1">
      <alignment horizontal="right"/>
    </xf>
    <xf numFmtId="1" fontId="6" fillId="0" borderId="126" xfId="58" applyNumberFormat="1" applyFont="1" applyFill="1" applyBorder="1" applyAlignment="1">
      <alignment horizontal="right"/>
    </xf>
    <xf numFmtId="167" fontId="3" fillId="0" borderId="127" xfId="58" applyNumberFormat="1" applyFont="1" applyFill="1" applyBorder="1" applyAlignment="1">
      <alignment horizontal="right" vertical="center" wrapText="1"/>
    </xf>
    <xf numFmtId="166" fontId="3" fillId="0" borderId="128" xfId="28" applyNumberFormat="1" applyFont="1" applyFill="1" applyBorder="1" applyAlignment="1">
      <alignment horizontal="right" vertical="center" wrapText="1"/>
    </xf>
    <xf numFmtId="169" fontId="24" fillId="0" borderId="126" xfId="0" applyNumberFormat="1" applyFont="1" applyFill="1" applyBorder="1" applyAlignment="1">
      <alignment horizontal="right" vertical="top"/>
    </xf>
    <xf numFmtId="0" fontId="6" fillId="0" borderId="126" xfId="0" applyFont="1" applyFill="1" applyBorder="1"/>
    <xf numFmtId="0" fontId="6" fillId="0" borderId="128" xfId="0" applyFont="1" applyFill="1" applyBorder="1"/>
    <xf numFmtId="0" fontId="6" fillId="47" borderId="125" xfId="0" applyFont="1" applyFill="1" applyBorder="1"/>
    <xf numFmtId="0" fontId="6" fillId="47" borderId="126" xfId="0" applyFont="1" applyFill="1" applyBorder="1"/>
    <xf numFmtId="0" fontId="6" fillId="47" borderId="129" xfId="0" applyFont="1" applyFill="1" applyBorder="1"/>
    <xf numFmtId="0" fontId="6" fillId="47" borderId="130" xfId="0" applyFont="1" applyFill="1" applyBorder="1"/>
    <xf numFmtId="166" fontId="7" fillId="0" borderId="78" xfId="28" applyNumberFormat="1" applyFont="1" applyFill="1" applyBorder="1" applyAlignment="1">
      <alignment horizontal="center"/>
    </xf>
    <xf numFmtId="166" fontId="4" fillId="46" borderId="81" xfId="28" applyNumberFormat="1" applyFont="1" applyFill="1" applyBorder="1" applyAlignment="1">
      <alignment horizontal="right" vertical="center" wrapText="1"/>
    </xf>
    <xf numFmtId="1" fontId="7" fillId="0" borderId="7" xfId="58" applyNumberFormat="1" applyFont="1" applyFill="1" applyBorder="1" applyAlignment="1">
      <alignment horizontal="right"/>
    </xf>
    <xf numFmtId="1" fontId="6" fillId="0" borderId="9" xfId="58" applyNumberFormat="1" applyFont="1" applyFill="1" applyBorder="1" applyAlignment="1">
      <alignment horizontal="right"/>
    </xf>
    <xf numFmtId="166" fontId="3" fillId="0" borderId="16" xfId="28" applyNumberFormat="1" applyFont="1" applyFill="1" applyBorder="1" applyAlignment="1">
      <alignment horizontal="right" vertical="center" wrapText="1"/>
    </xf>
    <xf numFmtId="169" fontId="24" fillId="0" borderId="9" xfId="0" applyNumberFormat="1" applyFont="1" applyFill="1" applyBorder="1" applyAlignment="1">
      <alignment horizontal="right" vertical="top"/>
    </xf>
    <xf numFmtId="0" fontId="6" fillId="0" borderId="16" xfId="0" applyFont="1" applyFill="1" applyBorder="1"/>
    <xf numFmtId="0" fontId="6" fillId="49" borderId="9" xfId="0" applyFont="1" applyFill="1" applyBorder="1"/>
    <xf numFmtId="0" fontId="6" fillId="49" borderId="82" xfId="0" applyFont="1" applyFill="1" applyBorder="1"/>
    <xf numFmtId="10" fontId="7" fillId="0" borderId="123" xfId="58" applyNumberFormat="1" applyFont="1" applyFill="1" applyBorder="1" applyAlignment="1">
      <alignment horizontal="right"/>
    </xf>
    <xf numFmtId="167" fontId="6" fillId="49" borderId="125" xfId="58" applyNumberFormat="1" applyFont="1" applyFill="1" applyBorder="1"/>
    <xf numFmtId="0" fontId="6" fillId="49" borderId="126" xfId="0" applyFont="1" applyFill="1" applyBorder="1"/>
    <xf numFmtId="167" fontId="6" fillId="49" borderId="129" xfId="58" applyNumberFormat="1" applyFont="1" applyFill="1" applyBorder="1"/>
    <xf numFmtId="0" fontId="6" fillId="49" borderId="130" xfId="0" applyFont="1" applyFill="1" applyBorder="1"/>
    <xf numFmtId="0" fontId="23" fillId="0" borderId="131" xfId="31" applyFont="1" applyBorder="1" applyProtection="1">
      <protection locked="0"/>
    </xf>
    <xf numFmtId="0" fontId="23" fillId="0" borderId="132" xfId="31" applyFont="1" applyBorder="1" applyProtection="1">
      <protection locked="0"/>
    </xf>
    <xf numFmtId="1" fontId="23" fillId="0" borderId="133" xfId="31" applyNumberFormat="1" applyFont="1" applyBorder="1" applyProtection="1">
      <protection locked="0"/>
    </xf>
    <xf numFmtId="0" fontId="23" fillId="0" borderId="133" xfId="31" applyFont="1" applyBorder="1" applyProtection="1">
      <protection locked="0"/>
    </xf>
    <xf numFmtId="10" fontId="23" fillId="0" borderId="134" xfId="31" applyNumberFormat="1" applyFont="1" applyBorder="1" applyProtection="1">
      <protection locked="0"/>
    </xf>
    <xf numFmtId="0" fontId="23" fillId="0" borderId="135" xfId="31" applyNumberFormat="1" applyFont="1" applyFill="1" applyBorder="1" applyAlignment="1" applyProtection="1">
      <protection locked="0"/>
    </xf>
    <xf numFmtId="0" fontId="23" fillId="0" borderId="0" xfId="31" applyNumberFormat="1" applyFont="1" applyFill="1" applyBorder="1" applyAlignment="1" applyProtection="1">
      <alignment horizontal="center"/>
      <protection locked="0"/>
    </xf>
    <xf numFmtId="169" fontId="24" fillId="2" borderId="1" xfId="0" applyNumberFormat="1" applyFont="1" applyFill="1" applyBorder="1" applyAlignment="1" applyProtection="1">
      <alignment horizontal="right" vertical="top"/>
      <protection locked="0"/>
    </xf>
    <xf numFmtId="170" fontId="24" fillId="2" borderId="136" xfId="0" applyNumberFormat="1" applyFont="1" applyFill="1" applyBorder="1" applyAlignment="1" applyProtection="1">
      <alignment horizontal="right" vertical="top"/>
      <protection locked="0"/>
    </xf>
    <xf numFmtId="0" fontId="22" fillId="0" borderId="137" xfId="31" applyNumberFormat="1" applyFont="1" applyFill="1" applyBorder="1" applyAlignment="1" applyProtection="1">
      <protection locked="0"/>
    </xf>
    <xf numFmtId="0" fontId="22" fillId="0" borderId="138" xfId="31" applyNumberFormat="1" applyFont="1" applyFill="1" applyBorder="1" applyAlignment="1" applyProtection="1">
      <protection locked="0"/>
    </xf>
    <xf numFmtId="169" fontId="25" fillId="2" borderId="139" xfId="0" applyNumberFormat="1" applyFont="1" applyFill="1" applyBorder="1" applyAlignment="1" applyProtection="1">
      <alignment horizontal="right" vertical="top"/>
      <protection locked="0"/>
    </xf>
    <xf numFmtId="170" fontId="25" fillId="2" borderId="140" xfId="0" applyNumberFormat="1" applyFont="1" applyFill="1" applyBorder="1" applyAlignment="1" applyProtection="1">
      <alignment horizontal="right" vertical="top"/>
      <protection locked="0"/>
    </xf>
    <xf numFmtId="0" fontId="23" fillId="0" borderId="131" xfId="31" applyFont="1" applyFill="1" applyBorder="1" applyProtection="1">
      <protection locked="0"/>
    </xf>
    <xf numFmtId="0" fontId="23" fillId="0" borderId="132" xfId="31" applyFont="1" applyFill="1" applyBorder="1" applyProtection="1">
      <protection locked="0"/>
    </xf>
    <xf numFmtId="1" fontId="23" fillId="0" borderId="132" xfId="31" applyNumberFormat="1" applyFont="1" applyFill="1" applyBorder="1" applyProtection="1">
      <protection locked="0"/>
    </xf>
    <xf numFmtId="10" fontId="23" fillId="0" borderId="141" xfId="31" applyNumberFormat="1" applyFont="1" applyFill="1" applyBorder="1" applyProtection="1">
      <protection locked="0"/>
    </xf>
    <xf numFmtId="169" fontId="24" fillId="0" borderId="0" xfId="0" applyNumberFormat="1" applyFont="1" applyFill="1" applyBorder="1" applyAlignment="1" applyProtection="1">
      <alignment horizontal="right" vertical="top"/>
      <protection locked="0"/>
    </xf>
    <xf numFmtId="10" fontId="24" fillId="0" borderId="142" xfId="0" applyNumberFormat="1" applyFont="1" applyFill="1" applyBorder="1" applyAlignment="1" applyProtection="1">
      <alignment horizontal="right" vertical="top"/>
      <protection locked="0"/>
    </xf>
    <xf numFmtId="169" fontId="23" fillId="0" borderId="0" xfId="0" applyNumberFormat="1" applyFont="1" applyFill="1" applyBorder="1" applyAlignment="1" applyProtection="1">
      <alignment horizontal="right" vertical="top"/>
      <protection locked="0"/>
    </xf>
    <xf numFmtId="10" fontId="23" fillId="0" borderId="142" xfId="0" applyNumberFormat="1" applyFont="1" applyFill="1" applyBorder="1" applyAlignment="1" applyProtection="1">
      <alignment horizontal="right" vertical="top"/>
      <protection locked="0"/>
    </xf>
    <xf numFmtId="1" fontId="22" fillId="0" borderId="138" xfId="31" applyNumberFormat="1" applyFont="1" applyFill="1" applyBorder="1" applyAlignment="1" applyProtection="1">
      <protection locked="0"/>
    </xf>
    <xf numFmtId="10" fontId="25" fillId="0" borderId="143" xfId="0" applyNumberFormat="1" applyFont="1" applyFill="1" applyBorder="1" applyAlignment="1" applyProtection="1">
      <alignment horizontal="right" vertical="top"/>
      <protection locked="0"/>
    </xf>
    <xf numFmtId="0" fontId="0" fillId="0" borderId="131" xfId="0" applyBorder="1" applyProtection="1">
      <protection locked="0"/>
    </xf>
    <xf numFmtId="0" fontId="0" fillId="0" borderId="132" xfId="0" applyBorder="1" applyProtection="1">
      <protection locked="0"/>
    </xf>
    <xf numFmtId="0" fontId="0" fillId="0" borderId="141" xfId="0" applyBorder="1" applyProtection="1">
      <protection locked="0"/>
    </xf>
    <xf numFmtId="0" fontId="0" fillId="0" borderId="135" xfId="0" applyBorder="1" applyProtection="1">
      <protection locked="0"/>
    </xf>
    <xf numFmtId="0" fontId="0" fillId="0" borderId="0" xfId="0" applyBorder="1" applyProtection="1">
      <protection locked="0"/>
    </xf>
    <xf numFmtId="10" fontId="75" fillId="0" borderId="142" xfId="58" applyNumberFormat="1" applyFont="1" applyBorder="1" applyProtection="1">
      <protection locked="0"/>
    </xf>
    <xf numFmtId="0" fontId="0" fillId="0" borderId="137" xfId="0" applyBorder="1" applyProtection="1">
      <protection locked="0"/>
    </xf>
    <xf numFmtId="0" fontId="0" fillId="0" borderId="138" xfId="0" applyBorder="1" applyProtection="1">
      <protection locked="0"/>
    </xf>
    <xf numFmtId="10" fontId="75" fillId="0" borderId="143" xfId="58" applyNumberFormat="1" applyFont="1" applyBorder="1" applyProtection="1">
      <protection locked="0"/>
    </xf>
    <xf numFmtId="169" fontId="24" fillId="0" borderId="0" xfId="0" applyNumberFormat="1" applyFont="1" applyFill="1" applyBorder="1" applyAlignment="1">
      <alignment horizontal="center" vertical="top"/>
    </xf>
    <xf numFmtId="0" fontId="6" fillId="47" borderId="0" xfId="0" applyFont="1" applyFill="1" applyBorder="1"/>
    <xf numFmtId="167" fontId="6" fillId="49" borderId="0" xfId="58" applyNumberFormat="1" applyFont="1" applyFill="1" applyBorder="1"/>
    <xf numFmtId="0" fontId="6" fillId="49" borderId="0" xfId="0" applyFont="1" applyFill="1" applyBorder="1"/>
    <xf numFmtId="0" fontId="7" fillId="52" borderId="51" xfId="0" applyFont="1" applyFill="1" applyBorder="1" applyAlignment="1">
      <alignment horizontal="center"/>
    </xf>
    <xf numFmtId="0" fontId="7" fillId="55" borderId="51" xfId="0" applyFont="1" applyFill="1" applyBorder="1" applyAlignment="1">
      <alignment horizontal="center"/>
    </xf>
    <xf numFmtId="0" fontId="7" fillId="55" borderId="41" xfId="0" applyFont="1" applyFill="1" applyBorder="1" applyAlignment="1">
      <alignment horizontal="center"/>
    </xf>
    <xf numFmtId="22" fontId="0" fillId="0" borderId="0" xfId="0" applyNumberFormat="1"/>
    <xf numFmtId="4" fontId="3" fillId="41" borderId="19" xfId="0" applyNumberFormat="1" applyFont="1" applyFill="1" applyBorder="1" applyAlignment="1" applyProtection="1">
      <alignment vertical="center" wrapText="1"/>
      <protection hidden="1"/>
    </xf>
    <xf numFmtId="3" fontId="12" fillId="41" borderId="146" xfId="28" applyNumberFormat="1" applyFont="1" applyFill="1" applyBorder="1" applyAlignment="1">
      <alignment horizontal="center" vertical="center" wrapText="1"/>
    </xf>
    <xf numFmtId="3" fontId="12" fillId="41" borderId="25" xfId="28" applyNumberFormat="1" applyFont="1" applyFill="1" applyBorder="1" applyAlignment="1">
      <alignment horizontal="center" vertical="center" wrapText="1"/>
    </xf>
    <xf numFmtId="3" fontId="12" fillId="41" borderId="145" xfId="28" applyNumberFormat="1" applyFont="1" applyFill="1" applyBorder="1" applyAlignment="1">
      <alignment horizontal="center" vertical="center" wrapText="1"/>
    </xf>
    <xf numFmtId="167" fontId="12" fillId="41" borderId="34" xfId="58" applyNumberFormat="1" applyFont="1" applyFill="1" applyBorder="1" applyAlignment="1">
      <alignment horizontal="center" vertical="center" wrapText="1"/>
    </xf>
    <xf numFmtId="3" fontId="12" fillId="41" borderId="33" xfId="28" applyNumberFormat="1" applyFont="1" applyFill="1" applyBorder="1" applyAlignment="1">
      <alignment horizontal="center" vertical="center" wrapText="1"/>
    </xf>
    <xf numFmtId="3" fontId="12" fillId="41" borderId="35" xfId="28" applyNumberFormat="1" applyFont="1" applyFill="1" applyBorder="1" applyAlignment="1">
      <alignment horizontal="center" vertical="center" wrapText="1"/>
    </xf>
    <xf numFmtId="167" fontId="12" fillId="41" borderId="20" xfId="58" applyNumberFormat="1" applyFont="1" applyFill="1" applyBorder="1" applyAlignment="1">
      <alignment horizontal="center" vertical="center" wrapText="1"/>
    </xf>
    <xf numFmtId="3" fontId="12" fillId="41" borderId="39" xfId="28" applyNumberFormat="1" applyFont="1" applyFill="1" applyBorder="1" applyAlignment="1">
      <alignment horizontal="center" vertical="center" wrapText="1"/>
    </xf>
    <xf numFmtId="3" fontId="12" fillId="41" borderId="38" xfId="28" applyNumberFormat="1" applyFont="1" applyFill="1" applyBorder="1" applyAlignment="1">
      <alignment horizontal="center" vertical="center" wrapText="1"/>
    </xf>
    <xf numFmtId="167" fontId="12" fillId="41" borderId="10" xfId="58" applyNumberFormat="1" applyFont="1" applyFill="1" applyBorder="1" applyAlignment="1">
      <alignment horizontal="center" vertical="center" wrapText="1"/>
    </xf>
    <xf numFmtId="165" fontId="12" fillId="41" borderId="27" xfId="0" applyNumberFormat="1" applyFont="1" applyFill="1" applyBorder="1" applyAlignment="1">
      <alignment horizontal="center" vertical="center" wrapText="1"/>
    </xf>
    <xf numFmtId="0" fontId="32" fillId="41" borderId="30" xfId="0" applyFont="1" applyFill="1" applyBorder="1" applyAlignment="1">
      <alignment horizontal="center" vertical="center"/>
    </xf>
    <xf numFmtId="0" fontId="32" fillId="41" borderId="18" xfId="0" applyFont="1" applyFill="1" applyBorder="1" applyAlignment="1">
      <alignment horizontal="center" vertical="center"/>
    </xf>
    <xf numFmtId="0" fontId="32" fillId="41" borderId="43" xfId="0" applyFont="1" applyFill="1" applyBorder="1" applyAlignment="1">
      <alignment horizontal="center" vertical="center"/>
    </xf>
    <xf numFmtId="0" fontId="41" fillId="0" borderId="9" xfId="0" applyFont="1" applyBorder="1" applyAlignment="1">
      <alignment horizontal="left" vertical="top" wrapText="1"/>
    </xf>
    <xf numFmtId="0" fontId="41" fillId="0" borderId="0" xfId="0" applyFont="1" applyBorder="1" applyAlignment="1">
      <alignment horizontal="left" vertical="top" wrapText="1"/>
    </xf>
    <xf numFmtId="0" fontId="41" fillId="0" borderId="10" xfId="0" applyFont="1" applyBorder="1" applyAlignment="1">
      <alignment horizontal="left" vertical="top" wrapText="1"/>
    </xf>
    <xf numFmtId="0" fontId="41" fillId="0" borderId="16" xfId="0" applyFont="1" applyBorder="1" applyAlignment="1">
      <alignment horizontal="left" vertical="top" wrapText="1"/>
    </xf>
    <xf numFmtId="0" fontId="41" fillId="0" borderId="17" xfId="0" applyFont="1" applyBorder="1" applyAlignment="1">
      <alignment horizontal="left" vertical="top" wrapText="1"/>
    </xf>
    <xf numFmtId="0" fontId="41" fillId="0" borderId="34" xfId="0" applyFont="1" applyBorder="1" applyAlignment="1">
      <alignment horizontal="left" vertical="top" wrapText="1"/>
    </xf>
    <xf numFmtId="0" fontId="5" fillId="41" borderId="30" xfId="0" applyFont="1" applyFill="1" applyBorder="1" applyAlignment="1">
      <alignment horizontal="center" vertical="center"/>
    </xf>
    <xf numFmtId="0" fontId="5" fillId="41" borderId="18" xfId="0" applyFont="1" applyFill="1" applyBorder="1" applyAlignment="1">
      <alignment horizontal="center" vertical="center"/>
    </xf>
    <xf numFmtId="0" fontId="5" fillId="41" borderId="43" xfId="0" applyFont="1" applyFill="1" applyBorder="1" applyAlignment="1">
      <alignment horizontal="center" vertical="center"/>
    </xf>
    <xf numFmtId="0" fontId="13" fillId="40" borderId="7" xfId="0" applyFont="1" applyFill="1" applyBorder="1" applyAlignment="1">
      <alignment horizontal="center" vertical="center" wrapText="1"/>
    </xf>
    <xf numFmtId="0" fontId="13" fillId="40" borderId="46" xfId="0" applyFont="1" applyFill="1" applyBorder="1" applyAlignment="1">
      <alignment horizontal="center" vertical="center" wrapText="1"/>
    </xf>
    <xf numFmtId="0" fontId="13" fillId="40" borderId="20" xfId="0" applyFont="1" applyFill="1" applyBorder="1" applyAlignment="1">
      <alignment horizontal="center" vertical="center" wrapText="1"/>
    </xf>
    <xf numFmtId="0" fontId="13" fillId="40" borderId="16" xfId="0" applyFont="1" applyFill="1" applyBorder="1" applyAlignment="1">
      <alignment horizontal="center" vertical="center" wrapText="1"/>
    </xf>
    <xf numFmtId="0" fontId="13" fillId="40" borderId="17" xfId="0" applyFont="1" applyFill="1" applyBorder="1" applyAlignment="1">
      <alignment horizontal="center" vertical="center" wrapText="1"/>
    </xf>
    <xf numFmtId="0" fontId="13" fillId="40" borderId="34" xfId="0" applyFont="1" applyFill="1" applyBorder="1" applyAlignment="1">
      <alignment horizontal="center" vertical="center" wrapText="1"/>
    </xf>
    <xf numFmtId="0" fontId="12" fillId="3" borderId="16" xfId="0" applyFont="1" applyFill="1" applyBorder="1" applyAlignment="1">
      <alignment horizontal="center" wrapText="1"/>
    </xf>
    <xf numFmtId="0" fontId="12" fillId="3" borderId="17" xfId="0" applyFont="1" applyFill="1" applyBorder="1" applyAlignment="1">
      <alignment horizontal="center" wrapText="1"/>
    </xf>
    <xf numFmtId="0" fontId="12" fillId="3" borderId="34" xfId="0" applyFont="1" applyFill="1" applyBorder="1" applyAlignment="1">
      <alignment horizontal="center" wrapText="1"/>
    </xf>
    <xf numFmtId="3" fontId="5" fillId="40" borderId="36" xfId="0" applyNumberFormat="1" applyFont="1" applyFill="1" applyBorder="1" applyAlignment="1">
      <alignment horizontal="center" vertical="center" wrapText="1"/>
    </xf>
    <xf numFmtId="3" fontId="5" fillId="40" borderId="47" xfId="0" applyNumberFormat="1" applyFont="1" applyFill="1" applyBorder="1" applyAlignment="1">
      <alignment horizontal="center" vertical="center" wrapText="1"/>
    </xf>
    <xf numFmtId="167" fontId="5" fillId="40" borderId="20" xfId="60" applyNumberFormat="1" applyFont="1" applyFill="1" applyBorder="1" applyAlignment="1">
      <alignment horizontal="center" vertical="center" wrapText="1"/>
    </xf>
    <xf numFmtId="167" fontId="5" fillId="40" borderId="10" xfId="60" applyNumberFormat="1" applyFont="1" applyFill="1" applyBorder="1" applyAlignment="1">
      <alignment horizontal="center" vertical="center" wrapText="1"/>
    </xf>
    <xf numFmtId="0" fontId="5" fillId="40" borderId="7" xfId="0" applyFont="1" applyFill="1" applyBorder="1" applyAlignment="1">
      <alignment horizontal="center" vertical="center" wrapText="1"/>
    </xf>
    <xf numFmtId="0" fontId="5" fillId="40" borderId="20" xfId="0" applyFont="1" applyFill="1" applyBorder="1" applyAlignment="1">
      <alignment horizontal="center" vertical="center" wrapText="1"/>
    </xf>
    <xf numFmtId="0" fontId="5" fillId="40" borderId="9"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12" fillId="0" borderId="0" xfId="0" applyFont="1" applyFill="1" applyBorder="1" applyAlignment="1">
      <alignment horizontal="left" wrapText="1"/>
    </xf>
    <xf numFmtId="0" fontId="12" fillId="3" borderId="30" xfId="0" applyFont="1" applyFill="1" applyBorder="1" applyAlignment="1">
      <alignment horizontal="center" wrapText="1"/>
    </xf>
    <xf numFmtId="0" fontId="12" fillId="3" borderId="18" xfId="0" applyFont="1" applyFill="1" applyBorder="1" applyAlignment="1">
      <alignment horizontal="center" wrapText="1"/>
    </xf>
    <xf numFmtId="0" fontId="12" fillId="3" borderId="43" xfId="0" applyFont="1" applyFill="1" applyBorder="1" applyAlignment="1">
      <alignment horizontal="center" wrapText="1"/>
    </xf>
    <xf numFmtId="0" fontId="35" fillId="50" borderId="7" xfId="49" applyFont="1" applyFill="1" applyBorder="1" applyAlignment="1" applyProtection="1">
      <alignment horizontal="center" vertical="center" wrapText="1"/>
    </xf>
    <xf numFmtId="0" fontId="35" fillId="50" borderId="16" xfId="49" applyFont="1" applyFill="1" applyBorder="1" applyAlignment="1" applyProtection="1">
      <alignment horizontal="center" vertical="center" wrapText="1"/>
    </xf>
    <xf numFmtId="0" fontId="35" fillId="50" borderId="46" xfId="49" applyFont="1" applyFill="1" applyBorder="1" applyAlignment="1" applyProtection="1">
      <alignment horizontal="center" vertical="center" wrapText="1"/>
    </xf>
    <xf numFmtId="0" fontId="35" fillId="50" borderId="20" xfId="49" applyFont="1" applyFill="1" applyBorder="1" applyAlignment="1" applyProtection="1">
      <alignment horizontal="center" vertical="center" wrapText="1"/>
    </xf>
    <xf numFmtId="0" fontId="35" fillId="50" borderId="17" xfId="49" applyFont="1" applyFill="1" applyBorder="1" applyAlignment="1" applyProtection="1">
      <alignment horizontal="center" vertical="center" wrapText="1"/>
    </xf>
    <xf numFmtId="0" fontId="35" fillId="50" borderId="34" xfId="49" applyFont="1" applyFill="1" applyBorder="1" applyAlignment="1" applyProtection="1">
      <alignment horizontal="center" vertical="center" wrapText="1"/>
    </xf>
    <xf numFmtId="4" fontId="7" fillId="40" borderId="22" xfId="0" applyNumberFormat="1" applyFont="1" applyFill="1" applyBorder="1" applyAlignment="1">
      <alignment horizontal="center"/>
    </xf>
    <xf numFmtId="4" fontId="7" fillId="40" borderId="50" xfId="0" applyNumberFormat="1" applyFont="1" applyFill="1" applyBorder="1" applyAlignment="1">
      <alignment horizontal="center"/>
    </xf>
    <xf numFmtId="4" fontId="7" fillId="40" borderId="2" xfId="0" applyNumberFormat="1" applyFont="1" applyFill="1" applyBorder="1" applyAlignment="1">
      <alignment horizontal="center"/>
    </xf>
    <xf numFmtId="4" fontId="7" fillId="40" borderId="51" xfId="0" applyNumberFormat="1" applyFont="1" applyFill="1" applyBorder="1" applyAlignment="1">
      <alignment horizontal="center"/>
    </xf>
    <xf numFmtId="4" fontId="7" fillId="40" borderId="41" xfId="0" applyNumberFormat="1" applyFont="1" applyFill="1" applyBorder="1" applyAlignment="1">
      <alignment horizontal="center"/>
    </xf>
    <xf numFmtId="0" fontId="38" fillId="0" borderId="30" xfId="0" applyFont="1" applyBorder="1" applyAlignment="1">
      <alignment horizontal="left" vertical="center" wrapText="1"/>
    </xf>
    <xf numFmtId="0" fontId="38" fillId="0" borderId="18" xfId="0" applyFont="1" applyBorder="1" applyAlignment="1">
      <alignment horizontal="left" vertical="center" wrapText="1"/>
    </xf>
    <xf numFmtId="0" fontId="38" fillId="0" borderId="43" xfId="0" applyFont="1" applyBorder="1" applyAlignment="1">
      <alignment horizontal="left" vertical="center" wrapText="1"/>
    </xf>
    <xf numFmtId="4" fontId="7" fillId="40" borderId="3" xfId="0" applyNumberFormat="1" applyFont="1" applyFill="1" applyBorder="1" applyAlignment="1">
      <alignment horizontal="center"/>
    </xf>
    <xf numFmtId="0" fontId="0" fillId="40" borderId="3" xfId="0" applyFill="1" applyBorder="1" applyAlignment="1"/>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55" xfId="0"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0" fontId="0" fillId="0" borderId="57" xfId="0" applyBorder="1" applyAlignment="1">
      <alignment horizontal="center" vertical="center" wrapText="1"/>
    </xf>
    <xf numFmtId="0" fontId="27" fillId="40" borderId="7" xfId="0" applyFont="1" applyFill="1" applyBorder="1" applyAlignment="1">
      <alignment horizontal="center" wrapText="1"/>
    </xf>
    <xf numFmtId="0" fontId="27" fillId="40" borderId="46" xfId="0" applyFont="1" applyFill="1" applyBorder="1" applyAlignment="1">
      <alignment horizontal="center" wrapText="1"/>
    </xf>
    <xf numFmtId="0" fontId="27" fillId="40" borderId="16" xfId="0" applyFont="1" applyFill="1" applyBorder="1" applyAlignment="1">
      <alignment horizontal="center" wrapText="1"/>
    </xf>
    <xf numFmtId="0" fontId="27" fillId="40" borderId="17" xfId="0" applyFont="1" applyFill="1" applyBorder="1" applyAlignment="1">
      <alignment horizontal="center" wrapText="1"/>
    </xf>
    <xf numFmtId="0" fontId="15" fillId="0" borderId="30" xfId="0" applyFont="1" applyBorder="1" applyAlignment="1">
      <alignment horizontal="center" wrapText="1"/>
    </xf>
    <xf numFmtId="0" fontId="15" fillId="0" borderId="18" xfId="0" applyFont="1" applyBorder="1" applyAlignment="1">
      <alignment horizontal="center" wrapText="1"/>
    </xf>
    <xf numFmtId="0" fontId="0" fillId="0" borderId="43" xfId="0" applyBorder="1" applyAlignment="1"/>
    <xf numFmtId="0" fontId="6" fillId="0" borderId="22" xfId="0" applyFont="1" applyBorder="1" applyAlignment="1">
      <alignment horizontal="center" vertical="center" wrapText="1"/>
    </xf>
    <xf numFmtId="0" fontId="0" fillId="0" borderId="2" xfId="0" applyBorder="1" applyAlignment="1">
      <alignment horizontal="center" vertical="center" wrapText="1"/>
    </xf>
    <xf numFmtId="0" fontId="6" fillId="0" borderId="3" xfId="0" applyFont="1" applyBorder="1" applyAlignment="1">
      <alignment horizontal="center" vertical="center" wrapText="1"/>
    </xf>
    <xf numFmtId="0" fontId="27" fillId="40" borderId="20" xfId="0" applyFont="1" applyFill="1" applyBorder="1" applyAlignment="1">
      <alignment horizontal="center" wrapText="1"/>
    </xf>
    <xf numFmtId="0" fontId="27" fillId="40" borderId="34" xfId="0" applyFont="1" applyFill="1" applyBorder="1" applyAlignment="1">
      <alignment horizontal="center" wrapText="1"/>
    </xf>
    <xf numFmtId="0" fontId="6" fillId="0" borderId="52" xfId="0" applyFont="1" applyBorder="1" applyAlignment="1">
      <alignment horizontal="center" vertical="center" wrapText="1"/>
    </xf>
    <xf numFmtId="0" fontId="0" fillId="0" borderId="53" xfId="0" applyBorder="1" applyAlignment="1">
      <alignment horizontal="center" vertical="center" wrapText="1"/>
    </xf>
    <xf numFmtId="0" fontId="6" fillId="0" borderId="53" xfId="0" applyFont="1" applyBorder="1" applyAlignment="1">
      <alignment horizontal="center" vertical="center" wrapText="1"/>
    </xf>
    <xf numFmtId="0" fontId="6" fillId="0" borderId="52"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1" fillId="40" borderId="30" xfId="0" applyFont="1" applyFill="1" applyBorder="1" applyAlignment="1">
      <alignment horizontal="center" wrapText="1"/>
    </xf>
    <xf numFmtId="0" fontId="11" fillId="40" borderId="18" xfId="0" applyFont="1" applyFill="1" applyBorder="1" applyAlignment="1">
      <alignment horizontal="center" wrapText="1"/>
    </xf>
    <xf numFmtId="0" fontId="11" fillId="40" borderId="43" xfId="0" applyFont="1" applyFill="1" applyBorder="1" applyAlignment="1">
      <alignment horizontal="center" wrapText="1"/>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41" borderId="9" xfId="0" applyFont="1" applyFill="1" applyBorder="1" applyAlignment="1">
      <alignment horizontal="left" vertical="center" wrapText="1"/>
    </xf>
    <xf numFmtId="0" fontId="12" fillId="41" borderId="0" xfId="0" applyFont="1" applyFill="1" applyBorder="1" applyAlignment="1">
      <alignment horizontal="left" vertical="center" wrapText="1"/>
    </xf>
    <xf numFmtId="0" fontId="12" fillId="41" borderId="5" xfId="0" applyFont="1" applyFill="1" applyBorder="1" applyAlignment="1">
      <alignment horizontal="left" vertical="center" wrapText="1"/>
    </xf>
    <xf numFmtId="0" fontId="26" fillId="44" borderId="30" xfId="0" applyFont="1" applyFill="1" applyBorder="1" applyAlignment="1">
      <alignment horizontal="center" vertical="center" wrapText="1"/>
    </xf>
    <xf numFmtId="0" fontId="26" fillId="44" borderId="18" xfId="0" applyFont="1" applyFill="1" applyBorder="1" applyAlignment="1">
      <alignment horizontal="center" vertical="center" wrapText="1"/>
    </xf>
    <xf numFmtId="0" fontId="12" fillId="41" borderId="9" xfId="0" applyFont="1" applyFill="1" applyBorder="1" applyAlignment="1">
      <alignment vertical="center" wrapText="1"/>
    </xf>
    <xf numFmtId="0" fontId="12" fillId="41" borderId="0" xfId="0" applyFont="1" applyFill="1" applyBorder="1" applyAlignment="1">
      <alignment vertical="center" wrapText="1"/>
    </xf>
    <xf numFmtId="0" fontId="12" fillId="41" borderId="5" xfId="0" applyFont="1" applyFill="1" applyBorder="1" applyAlignment="1">
      <alignment vertical="center" wrapText="1"/>
    </xf>
    <xf numFmtId="0" fontId="13" fillId="51" borderId="16" xfId="0" applyFont="1" applyFill="1" applyBorder="1" applyAlignment="1">
      <alignment horizontal="center" vertical="center" wrapText="1"/>
    </xf>
    <xf numFmtId="0" fontId="13" fillId="51" borderId="17" xfId="0" applyFont="1" applyFill="1" applyBorder="1" applyAlignment="1">
      <alignment horizontal="center" vertical="center" wrapText="1"/>
    </xf>
    <xf numFmtId="0" fontId="13" fillId="51" borderId="34" xfId="0" applyFont="1" applyFill="1" applyBorder="1" applyAlignment="1">
      <alignment horizontal="center" vertical="center" wrapText="1"/>
    </xf>
    <xf numFmtId="168" fontId="34" fillId="0" borderId="30" xfId="0" applyNumberFormat="1" applyFont="1" applyBorder="1" applyAlignment="1">
      <alignment horizontal="center" vertical="center" wrapText="1"/>
    </xf>
    <xf numFmtId="168" fontId="34" fillId="0" borderId="18" xfId="0" applyNumberFormat="1" applyFont="1" applyBorder="1" applyAlignment="1">
      <alignment horizontal="center" vertical="center" wrapText="1"/>
    </xf>
    <xf numFmtId="168" fontId="34" fillId="0" borderId="43" xfId="0" applyNumberFormat="1" applyFont="1" applyBorder="1" applyAlignment="1">
      <alignment horizontal="center" vertical="center" wrapText="1"/>
    </xf>
    <xf numFmtId="4" fontId="41" fillId="0" borderId="30" xfId="0" applyNumberFormat="1" applyFont="1" applyFill="1" applyBorder="1" applyAlignment="1">
      <alignment horizontal="center" vertical="center" wrapText="1"/>
    </xf>
    <xf numFmtId="4" fontId="41" fillId="0" borderId="18" xfId="0" applyNumberFormat="1" applyFont="1" applyFill="1" applyBorder="1" applyAlignment="1">
      <alignment horizontal="center" vertical="center" wrapText="1"/>
    </xf>
    <xf numFmtId="4" fontId="41" fillId="0" borderId="43" xfId="0" applyNumberFormat="1" applyFont="1" applyFill="1" applyBorder="1" applyAlignment="1">
      <alignment horizontal="center" vertical="center" wrapText="1"/>
    </xf>
    <xf numFmtId="0" fontId="12" fillId="41" borderId="16" xfId="0" applyFont="1" applyFill="1" applyBorder="1" applyAlignment="1">
      <alignment horizontal="left" vertical="center" wrapText="1"/>
    </xf>
    <xf numFmtId="0" fontId="12" fillId="41" borderId="33" xfId="0" applyFont="1" applyFill="1" applyBorder="1" applyAlignment="1">
      <alignment horizontal="left" vertical="center" wrapText="1"/>
    </xf>
    <xf numFmtId="0" fontId="74" fillId="0" borderId="97" xfId="0" applyFont="1" applyFill="1" applyBorder="1" applyAlignment="1">
      <alignment horizontal="center" vertical="center" wrapText="1"/>
    </xf>
    <xf numFmtId="0" fontId="74" fillId="0" borderId="9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101" xfId="0" applyFont="1" applyFill="1" applyBorder="1" applyAlignment="1">
      <alignment horizontal="center" vertical="center" wrapText="1"/>
    </xf>
    <xf numFmtId="0" fontId="74" fillId="0" borderId="102" xfId="0" applyFont="1" applyFill="1" applyBorder="1" applyAlignment="1">
      <alignment horizontal="center" vertical="center" wrapText="1"/>
    </xf>
    <xf numFmtId="0" fontId="73" fillId="0" borderId="0" xfId="0" applyFont="1" applyBorder="1" applyAlignment="1">
      <alignment horizontal="center" vertical="center"/>
    </xf>
    <xf numFmtId="49" fontId="12" fillId="41" borderId="9" xfId="0" applyNumberFormat="1" applyFont="1" applyFill="1" applyBorder="1" applyAlignment="1">
      <alignment horizontal="left" vertical="center" wrapText="1"/>
    </xf>
    <xf numFmtId="49" fontId="12" fillId="41" borderId="0" xfId="0" applyNumberFormat="1" applyFont="1" applyFill="1" applyBorder="1" applyAlignment="1">
      <alignment horizontal="left" vertical="center" wrapText="1"/>
    </xf>
    <xf numFmtId="49" fontId="12" fillId="41" borderId="5" xfId="0" applyNumberFormat="1" applyFont="1" applyFill="1" applyBorder="1" applyAlignment="1">
      <alignment horizontal="left" vertical="center" wrapText="1"/>
    </xf>
    <xf numFmtId="0" fontId="12" fillId="41" borderId="7" xfId="0" applyFont="1" applyFill="1" applyBorder="1" applyAlignment="1">
      <alignment horizontal="left" vertical="center" wrapText="1"/>
    </xf>
    <xf numFmtId="0" fontId="12" fillId="41" borderId="39"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2" fillId="41" borderId="46"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7" fillId="43" borderId="22" xfId="0" applyFont="1" applyFill="1" applyBorder="1" applyAlignment="1">
      <alignment horizontal="center"/>
    </xf>
    <xf numFmtId="0" fontId="7" fillId="43" borderId="50" xfId="0" applyFont="1" applyFill="1" applyBorder="1" applyAlignment="1">
      <alignment horizontal="center"/>
    </xf>
    <xf numFmtId="0" fontId="7" fillId="43" borderId="2" xfId="0" applyFont="1" applyFill="1" applyBorder="1" applyAlignment="1">
      <alignment horizontal="center"/>
    </xf>
    <xf numFmtId="0" fontId="11" fillId="40" borderId="22" xfId="0" applyFont="1" applyFill="1" applyBorder="1" applyAlignment="1">
      <alignment horizontal="center"/>
    </xf>
    <xf numFmtId="0" fontId="11" fillId="40" borderId="50" xfId="0" applyFont="1" applyFill="1" applyBorder="1" applyAlignment="1">
      <alignment horizontal="center"/>
    </xf>
    <xf numFmtId="0" fontId="11" fillId="40" borderId="2" xfId="0" applyFont="1" applyFill="1" applyBorder="1" applyAlignment="1">
      <alignment horizontal="center"/>
    </xf>
    <xf numFmtId="0" fontId="7" fillId="43" borderId="3" xfId="53" applyFont="1" applyFill="1" applyBorder="1" applyAlignment="1">
      <alignment horizontal="center"/>
    </xf>
    <xf numFmtId="0" fontId="12" fillId="41" borderId="17" xfId="0" applyFont="1" applyFill="1" applyBorder="1" applyAlignment="1">
      <alignment horizontal="left" vertical="center" wrapText="1"/>
    </xf>
    <xf numFmtId="0" fontId="11" fillId="0" borderId="0" xfId="0" applyFont="1" applyFill="1" applyBorder="1" applyAlignment="1">
      <alignment horizontal="center"/>
    </xf>
    <xf numFmtId="0" fontId="7" fillId="0" borderId="0" xfId="0" applyFont="1" applyFill="1" applyBorder="1" applyAlignment="1">
      <alignment horizontal="center"/>
    </xf>
    <xf numFmtId="0" fontId="19" fillId="2" borderId="58" xfId="0" applyFont="1" applyFill="1" applyBorder="1" applyAlignment="1">
      <alignment horizontal="left" vertical="center" wrapText="1"/>
    </xf>
    <xf numFmtId="0" fontId="29" fillId="45" borderId="0" xfId="0" applyFont="1" applyFill="1" applyAlignment="1">
      <alignment horizontal="center"/>
    </xf>
    <xf numFmtId="0" fontId="7" fillId="45" borderId="0" xfId="0" applyFont="1" applyFill="1" applyAlignment="1">
      <alignment horizontal="center"/>
    </xf>
    <xf numFmtId="0" fontId="29" fillId="45" borderId="9" xfId="0" applyFont="1" applyFill="1" applyBorder="1" applyAlignment="1">
      <alignment horizontal="center"/>
    </xf>
    <xf numFmtId="0" fontId="29" fillId="45" borderId="0" xfId="0" applyFont="1" applyFill="1" applyBorder="1" applyAlignment="1">
      <alignment horizontal="center"/>
    </xf>
    <xf numFmtId="0" fontId="5" fillId="53" borderId="0" xfId="0" applyFont="1" applyFill="1" applyBorder="1" applyAlignment="1">
      <alignment horizontal="center" vertical="center"/>
    </xf>
    <xf numFmtId="0" fontId="22" fillId="46" borderId="58" xfId="31" applyNumberFormat="1" applyFont="1" applyFill="1" applyBorder="1" applyAlignment="1" applyProtection="1">
      <alignment horizontal="center" wrapText="1"/>
    </xf>
    <xf numFmtId="0" fontId="22" fillId="46" borderId="51" xfId="31" applyNumberFormat="1" applyFont="1" applyFill="1" applyBorder="1" applyAlignment="1" applyProtection="1">
      <alignment horizontal="center" wrapText="1"/>
    </xf>
    <xf numFmtId="0" fontId="22" fillId="46" borderId="60" xfId="31" applyNumberFormat="1" applyFont="1" applyFill="1" applyBorder="1" applyAlignment="1" applyProtection="1">
      <alignment horizontal="center" wrapText="1"/>
    </xf>
    <xf numFmtId="0" fontId="22" fillId="46" borderId="41" xfId="31" applyNumberFormat="1" applyFont="1" applyFill="1" applyBorder="1" applyAlignment="1" applyProtection="1">
      <alignment horizontal="center" wrapText="1"/>
    </xf>
    <xf numFmtId="4" fontId="7" fillId="46" borderId="112" xfId="0" applyNumberFormat="1" applyFont="1" applyFill="1" applyBorder="1" applyAlignment="1">
      <alignment horizontal="center" vertical="center" wrapText="1"/>
    </xf>
    <xf numFmtId="4" fontId="7" fillId="46" borderId="113" xfId="0" applyNumberFormat="1" applyFont="1" applyFill="1" applyBorder="1" applyAlignment="1">
      <alignment horizontal="center" vertical="center" wrapText="1"/>
    </xf>
    <xf numFmtId="4" fontId="7" fillId="46" borderId="114" xfId="0" applyNumberFormat="1" applyFont="1" applyFill="1" applyBorder="1" applyAlignment="1">
      <alignment horizontal="center" vertical="center" wrapText="1"/>
    </xf>
    <xf numFmtId="4" fontId="7" fillId="46" borderId="115" xfId="0" applyNumberFormat="1" applyFont="1" applyFill="1" applyBorder="1" applyAlignment="1">
      <alignment horizontal="center" vertical="center" wrapText="1"/>
    </xf>
    <xf numFmtId="4" fontId="7" fillId="46" borderId="17" xfId="0" applyNumberFormat="1" applyFont="1" applyFill="1" applyBorder="1" applyAlignment="1">
      <alignment horizontal="center" vertical="center" wrapText="1"/>
    </xf>
    <xf numFmtId="4" fontId="7" fillId="46" borderId="116" xfId="0" applyNumberFormat="1" applyFont="1" applyFill="1" applyBorder="1" applyAlignment="1">
      <alignment horizontal="center" vertical="center" wrapText="1"/>
    </xf>
    <xf numFmtId="4" fontId="7" fillId="46" borderId="144" xfId="0" applyNumberFormat="1" applyFont="1" applyFill="1" applyBorder="1" applyAlignment="1">
      <alignment horizontal="center" vertical="center" wrapText="1"/>
    </xf>
    <xf numFmtId="4" fontId="7" fillId="46" borderId="59" xfId="0" applyNumberFormat="1" applyFont="1" applyFill="1" applyBorder="1" applyAlignment="1">
      <alignment horizontal="center" vertical="center" wrapText="1"/>
    </xf>
    <xf numFmtId="0" fontId="0" fillId="0" borderId="0" xfId="0" applyBorder="1" applyAlignment="1">
      <alignment horizontal="center"/>
    </xf>
    <xf numFmtId="0" fontId="7" fillId="0" borderId="22" xfId="0" applyFont="1" applyFill="1" applyBorder="1" applyAlignment="1">
      <alignment horizontal="left" vertical="center"/>
    </xf>
    <xf numFmtId="0" fontId="7" fillId="0" borderId="50" xfId="0" applyFont="1" applyFill="1" applyBorder="1" applyAlignment="1">
      <alignment horizontal="left" vertical="center"/>
    </xf>
    <xf numFmtId="0" fontId="6" fillId="0" borderId="111" xfId="0" applyFont="1" applyFill="1" applyBorder="1" applyAlignment="1">
      <alignment horizontal="center"/>
    </xf>
    <xf numFmtId="0" fontId="0" fillId="0" borderId="111" xfId="0" applyFill="1" applyBorder="1" applyAlignment="1">
      <alignment horizontal="center"/>
    </xf>
    <xf numFmtId="0" fontId="7" fillId="0" borderId="40" xfId="0" applyFont="1" applyFill="1" applyBorder="1" applyAlignment="1">
      <alignment horizontal="left" vertical="center"/>
    </xf>
    <xf numFmtId="0" fontId="7" fillId="0" borderId="58" xfId="0" applyFont="1" applyFill="1" applyBorder="1" applyAlignment="1">
      <alignment horizontal="left" vertical="center"/>
    </xf>
    <xf numFmtId="0" fontId="7" fillId="0" borderId="23" xfId="0" applyFont="1" applyFill="1" applyBorder="1" applyAlignment="1">
      <alignment horizontal="left" vertical="center"/>
    </xf>
    <xf numFmtId="0" fontId="7" fillId="0" borderId="51" xfId="0" applyFont="1" applyFill="1" applyBorder="1" applyAlignment="1">
      <alignment horizontal="left" vertical="center"/>
    </xf>
    <xf numFmtId="0" fontId="13" fillId="0" borderId="103" xfId="0" applyFont="1" applyFill="1" applyBorder="1" applyAlignment="1">
      <alignment horizontal="center" vertical="center"/>
    </xf>
    <xf numFmtId="0" fontId="13" fillId="0" borderId="110" xfId="0" applyFont="1" applyFill="1" applyBorder="1" applyAlignment="1">
      <alignment horizontal="center" vertical="center"/>
    </xf>
    <xf numFmtId="0" fontId="5" fillId="38" borderId="0" xfId="0" applyFont="1" applyFill="1" applyBorder="1" applyAlignment="1">
      <alignment horizontal="center" vertical="center"/>
    </xf>
    <xf numFmtId="0" fontId="7" fillId="52" borderId="50" xfId="0" applyFont="1" applyFill="1" applyBorder="1" applyAlignment="1">
      <alignment horizontal="center"/>
    </xf>
    <xf numFmtId="0" fontId="7" fillId="52" borderId="2" xfId="0" applyFont="1" applyFill="1" applyBorder="1" applyAlignment="1">
      <alignment horizontal="center"/>
    </xf>
    <xf numFmtId="0" fontId="7" fillId="0" borderId="40" xfId="0" applyFont="1" applyFill="1" applyBorder="1" applyAlignment="1">
      <alignment horizontal="left"/>
    </xf>
    <xf numFmtId="0" fontId="7" fillId="0" borderId="58" xfId="0" applyFont="1" applyFill="1" applyBorder="1" applyAlignment="1">
      <alignment horizontal="left"/>
    </xf>
    <xf numFmtId="0" fontId="14" fillId="0" borderId="110" xfId="49" applyFill="1" applyBorder="1" applyAlignment="1" applyProtection="1">
      <alignment horizontal="left" vertical="center"/>
    </xf>
    <xf numFmtId="0" fontId="14" fillId="0" borderId="106" xfId="49" applyFill="1" applyBorder="1" applyAlignment="1" applyProtection="1">
      <alignment horizontal="left" vertical="center"/>
    </xf>
    <xf numFmtId="0" fontId="22" fillId="54" borderId="58" xfId="31" applyNumberFormat="1" applyFont="1" applyFill="1" applyBorder="1" applyAlignment="1" applyProtection="1">
      <alignment horizontal="center" wrapText="1"/>
    </xf>
    <xf numFmtId="0" fontId="22" fillId="54" borderId="60" xfId="31" applyNumberFormat="1" applyFont="1" applyFill="1" applyBorder="1" applyAlignment="1" applyProtection="1">
      <alignment horizontal="center" wrapText="1"/>
    </xf>
    <xf numFmtId="0" fontId="22" fillId="54" borderId="51" xfId="31" applyNumberFormat="1" applyFont="1" applyFill="1" applyBorder="1" applyAlignment="1" applyProtection="1">
      <alignment horizontal="center" wrapText="1"/>
    </xf>
    <xf numFmtId="0" fontId="22" fillId="54" borderId="41" xfId="31" applyNumberFormat="1" applyFont="1" applyFill="1" applyBorder="1" applyAlignment="1" applyProtection="1">
      <alignment horizontal="center" wrapText="1"/>
    </xf>
    <xf numFmtId="0" fontId="7" fillId="52" borderId="58" xfId="0" applyFont="1" applyFill="1" applyBorder="1" applyAlignment="1">
      <alignment horizontal="center"/>
    </xf>
    <xf numFmtId="0" fontId="7" fillId="52" borderId="0" xfId="0" applyFont="1" applyFill="1" applyBorder="1" applyAlignment="1">
      <alignment horizontal="center"/>
    </xf>
    <xf numFmtId="0" fontId="7" fillId="52" borderId="58" xfId="0" applyFont="1" applyFill="1" applyBorder="1" applyAlignment="1">
      <alignment horizontal="center" wrapText="1"/>
    </xf>
    <xf numFmtId="0" fontId="7" fillId="52" borderId="51" xfId="0" applyFont="1" applyFill="1" applyBorder="1" applyAlignment="1">
      <alignment horizontal="center" wrapText="1"/>
    </xf>
    <xf numFmtId="0" fontId="7" fillId="0" borderId="40"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51" xfId="0" applyFont="1" applyFill="1" applyBorder="1" applyAlignment="1">
      <alignment horizontal="center" vertical="center"/>
    </xf>
    <xf numFmtId="0" fontId="7" fillId="52" borderId="60" xfId="0" applyFont="1" applyFill="1" applyBorder="1" applyAlignment="1">
      <alignment horizontal="center" wrapText="1"/>
    </xf>
    <xf numFmtId="0" fontId="7" fillId="52" borderId="41" xfId="0" applyFont="1" applyFill="1" applyBorder="1" applyAlignment="1">
      <alignment horizontal="center" wrapText="1"/>
    </xf>
    <xf numFmtId="0" fontId="7" fillId="52" borderId="50" xfId="0" applyFont="1" applyFill="1" applyBorder="1" applyAlignment="1">
      <alignment horizontal="center" wrapText="1"/>
    </xf>
    <xf numFmtId="0" fontId="7" fillId="55" borderId="58" xfId="0" applyFont="1" applyFill="1" applyBorder="1" applyAlignment="1">
      <alignment horizontal="center"/>
    </xf>
    <xf numFmtId="0" fontId="7" fillId="55" borderId="60" xfId="0" applyFont="1" applyFill="1" applyBorder="1" applyAlignment="1">
      <alignment horizontal="center"/>
    </xf>
    <xf numFmtId="0" fontId="51" fillId="0" borderId="0" xfId="0" applyFont="1" applyAlignment="1">
      <alignment horizontal="center" wrapText="1"/>
    </xf>
    <xf numFmtId="0" fontId="5" fillId="38" borderId="0" xfId="0" applyFont="1" applyFill="1" applyAlignment="1">
      <alignment horizontal="center" vertical="center"/>
    </xf>
    <xf numFmtId="0" fontId="13" fillId="0" borderId="110" xfId="0" applyFont="1" applyFill="1" applyBorder="1" applyAlignment="1">
      <alignment horizontal="left" vertical="center"/>
    </xf>
    <xf numFmtId="0" fontId="7" fillId="55" borderId="0" xfId="0" applyFont="1" applyFill="1" applyBorder="1" applyAlignment="1">
      <alignment horizontal="center"/>
    </xf>
    <xf numFmtId="0" fontId="7" fillId="55" borderId="5" xfId="0" applyFont="1" applyFill="1" applyBorder="1" applyAlignment="1">
      <alignment horizontal="center"/>
    </xf>
  </cellXfs>
  <cellStyles count="145">
    <cellStyle name="20% - Accent1" xfId="1" builtinId="30" customBuiltin="1"/>
    <cellStyle name="20% - Accent1 2" xfId="108"/>
    <cellStyle name="20% - Accent1 3" xfId="70"/>
    <cellStyle name="20% - Accent2" xfId="2" builtinId="34" customBuiltin="1"/>
    <cellStyle name="20% - Accent2 2" xfId="109"/>
    <cellStyle name="20% - Accent2 3" xfId="71"/>
    <cellStyle name="20% - Accent3" xfId="3" builtinId="38" customBuiltin="1"/>
    <cellStyle name="20% - Accent3 2" xfId="110"/>
    <cellStyle name="20% - Accent3 3" xfId="72"/>
    <cellStyle name="20% - Accent4" xfId="4" builtinId="42" customBuiltin="1"/>
    <cellStyle name="20% - Accent4 2" xfId="111"/>
    <cellStyle name="20% - Accent4 3" xfId="73"/>
    <cellStyle name="20% - Accent5" xfId="5" builtinId="46" customBuiltin="1"/>
    <cellStyle name="20% - Accent5 2" xfId="112"/>
    <cellStyle name="20% - Accent5 3" xfId="74"/>
    <cellStyle name="20% - Accent6" xfId="6" builtinId="50" customBuiltin="1"/>
    <cellStyle name="20% - Accent6 2" xfId="113"/>
    <cellStyle name="20% - Accent6 3" xfId="75"/>
    <cellStyle name="40% - Accent1" xfId="7" builtinId="31" customBuiltin="1"/>
    <cellStyle name="40% - Accent1 2" xfId="114"/>
    <cellStyle name="40% - Accent1 3" xfId="76"/>
    <cellStyle name="40% - Accent2" xfId="8" builtinId="35" customBuiltin="1"/>
    <cellStyle name="40% - Accent2 2" xfId="115"/>
    <cellStyle name="40% - Accent2 3" xfId="77"/>
    <cellStyle name="40% - Accent3" xfId="9" builtinId="39" customBuiltin="1"/>
    <cellStyle name="40% - Accent3 2" xfId="116"/>
    <cellStyle name="40% - Accent3 3" xfId="78"/>
    <cellStyle name="40% - Accent4" xfId="10" builtinId="43" customBuiltin="1"/>
    <cellStyle name="40% - Accent4 2" xfId="117"/>
    <cellStyle name="40% - Accent4 3" xfId="79"/>
    <cellStyle name="40% - Accent5" xfId="11" builtinId="47" customBuiltin="1"/>
    <cellStyle name="40% - Accent5 2" xfId="118"/>
    <cellStyle name="40% - Accent5 3" xfId="80"/>
    <cellStyle name="40% - Accent6" xfId="12" builtinId="51" customBuiltin="1"/>
    <cellStyle name="40% - Accent6 2" xfId="119"/>
    <cellStyle name="40% - Accent6 3" xfId="8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121"/>
    <cellStyle name="Comma 2 2 3" xfId="83"/>
    <cellStyle name="Comma 2 3" xfId="31"/>
    <cellStyle name="Comma 2 3 2" xfId="122"/>
    <cellStyle name="Comma 2 3 3" xfId="84"/>
    <cellStyle name="Comma 2 4" xfId="120"/>
    <cellStyle name="Comma 2 5" xfId="82"/>
    <cellStyle name="Comma 3" xfId="32"/>
    <cellStyle name="Comma 3 2" xfId="33"/>
    <cellStyle name="Comma 3 2 2" xfId="124"/>
    <cellStyle name="Comma 3 2 3" xfId="86"/>
    <cellStyle name="Comma 3 3" xfId="123"/>
    <cellStyle name="Comma 3 4" xfId="85"/>
    <cellStyle name="Comma 4" xfId="34"/>
    <cellStyle name="Comma 4 2" xfId="125"/>
    <cellStyle name="Comma 4 3" xfId="87"/>
    <cellStyle name="Comma 5" xfId="35"/>
    <cellStyle name="Comma 5 2" xfId="126"/>
    <cellStyle name="Comma 5 3" xfId="88"/>
    <cellStyle name="Comma 6" xfId="36"/>
    <cellStyle name="Comma 6 2" xfId="127"/>
    <cellStyle name="Comma 6 3" xfId="89"/>
    <cellStyle name="Comma 7" xfId="37"/>
    <cellStyle name="Comma 7 2" xfId="128"/>
    <cellStyle name="Comma 7 3" xfId="90"/>
    <cellStyle name="Comma 8" xfId="38"/>
    <cellStyle name="Comma 8 2" xfId="129"/>
    <cellStyle name="Comma 8 3" xfId="91"/>
    <cellStyle name="Currency 2" xfId="39"/>
    <cellStyle name="Currency 2 2" xfId="40"/>
    <cellStyle name="Currency 2 2 2" xfId="131"/>
    <cellStyle name="Currency 2 2 3" xfId="93"/>
    <cellStyle name="Currency 2 3" xfId="130"/>
    <cellStyle name="Currency 2 4" xfId="92"/>
    <cellStyle name="Currency 3" xfId="41"/>
    <cellStyle name="Currency 3 2" xfId="42"/>
    <cellStyle name="Currency 3 2 2" xfId="133"/>
    <cellStyle name="Currency 3 2 3" xfId="95"/>
    <cellStyle name="Currency 3 3" xfId="132"/>
    <cellStyle name="Currency 3 4"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135"/>
    <cellStyle name="Normal 2 2 3" xfId="97"/>
    <cellStyle name="Normal 2 3" xfId="134"/>
    <cellStyle name="Normal 2 4" xfId="96"/>
    <cellStyle name="Normal 3" xfId="55"/>
    <cellStyle name="Normal 3 2" xfId="136"/>
    <cellStyle name="Normal 3 3" xfId="98"/>
    <cellStyle name="Normal 4" xfId="107"/>
    <cellStyle name="Normal 5" xfId="69"/>
    <cellStyle name="Note 2" xfId="56"/>
    <cellStyle name="Note 2 2" xfId="137"/>
    <cellStyle name="Note 2 3" xfId="99"/>
    <cellStyle name="Output" xfId="57" builtinId="21" customBuiltin="1"/>
    <cellStyle name="Percent" xfId="58" builtinId="5"/>
    <cellStyle name="Percent 2" xfId="59"/>
    <cellStyle name="Percent 2 2" xfId="60"/>
    <cellStyle name="Percent 2 2 2" xfId="139"/>
    <cellStyle name="Percent 2 2 3" xfId="101"/>
    <cellStyle name="Percent 2 3" xfId="138"/>
    <cellStyle name="Percent 2 4" xfId="100"/>
    <cellStyle name="Percent 3" xfId="61"/>
    <cellStyle name="Percent 3 2" xfId="62"/>
    <cellStyle name="Percent 3 2 2" xfId="141"/>
    <cellStyle name="Percent 3 2 3" xfId="103"/>
    <cellStyle name="Percent 3 3" xfId="140"/>
    <cellStyle name="Percent 3 4" xfId="102"/>
    <cellStyle name="Percent 4" xfId="63"/>
    <cellStyle name="Percent 4 2" xfId="142"/>
    <cellStyle name="Percent 4 3" xfId="104"/>
    <cellStyle name="Percent 5" xfId="64"/>
    <cellStyle name="Percent 5 2" xfId="143"/>
    <cellStyle name="Percent 5 3" xfId="105"/>
    <cellStyle name="Percent 6" xfId="65"/>
    <cellStyle name="Percent 6 2" xfId="144"/>
    <cellStyle name="Percent 6 3" xfId="106"/>
    <cellStyle name="Title" xfId="66" builtinId="15" customBuiltin="1"/>
    <cellStyle name="Total" xfId="67" builtinId="25" customBuiltin="1"/>
    <cellStyle name="Warning Text" xfId="68" builtinId="11" customBuiltin="1"/>
  </cellStyles>
  <dxfs count="12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filterColumn colId="0">
      <filters>
        <filter val="Honolulu"/>
      </filters>
    </filterColumn>
  </autoFilter>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5" t="s">
        <v>426</v>
      </c>
      <c r="B1" s="446"/>
      <c r="C1" s="446"/>
      <c r="D1" s="446"/>
      <c r="E1" s="446"/>
      <c r="F1" s="446"/>
      <c r="G1" s="446"/>
      <c r="H1" s="446"/>
      <c r="I1" s="446"/>
      <c r="J1" s="446"/>
      <c r="K1" s="446"/>
      <c r="L1" s="446"/>
      <c r="M1" s="446"/>
      <c r="N1" s="446"/>
      <c r="O1" s="446"/>
      <c r="P1" s="447"/>
    </row>
    <row r="2" spans="1:16" ht="29.25" customHeight="1" x14ac:dyDescent="0.2">
      <c r="A2" s="439" t="s">
        <v>429</v>
      </c>
      <c r="B2" s="440"/>
      <c r="C2" s="440"/>
      <c r="D2" s="440"/>
      <c r="E2" s="440"/>
      <c r="F2" s="440"/>
      <c r="G2" s="440"/>
      <c r="H2" s="440"/>
      <c r="I2" s="440"/>
      <c r="J2" s="440"/>
      <c r="K2" s="440"/>
      <c r="L2" s="440"/>
      <c r="M2" s="440"/>
      <c r="N2" s="441"/>
    </row>
    <row r="3" spans="1:16" x14ac:dyDescent="0.2">
      <c r="A3" s="439"/>
      <c r="B3" s="440"/>
      <c r="C3" s="440"/>
      <c r="D3" s="440"/>
      <c r="E3" s="440"/>
      <c r="F3" s="440"/>
      <c r="G3" s="440"/>
      <c r="H3" s="440"/>
      <c r="I3" s="440"/>
      <c r="J3" s="440"/>
      <c r="K3" s="440"/>
      <c r="L3" s="440"/>
      <c r="M3" s="440"/>
      <c r="N3" s="441"/>
    </row>
    <row r="4" spans="1:16" x14ac:dyDescent="0.2">
      <c r="A4" s="439"/>
      <c r="B4" s="440"/>
      <c r="C4" s="440"/>
      <c r="D4" s="440"/>
      <c r="E4" s="440"/>
      <c r="F4" s="440"/>
      <c r="G4" s="440"/>
      <c r="H4" s="440"/>
      <c r="I4" s="440"/>
      <c r="J4" s="440"/>
      <c r="K4" s="440"/>
      <c r="L4" s="440"/>
      <c r="M4" s="440"/>
      <c r="N4" s="441"/>
    </row>
    <row r="5" spans="1:16" x14ac:dyDescent="0.2">
      <c r="A5" s="439"/>
      <c r="B5" s="440"/>
      <c r="C5" s="440"/>
      <c r="D5" s="440"/>
      <c r="E5" s="440"/>
      <c r="F5" s="440"/>
      <c r="G5" s="440"/>
      <c r="H5" s="440"/>
      <c r="I5" s="440"/>
      <c r="J5" s="440"/>
      <c r="K5" s="440"/>
      <c r="L5" s="440"/>
      <c r="M5" s="440"/>
      <c r="N5" s="441"/>
    </row>
    <row r="6" spans="1:16" x14ac:dyDescent="0.2">
      <c r="A6" s="439"/>
      <c r="B6" s="440"/>
      <c r="C6" s="440"/>
      <c r="D6" s="440"/>
      <c r="E6" s="440"/>
      <c r="F6" s="440"/>
      <c r="G6" s="440"/>
      <c r="H6" s="440"/>
      <c r="I6" s="440"/>
      <c r="J6" s="440"/>
      <c r="K6" s="440"/>
      <c r="L6" s="440"/>
      <c r="M6" s="440"/>
      <c r="N6" s="441"/>
    </row>
    <row r="7" spans="1:16" ht="18" customHeight="1" thickBot="1" x14ac:dyDescent="0.25">
      <c r="A7" s="442"/>
      <c r="B7" s="443"/>
      <c r="C7" s="443"/>
      <c r="D7" s="443"/>
      <c r="E7" s="443"/>
      <c r="F7" s="443"/>
      <c r="G7" s="443"/>
      <c r="H7" s="443"/>
      <c r="I7" s="443"/>
      <c r="J7" s="443"/>
      <c r="K7" s="443"/>
      <c r="L7" s="443"/>
      <c r="M7" s="443"/>
      <c r="N7" s="444"/>
    </row>
    <row r="8" spans="1:16" ht="18.75" thickBot="1" x14ac:dyDescent="0.25">
      <c r="A8" s="436" t="s">
        <v>424</v>
      </c>
      <c r="B8" s="437"/>
      <c r="C8" s="437"/>
      <c r="D8" s="437"/>
      <c r="E8" s="437"/>
      <c r="F8" s="437"/>
      <c r="G8" s="438"/>
      <c r="H8" s="436" t="s">
        <v>425</v>
      </c>
      <c r="I8" s="437"/>
      <c r="J8" s="437"/>
      <c r="K8" s="437"/>
      <c r="L8" s="437"/>
      <c r="M8" s="437"/>
      <c r="N8" s="437"/>
      <c r="O8" s="437"/>
      <c r="P8" s="438"/>
    </row>
    <row r="9" spans="1:16" x14ac:dyDescent="0.2">
      <c r="A9" s="231"/>
      <c r="B9" s="232"/>
      <c r="C9" s="232"/>
      <c r="D9" s="232"/>
      <c r="E9" s="232"/>
      <c r="F9" s="232"/>
      <c r="G9" s="233"/>
      <c r="H9" s="232"/>
      <c r="I9" s="232"/>
      <c r="J9" s="232"/>
      <c r="K9" s="232"/>
      <c r="L9" s="232"/>
      <c r="M9" s="232"/>
      <c r="N9" s="232"/>
      <c r="O9" s="232"/>
      <c r="P9" s="233"/>
    </row>
    <row r="10" spans="1:16" x14ac:dyDescent="0.2">
      <c r="A10" s="231"/>
      <c r="B10" s="232"/>
      <c r="C10" s="232"/>
      <c r="D10" s="232"/>
      <c r="E10" s="232"/>
      <c r="F10" s="232"/>
      <c r="G10" s="233"/>
      <c r="H10" s="232"/>
      <c r="I10" s="232"/>
      <c r="J10" s="232"/>
      <c r="K10" s="232"/>
      <c r="L10" s="232"/>
      <c r="M10" s="232"/>
      <c r="N10" s="232"/>
      <c r="O10" s="232"/>
      <c r="P10" s="233"/>
    </row>
    <row r="11" spans="1:16" x14ac:dyDescent="0.2">
      <c r="A11" s="231"/>
      <c r="B11" s="232"/>
      <c r="C11" s="232"/>
      <c r="D11" s="232"/>
      <c r="E11" s="232"/>
      <c r="F11" s="232"/>
      <c r="G11" s="233"/>
      <c r="H11" s="232"/>
      <c r="I11" s="232"/>
      <c r="J11" s="232"/>
      <c r="K11" s="232"/>
      <c r="L11" s="232"/>
      <c r="M11" s="232"/>
      <c r="N11" s="232"/>
      <c r="O11" s="232"/>
      <c r="P11" s="233"/>
    </row>
    <row r="12" spans="1:16" x14ac:dyDescent="0.2">
      <c r="A12" s="231"/>
      <c r="B12" s="232"/>
      <c r="C12" s="232"/>
      <c r="D12" s="232"/>
      <c r="E12" s="232"/>
      <c r="F12" s="232"/>
      <c r="G12" s="233"/>
      <c r="H12" s="232"/>
      <c r="I12" s="232"/>
      <c r="J12" s="232"/>
      <c r="K12" s="232"/>
      <c r="L12" s="232"/>
      <c r="M12" s="232"/>
      <c r="N12" s="232"/>
      <c r="O12" s="232"/>
      <c r="P12" s="233"/>
    </row>
    <row r="13" spans="1:16" x14ac:dyDescent="0.2">
      <c r="A13" s="231"/>
      <c r="B13" s="232"/>
      <c r="C13" s="232"/>
      <c r="D13" s="232"/>
      <c r="E13" s="232"/>
      <c r="F13" s="232"/>
      <c r="G13" s="233"/>
      <c r="H13" s="232"/>
      <c r="I13" s="232"/>
      <c r="J13" s="232"/>
      <c r="K13" s="232"/>
      <c r="L13" s="232"/>
      <c r="M13" s="232"/>
      <c r="N13" s="232"/>
      <c r="O13" s="232"/>
      <c r="P13" s="233"/>
    </row>
    <row r="14" spans="1:16" x14ac:dyDescent="0.2">
      <c r="A14" s="231"/>
      <c r="B14" s="232"/>
      <c r="C14" s="232"/>
      <c r="D14" s="232"/>
      <c r="E14" s="232"/>
      <c r="F14" s="232"/>
      <c r="G14" s="233"/>
      <c r="H14" s="232"/>
      <c r="I14" s="232"/>
      <c r="J14" s="232"/>
      <c r="K14" s="232"/>
      <c r="L14" s="232"/>
      <c r="M14" s="232"/>
      <c r="N14" s="232"/>
      <c r="O14" s="232"/>
      <c r="P14" s="233"/>
    </row>
    <row r="15" spans="1:16" x14ac:dyDescent="0.2">
      <c r="A15" s="231"/>
      <c r="B15" s="232"/>
      <c r="C15" s="232"/>
      <c r="D15" s="232"/>
      <c r="E15" s="232"/>
      <c r="F15" s="232"/>
      <c r="G15" s="233"/>
      <c r="H15" s="232"/>
      <c r="I15" s="232"/>
      <c r="J15" s="232"/>
      <c r="K15" s="232"/>
      <c r="L15" s="232"/>
      <c r="M15" s="232"/>
      <c r="N15" s="232"/>
      <c r="O15" s="232"/>
      <c r="P15" s="233"/>
    </row>
    <row r="16" spans="1:16" x14ac:dyDescent="0.2">
      <c r="A16" s="231"/>
      <c r="B16" s="232"/>
      <c r="C16" s="232"/>
      <c r="D16" s="232"/>
      <c r="E16" s="232"/>
      <c r="F16" s="232"/>
      <c r="G16" s="233"/>
      <c r="H16" s="232"/>
      <c r="I16" s="232"/>
      <c r="J16" s="232"/>
      <c r="K16" s="232"/>
      <c r="L16" s="232"/>
      <c r="M16" s="232"/>
      <c r="N16" s="232"/>
      <c r="O16" s="232"/>
      <c r="P16" s="233"/>
    </row>
    <row r="17" spans="1:16" x14ac:dyDescent="0.2">
      <c r="A17" s="231"/>
      <c r="B17" s="232"/>
      <c r="C17" s="232"/>
      <c r="D17" s="232"/>
      <c r="E17" s="232"/>
      <c r="F17" s="232"/>
      <c r="G17" s="233"/>
      <c r="H17" s="232"/>
      <c r="I17" s="232"/>
      <c r="J17" s="232"/>
      <c r="K17" s="232"/>
      <c r="L17" s="232"/>
      <c r="M17" s="232"/>
      <c r="N17" s="232"/>
      <c r="O17" s="232"/>
      <c r="P17" s="233"/>
    </row>
    <row r="18" spans="1:16" x14ac:dyDescent="0.2">
      <c r="A18" s="231"/>
      <c r="B18" s="232"/>
      <c r="C18" s="232"/>
      <c r="D18" s="232"/>
      <c r="E18" s="232"/>
      <c r="F18" s="232"/>
      <c r="G18" s="233"/>
      <c r="H18" s="232"/>
      <c r="I18" s="232"/>
      <c r="J18" s="232"/>
      <c r="K18" s="232"/>
      <c r="L18" s="232"/>
      <c r="M18" s="232"/>
      <c r="N18" s="232"/>
      <c r="O18" s="232"/>
      <c r="P18" s="233"/>
    </row>
    <row r="19" spans="1:16" x14ac:dyDescent="0.2">
      <c r="A19" s="231"/>
      <c r="B19" s="232"/>
      <c r="C19" s="232"/>
      <c r="D19" s="232"/>
      <c r="E19" s="232"/>
      <c r="F19" s="232"/>
      <c r="G19" s="233"/>
      <c r="H19" s="232"/>
      <c r="I19" s="232"/>
      <c r="J19" s="232"/>
      <c r="K19" s="232"/>
      <c r="L19" s="232"/>
      <c r="M19" s="232"/>
      <c r="N19" s="232"/>
      <c r="O19" s="232"/>
      <c r="P19" s="233"/>
    </row>
    <row r="20" spans="1:16" x14ac:dyDescent="0.2">
      <c r="A20" s="231"/>
      <c r="B20" s="232"/>
      <c r="C20" s="232"/>
      <c r="D20" s="232"/>
      <c r="E20" s="232"/>
      <c r="F20" s="232"/>
      <c r="G20" s="233"/>
      <c r="H20" s="232"/>
      <c r="I20" s="232"/>
      <c r="J20" s="232"/>
      <c r="K20" s="232"/>
      <c r="L20" s="232"/>
      <c r="M20" s="232"/>
      <c r="N20" s="232"/>
      <c r="O20" s="232"/>
      <c r="P20" s="233"/>
    </row>
    <row r="21" spans="1:16" x14ac:dyDescent="0.2">
      <c r="A21" s="231"/>
      <c r="B21" s="232"/>
      <c r="C21" s="232"/>
      <c r="D21" s="232"/>
      <c r="E21" s="232"/>
      <c r="F21" s="232"/>
      <c r="G21" s="233"/>
      <c r="H21" s="232"/>
      <c r="I21" s="232"/>
      <c r="J21" s="232"/>
      <c r="K21" s="232"/>
      <c r="L21" s="232"/>
      <c r="M21" s="232"/>
      <c r="N21" s="232"/>
      <c r="O21" s="232"/>
      <c r="P21" s="233"/>
    </row>
    <row r="22" spans="1:16" x14ac:dyDescent="0.2">
      <c r="A22" s="231"/>
      <c r="B22" s="232"/>
      <c r="C22" s="232"/>
      <c r="D22" s="232"/>
      <c r="E22" s="232"/>
      <c r="F22" s="232"/>
      <c r="G22" s="233"/>
      <c r="H22" s="232"/>
      <c r="I22" s="232"/>
      <c r="J22" s="232"/>
      <c r="K22" s="232"/>
      <c r="L22" s="232"/>
      <c r="M22" s="232"/>
      <c r="N22" s="232"/>
      <c r="O22" s="232"/>
      <c r="P22" s="233"/>
    </row>
    <row r="23" spans="1:16" x14ac:dyDescent="0.2">
      <c r="A23" s="231"/>
      <c r="B23" s="232"/>
      <c r="C23" s="232"/>
      <c r="D23" s="232"/>
      <c r="E23" s="232"/>
      <c r="F23" s="232"/>
      <c r="G23" s="233"/>
      <c r="H23" s="232"/>
      <c r="I23" s="232"/>
      <c r="J23" s="232"/>
      <c r="K23" s="232"/>
      <c r="L23" s="232"/>
      <c r="M23" s="232"/>
      <c r="N23" s="232"/>
      <c r="O23" s="232"/>
      <c r="P23" s="233"/>
    </row>
    <row r="24" spans="1:16" x14ac:dyDescent="0.2">
      <c r="A24" s="231"/>
      <c r="B24" s="232"/>
      <c r="C24" s="232"/>
      <c r="D24" s="232"/>
      <c r="E24" s="232"/>
      <c r="F24" s="232"/>
      <c r="G24" s="233"/>
      <c r="H24" s="232"/>
      <c r="I24" s="232"/>
      <c r="J24" s="232"/>
      <c r="K24" s="232"/>
      <c r="L24" s="232"/>
      <c r="M24" s="232"/>
      <c r="N24" s="232"/>
      <c r="O24" s="232"/>
      <c r="P24" s="233"/>
    </row>
    <row r="25" spans="1:16" x14ac:dyDescent="0.2">
      <c r="A25" s="231"/>
      <c r="B25" s="232"/>
      <c r="C25" s="232"/>
      <c r="D25" s="232"/>
      <c r="E25" s="232"/>
      <c r="F25" s="232"/>
      <c r="G25" s="233"/>
      <c r="H25" s="232"/>
      <c r="I25" s="232"/>
      <c r="J25" s="232"/>
      <c r="K25" s="232"/>
      <c r="L25" s="232"/>
      <c r="M25" s="232"/>
      <c r="N25" s="232"/>
      <c r="O25" s="232"/>
      <c r="P25" s="233"/>
    </row>
    <row r="26" spans="1:16" x14ac:dyDescent="0.2">
      <c r="A26" s="231"/>
      <c r="B26" s="232"/>
      <c r="C26" s="232"/>
      <c r="D26" s="232"/>
      <c r="E26" s="232"/>
      <c r="F26" s="232"/>
      <c r="G26" s="233"/>
      <c r="H26" s="232"/>
      <c r="I26" s="232"/>
      <c r="J26" s="232"/>
      <c r="K26" s="232"/>
      <c r="L26" s="232"/>
      <c r="M26" s="232"/>
      <c r="N26" s="232"/>
      <c r="O26" s="232"/>
      <c r="P26" s="233"/>
    </row>
    <row r="27" spans="1:16" x14ac:dyDescent="0.2">
      <c r="A27" s="231"/>
      <c r="B27" s="232"/>
      <c r="C27" s="232"/>
      <c r="D27" s="232"/>
      <c r="E27" s="232"/>
      <c r="F27" s="232"/>
      <c r="G27" s="233"/>
      <c r="H27" s="232"/>
      <c r="I27" s="232"/>
      <c r="J27" s="232"/>
      <c r="K27" s="232"/>
      <c r="L27" s="232"/>
      <c r="M27" s="232"/>
      <c r="N27" s="232"/>
      <c r="O27" s="232"/>
      <c r="P27" s="233"/>
    </row>
    <row r="28" spans="1:16" x14ac:dyDescent="0.2">
      <c r="A28" s="231"/>
      <c r="B28" s="232"/>
      <c r="C28" s="232"/>
      <c r="D28" s="232"/>
      <c r="E28" s="232"/>
      <c r="F28" s="232"/>
      <c r="G28" s="233"/>
      <c r="H28" s="232"/>
      <c r="I28" s="232"/>
      <c r="J28" s="232"/>
      <c r="K28" s="232"/>
      <c r="L28" s="232"/>
      <c r="M28" s="232"/>
      <c r="N28" s="232"/>
      <c r="O28" s="232"/>
      <c r="P28" s="233"/>
    </row>
    <row r="29" spans="1:16" x14ac:dyDescent="0.2">
      <c r="A29" s="231"/>
      <c r="B29" s="232"/>
      <c r="C29" s="232"/>
      <c r="D29" s="232"/>
      <c r="E29" s="232"/>
      <c r="F29" s="232"/>
      <c r="G29" s="233"/>
      <c r="H29" s="232"/>
      <c r="I29" s="232"/>
      <c r="J29" s="232"/>
      <c r="K29" s="232"/>
      <c r="L29" s="232"/>
      <c r="M29" s="232"/>
      <c r="N29" s="232"/>
      <c r="O29" s="232"/>
      <c r="P29" s="233"/>
    </row>
    <row r="30" spans="1:16" x14ac:dyDescent="0.2">
      <c r="A30" s="231"/>
      <c r="B30" s="232"/>
      <c r="C30" s="232"/>
      <c r="D30" s="232"/>
      <c r="E30" s="232"/>
      <c r="F30" s="232"/>
      <c r="G30" s="233"/>
      <c r="H30" s="232"/>
      <c r="I30" s="232"/>
      <c r="J30" s="232"/>
      <c r="K30" s="232"/>
      <c r="L30" s="232"/>
      <c r="M30" s="232"/>
      <c r="N30" s="232"/>
      <c r="O30" s="232"/>
      <c r="P30" s="233"/>
    </row>
    <row r="31" spans="1:16" x14ac:dyDescent="0.2">
      <c r="A31" s="231"/>
      <c r="B31" s="232"/>
      <c r="C31" s="232"/>
      <c r="D31" s="232"/>
      <c r="E31" s="232"/>
      <c r="F31" s="232"/>
      <c r="G31" s="233"/>
      <c r="H31" s="232"/>
      <c r="I31" s="232"/>
      <c r="J31" s="232"/>
      <c r="K31" s="232"/>
      <c r="L31" s="232"/>
      <c r="M31" s="232"/>
      <c r="N31" s="232"/>
      <c r="O31" s="232"/>
      <c r="P31" s="233"/>
    </row>
    <row r="32" spans="1:16" x14ac:dyDescent="0.2">
      <c r="A32" s="231"/>
      <c r="B32" s="232"/>
      <c r="C32" s="232"/>
      <c r="D32" s="232"/>
      <c r="E32" s="232"/>
      <c r="F32" s="232"/>
      <c r="G32" s="233"/>
      <c r="H32" s="232"/>
      <c r="I32" s="232"/>
      <c r="J32" s="232"/>
      <c r="K32" s="232"/>
      <c r="L32" s="232"/>
      <c r="M32" s="232"/>
      <c r="N32" s="232"/>
      <c r="O32" s="232"/>
      <c r="P32" s="233"/>
    </row>
    <row r="33" spans="1:16" x14ac:dyDescent="0.2">
      <c r="A33" s="231"/>
      <c r="B33" s="232"/>
      <c r="C33" s="232"/>
      <c r="D33" s="232"/>
      <c r="E33" s="232"/>
      <c r="F33" s="232"/>
      <c r="G33" s="233"/>
      <c r="H33" s="232"/>
      <c r="I33" s="232"/>
      <c r="J33" s="232"/>
      <c r="K33" s="232"/>
      <c r="L33" s="232"/>
      <c r="M33" s="232"/>
      <c r="N33" s="232"/>
      <c r="O33" s="232"/>
      <c r="P33" s="233"/>
    </row>
    <row r="34" spans="1:16" x14ac:dyDescent="0.2">
      <c r="A34" s="231"/>
      <c r="B34" s="232"/>
      <c r="C34" s="232"/>
      <c r="D34" s="232"/>
      <c r="E34" s="232"/>
      <c r="F34" s="232"/>
      <c r="G34" s="233"/>
      <c r="H34" s="232"/>
      <c r="I34" s="232"/>
      <c r="J34" s="232"/>
      <c r="K34" s="232"/>
      <c r="L34" s="232"/>
      <c r="M34" s="232"/>
      <c r="N34" s="232"/>
      <c r="O34" s="232"/>
      <c r="P34" s="233"/>
    </row>
    <row r="35" spans="1:16" x14ac:dyDescent="0.2">
      <c r="A35" s="231"/>
      <c r="B35" s="232"/>
      <c r="C35" s="232"/>
      <c r="D35" s="232"/>
      <c r="E35" s="232"/>
      <c r="F35" s="232"/>
      <c r="G35" s="233"/>
      <c r="H35" s="232"/>
      <c r="I35" s="232"/>
      <c r="J35" s="232"/>
      <c r="K35" s="232"/>
      <c r="L35" s="232"/>
      <c r="M35" s="232"/>
      <c r="N35" s="232"/>
      <c r="O35" s="232"/>
      <c r="P35" s="233"/>
    </row>
    <row r="36" spans="1:16" x14ac:dyDescent="0.2">
      <c r="A36" s="231"/>
      <c r="B36" s="232"/>
      <c r="C36" s="232"/>
      <c r="D36" s="232"/>
      <c r="E36" s="232"/>
      <c r="F36" s="232"/>
      <c r="G36" s="233"/>
      <c r="H36" s="232"/>
      <c r="I36" s="232"/>
      <c r="J36" s="232"/>
      <c r="K36" s="232"/>
      <c r="L36" s="232"/>
      <c r="M36" s="232"/>
      <c r="N36" s="232"/>
      <c r="O36" s="232"/>
      <c r="P36" s="233"/>
    </row>
    <row r="37" spans="1:16" x14ac:dyDescent="0.2">
      <c r="A37" s="231"/>
      <c r="B37" s="232"/>
      <c r="C37" s="232"/>
      <c r="D37" s="232"/>
      <c r="E37" s="232"/>
      <c r="F37" s="232"/>
      <c r="G37" s="233"/>
      <c r="H37" s="232"/>
      <c r="I37" s="232"/>
      <c r="J37" s="232"/>
      <c r="K37" s="232"/>
      <c r="L37" s="232"/>
      <c r="M37" s="232"/>
      <c r="N37" s="232"/>
      <c r="O37" s="232"/>
      <c r="P37" s="233"/>
    </row>
    <row r="38" spans="1:16" x14ac:dyDescent="0.2">
      <c r="A38" s="231"/>
      <c r="B38" s="232"/>
      <c r="C38" s="232"/>
      <c r="D38" s="232"/>
      <c r="E38" s="232"/>
      <c r="F38" s="232"/>
      <c r="G38" s="233"/>
      <c r="H38" s="232"/>
      <c r="I38" s="232"/>
      <c r="J38" s="232"/>
      <c r="K38" s="232"/>
      <c r="L38" s="232"/>
      <c r="M38" s="232"/>
      <c r="N38" s="232"/>
      <c r="O38" s="232"/>
      <c r="P38" s="233"/>
    </row>
    <row r="39" spans="1:16" x14ac:dyDescent="0.2">
      <c r="A39" s="231"/>
      <c r="B39" s="232"/>
      <c r="C39" s="232"/>
      <c r="D39" s="232"/>
      <c r="E39" s="232"/>
      <c r="F39" s="232"/>
      <c r="G39" s="233"/>
      <c r="H39" s="232"/>
      <c r="I39" s="232"/>
      <c r="J39" s="232"/>
      <c r="K39" s="232"/>
      <c r="L39" s="232"/>
      <c r="M39" s="232"/>
      <c r="N39" s="232"/>
      <c r="O39" s="232"/>
      <c r="P39" s="233"/>
    </row>
    <row r="40" spans="1:16" ht="13.5" thickBot="1" x14ac:dyDescent="0.25">
      <c r="A40" s="234"/>
      <c r="B40" s="235"/>
      <c r="C40" s="235"/>
      <c r="D40" s="235"/>
      <c r="E40" s="235"/>
      <c r="F40" s="235"/>
      <c r="G40" s="236"/>
      <c r="H40" s="235"/>
      <c r="I40" s="235"/>
      <c r="J40" s="235"/>
      <c r="K40" s="235"/>
      <c r="L40" s="235"/>
      <c r="M40" s="235"/>
      <c r="N40" s="235"/>
      <c r="O40" s="235"/>
      <c r="P40" s="236"/>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80" zoomScaleNormal="8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61" t="s">
        <v>305</v>
      </c>
      <c r="C3" s="462"/>
      <c r="D3" s="159" t="s">
        <v>6</v>
      </c>
      <c r="E3" s="102" t="s">
        <v>3</v>
      </c>
      <c r="F3" s="102" t="s">
        <v>290</v>
      </c>
    </row>
    <row r="4" spans="2:10" ht="59.25" customHeight="1" x14ac:dyDescent="0.2">
      <c r="B4" s="463"/>
      <c r="C4" s="464"/>
      <c r="D4" s="457">
        <v>396512</v>
      </c>
      <c r="E4" s="457">
        <v>132360</v>
      </c>
      <c r="F4" s="459">
        <v>0.33381</v>
      </c>
      <c r="J4" s="256"/>
    </row>
    <row r="5" spans="2:10" ht="33" customHeight="1" thickBot="1" x14ac:dyDescent="0.25">
      <c r="B5" s="150" t="s">
        <v>468</v>
      </c>
      <c r="C5" s="151"/>
      <c r="D5" s="458"/>
      <c r="E5" s="458"/>
      <c r="F5" s="460"/>
      <c r="G5" s="270"/>
      <c r="H5" s="270"/>
      <c r="J5" s="256"/>
    </row>
    <row r="6" spans="2:10" ht="16.5" customHeight="1" thickBot="1" x14ac:dyDescent="0.25">
      <c r="B6" s="225" t="s">
        <v>295</v>
      </c>
      <c r="C6" s="226" t="s">
        <v>315</v>
      </c>
      <c r="D6" s="216">
        <v>150240</v>
      </c>
      <c r="E6" s="216">
        <v>55967</v>
      </c>
      <c r="F6" s="215">
        <v>0.37251730564430247</v>
      </c>
    </row>
    <row r="7" spans="2:10" ht="16.5" customHeight="1" x14ac:dyDescent="0.2">
      <c r="B7" s="123" t="s">
        <v>23</v>
      </c>
      <c r="C7" s="124" t="s">
        <v>222</v>
      </c>
      <c r="D7" s="125">
        <v>41936</v>
      </c>
      <c r="E7" s="125">
        <v>17776</v>
      </c>
      <c r="F7" s="126">
        <v>0.42388401373521556</v>
      </c>
    </row>
    <row r="8" spans="2:10" ht="16.5" customHeight="1" x14ac:dyDescent="0.2">
      <c r="B8" s="123" t="s">
        <v>0</v>
      </c>
      <c r="C8" s="132" t="s">
        <v>223</v>
      </c>
      <c r="D8" s="125">
        <v>96811</v>
      </c>
      <c r="E8" s="125">
        <v>36936</v>
      </c>
      <c r="F8" s="126">
        <v>0.38152689260517919</v>
      </c>
    </row>
    <row r="9" spans="2:10" ht="16.5" customHeight="1" x14ac:dyDescent="0.2">
      <c r="B9" s="127" t="s">
        <v>296</v>
      </c>
      <c r="C9" s="128" t="s">
        <v>225</v>
      </c>
      <c r="D9" s="125">
        <v>4988</v>
      </c>
      <c r="E9" s="125">
        <v>284</v>
      </c>
      <c r="F9" s="126">
        <v>5.6936647955092221E-2</v>
      </c>
    </row>
    <row r="10" spans="2:10" ht="16.5" customHeight="1" thickBot="1" x14ac:dyDescent="0.25">
      <c r="B10" s="127" t="s">
        <v>24</v>
      </c>
      <c r="C10" s="132" t="s">
        <v>227</v>
      </c>
      <c r="D10" s="125">
        <v>6505</v>
      </c>
      <c r="E10" s="125">
        <v>971</v>
      </c>
      <c r="F10" s="126">
        <v>0.14926979246733282</v>
      </c>
    </row>
    <row r="11" spans="2:10" ht="17.25" thickBot="1" x14ac:dyDescent="0.25">
      <c r="B11" s="225" t="s">
        <v>1</v>
      </c>
      <c r="C11" s="226" t="s">
        <v>315</v>
      </c>
      <c r="D11" s="216">
        <v>246272</v>
      </c>
      <c r="E11" s="216">
        <v>76393</v>
      </c>
      <c r="F11" s="215">
        <v>0.31019766761954259</v>
      </c>
    </row>
    <row r="12" spans="2:10" ht="16.5" customHeight="1" x14ac:dyDescent="0.2">
      <c r="B12" s="123" t="s">
        <v>231</v>
      </c>
      <c r="C12" s="128" t="s">
        <v>226</v>
      </c>
      <c r="D12" s="125">
        <v>5884</v>
      </c>
      <c r="E12" s="125">
        <v>334</v>
      </c>
      <c r="F12" s="126">
        <v>5.6764106050305914E-2</v>
      </c>
    </row>
    <row r="13" spans="2:10" ht="16.5" customHeight="1" x14ac:dyDescent="0.2">
      <c r="B13" s="123" t="s">
        <v>25</v>
      </c>
      <c r="C13" s="124" t="s">
        <v>224</v>
      </c>
      <c r="D13" s="125">
        <v>223564</v>
      </c>
      <c r="E13" s="125">
        <v>72891</v>
      </c>
      <c r="F13" s="126">
        <v>0.32604086525558679</v>
      </c>
    </row>
    <row r="14" spans="2:10" ht="16.5" customHeight="1" x14ac:dyDescent="0.2">
      <c r="B14" s="123" t="s">
        <v>17</v>
      </c>
      <c r="C14" s="124" t="s">
        <v>228</v>
      </c>
      <c r="D14" s="125">
        <v>16422</v>
      </c>
      <c r="E14" s="125">
        <v>3100</v>
      </c>
      <c r="F14" s="126">
        <v>0.18877116063816832</v>
      </c>
    </row>
    <row r="15" spans="2:10" ht="16.5" customHeight="1" x14ac:dyDescent="0.2">
      <c r="B15" s="127" t="s">
        <v>26</v>
      </c>
      <c r="C15" s="128" t="s">
        <v>229</v>
      </c>
      <c r="D15" s="129">
        <v>361</v>
      </c>
      <c r="E15" s="125">
        <v>49</v>
      </c>
      <c r="F15" s="126">
        <v>0.13573407202216067</v>
      </c>
    </row>
    <row r="16" spans="2:10" ht="16.5" customHeight="1" x14ac:dyDescent="0.2">
      <c r="B16" s="127" t="s">
        <v>98</v>
      </c>
      <c r="C16" s="130" t="s">
        <v>232</v>
      </c>
      <c r="D16" s="129">
        <v>31</v>
      </c>
      <c r="E16" s="125">
        <v>17</v>
      </c>
      <c r="F16" s="126">
        <v>0.54838709677419351</v>
      </c>
    </row>
    <row r="17" spans="2:6" ht="28.5" customHeight="1" x14ac:dyDescent="0.2">
      <c r="B17" s="127" t="s">
        <v>99</v>
      </c>
      <c r="C17" s="130" t="s">
        <v>233</v>
      </c>
      <c r="D17" s="129">
        <v>1</v>
      </c>
      <c r="E17" s="125">
        <v>1</v>
      </c>
      <c r="F17" s="126">
        <v>1</v>
      </c>
    </row>
    <row r="18" spans="2:6" ht="16.5" customHeight="1" x14ac:dyDescent="0.2">
      <c r="B18" s="127" t="s">
        <v>101</v>
      </c>
      <c r="C18" s="130" t="s">
        <v>234</v>
      </c>
      <c r="D18" s="129">
        <v>7</v>
      </c>
      <c r="E18" s="125">
        <v>1</v>
      </c>
      <c r="F18" s="126">
        <v>0.14285714285714285</v>
      </c>
    </row>
    <row r="19" spans="2:6" ht="16.5" customHeight="1" thickBot="1" x14ac:dyDescent="0.25">
      <c r="B19" s="127" t="s">
        <v>100</v>
      </c>
      <c r="C19" s="130" t="s">
        <v>235</v>
      </c>
      <c r="D19" s="129">
        <v>2</v>
      </c>
      <c r="E19" s="125">
        <v>0</v>
      </c>
      <c r="F19" s="131">
        <v>0</v>
      </c>
    </row>
    <row r="20" spans="2:6" ht="16.5" customHeight="1" x14ac:dyDescent="0.2">
      <c r="B20" s="448" t="s">
        <v>356</v>
      </c>
      <c r="C20" s="449"/>
      <c r="D20" s="449"/>
      <c r="E20" s="449"/>
      <c r="F20" s="450"/>
    </row>
    <row r="21" spans="2:6" ht="36" customHeight="1" thickBot="1" x14ac:dyDescent="0.25">
      <c r="B21" s="451"/>
      <c r="C21" s="452"/>
      <c r="D21" s="452"/>
      <c r="E21" s="452"/>
      <c r="F21" s="453"/>
    </row>
    <row r="22" spans="2:6" ht="36" customHeight="1" x14ac:dyDescent="0.2">
      <c r="B22" s="469" t="s">
        <v>384</v>
      </c>
      <c r="C22" s="469" t="s">
        <v>392</v>
      </c>
      <c r="D22" s="471"/>
      <c r="E22" s="471"/>
      <c r="F22" s="472"/>
    </row>
    <row r="23" spans="2:6" ht="29.25" customHeight="1" thickBot="1" x14ac:dyDescent="0.25">
      <c r="B23" s="470"/>
      <c r="C23" s="470"/>
      <c r="D23" s="473"/>
      <c r="E23" s="473"/>
      <c r="F23" s="474"/>
    </row>
    <row r="24" spans="2:6" ht="29.25" customHeight="1" thickBot="1" x14ac:dyDescent="0.25">
      <c r="B24" s="169"/>
      <c r="C24" s="149"/>
      <c r="D24" s="149"/>
      <c r="E24" s="149"/>
      <c r="F24" s="149"/>
    </row>
    <row r="25" spans="2:6" ht="25.5" x14ac:dyDescent="0.2">
      <c r="B25" s="24" t="s">
        <v>32</v>
      </c>
      <c r="C25" s="62" t="s">
        <v>37</v>
      </c>
      <c r="D25" s="62" t="s">
        <v>38</v>
      </c>
      <c r="E25" s="62" t="s">
        <v>39</v>
      </c>
      <c r="F25" s="106" t="s">
        <v>40</v>
      </c>
    </row>
    <row r="26" spans="2:6" ht="16.5" x14ac:dyDescent="0.2">
      <c r="B26" s="227" t="s">
        <v>300</v>
      </c>
      <c r="C26" s="228">
        <v>10204</v>
      </c>
      <c r="D26" s="228">
        <v>8959</v>
      </c>
      <c r="E26" s="228">
        <v>1245</v>
      </c>
      <c r="F26" s="229">
        <v>0.13900000000000001</v>
      </c>
    </row>
    <row r="27" spans="2:6" x14ac:dyDescent="0.2">
      <c r="B27" s="118" t="s">
        <v>33</v>
      </c>
      <c r="C27" s="141">
        <v>1085</v>
      </c>
      <c r="D27" s="141">
        <v>1033</v>
      </c>
      <c r="E27" s="141">
        <v>52</v>
      </c>
      <c r="F27" s="278">
        <v>0.05</v>
      </c>
    </row>
    <row r="28" spans="2:6" x14ac:dyDescent="0.2">
      <c r="B28" s="121" t="s">
        <v>34</v>
      </c>
      <c r="C28" s="192">
        <v>874</v>
      </c>
      <c r="D28" s="192">
        <v>917</v>
      </c>
      <c r="E28" s="192">
        <v>-43</v>
      </c>
      <c r="F28" s="279">
        <v>-4.7E-2</v>
      </c>
    </row>
    <row r="29" spans="2:6" x14ac:dyDescent="0.2">
      <c r="B29" s="118" t="s">
        <v>35</v>
      </c>
      <c r="C29" s="192">
        <v>1684</v>
      </c>
      <c r="D29" s="192">
        <v>1639</v>
      </c>
      <c r="E29" s="192">
        <v>45</v>
      </c>
      <c r="F29" s="279">
        <v>2.7E-2</v>
      </c>
    </row>
    <row r="30" spans="2:6" x14ac:dyDescent="0.2">
      <c r="B30" s="122" t="s">
        <v>36</v>
      </c>
      <c r="C30" s="193">
        <v>6561</v>
      </c>
      <c r="D30" s="193">
        <v>5370</v>
      </c>
      <c r="E30" s="193">
        <v>1191</v>
      </c>
      <c r="F30" s="280">
        <v>0.222</v>
      </c>
    </row>
    <row r="31" spans="2:6" ht="16.5" x14ac:dyDescent="0.2">
      <c r="B31" s="227" t="s">
        <v>301</v>
      </c>
      <c r="C31" s="228">
        <v>76310</v>
      </c>
      <c r="D31" s="228">
        <v>69271</v>
      </c>
      <c r="E31" s="228">
        <v>7039</v>
      </c>
      <c r="F31" s="229">
        <v>0.10199999999999999</v>
      </c>
    </row>
    <row r="32" spans="2:6" x14ac:dyDescent="0.2">
      <c r="B32" s="118" t="s">
        <v>33</v>
      </c>
      <c r="C32" s="141">
        <v>5081</v>
      </c>
      <c r="D32" s="141">
        <v>5089</v>
      </c>
      <c r="E32" s="141">
        <v>-8</v>
      </c>
      <c r="F32" s="278">
        <v>-2E-3</v>
      </c>
    </row>
    <row r="33" spans="2:6" x14ac:dyDescent="0.2">
      <c r="B33" s="121" t="s">
        <v>34</v>
      </c>
      <c r="C33" s="192">
        <v>5438</v>
      </c>
      <c r="D33" s="192">
        <v>5787</v>
      </c>
      <c r="E33" s="192">
        <v>-349</v>
      </c>
      <c r="F33" s="279">
        <v>-0.06</v>
      </c>
    </row>
    <row r="34" spans="2:6" x14ac:dyDescent="0.2">
      <c r="B34" s="118" t="s">
        <v>35</v>
      </c>
      <c r="C34" s="192">
        <v>18948</v>
      </c>
      <c r="D34" s="192">
        <v>17678</v>
      </c>
      <c r="E34" s="192">
        <v>1270</v>
      </c>
      <c r="F34" s="279">
        <v>7.1999999999999995E-2</v>
      </c>
    </row>
    <row r="35" spans="2:6" ht="15.75" thickBot="1" x14ac:dyDescent="0.25">
      <c r="B35" s="118" t="s">
        <v>36</v>
      </c>
      <c r="C35" s="192">
        <v>46843</v>
      </c>
      <c r="D35" s="192">
        <v>40717</v>
      </c>
      <c r="E35" s="192">
        <v>6126</v>
      </c>
      <c r="F35" s="279">
        <v>0.15</v>
      </c>
    </row>
    <row r="36" spans="2:6" ht="15.75" customHeight="1" thickBot="1" x14ac:dyDescent="0.25">
      <c r="B36" s="466" t="s">
        <v>41</v>
      </c>
      <c r="C36" s="467"/>
      <c r="D36" s="467"/>
      <c r="E36" s="467"/>
      <c r="F36" s="468"/>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192">
        <v>780</v>
      </c>
      <c r="D41" s="192">
        <v>713</v>
      </c>
      <c r="E41" s="192">
        <v>67</v>
      </c>
      <c r="F41" s="194">
        <v>9.3969144460028048E-2</v>
      </c>
    </row>
    <row r="42" spans="2:6" hidden="1" x14ac:dyDescent="0.2">
      <c r="B42" s="118" t="s">
        <v>35</v>
      </c>
      <c r="C42" s="192">
        <v>1843</v>
      </c>
      <c r="D42" s="192">
        <v>1945</v>
      </c>
      <c r="E42" s="192">
        <v>-102</v>
      </c>
      <c r="F42" s="194">
        <v>-5.244215938303342E-2</v>
      </c>
    </row>
    <row r="43" spans="2:6" hidden="1" x14ac:dyDescent="0.2">
      <c r="B43" s="122" t="s">
        <v>36</v>
      </c>
      <c r="C43" s="193">
        <v>3367</v>
      </c>
      <c r="D43" s="193">
        <v>3404</v>
      </c>
      <c r="E43" s="193">
        <v>-37</v>
      </c>
      <c r="F43" s="19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192">
        <v>4678</v>
      </c>
      <c r="D46" s="192">
        <v>5977</v>
      </c>
      <c r="E46" s="192">
        <v>-1299</v>
      </c>
      <c r="F46" s="194">
        <v>-0.21733311025598126</v>
      </c>
    </row>
    <row r="47" spans="2:6" hidden="1" x14ac:dyDescent="0.2">
      <c r="B47" s="118" t="s">
        <v>35</v>
      </c>
      <c r="C47" s="192">
        <v>11334</v>
      </c>
      <c r="D47" s="192">
        <v>13508</v>
      </c>
      <c r="E47" s="192">
        <v>-2174</v>
      </c>
      <c r="F47" s="194">
        <v>-0.1609416641989932</v>
      </c>
    </row>
    <row r="48" spans="2:6" hidden="1" x14ac:dyDescent="0.2">
      <c r="B48" s="122" t="s">
        <v>36</v>
      </c>
      <c r="C48" s="193">
        <v>23176</v>
      </c>
      <c r="D48" s="193">
        <v>21724</v>
      </c>
      <c r="E48" s="193">
        <v>1452</v>
      </c>
      <c r="F48" s="195">
        <v>6.6838519609648317E-2</v>
      </c>
    </row>
    <row r="49" spans="2:18" ht="15.75" hidden="1" thickBot="1" x14ac:dyDescent="0.25">
      <c r="B49" s="454" t="s">
        <v>41</v>
      </c>
      <c r="C49" s="455"/>
      <c r="D49" s="455"/>
      <c r="E49" s="455"/>
      <c r="F49" s="456"/>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192">
        <v>780</v>
      </c>
      <c r="D54" s="192">
        <v>713</v>
      </c>
      <c r="E54" s="192">
        <v>67</v>
      </c>
      <c r="F54" s="194">
        <v>9.3969144460028048E-2</v>
      </c>
    </row>
    <row r="55" spans="2:18" hidden="1" x14ac:dyDescent="0.2">
      <c r="B55" s="118" t="s">
        <v>35</v>
      </c>
      <c r="C55" s="192">
        <v>1843</v>
      </c>
      <c r="D55" s="192">
        <v>1945</v>
      </c>
      <c r="E55" s="192">
        <v>-102</v>
      </c>
      <c r="F55" s="194">
        <v>-5.244215938303342E-2</v>
      </c>
    </row>
    <row r="56" spans="2:18" hidden="1" x14ac:dyDescent="0.2">
      <c r="B56" s="122" t="s">
        <v>36</v>
      </c>
      <c r="C56" s="193">
        <v>3367</v>
      </c>
      <c r="D56" s="193">
        <v>3404</v>
      </c>
      <c r="E56" s="193">
        <v>-37</v>
      </c>
      <c r="F56" s="19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192">
        <v>4678</v>
      </c>
      <c r="D59" s="192">
        <v>5977</v>
      </c>
      <c r="E59" s="192">
        <v>-1299</v>
      </c>
      <c r="F59" s="194">
        <v>-0.21733311025598126</v>
      </c>
    </row>
    <row r="60" spans="2:18" hidden="1" x14ac:dyDescent="0.2">
      <c r="B60" s="118" t="s">
        <v>35</v>
      </c>
      <c r="C60" s="192">
        <v>11334</v>
      </c>
      <c r="D60" s="192">
        <v>13508</v>
      </c>
      <c r="E60" s="192">
        <v>-2174</v>
      </c>
      <c r="F60" s="194">
        <v>-0.1609416641989932</v>
      </c>
    </row>
    <row r="61" spans="2:18" hidden="1" x14ac:dyDescent="0.2">
      <c r="B61" s="122" t="s">
        <v>36</v>
      </c>
      <c r="C61" s="193">
        <v>23176</v>
      </c>
      <c r="D61" s="193">
        <v>21724</v>
      </c>
      <c r="E61" s="193">
        <v>1452</v>
      </c>
      <c r="F61" s="195">
        <v>6.6838519609648317E-2</v>
      </c>
    </row>
    <row r="62" spans="2:18" ht="16.5" hidden="1" customHeight="1" thickBot="1" x14ac:dyDescent="0.25">
      <c r="B62" s="454" t="s">
        <v>41</v>
      </c>
      <c r="C62" s="455"/>
      <c r="D62" s="455"/>
      <c r="E62" s="455"/>
      <c r="F62" s="456"/>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4" t="s">
        <v>41</v>
      </c>
      <c r="C76" s="455"/>
      <c r="D76" s="455"/>
      <c r="E76" s="455"/>
      <c r="F76" s="456"/>
      <c r="J76" s="465"/>
      <c r="K76" s="465"/>
      <c r="L76" s="465"/>
      <c r="M76" s="465"/>
      <c r="N76" s="465"/>
      <c r="O76" s="465"/>
      <c r="P76" s="465"/>
      <c r="Q76" s="465"/>
      <c r="R76" s="465"/>
    </row>
    <row r="77" spans="2:18" ht="45.75" hidden="1" customHeight="1" x14ac:dyDescent="0.2">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125" priority="26" stopIfTrue="1">
      <formula>ISERROR(F7)</formula>
    </cfRule>
  </conditionalFormatting>
  <conditionalFormatting sqref="F9">
    <cfRule type="expression" dxfId="12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08"/>
      <c r="C1" s="490" t="s">
        <v>391</v>
      </c>
      <c r="D1" s="491"/>
      <c r="E1" s="491"/>
      <c r="F1" s="491"/>
      <c r="G1" s="491"/>
      <c r="H1" s="491"/>
      <c r="I1" s="491"/>
      <c r="J1" s="490" t="s">
        <v>399</v>
      </c>
      <c r="K1" s="491"/>
      <c r="L1" s="491"/>
      <c r="M1" s="500"/>
    </row>
    <row r="2" spans="2:16" ht="24" customHeight="1" thickBot="1" x14ac:dyDescent="0.4">
      <c r="B2" s="208"/>
      <c r="C2" s="492"/>
      <c r="D2" s="493"/>
      <c r="E2" s="493"/>
      <c r="F2" s="493"/>
      <c r="G2" s="493"/>
      <c r="H2" s="493"/>
      <c r="I2" s="493"/>
      <c r="J2" s="492" t="str">
        <f>Transformation!B5</f>
        <v>As of June 20, 2015</v>
      </c>
      <c r="K2" s="493"/>
      <c r="L2" s="493"/>
      <c r="M2" s="501"/>
    </row>
    <row r="3" spans="2:16" ht="73.5" customHeight="1" thickBot="1" x14ac:dyDescent="0.25">
      <c r="B3" s="208"/>
      <c r="C3" s="480" t="s">
        <v>427</v>
      </c>
      <c r="D3" s="481"/>
      <c r="E3" s="481"/>
      <c r="F3" s="481"/>
      <c r="G3" s="481"/>
      <c r="H3" s="481"/>
      <c r="I3" s="481"/>
      <c r="J3" s="481"/>
      <c r="K3" s="481"/>
      <c r="L3" s="481"/>
      <c r="M3" s="482"/>
    </row>
    <row r="4" spans="2:16" ht="22.5" customHeight="1" thickBot="1" x14ac:dyDescent="0.3">
      <c r="B4" s="199"/>
      <c r="C4" s="494" t="s">
        <v>236</v>
      </c>
      <c r="D4" s="495"/>
      <c r="E4" s="495"/>
      <c r="F4" s="495"/>
      <c r="G4" s="495"/>
      <c r="H4" s="495"/>
      <c r="I4" s="495"/>
      <c r="J4" s="495"/>
      <c r="K4" s="495"/>
      <c r="L4" s="495"/>
      <c r="M4" s="496"/>
    </row>
    <row r="5" spans="2:16" ht="55.5" customHeight="1" x14ac:dyDescent="0.2">
      <c r="B5" s="99"/>
      <c r="C5" s="66" t="s">
        <v>222</v>
      </c>
      <c r="D5" s="502" t="s">
        <v>23</v>
      </c>
      <c r="E5" s="503"/>
      <c r="F5" s="61" t="s">
        <v>225</v>
      </c>
      <c r="G5" s="502" t="s">
        <v>230</v>
      </c>
      <c r="H5" s="504"/>
      <c r="I5" s="61" t="s">
        <v>228</v>
      </c>
      <c r="J5" s="62" t="s">
        <v>17</v>
      </c>
      <c r="K5" s="61" t="s">
        <v>233</v>
      </c>
      <c r="L5" s="505" t="s">
        <v>99</v>
      </c>
      <c r="M5" s="506"/>
    </row>
    <row r="6" spans="2:16" ht="51.75" customHeight="1" x14ac:dyDescent="0.2">
      <c r="B6" s="99"/>
      <c r="C6" s="67" t="s">
        <v>223</v>
      </c>
      <c r="D6" s="497" t="s">
        <v>0</v>
      </c>
      <c r="E6" s="498"/>
      <c r="F6" s="63" t="s">
        <v>226</v>
      </c>
      <c r="G6" s="499" t="s">
        <v>231</v>
      </c>
      <c r="H6" s="499"/>
      <c r="I6" s="63" t="s">
        <v>229</v>
      </c>
      <c r="J6" s="31" t="s">
        <v>26</v>
      </c>
      <c r="K6" s="63" t="s">
        <v>234</v>
      </c>
      <c r="L6" s="507" t="s">
        <v>101</v>
      </c>
      <c r="M6" s="508"/>
    </row>
    <row r="7" spans="2:16" ht="51.75" customHeight="1" thickBot="1" x14ac:dyDescent="0.25">
      <c r="B7" s="99"/>
      <c r="C7" s="68" t="s">
        <v>224</v>
      </c>
      <c r="D7" s="488" t="s">
        <v>25</v>
      </c>
      <c r="E7" s="489"/>
      <c r="F7" s="64" t="s">
        <v>227</v>
      </c>
      <c r="G7" s="485" t="s">
        <v>24</v>
      </c>
      <c r="H7" s="485"/>
      <c r="I7" s="64" t="s">
        <v>232</v>
      </c>
      <c r="J7" s="65" t="s">
        <v>98</v>
      </c>
      <c r="K7" s="64" t="s">
        <v>235</v>
      </c>
      <c r="L7" s="486" t="s">
        <v>100</v>
      </c>
      <c r="M7" s="487"/>
    </row>
    <row r="8" spans="2:16" ht="14.25" customHeight="1" x14ac:dyDescent="0.4">
      <c r="C8" s="46"/>
      <c r="D8" s="46"/>
      <c r="E8" s="46"/>
      <c r="F8" s="46"/>
      <c r="G8" s="46"/>
      <c r="H8" s="46"/>
      <c r="I8" s="46"/>
      <c r="J8" s="46"/>
      <c r="K8" s="46"/>
      <c r="L8" s="46"/>
    </row>
    <row r="9" spans="2:16" ht="15.75" customHeight="1" x14ac:dyDescent="0.2">
      <c r="C9" s="483" t="s">
        <v>390</v>
      </c>
      <c r="D9" s="483"/>
      <c r="E9" s="483"/>
      <c r="F9" s="483"/>
      <c r="G9" s="483"/>
      <c r="H9" s="483"/>
      <c r="I9" s="483"/>
      <c r="J9" s="483"/>
      <c r="K9" s="483"/>
      <c r="L9" s="483"/>
      <c r="M9" s="48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37">
        <f>IF(ISNA(VLOOKUP($B11,EDW_FEEDER!$T$2:$AH$86,2,FALSE))=TRUE,"",VLOOKUP($B11,EDW_FEEDER!$T$2:$AH$86,2,FALSE))</f>
        <v>396512</v>
      </c>
      <c r="D11" s="238">
        <f>IF(ISNA(VLOOKUP(B11,EDW_FEEDER!$T$2:$AH$86,3,FALSE))=TRUE,"",VLOOKUP(B11,EDW_FEEDER!$T$2:$AH$86,3,FALSE))</f>
        <v>119.7</v>
      </c>
      <c r="E11" s="239">
        <f>IF(ISNA(VLOOKUP(B11,EDW_FEEDER!$T$2:$AH$86,4,FALSE))=TRUE,"",VLOOKUP(B11,EDW_FEEDER!$T$2:$AH$870,4,FALSE))</f>
        <v>0.33381</v>
      </c>
      <c r="F11" s="237">
        <f>IF(ISNA(VLOOKUP(B11,EDW_FEEDER!$T$2:$AH$86,5,FALSE))=TRUE,"",VLOOKUP(B11,EDW_FEEDER!$T$2:$AH$86,5,FALSE))</f>
        <v>81454</v>
      </c>
      <c r="G11" s="237">
        <f>IF(ISNA(VLOOKUP(B11,EDW_FEEDER!$T$2:$AH$86,6,FALSE))=TRUE,"",VLOOKUP(B11,EDW_FEEDER!$T$2:$AH$86,6,FALSE))</f>
        <v>999645</v>
      </c>
      <c r="H11" s="238">
        <f>IF(ISNA(VLOOKUP(B11,EDW_FEEDER!$T$2:$AH$86,7,FALSE))=TRUE,"",VLOOKUP(B11,EDW_FEEDER!$T$2:$AH$86,7,FALSE))</f>
        <v>161.5</v>
      </c>
      <c r="I11" s="238">
        <f>IF(ISNA(VLOOKUP(B11,EDW_FEEDER!$T$2:$AH$86,8,FALSE))=TRUE,"",VLOOKUP(B11,EDW_FEEDER!$T$2:$AH$86,8,FALSE))</f>
        <v>177.2</v>
      </c>
      <c r="J11" s="269">
        <f>VLOOKUP(B11,Accuracy!$AD$7:$AQ$69,3,FALSE)</f>
        <v>0.96182586538183501</v>
      </c>
      <c r="K11" s="269">
        <f>VLOOKUP(B11,Accuracy!$AD$7:$AQ$69,6,FALSE)</f>
        <v>0.90110625575584102</v>
      </c>
      <c r="L11" s="269">
        <f>VLOOKUP(B11,Accuracy!$AD$7:$AQ$69,9,FALSE)</f>
        <v>0.90686154524513996</v>
      </c>
      <c r="M11" s="269">
        <f>VLOOKUP(B11,Accuracy!$AD$7:$AQ$69,12,FALSE)</f>
        <v>0.91566535234070101</v>
      </c>
      <c r="P11" s="70" t="s">
        <v>151</v>
      </c>
    </row>
    <row r="12" spans="2:16" x14ac:dyDescent="0.2">
      <c r="B12" s="475" t="s">
        <v>385</v>
      </c>
      <c r="C12" s="476"/>
      <c r="D12" s="476"/>
      <c r="E12" s="476"/>
      <c r="F12" s="476"/>
      <c r="G12" s="476"/>
      <c r="H12" s="476"/>
      <c r="I12" s="476"/>
      <c r="J12" s="476"/>
      <c r="K12" s="476"/>
      <c r="L12" s="476"/>
      <c r="M12" s="477"/>
      <c r="P12" s="170" t="s">
        <v>152</v>
      </c>
    </row>
    <row r="13" spans="2:16" x14ac:dyDescent="0.2">
      <c r="B13" s="205" t="s">
        <v>386</v>
      </c>
      <c r="C13" s="237">
        <f>IF(ISNA(VLOOKUP("USAV",EDW_FEEDER!$T$2:$AH$86,2,FALSE))=TRUE,"",VLOOKUP("USAV",EDW_FEEDER!$T$2:$AH$86,2,FALSE))</f>
        <v>361466</v>
      </c>
      <c r="D13" s="238">
        <f>IF(ISNA(VLOOKUP("USAV",EDW_FEEDER!$T$2:$AH$86,3,FALSE))=TRUE,"",VLOOKUP("USAV",EDW_FEEDER!$T$2:$AH$86,3,FALSE))</f>
        <v>124.7</v>
      </c>
      <c r="E13" s="239">
        <f>IF(ISNA(VLOOKUP("USAV",EDW_FEEDER!$T$2:$AH$86,4,FALSE))=TRUE,"",VLOOKUP("USAV",EDW_FEEDER!$T$2:$AH$870,4,FALSE))</f>
        <v>0.35288999999999998</v>
      </c>
      <c r="F13" s="237">
        <f>IF(ISNA(VLOOKUP("USAV",EDW_FEEDER!$T$2:$AH$86,5,FALSE))=TRUE,"",VLOOKUP("USAV",EDW_FEEDER!$T$2:$AH$86,5,FALSE))</f>
        <v>70161</v>
      </c>
      <c r="G13" s="237">
        <f>IF(ISNA(VLOOKUP("USAV",EDW_FEEDER!$T$2:$AH$86,6,FALSE))=TRUE,"",VLOOKUP("USAV",EDW_FEEDER!$T$2:$AH$86,6,FALSE))</f>
        <v>851092</v>
      </c>
      <c r="H13" s="238">
        <f>IF(ISNA(VLOOKUP("USAV",EDW_FEEDER!$T$2:$AH$86,7,FALSE))=TRUE,"",VLOOKUP("USAV",EDW_FEEDER!$T$2:$AH$86,7,FALSE))</f>
        <v>174.4</v>
      </c>
      <c r="I13" s="238">
        <f>IF(ISNA(VLOOKUP("USAV",EDW_FEEDER!$T$2:$AH$86,8,FALSE))=TRUE,"",VLOOKUP("USAV",EDW_FEEDER!$T$2:$AH$86,8,FALSE))</f>
        <v>193.3</v>
      </c>
      <c r="J13" s="240"/>
      <c r="K13" s="240"/>
      <c r="L13" s="240"/>
      <c r="M13" s="240"/>
      <c r="P13" s="170" t="s">
        <v>9</v>
      </c>
    </row>
    <row r="14" spans="2:16" x14ac:dyDescent="0.2">
      <c r="B14" s="204" t="s">
        <v>149</v>
      </c>
      <c r="C14" s="237">
        <f>IF(ISNA(VLOOKUP($B14,EDW_FEEDER!$T$2:$AH$86,2,FALSE))=TRUE,"",VLOOKUP($B14,EDW_FEEDER!$T$2:$AH$86,2,FALSE))</f>
        <v>66590</v>
      </c>
      <c r="D14" s="238">
        <f>IF(ISNA(VLOOKUP(B14,EDW_FEEDER!$T$2:$AH$86,3,FALSE))=TRUE,"",VLOOKUP(B14,EDW_FEEDER!$T$2:$AH$86,3,FALSE))</f>
        <v>125.8</v>
      </c>
      <c r="E14" s="239">
        <f>IF(ISNA(VLOOKUP(B14,EDW_FEEDER!$T$2:$AH$86,4,FALSE))=TRUE,"",VLOOKUP(B14,EDW_FEEDER!$T$2:$AH$870,4,FALSE))</f>
        <v>0.35226000000000002</v>
      </c>
      <c r="F14" s="237">
        <f>IF(ISNA(VLOOKUP(B14,EDW_FEEDER!$T$2:$AH$86,5,FALSE))=TRUE,"",VLOOKUP(B14,EDW_FEEDER!$T$2:$AH$86,5,FALSE))</f>
        <v>13864</v>
      </c>
      <c r="G14" s="237">
        <f>IF(ISNA(VLOOKUP(B14,EDW_FEEDER!$T$2:$AH$86,6,FALSE))=TRUE,"",VLOOKUP(B14,EDW_FEEDER!$T$2:$AH$86,6,FALSE))</f>
        <v>168450</v>
      </c>
      <c r="H14" s="238">
        <f>IF(ISNA(VLOOKUP(B14,EDW_FEEDER!$T$2:$AH$86,7,FALSE))=TRUE,"",VLOOKUP(B14,EDW_FEEDER!$T$2:$AH$86,7,FALSE))</f>
        <v>177.3</v>
      </c>
      <c r="I14" s="238">
        <f>IF(ISNA(VLOOKUP(B14,EDW_FEEDER!$T$2:$AH$86,8,FALSE))=TRUE,"",VLOOKUP(B14,EDW_FEEDER!$T$2:$AH$86,8,FALSE))</f>
        <v>190.4</v>
      </c>
      <c r="J14" s="239">
        <f>IF(ISNA(VLOOKUP(B14,Accuracy!$AD$7:$AQ$69,3,FALSE))=TRUE,"-",VLOOKUP(B14,Accuracy!$AD$7:$AQ$69,3,FALSE))</f>
        <v>0.93971977842945587</v>
      </c>
      <c r="K14" s="239">
        <f>IF(ISNA(VLOOKUP(B14,Accuracy!$AD$7:$AQ$69,6,FALSE))=TRUE,"-",VLOOKUP(B14,Accuracy!$AD$7:$AQ$69,6,FALSE))</f>
        <v>0.8621700879765396</v>
      </c>
      <c r="L14" s="239">
        <f>IF(ISNA(VLOOKUP(B14,Accuracy!$AD$7:$AQ$69,9,FALSE))=TRUE,"-",VLOOKUP(B14,Accuracy!$AD$7:$AQ$69,9,FALSE))</f>
        <v>0.89067796610169492</v>
      </c>
      <c r="M14" s="239">
        <f>IF(ISNA(VLOOKUP(B14,Accuracy!$AD$7:$AQ$69,12,FALSE))=TRUE,"-",VLOOKUP(B14,Accuracy!$AD$7:$AQ$69,12,FALSE))</f>
        <v>0.90233362143474505</v>
      </c>
    </row>
    <row r="15" spans="2:16" x14ac:dyDescent="0.2">
      <c r="B15" s="112" t="str">
        <f>IF(ISBLANK(VLOOKUP($B$14,EDW_FEEDER!$A$117:$AK$121,2,FALSE))=TRUE,"",VLOOKUP($B$14,EDW_FEEDER!$A$117:$AK$121,2,FALSE))</f>
        <v>Baltimore</v>
      </c>
      <c r="C15" s="237">
        <f>IF(ISNA(VLOOKUP($B15,EDW_FEEDER!$T$2:$AH$86,2,FALSE))=TRUE,"",VLOOKUP($B15,EDW_FEEDER!$T$2:$AH$86,2,FALSE))</f>
        <v>6267</v>
      </c>
      <c r="D15" s="238">
        <f>IF(ISNA(VLOOKUP(B15,EDW_FEEDER!$T$2:$AH$86,3,FALSE))=TRUE,"",VLOOKUP(B15,EDW_FEEDER!$T$2:$AH$86,3,FALSE))</f>
        <v>150.4</v>
      </c>
      <c r="E15" s="239">
        <f>IF(ISNA(VLOOKUP(B15,EDW_FEEDER!$T$2:$AH$86,4,FALSE))=TRUE,"",VLOOKUP(B15,EDW_FEEDER!$T$2:$AH$870,4,FALSE))</f>
        <v>0.43003000000000002</v>
      </c>
      <c r="F15" s="237">
        <f>IF(ISNA(VLOOKUP(B15,EDW_FEEDER!$T$2:$AH$86,5,FALSE))=TRUE,"",VLOOKUP(B15,EDW_FEEDER!$T$2:$AH$86,5,FALSE))</f>
        <v>1441</v>
      </c>
      <c r="G15" s="237">
        <f>IF(ISNA(VLOOKUP(B15,EDW_FEEDER!$T$2:$AH$86,6,FALSE))=TRUE,"",VLOOKUP(B15,EDW_FEEDER!$T$2:$AH$86,6,FALSE))</f>
        <v>14049</v>
      </c>
      <c r="H15" s="238">
        <f>IF(ISNA(VLOOKUP(B15,EDW_FEEDER!$T$2:$AH$86,7,FALSE))=TRUE,"",VLOOKUP(B15,EDW_FEEDER!$T$2:$AH$86,7,FALSE))</f>
        <v>239.5</v>
      </c>
      <c r="I15" s="238">
        <f>IF(ISNA(VLOOKUP(B15,EDW_FEEDER!$T$2:$AH$86,8,FALSE))=TRUE,"",VLOOKUP(B15,EDW_FEEDER!$T$2:$AH$86,8,FALSE))</f>
        <v>263.60000000000002</v>
      </c>
      <c r="J15" s="239">
        <f>IF(ISNA(VLOOKUP(B15,Accuracy!$AD$7:$AQ$69,3,FALSE))=TRUE,"",VLOOKUP(B15,Accuracy!$AD$7:$AQ$69,3,FALSE))</f>
        <v>0.93134075670949401</v>
      </c>
      <c r="K15" s="239">
        <f>IF(ISNA(VLOOKUP(B15,Accuracy!$AD$7:$AQ$69,6,FALSE))=TRUE,"",VLOOKUP(B15,Accuracy!$AD$7:$AQ$69,6,FALSE))</f>
        <v>0.87277920163492295</v>
      </c>
      <c r="L15" s="239">
        <f>IF(ISNA(VLOOKUP(B15,Accuracy!$AD$7:$AQ$69,9,FALSE))=TRUE,"",VLOOKUP(B15,Accuracy!$AD$7:$AQ$69,9,FALSE))</f>
        <v>0.83221513545106196</v>
      </c>
      <c r="M15" s="239">
        <f>IF(ISNA(VLOOKUP(B15,Accuracy!$AD$7:$AQ$69,12,FALSE))=TRUE,"",VLOOKUP(B15,Accuracy!$AD$7:$AQ$69,12,FALSE))</f>
        <v>0.838307117718883</v>
      </c>
    </row>
    <row r="16" spans="2:16" x14ac:dyDescent="0.2">
      <c r="B16" s="112" t="str">
        <f>IF(ISBLANK(VLOOKUP($B$14,EDW_FEEDER!$A$117:$AK$121,3,FALSE))=TRUE,"",VLOOKUP($B$14,EDW_FEEDER!$A$117:$AK$121,3,FALSE))</f>
        <v>Boston</v>
      </c>
      <c r="C16" s="237">
        <f>IF(ISNA(VLOOKUP($B16,EDW_FEEDER!$T$2:$AH$86,2,FALSE))=TRUE,"",VLOOKUP($B16,EDW_FEEDER!$T$2:$AH$86,2,FALSE))</f>
        <v>3885</v>
      </c>
      <c r="D16" s="238">
        <f>IF(ISNA(VLOOKUP(B16,EDW_FEEDER!$T$2:$AH$86,3,FALSE))=TRUE,"",VLOOKUP(B16,EDW_FEEDER!$T$2:$AH$86,3,FALSE))</f>
        <v>128.9</v>
      </c>
      <c r="E16" s="239">
        <f>IF(ISNA(VLOOKUP(B16,EDW_FEEDER!$T$2:$AH$86,4,FALSE))=TRUE,"",VLOOKUP(B16,EDW_FEEDER!$T$2:$AH$870,4,FALSE))</f>
        <v>0.34698000000000001</v>
      </c>
      <c r="F16" s="237">
        <f>IF(ISNA(VLOOKUP(B16,EDW_FEEDER!$T$2:$AH$86,5,FALSE))=TRUE,"",VLOOKUP(B16,EDW_FEEDER!$T$2:$AH$86,5,FALSE))</f>
        <v>624</v>
      </c>
      <c r="G16" s="237">
        <f>IF(ISNA(VLOOKUP(B16,EDW_FEEDER!$T$2:$AH$86,6,FALSE))=TRUE,"",VLOOKUP(B16,EDW_FEEDER!$T$2:$AH$86,6,FALSE))</f>
        <v>8828</v>
      </c>
      <c r="H16" s="238">
        <f>IF(ISNA(VLOOKUP(B16,EDW_FEEDER!$T$2:$AH$86,7,FALSE))=TRUE,"",VLOOKUP(B16,EDW_FEEDER!$T$2:$AH$86,7,FALSE))</f>
        <v>226.1</v>
      </c>
      <c r="I16" s="238">
        <f>IF(ISNA(VLOOKUP(B16,EDW_FEEDER!$T$2:$AH$86,8,FALSE))=TRUE,"",VLOOKUP(B16,EDW_FEEDER!$T$2:$AH$86,8,FALSE))</f>
        <v>224.3</v>
      </c>
      <c r="J16" s="239">
        <f>IF(ISNA(VLOOKUP(B16,Accuracy!$AD$7:$AQ$69,3,FALSE))=TRUE,"",VLOOKUP(B16,Accuracy!$AD$7:$AQ$69,3,FALSE))</f>
        <v>0.89547703739678597</v>
      </c>
      <c r="K16" s="239">
        <f>IF(ISNA(VLOOKUP(B16,Accuracy!$AD$7:$AQ$69,6,FALSE))=TRUE,"",VLOOKUP(B16,Accuracy!$AD$7:$AQ$69,6,FALSE))</f>
        <v>0.85724912090884497</v>
      </c>
      <c r="L16" s="239">
        <f>IF(ISNA(VLOOKUP(B16,Accuracy!$AD$7:$AQ$69,9,FALSE))=TRUE,"",VLOOKUP(B16,Accuracy!$AD$7:$AQ$69,9,FALSE))</f>
        <v>0.88080231846990098</v>
      </c>
      <c r="M16" s="239">
        <f>IF(ISNA(VLOOKUP(B16,Accuracy!$AD$7:$AQ$69,12,FALSE))=TRUE,"",VLOOKUP(B16,Accuracy!$AD$7:$AQ$69,12,FALSE))</f>
        <v>0.875619030977979</v>
      </c>
    </row>
    <row r="17" spans="2:13" x14ac:dyDescent="0.2">
      <c r="B17" s="424" t="str">
        <f>IF(ISBLANK(VLOOKUP($B$14,EDW_FEEDER!$A$117:$AK$121,4,FALSE))=TRUE,"",VLOOKUP($B$14,EDW_FEEDER!$A$117:$AK$121,4,FALSE))</f>
        <v>Buffalo</v>
      </c>
      <c r="C17" s="237">
        <f>IF(ISNA(VLOOKUP($B17,EDW_FEEDER!$T$2:$AH$86,2,FALSE))=TRUE,"",VLOOKUP($B17,EDW_FEEDER!$T$2:$AH$86,2,FALSE))</f>
        <v>4884</v>
      </c>
      <c r="D17" s="238">
        <f>IF(ISNA(VLOOKUP(B17,EDW_FEEDER!$T$2:$AH$86,3,FALSE))=TRUE,"",VLOOKUP(B17,EDW_FEEDER!$T$2:$AH$86,3,FALSE))</f>
        <v>125.4</v>
      </c>
      <c r="E17" s="239">
        <f>IF(ISNA(VLOOKUP(B17,EDW_FEEDER!$T$2:$AH$86,4,FALSE))=TRUE,"",VLOOKUP(B17,EDW_FEEDER!$T$2:$AH$870,4,FALSE))</f>
        <v>0.35852000000000001</v>
      </c>
      <c r="F17" s="237">
        <f>IF(ISNA(VLOOKUP(B17,EDW_FEEDER!$T$2:$AH$86,5,FALSE))=TRUE,"",VLOOKUP(B17,EDW_FEEDER!$T$2:$AH$86,5,FALSE))</f>
        <v>1009</v>
      </c>
      <c r="G17" s="237">
        <f>IF(ISNA(VLOOKUP(B17,EDW_FEEDER!$T$2:$AH$86,6,FALSE))=TRUE,"",VLOOKUP(B17,EDW_FEEDER!$T$2:$AH$86,6,FALSE))</f>
        <v>9565</v>
      </c>
      <c r="H17" s="238">
        <f>IF(ISNA(VLOOKUP(B17,EDW_FEEDER!$T$2:$AH$86,7,FALSE))=TRUE,"",VLOOKUP(B17,EDW_FEEDER!$T$2:$AH$86,7,FALSE))</f>
        <v>181.6</v>
      </c>
      <c r="I17" s="238">
        <f>IF(ISNA(VLOOKUP(B17,EDW_FEEDER!$T$2:$AH$86,8,FALSE))=TRUE,"",VLOOKUP(B17,EDW_FEEDER!$T$2:$AH$86,8,FALSE))</f>
        <v>216.9</v>
      </c>
      <c r="J17" s="239">
        <f>IF(ISNA(VLOOKUP(B17,Accuracy!$AD$7:$AQ$69,3,FALSE))=TRUE,"",VLOOKUP(B17,Accuracy!$AD$7:$AQ$69,3,FALSE))</f>
        <v>0.904607622028753</v>
      </c>
      <c r="K17" s="239">
        <f>IF(ISNA(VLOOKUP(B17,Accuracy!$AD$7:$AQ$69,6,FALSE))=TRUE,"",VLOOKUP(B17,Accuracy!$AD$7:$AQ$69,6,FALSE))</f>
        <v>0.84031885306905896</v>
      </c>
      <c r="L17" s="239">
        <f>IF(ISNA(VLOOKUP(B17,Accuracy!$AD$7:$AQ$69,9,FALSE))=TRUE,"",VLOOKUP(B17,Accuracy!$AD$7:$AQ$69,9,FALSE))</f>
        <v>0.90570831544015995</v>
      </c>
      <c r="M17" s="239">
        <f>IF(ISNA(VLOOKUP(B17,Accuracy!$AD$7:$AQ$69,12,FALSE))=TRUE,"",VLOOKUP(B17,Accuracy!$AD$7:$AQ$69,12,FALSE))</f>
        <v>0.87463737062674496</v>
      </c>
    </row>
    <row r="18" spans="2:13" x14ac:dyDescent="0.2">
      <c r="B18" s="112" t="str">
        <f>IF(ISBLANK(VLOOKUP($B$14,EDW_FEEDER!$A$117:$AK$121,5,FALSE))=TRUE,"",VLOOKUP($B$14,EDW_FEEDER!$A$117:$AK$121,5,FALSE))</f>
        <v>Cleveland</v>
      </c>
      <c r="C18" s="237">
        <f>IF(ISNA(VLOOKUP($B18,EDW_FEEDER!$T$2:$AH$86,2,FALSE))=TRUE,"",VLOOKUP($B18,EDW_FEEDER!$T$2:$AH$86,2,FALSE))</f>
        <v>8407</v>
      </c>
      <c r="D18" s="238">
        <f>IF(ISNA(VLOOKUP(B18,EDW_FEEDER!$T$2:$AH$86,3,FALSE))=TRUE,"",VLOOKUP(B18,EDW_FEEDER!$T$2:$AH$86,3,FALSE))</f>
        <v>113.2</v>
      </c>
      <c r="E18" s="239">
        <f>IF(ISNA(VLOOKUP(B18,EDW_FEEDER!$T$2:$AH$86,4,FALSE))=TRUE,"",VLOOKUP(B18,EDW_FEEDER!$T$2:$AH$870,4,FALSE))</f>
        <v>0.29107</v>
      </c>
      <c r="F18" s="237">
        <f>IF(ISNA(VLOOKUP(B18,EDW_FEEDER!$T$2:$AH$86,5,FALSE))=TRUE,"",VLOOKUP(B18,EDW_FEEDER!$T$2:$AH$86,5,FALSE))</f>
        <v>1513</v>
      </c>
      <c r="G18" s="237">
        <f>IF(ISNA(VLOOKUP(B18,EDW_FEEDER!$T$2:$AH$86,6,FALSE))=TRUE,"",VLOOKUP(B18,EDW_FEEDER!$T$2:$AH$86,6,FALSE))</f>
        <v>21678</v>
      </c>
      <c r="H18" s="238">
        <f>IF(ISNA(VLOOKUP(B18,EDW_FEEDER!$T$2:$AH$86,7,FALSE))=TRUE,"",VLOOKUP(B18,EDW_FEEDER!$T$2:$AH$86,7,FALSE))</f>
        <v>150.1</v>
      </c>
      <c r="I18" s="238">
        <f>IF(ISNA(VLOOKUP(B18,EDW_FEEDER!$T$2:$AH$86,8,FALSE))=TRUE,"",VLOOKUP(B18,EDW_FEEDER!$T$2:$AH$86,8,FALSE))</f>
        <v>166.8</v>
      </c>
      <c r="J18" s="239">
        <f>IF(ISNA(VLOOKUP(B18,Accuracy!$AD$7:$AQ$69,3,FALSE))=TRUE,"",VLOOKUP(B18,Accuracy!$AD$7:$AQ$69,3,FALSE))</f>
        <v>0.95128413254602895</v>
      </c>
      <c r="K18" s="239">
        <f>IF(ISNA(VLOOKUP(B18,Accuracy!$AD$7:$AQ$69,6,FALSE))=TRUE,"",VLOOKUP(B18,Accuracy!$AD$7:$AQ$69,6,FALSE))</f>
        <v>0.95036111596481998</v>
      </c>
      <c r="L18" s="239">
        <f>IF(ISNA(VLOOKUP(B18,Accuracy!$AD$7:$AQ$69,9,FALSE))=TRUE,"",VLOOKUP(B18,Accuracy!$AD$7:$AQ$69,9,FALSE))</f>
        <v>0.92818981404552903</v>
      </c>
      <c r="M18" s="239">
        <f>IF(ISNA(VLOOKUP(B18,Accuracy!$AD$7:$AQ$69,12,FALSE))=TRUE,"",VLOOKUP(B18,Accuracy!$AD$7:$AQ$69,12,FALSE))</f>
        <v>0.88639952847045</v>
      </c>
    </row>
    <row r="19" spans="2:13" x14ac:dyDescent="0.2">
      <c r="B19" s="112" t="str">
        <f>IF(ISBLANK(VLOOKUP($B$14,EDW_FEEDER!$A$117:$AK$121,6,FALSE))=TRUE,"",VLOOKUP($B$14,EDW_FEEDER!$A$117:$AK$121,6,FALSE))</f>
        <v>Detroit</v>
      </c>
      <c r="C19" s="237">
        <f>IF(ISNA(VLOOKUP($B19,EDW_FEEDER!$T$2:$AH$86,2,FALSE))=TRUE,"",VLOOKUP($B19,EDW_FEEDER!$T$2:$AH$86,2,FALSE))</f>
        <v>8470</v>
      </c>
      <c r="D19" s="238">
        <f>IF(ISNA(VLOOKUP(B19,EDW_FEEDER!$T$2:$AH$86,3,FALSE))=TRUE,"",VLOOKUP(B19,EDW_FEEDER!$T$2:$AH$86,3,FALSE))</f>
        <v>107.5</v>
      </c>
      <c r="E19" s="239">
        <f>IF(ISNA(VLOOKUP(B19,EDW_FEEDER!$T$2:$AH$86,4,FALSE))=TRUE,"",VLOOKUP(B19,EDW_FEEDER!$T$2:$AH$870,4,FALSE))</f>
        <v>0.2974</v>
      </c>
      <c r="F19" s="237">
        <f>IF(ISNA(VLOOKUP(B19,EDW_FEEDER!$T$2:$AH$86,5,FALSE))=TRUE,"",VLOOKUP(B19,EDW_FEEDER!$T$2:$AH$86,5,FALSE))</f>
        <v>1531</v>
      </c>
      <c r="G19" s="237">
        <f>IF(ISNA(VLOOKUP(B19,EDW_FEEDER!$T$2:$AH$86,6,FALSE))=TRUE,"",VLOOKUP(B19,EDW_FEEDER!$T$2:$AH$86,6,FALSE))</f>
        <v>18224</v>
      </c>
      <c r="H19" s="238">
        <f>IF(ISNA(VLOOKUP(B19,EDW_FEEDER!$T$2:$AH$86,7,FALSE))=TRUE,"",VLOOKUP(B19,EDW_FEEDER!$T$2:$AH$86,7,FALSE))</f>
        <v>175.3</v>
      </c>
      <c r="I19" s="238">
        <f>IF(ISNA(VLOOKUP(B19,EDW_FEEDER!$T$2:$AH$86,8,FALSE))=TRUE,"",VLOOKUP(B19,EDW_FEEDER!$T$2:$AH$86,8,FALSE))</f>
        <v>179.6</v>
      </c>
      <c r="J19" s="239">
        <f>IF(ISNA(VLOOKUP(B19,Accuracy!$AD$7:$AQ$69,3,FALSE))=TRUE,"",VLOOKUP(B19,Accuracy!$AD$7:$AQ$69,3,FALSE))</f>
        <v>0.93900624681512201</v>
      </c>
      <c r="K19" s="239">
        <f>IF(ISNA(VLOOKUP(B19,Accuracy!$AD$7:$AQ$69,6,FALSE))=TRUE,"",VLOOKUP(B19,Accuracy!$AD$7:$AQ$69,6,FALSE))</f>
        <v>0.83530608588831401</v>
      </c>
      <c r="L19" s="239">
        <f>IF(ISNA(VLOOKUP(B19,Accuracy!$AD$7:$AQ$69,9,FALSE))=TRUE,"",VLOOKUP(B19,Accuracy!$AD$7:$AQ$69,9,FALSE))</f>
        <v>0.88709976887597497</v>
      </c>
      <c r="M19" s="239">
        <f>IF(ISNA(VLOOKUP(B19,Accuracy!$AD$7:$AQ$69,12,FALSE))=TRUE,"",VLOOKUP(B19,Accuracy!$AD$7:$AQ$69,12,FALSE))</f>
        <v>0.91730607307707601</v>
      </c>
    </row>
    <row r="20" spans="2:13" x14ac:dyDescent="0.2">
      <c r="B20" s="112" t="str">
        <f>IF(ISBLANK(VLOOKUP($B$14,EDW_FEEDER!$A$117:$AK$121,7,FALSE))=TRUE,"",VLOOKUP($B$14,EDW_FEEDER!$A$117:$AK$121,7,FALSE))</f>
        <v>Hartford</v>
      </c>
      <c r="C20" s="237">
        <f>IF(ISNA(VLOOKUP($B20,EDW_FEEDER!$T$2:$AH$86,2,FALSE))=TRUE,"",VLOOKUP($B20,EDW_FEEDER!$T$2:$AH$86,2,FALSE))</f>
        <v>1974</v>
      </c>
      <c r="D20" s="238">
        <f>IF(ISNA(VLOOKUP(B20,EDW_FEEDER!$T$2:$AH$86,3,FALSE))=TRUE,"",VLOOKUP(B20,EDW_FEEDER!$T$2:$AH$86,3,FALSE))</f>
        <v>96</v>
      </c>
      <c r="E20" s="239">
        <f>IF(ISNA(VLOOKUP(B20,EDW_FEEDER!$T$2:$AH$86,4,FALSE))=TRUE,"",VLOOKUP(B20,EDW_FEEDER!$T$2:$AH$870,4,FALSE))</f>
        <v>0.26039000000000001</v>
      </c>
      <c r="F20" s="237">
        <f>IF(ISNA(VLOOKUP(B20,EDW_FEEDER!$T$2:$AH$86,5,FALSE))=TRUE,"",VLOOKUP(B20,EDW_FEEDER!$T$2:$AH$86,5,FALSE))</f>
        <v>298</v>
      </c>
      <c r="G20" s="237">
        <f>IF(ISNA(VLOOKUP(B20,EDW_FEEDER!$T$2:$AH$86,6,FALSE))=TRUE,"",VLOOKUP(B20,EDW_FEEDER!$T$2:$AH$86,6,FALSE))</f>
        <v>4692</v>
      </c>
      <c r="H20" s="238">
        <f>IF(ISNA(VLOOKUP(B20,EDW_FEEDER!$T$2:$AH$86,7,FALSE))=TRUE,"",VLOOKUP(B20,EDW_FEEDER!$T$2:$AH$86,7,FALSE))</f>
        <v>144.5</v>
      </c>
      <c r="I20" s="238">
        <f>IF(ISNA(VLOOKUP(B20,EDW_FEEDER!$T$2:$AH$86,8,FALSE))=TRUE,"",VLOOKUP(B20,EDW_FEEDER!$T$2:$AH$86,8,FALSE))</f>
        <v>154</v>
      </c>
      <c r="J20" s="239">
        <f>IF(ISNA(VLOOKUP(B20,Accuracy!$AD$7:$AQ$69,3,FALSE))=TRUE,"",VLOOKUP(B20,Accuracy!$AD$7:$AQ$69,3,FALSE))</f>
        <v>0.96061599959001698</v>
      </c>
      <c r="K20" s="239">
        <f>IF(ISNA(VLOOKUP(B20,Accuracy!$AD$7:$AQ$69,6,FALSE))=TRUE,"",VLOOKUP(B20,Accuracy!$AD$7:$AQ$69,6,FALSE))</f>
        <v>0.92735426008968602</v>
      </c>
      <c r="L20" s="239">
        <f>IF(ISNA(VLOOKUP(B20,Accuracy!$AD$7:$AQ$69,9,FALSE))=TRUE,"",VLOOKUP(B20,Accuracy!$AD$7:$AQ$69,9,FALSE))</f>
        <v>0.93565771383262497</v>
      </c>
      <c r="M20" s="239">
        <f>IF(ISNA(VLOOKUP(B20,Accuracy!$AD$7:$AQ$69,12,FALSE))=TRUE,"",VLOOKUP(B20,Accuracy!$AD$7:$AQ$69,12,FALSE))</f>
        <v>0.97464881883896004</v>
      </c>
    </row>
    <row r="21" spans="2:13" x14ac:dyDescent="0.2">
      <c r="B21" s="112" t="str">
        <f>IF(ISBLANK(VLOOKUP($B$14,EDW_FEEDER!$A$117:$AK$121,8,FALSE))=TRUE,"",VLOOKUP($B$14,EDW_FEEDER!$A$117:$AK$121,8,FALSE))</f>
        <v>Indianapolis</v>
      </c>
      <c r="C21" s="237">
        <f>IF(ISNA(VLOOKUP($B21,EDW_FEEDER!$T$2:$AH$86,2,FALSE))=TRUE,"",VLOOKUP($B21,EDW_FEEDER!$T$2:$AH$86,2,FALSE))</f>
        <v>5576</v>
      </c>
      <c r="D21" s="238">
        <f>IF(ISNA(VLOOKUP(B21,EDW_FEEDER!$T$2:$AH$86,3,FALSE))=TRUE,"",VLOOKUP(B21,EDW_FEEDER!$T$2:$AH$86,3,FALSE))</f>
        <v>129.1</v>
      </c>
      <c r="E21" s="239">
        <f>IF(ISNA(VLOOKUP(B21,EDW_FEEDER!$T$2:$AH$86,4,FALSE))=TRUE,"",VLOOKUP(B21,EDW_FEEDER!$T$2:$AH$870,4,FALSE))</f>
        <v>0.35616999999999999</v>
      </c>
      <c r="F21" s="237">
        <f>IF(ISNA(VLOOKUP(B21,EDW_FEEDER!$T$2:$AH$86,5,FALSE))=TRUE,"",VLOOKUP(B21,EDW_FEEDER!$T$2:$AH$86,5,FALSE))</f>
        <v>1421</v>
      </c>
      <c r="G21" s="237">
        <f>IF(ISNA(VLOOKUP(B21,EDW_FEEDER!$T$2:$AH$86,6,FALSE))=TRUE,"",VLOOKUP(B21,EDW_FEEDER!$T$2:$AH$86,6,FALSE))</f>
        <v>15341</v>
      </c>
      <c r="H21" s="238">
        <f>IF(ISNA(VLOOKUP(B21,EDW_FEEDER!$T$2:$AH$86,7,FALSE))=TRUE,"",VLOOKUP(B21,EDW_FEEDER!$T$2:$AH$86,7,FALSE))</f>
        <v>197.4</v>
      </c>
      <c r="I21" s="238">
        <f>IF(ISNA(VLOOKUP(B21,EDW_FEEDER!$T$2:$AH$86,8,FALSE))=TRUE,"",VLOOKUP(B21,EDW_FEEDER!$T$2:$AH$86,8,FALSE))</f>
        <v>219.5</v>
      </c>
      <c r="J21" s="239">
        <f>IF(ISNA(VLOOKUP(B21,Accuracy!$AD$7:$AQ$69,3,FALSE))=TRUE,"",VLOOKUP(B21,Accuracy!$AD$7:$AQ$69,3,FALSE))</f>
        <v>0.96061473385922902</v>
      </c>
      <c r="K21" s="239">
        <f>IF(ISNA(VLOOKUP(B21,Accuracy!$AD$7:$AQ$69,6,FALSE))=TRUE,"",VLOOKUP(B21,Accuracy!$AD$7:$AQ$69,6,FALSE))</f>
        <v>0.88733559434196396</v>
      </c>
      <c r="L21" s="239">
        <f>IF(ISNA(VLOOKUP(B21,Accuracy!$AD$7:$AQ$69,9,FALSE))=TRUE,"",VLOOKUP(B21,Accuracy!$AD$7:$AQ$69,9,FALSE))</f>
        <v>0.92811139176220103</v>
      </c>
      <c r="M21" s="239">
        <f>IF(ISNA(VLOOKUP(B21,Accuracy!$AD$7:$AQ$69,12,FALSE))=TRUE,"",VLOOKUP(B21,Accuracy!$AD$7:$AQ$69,12,FALSE))</f>
        <v>0.90957460069352702</v>
      </c>
    </row>
    <row r="22" spans="2:13" x14ac:dyDescent="0.2">
      <c r="B22" s="112" t="str">
        <f>IF(ISBLANK(VLOOKUP($B$14,EDW_FEEDER!$A$117:$AK$121,9,FALSE))=TRUE,"",VLOOKUP($B$14,EDW_FEEDER!$A$117:$AK$121,9,FALSE))</f>
        <v>Manchester</v>
      </c>
      <c r="C22" s="237">
        <f>IF(ISNA(VLOOKUP($B22,EDW_FEEDER!$T$2:$AH$86,2,FALSE))=TRUE,"",VLOOKUP($B22,EDW_FEEDER!$T$2:$AH$86,2,FALSE))</f>
        <v>1347</v>
      </c>
      <c r="D22" s="238">
        <f>IF(ISNA(VLOOKUP(B22,EDW_FEEDER!$T$2:$AH$86,3,FALSE))=TRUE,"",VLOOKUP(B22,EDW_FEEDER!$T$2:$AH$86,3,FALSE))</f>
        <v>105.3</v>
      </c>
      <c r="E22" s="239">
        <f>IF(ISNA(VLOOKUP(B22,EDW_FEEDER!$T$2:$AH$86,4,FALSE))=TRUE,"",VLOOKUP(B22,EDW_FEEDER!$T$2:$AH$870,4,FALSE))</f>
        <v>0.24349999999999999</v>
      </c>
      <c r="F22" s="237">
        <f>IF(ISNA(VLOOKUP(B22,EDW_FEEDER!$T$2:$AH$86,5,FALSE))=TRUE,"",VLOOKUP(B22,EDW_FEEDER!$T$2:$AH$86,5,FALSE))</f>
        <v>256</v>
      </c>
      <c r="G22" s="237">
        <f>IF(ISNA(VLOOKUP(B22,EDW_FEEDER!$T$2:$AH$86,6,FALSE))=TRUE,"",VLOOKUP(B22,EDW_FEEDER!$T$2:$AH$86,6,FALSE))</f>
        <v>2865</v>
      </c>
      <c r="H22" s="238">
        <f>IF(ISNA(VLOOKUP(B22,EDW_FEEDER!$T$2:$AH$86,7,FALSE))=TRUE,"",VLOOKUP(B22,EDW_FEEDER!$T$2:$AH$86,7,FALSE))</f>
        <v>158.80000000000001</v>
      </c>
      <c r="I22" s="238">
        <f>IF(ISNA(VLOOKUP(B22,EDW_FEEDER!$T$2:$AH$86,8,FALSE))=TRUE,"",VLOOKUP(B22,EDW_FEEDER!$T$2:$AH$86,8,FALSE))</f>
        <v>182.5</v>
      </c>
      <c r="J22" s="239">
        <f>IF(ISNA(VLOOKUP(B22,Accuracy!$AD$7:$AQ$69,3,FALSE))=TRUE,"",VLOOKUP(B22,Accuracy!$AD$7:$AQ$69,3,FALSE))</f>
        <v>0.94562122567128104</v>
      </c>
      <c r="K22" s="239">
        <f>IF(ISNA(VLOOKUP(B22,Accuracy!$AD$7:$AQ$69,6,FALSE))=TRUE,"",VLOOKUP(B22,Accuracy!$AD$7:$AQ$69,6,FALSE))</f>
        <v>0.88989076184198102</v>
      </c>
      <c r="L22" s="239">
        <f>IF(ISNA(VLOOKUP(B22,Accuracy!$AD$7:$AQ$69,9,FALSE))=TRUE,"",VLOOKUP(B22,Accuracy!$AD$7:$AQ$69,9,FALSE))</f>
        <v>0.90027656773516795</v>
      </c>
      <c r="M22" s="239">
        <f>IF(ISNA(VLOOKUP(B22,Accuracy!$AD$7:$AQ$69,12,FALSE))=TRUE,"",VLOOKUP(B22,Accuracy!$AD$7:$AQ$69,12,FALSE))</f>
        <v>0.93063214403375705</v>
      </c>
    </row>
    <row r="23" spans="2:13" x14ac:dyDescent="0.2">
      <c r="B23" s="112" t="str">
        <f>IF(ISBLANK(VLOOKUP($B$14,EDW_FEEDER!$A$117:$AK$121,10,FALSE))=TRUE,"",VLOOKUP($B$14,EDW_FEEDER!$A$117:$AK$121,10,FALSE))</f>
        <v>New York</v>
      </c>
      <c r="C23" s="237">
        <f>IF(ISNA(VLOOKUP($B23,EDW_FEEDER!$T$2:$AH$86,2,FALSE))=TRUE,"",VLOOKUP($B23,EDW_FEEDER!$T$2:$AH$86,2,FALSE))</f>
        <v>5063</v>
      </c>
      <c r="D23" s="238">
        <f>IF(ISNA(VLOOKUP(B23,EDW_FEEDER!$T$2:$AH$86,3,FALSE))=TRUE,"",VLOOKUP(B23,EDW_FEEDER!$T$2:$AH$86,3,FALSE))</f>
        <v>138.9</v>
      </c>
      <c r="E23" s="239">
        <f>IF(ISNA(VLOOKUP(B23,EDW_FEEDER!$T$2:$AH$86,4,FALSE))=TRUE,"",VLOOKUP(B23,EDW_FEEDER!$T$2:$AH$870,4,FALSE))</f>
        <v>0.42346</v>
      </c>
      <c r="F23" s="237">
        <f>IF(ISNA(VLOOKUP(B23,EDW_FEEDER!$T$2:$AH$86,5,FALSE))=TRUE,"",VLOOKUP(B23,EDW_FEEDER!$T$2:$AH$86,5,FALSE))</f>
        <v>1263</v>
      </c>
      <c r="G23" s="237">
        <f>IF(ISNA(VLOOKUP(B23,EDW_FEEDER!$T$2:$AH$86,6,FALSE))=TRUE,"",VLOOKUP(B23,EDW_FEEDER!$T$2:$AH$86,6,FALSE))</f>
        <v>12095</v>
      </c>
      <c r="H23" s="238">
        <f>IF(ISNA(VLOOKUP(B23,EDW_FEEDER!$T$2:$AH$86,7,FALSE))=TRUE,"",VLOOKUP(B23,EDW_FEEDER!$T$2:$AH$86,7,FALSE))</f>
        <v>190.1</v>
      </c>
      <c r="I23" s="238">
        <f>IF(ISNA(VLOOKUP(B23,EDW_FEEDER!$T$2:$AH$86,8,FALSE))=TRUE,"",VLOOKUP(B23,EDW_FEEDER!$T$2:$AH$86,8,FALSE))</f>
        <v>211.3</v>
      </c>
      <c r="J23" s="239">
        <f>IF(ISNA(VLOOKUP(B23,Accuracy!$AD$7:$AQ$69,3,FALSE))=TRUE,"",VLOOKUP(B23,Accuracy!$AD$7:$AQ$69,3,FALSE))</f>
        <v>0.94380649199729905</v>
      </c>
      <c r="K23" s="239">
        <f>IF(ISNA(VLOOKUP(B23,Accuracy!$AD$7:$AQ$69,6,FALSE))=TRUE,"",VLOOKUP(B23,Accuracy!$AD$7:$AQ$69,6,FALSE))</f>
        <v>0.89254704199909696</v>
      </c>
      <c r="L23" s="239">
        <f>IF(ISNA(VLOOKUP(B23,Accuracy!$AD$7:$AQ$69,9,FALSE))=TRUE,"",VLOOKUP(B23,Accuracy!$AD$7:$AQ$69,9,FALSE))</f>
        <v>0.90507961152224703</v>
      </c>
      <c r="M23" s="239">
        <f>IF(ISNA(VLOOKUP(B23,Accuracy!$AD$7:$AQ$69,12,FALSE))=TRUE,"",VLOOKUP(B23,Accuracy!$AD$7:$AQ$69,12,FALSE))</f>
        <v>0.89503876121664205</v>
      </c>
    </row>
    <row r="24" spans="2:13" x14ac:dyDescent="0.2">
      <c r="B24" s="112" t="str">
        <f>IF(ISBLANK(VLOOKUP($B$14,EDW_FEEDER!$A$117:$AK$121,11,FALSE))=TRUE,"",VLOOKUP($B$14,EDW_FEEDER!$A$117:$AK$121,11,FALSE))</f>
        <v>Newark</v>
      </c>
      <c r="C24" s="237">
        <f>IF(ISNA(VLOOKUP($B24,EDW_FEEDER!$T$2:$AH$86,2,FALSE))=TRUE,"",VLOOKUP($B24,EDW_FEEDER!$T$2:$AH$86,2,FALSE))</f>
        <v>2817</v>
      </c>
      <c r="D24" s="238">
        <f>IF(ISNA(VLOOKUP(B24,EDW_FEEDER!$T$2:$AH$86,3,FALSE))=TRUE,"",VLOOKUP(B24,EDW_FEEDER!$T$2:$AH$86,3,FALSE))</f>
        <v>113.4</v>
      </c>
      <c r="E24" s="239">
        <f>IF(ISNA(VLOOKUP(B24,EDW_FEEDER!$T$2:$AH$86,4,FALSE))=TRUE,"",VLOOKUP(B24,EDW_FEEDER!$T$2:$AH$870,4,FALSE))</f>
        <v>0.34647</v>
      </c>
      <c r="F24" s="237">
        <f>IF(ISNA(VLOOKUP(B24,EDW_FEEDER!$T$2:$AH$86,5,FALSE))=TRUE,"",VLOOKUP(B24,EDW_FEEDER!$T$2:$AH$86,5,FALSE))</f>
        <v>388</v>
      </c>
      <c r="G24" s="237">
        <f>IF(ISNA(VLOOKUP(B24,EDW_FEEDER!$T$2:$AH$86,6,FALSE))=TRUE,"",VLOOKUP(B24,EDW_FEEDER!$T$2:$AH$86,6,FALSE))</f>
        <v>5244</v>
      </c>
      <c r="H24" s="238">
        <f>IF(ISNA(VLOOKUP(B24,EDW_FEEDER!$T$2:$AH$86,7,FALSE))=TRUE,"",VLOOKUP(B24,EDW_FEEDER!$T$2:$AH$86,7,FALSE))</f>
        <v>178.6</v>
      </c>
      <c r="I24" s="238">
        <f>IF(ISNA(VLOOKUP(B24,EDW_FEEDER!$T$2:$AH$86,8,FALSE))=TRUE,"",VLOOKUP(B24,EDW_FEEDER!$T$2:$AH$86,8,FALSE))</f>
        <v>167.6</v>
      </c>
      <c r="J24" s="239">
        <f>IF(ISNA(VLOOKUP(B24,Accuracy!$AD$7:$AQ$69,3,FALSE))=TRUE,"",VLOOKUP(B24,Accuracy!$AD$7:$AQ$69,3,FALSE))</f>
        <v>0.95362548688336601</v>
      </c>
      <c r="K24" s="239">
        <f>IF(ISNA(VLOOKUP(B24,Accuracy!$AD$7:$AQ$69,6,FALSE))=TRUE,"",VLOOKUP(B24,Accuracy!$AD$7:$AQ$69,6,FALSE))</f>
        <v>0.88282261545101404</v>
      </c>
      <c r="L24" s="239">
        <f>IF(ISNA(VLOOKUP(B24,Accuracy!$AD$7:$AQ$69,9,FALSE))=TRUE,"",VLOOKUP(B24,Accuracy!$AD$7:$AQ$69,9,FALSE))</f>
        <v>0.86581783171170401</v>
      </c>
      <c r="M24" s="239">
        <f>IF(ISNA(VLOOKUP(B24,Accuracy!$AD$7:$AQ$69,12,FALSE))=TRUE,"",VLOOKUP(B24,Accuracy!$AD$7:$AQ$69,12,FALSE))</f>
        <v>0.84286298940536597</v>
      </c>
    </row>
    <row r="25" spans="2:13" x14ac:dyDescent="0.2">
      <c r="B25" s="113" t="str">
        <f>IF(ISBLANK(VLOOKUP($B$14,EDW_FEEDER!$A$117:$AK$121,12,FALSE))=TRUE,"",VLOOKUP($B$14,EDW_FEEDER!$A$117:$AK$121,12,FALSE))</f>
        <v>Philadelphia (Non-PMC)</v>
      </c>
      <c r="C25" s="237">
        <f>IF(ISNA(VLOOKUP($B25,EDW_FEEDER!$T$2:$AH$86,2,FALSE))=TRUE,"",VLOOKUP($B25,EDW_FEEDER!$T$2:$AH$86,2,FALSE))</f>
        <v>8459</v>
      </c>
      <c r="D25" s="238">
        <f>IF(ISNA(VLOOKUP(B25,EDW_FEEDER!$T$2:$AH$86,3,FALSE))=TRUE,"",VLOOKUP(B25,EDW_FEEDER!$T$2:$AH$86,3,FALSE))</f>
        <v>143.6</v>
      </c>
      <c r="E25" s="239">
        <f>IF(ISNA(VLOOKUP(B25,EDW_FEEDER!$T$2:$AH$86,4,FALSE))=TRUE,"",VLOOKUP(B25,EDW_FEEDER!$T$2:$AH$870,4,FALSE))</f>
        <v>0.42535000000000001</v>
      </c>
      <c r="F25" s="237">
        <f>IF(ISNA(VLOOKUP(B25,EDW_FEEDER!$T$2:$AH$86,5,FALSE))=TRUE,"",VLOOKUP(B25,EDW_FEEDER!$T$2:$AH$86,5,FALSE))</f>
        <v>1587</v>
      </c>
      <c r="G25" s="237">
        <f>IF(ISNA(VLOOKUP(B25,EDW_FEEDER!$T$2:$AH$86,6,FALSE))=TRUE,"",VLOOKUP(B25,EDW_FEEDER!$T$2:$AH$86,6,FALSE))</f>
        <v>21849</v>
      </c>
      <c r="H25" s="238">
        <f>IF(ISNA(VLOOKUP(B25,EDW_FEEDER!$T$2:$AH$86,7,FALSE))=TRUE,"",VLOOKUP(B25,EDW_FEEDER!$T$2:$AH$86,7,FALSE))</f>
        <v>211.8</v>
      </c>
      <c r="I25" s="238">
        <f>IF(ISNA(VLOOKUP(B25,EDW_FEEDER!$T$2:$AH$86,8,FALSE))=TRUE,"",VLOOKUP(B25,EDW_FEEDER!$T$2:$AH$86,8,FALSE))</f>
        <v>237.9</v>
      </c>
      <c r="J25" s="239">
        <f>IF(ISNA(VLOOKUP(B25,Accuracy!$AD$7:$AQ$69,3,FALSE))=TRUE,"",VLOOKUP(B25,Accuracy!$AD$7:$AQ$69,3,FALSE))</f>
        <v>0.90865213041132797</v>
      </c>
      <c r="K25" s="239">
        <f>IF(ISNA(VLOOKUP(B25,Accuracy!$AD$7:$AQ$69,6,FALSE))=TRUE,"",VLOOKUP(B25,Accuracy!$AD$7:$AQ$69,6,FALSE))</f>
        <v>0.78308141584780699</v>
      </c>
      <c r="L25" s="239">
        <f>IF(ISNA(VLOOKUP(B25,Accuracy!$AD$7:$AQ$69,9,FALSE))=TRUE,"",VLOOKUP(B25,Accuracy!$AD$7:$AQ$69,9,FALSE))</f>
        <v>0.86450871504688398</v>
      </c>
      <c r="M25" s="239">
        <f>IF(ISNA(VLOOKUP(B25,Accuracy!$AD$7:$AQ$69,12,FALSE))=TRUE,"",VLOOKUP(B25,Accuracy!$AD$7:$AQ$69,12,FALSE))</f>
        <v>0.91848003911697496</v>
      </c>
    </row>
    <row r="26" spans="2:13" x14ac:dyDescent="0.2">
      <c r="B26" s="112" t="str">
        <f>IF(ISBLANK(VLOOKUP($B$14,EDW_FEEDER!$A$117:$AK$121,13,FALSE))=TRUE,"",VLOOKUP($B$14,EDW_FEEDER!$A$117:$AK$121,13,FALSE))</f>
        <v>Pittsburgh</v>
      </c>
      <c r="C26" s="237">
        <f>IF(ISNA(VLOOKUP($B26,EDW_FEEDER!$T$2:$AH$86,2,FALSE))=TRUE,"",VLOOKUP($B26,EDW_FEEDER!$T$2:$AH$86,2,FALSE))</f>
        <v>4648</v>
      </c>
      <c r="D26" s="238">
        <f>IF(ISNA(VLOOKUP(B26,EDW_FEEDER!$T$2:$AH$86,3,FALSE))=TRUE,"",VLOOKUP(B26,EDW_FEEDER!$T$2:$AH$86,3,FALSE))</f>
        <v>148.4</v>
      </c>
      <c r="E26" s="239">
        <f>IF(ISNA(VLOOKUP(B26,EDW_FEEDER!$T$2:$AH$86,4,FALSE))=TRUE,"",VLOOKUP(B26,EDW_FEEDER!$T$2:$AH$870,4,FALSE))</f>
        <v>0.4133</v>
      </c>
      <c r="F26" s="237">
        <f>IF(ISNA(VLOOKUP(B26,EDW_FEEDER!$T$2:$AH$86,5,FALSE))=TRUE,"",VLOOKUP(B26,EDW_FEEDER!$T$2:$AH$86,5,FALSE))</f>
        <v>784</v>
      </c>
      <c r="G26" s="237">
        <f>IF(ISNA(VLOOKUP(B26,EDW_FEEDER!$T$2:$AH$86,6,FALSE))=TRUE,"",VLOOKUP(B26,EDW_FEEDER!$T$2:$AH$86,6,FALSE))</f>
        <v>9997</v>
      </c>
      <c r="H26" s="238">
        <f>IF(ISNA(VLOOKUP(B26,EDW_FEEDER!$T$2:$AH$86,7,FALSE))=TRUE,"",VLOOKUP(B26,EDW_FEEDER!$T$2:$AH$86,7,FALSE))</f>
        <v>178.3</v>
      </c>
      <c r="I26" s="238">
        <f>IF(ISNA(VLOOKUP(B26,EDW_FEEDER!$T$2:$AH$86,8,FALSE))=TRUE,"",VLOOKUP(B26,EDW_FEEDER!$T$2:$AH$86,8,FALSE))</f>
        <v>211.7</v>
      </c>
      <c r="J26" s="239">
        <f>IF(ISNA(VLOOKUP(B26,Accuracy!$AD$7:$AQ$69,3,FALSE))=TRUE,"",VLOOKUP(B26,Accuracy!$AD$7:$AQ$69,3,FALSE))</f>
        <v>0.94871407496934101</v>
      </c>
      <c r="K26" s="239">
        <f>IF(ISNA(VLOOKUP(B26,Accuracy!$AD$7:$AQ$69,6,FALSE))=TRUE,"",VLOOKUP(B26,Accuracy!$AD$7:$AQ$69,6,FALSE))</f>
        <v>0.84826126053578099</v>
      </c>
      <c r="L26" s="239">
        <f>IF(ISNA(VLOOKUP(B26,Accuracy!$AD$7:$AQ$69,9,FALSE))=TRUE,"",VLOOKUP(B26,Accuracy!$AD$7:$AQ$69,9,FALSE))</f>
        <v>0.89220254852439496</v>
      </c>
      <c r="M26" s="239">
        <f>IF(ISNA(VLOOKUP(B26,Accuracy!$AD$7:$AQ$69,12,FALSE))=TRUE,"",VLOOKUP(B26,Accuracy!$AD$7:$AQ$69,12,FALSE))</f>
        <v>0.90551892337998396</v>
      </c>
    </row>
    <row r="27" spans="2:13" x14ac:dyDescent="0.2">
      <c r="B27" s="112" t="str">
        <f>IF(ISBLANK(VLOOKUP($B$14,EDW_FEEDER!$A$117:$AK$121,14,FALSE))=TRUE,"",VLOOKUP($B$14,EDW_FEEDER!$A$117:$AK$121,14,FALSE))</f>
        <v>Providence</v>
      </c>
      <c r="C27" s="237">
        <f>IF(ISNA(VLOOKUP($B27,EDW_FEEDER!$T$2:$AH$86,2,FALSE))=TRUE,"",VLOOKUP($B27,EDW_FEEDER!$T$2:$AH$86,2,FALSE))</f>
        <v>2182</v>
      </c>
      <c r="D27" s="238">
        <f>IF(ISNA(VLOOKUP(B27,EDW_FEEDER!$T$2:$AH$86,3,FALSE))=TRUE,"",VLOOKUP(B27,EDW_FEEDER!$T$2:$AH$86,3,FALSE))</f>
        <v>86.2</v>
      </c>
      <c r="E27" s="239">
        <f>IF(ISNA(VLOOKUP(B27,EDW_FEEDER!$T$2:$AH$86,4,FALSE))=TRUE,"",VLOOKUP(B27,EDW_FEEDER!$T$2:$AH$870,4,FALSE))</f>
        <v>0.21906999999999999</v>
      </c>
      <c r="F27" s="237">
        <f>IF(ISNA(VLOOKUP(B27,EDW_FEEDER!$T$2:$AH$86,5,FALSE))=TRUE,"",VLOOKUP(B27,EDW_FEEDER!$T$2:$AH$86,5,FALSE))</f>
        <v>1287</v>
      </c>
      <c r="G27" s="237">
        <f>IF(ISNA(VLOOKUP(B27,EDW_FEEDER!$T$2:$AH$86,6,FALSE))=TRUE,"",VLOOKUP(B27,EDW_FEEDER!$T$2:$AH$86,6,FALSE))</f>
        <v>17646</v>
      </c>
      <c r="H27" s="238">
        <f>IF(ISNA(VLOOKUP(B27,EDW_FEEDER!$T$2:$AH$86,7,FALSE))=TRUE,"",VLOOKUP(B27,EDW_FEEDER!$T$2:$AH$86,7,FALSE))</f>
        <v>43.9</v>
      </c>
      <c r="I27" s="238">
        <f>IF(ISNA(VLOOKUP(B27,EDW_FEEDER!$T$2:$AH$86,8,FALSE))=TRUE,"",VLOOKUP(B27,EDW_FEEDER!$T$2:$AH$86,8,FALSE))</f>
        <v>56.8</v>
      </c>
      <c r="J27" s="239">
        <f>IF(ISNA(VLOOKUP(B27,Accuracy!$AD$7:$AQ$69,3,FALSE))=TRUE,"",VLOOKUP(B27,Accuracy!$AD$7:$AQ$69,3,FALSE))</f>
        <v>0.95877532475481597</v>
      </c>
      <c r="K27" s="239">
        <f>IF(ISNA(VLOOKUP(B27,Accuracy!$AD$7:$AQ$69,6,FALSE))=TRUE,"",VLOOKUP(B27,Accuracy!$AD$7:$AQ$69,6,FALSE))</f>
        <v>0.74662914896060595</v>
      </c>
      <c r="L27" s="239">
        <f>IF(ISNA(VLOOKUP(B27,Accuracy!$AD$7:$AQ$69,9,FALSE))=TRUE,"",VLOOKUP(B27,Accuracy!$AD$7:$AQ$69,9,FALSE))</f>
        <v>0.87104958417637701</v>
      </c>
      <c r="M27" s="239">
        <f>IF(ISNA(VLOOKUP(B27,Accuracy!$AD$7:$AQ$69,12,FALSE))=TRUE,"",VLOOKUP(B27,Accuracy!$AD$7:$AQ$69,12,FALSE))</f>
        <v>0.94176371022342598</v>
      </c>
    </row>
    <row r="28" spans="2:13" x14ac:dyDescent="0.2">
      <c r="B28" s="112" t="str">
        <f>IF(ISBLANK(VLOOKUP($B$14,EDW_FEEDER!$A$117:$AK$121,15,FALSE))=TRUE,"",VLOOKUP($B$14,EDW_FEEDER!$A$117:$AK$121,15,FALSE))</f>
        <v>Togus</v>
      </c>
      <c r="C28" s="237">
        <f>IF(ISNA(VLOOKUP($B28,EDW_FEEDER!$T$2:$AH$86,2,FALSE))=TRUE,"",VLOOKUP($B28,EDW_FEEDER!$T$2:$AH$86,2,FALSE))</f>
        <v>1282</v>
      </c>
      <c r="D28" s="238">
        <f>IF(ISNA(VLOOKUP(B28,EDW_FEEDER!$T$2:$AH$86,3,FALSE))=TRUE,"",VLOOKUP(B28,EDW_FEEDER!$T$2:$AH$86,3,FALSE))</f>
        <v>97.6</v>
      </c>
      <c r="E28" s="239">
        <f>IF(ISNA(VLOOKUP(B28,EDW_FEEDER!$T$2:$AH$86,4,FALSE))=TRUE,"",VLOOKUP(B28,EDW_FEEDER!$T$2:$AH$870,4,FALSE))</f>
        <v>0.22387000000000001</v>
      </c>
      <c r="F28" s="237">
        <f>IF(ISNA(VLOOKUP(B28,EDW_FEEDER!$T$2:$AH$86,5,FALSE))=TRUE,"",VLOOKUP(B28,EDW_FEEDER!$T$2:$AH$86,5,FALSE))</f>
        <v>233</v>
      </c>
      <c r="G28" s="237">
        <f>IF(ISNA(VLOOKUP(B28,EDW_FEEDER!$T$2:$AH$86,6,FALSE))=TRUE,"",VLOOKUP(B28,EDW_FEEDER!$T$2:$AH$86,6,FALSE))</f>
        <v>3223</v>
      </c>
      <c r="H28" s="238">
        <f>IF(ISNA(VLOOKUP(B28,EDW_FEEDER!$T$2:$AH$86,7,FALSE))=TRUE,"",VLOOKUP(B28,EDW_FEEDER!$T$2:$AH$86,7,FALSE))</f>
        <v>167.5</v>
      </c>
      <c r="I28" s="238">
        <f>IF(ISNA(VLOOKUP(B28,EDW_FEEDER!$T$2:$AH$86,8,FALSE))=TRUE,"",VLOOKUP(B28,EDW_FEEDER!$T$2:$AH$86,8,FALSE))</f>
        <v>126.4</v>
      </c>
      <c r="J28" s="239">
        <f>IF(ISNA(VLOOKUP(B28,Accuracy!$AD$7:$AQ$69,3,FALSE))=TRUE,"",VLOOKUP(B28,Accuracy!$AD$7:$AQ$69,3,FALSE))</f>
        <v>0.971368338949122</v>
      </c>
      <c r="K28" s="239">
        <f>IF(ISNA(VLOOKUP(B28,Accuracy!$AD$7:$AQ$69,6,FALSE))=TRUE,"",VLOOKUP(B28,Accuracy!$AD$7:$AQ$69,6,FALSE))</f>
        <v>0.90754927919976502</v>
      </c>
      <c r="L28" s="239">
        <f>IF(ISNA(VLOOKUP(B28,Accuracy!$AD$7:$AQ$69,9,FALSE))=TRUE,"",VLOOKUP(B28,Accuracy!$AD$7:$AQ$69,9,FALSE))</f>
        <v>0.89543861051315898</v>
      </c>
      <c r="M28" s="239">
        <f>IF(ISNA(VLOOKUP(B28,Accuracy!$AD$7:$AQ$69,12,FALSE))=TRUE,"",VLOOKUP(B28,Accuracy!$AD$7:$AQ$69,12,FALSE))</f>
        <v>0.962087506009905</v>
      </c>
    </row>
    <row r="29" spans="2:13" x14ac:dyDescent="0.2">
      <c r="B29" s="112" t="str">
        <f>IF(ISBLANK(VLOOKUP($B$14,EDW_FEEDER!$A$117:$AK$121,16,FALSE))=TRUE,"",VLOOKUP($B$14,EDW_FEEDER!$A$117:$AK$121,16,FALSE))</f>
        <v>White River J.</v>
      </c>
      <c r="C29" s="237">
        <f>IF(ISNA(VLOOKUP($B29,EDW_FEEDER!$T$2:$AH$86,2,FALSE))=TRUE,"",VLOOKUP($B29,EDW_FEEDER!$T$2:$AH$86,2,FALSE))</f>
        <v>434</v>
      </c>
      <c r="D29" s="238">
        <f>IF(ISNA(VLOOKUP(B29,EDW_FEEDER!$T$2:$AH$86,3,FALSE))=TRUE,"",VLOOKUP(B29,EDW_FEEDER!$T$2:$AH$86,3,FALSE))</f>
        <v>110.6</v>
      </c>
      <c r="E29" s="239">
        <f>IF(ISNA(VLOOKUP(B29,EDW_FEEDER!$T$2:$AH$86,4,FALSE))=TRUE,"",VLOOKUP(B29,EDW_FEEDER!$T$2:$AH$870,4,FALSE))</f>
        <v>0.29263</v>
      </c>
      <c r="F29" s="237">
        <f>IF(ISNA(VLOOKUP(B29,EDW_FEEDER!$T$2:$AH$86,5,FALSE))=TRUE,"",VLOOKUP(B29,EDW_FEEDER!$T$2:$AH$86,5,FALSE))</f>
        <v>84</v>
      </c>
      <c r="G29" s="237">
        <f>IF(ISNA(VLOOKUP(B29,EDW_FEEDER!$T$2:$AH$86,6,FALSE))=TRUE,"",VLOOKUP(B29,EDW_FEEDER!$T$2:$AH$86,6,FALSE))</f>
        <v>1131</v>
      </c>
      <c r="H29" s="238">
        <f>IF(ISNA(VLOOKUP(B29,EDW_FEEDER!$T$2:$AH$86,7,FALSE))=TRUE,"",VLOOKUP(B29,EDW_FEEDER!$T$2:$AH$86,7,FALSE))</f>
        <v>166.2</v>
      </c>
      <c r="I29" s="238">
        <f>IF(ISNA(VLOOKUP(B29,EDW_FEEDER!$T$2:$AH$86,8,FALSE))=TRUE,"",VLOOKUP(B29,EDW_FEEDER!$T$2:$AH$86,8,FALSE))</f>
        <v>174.1</v>
      </c>
      <c r="J29" s="239">
        <f>IF(ISNA(VLOOKUP(B29,Accuracy!$AD$7:$AQ$69,3,FALSE))=TRUE,"",VLOOKUP(B29,Accuracy!$AD$7:$AQ$69,3,FALSE))</f>
        <v>0.90407738295156803</v>
      </c>
      <c r="K29" s="239">
        <f>IF(ISNA(VLOOKUP(B29,Accuracy!$AD$7:$AQ$69,6,FALSE))=TRUE,"",VLOOKUP(B29,Accuracy!$AD$7:$AQ$69,6,FALSE))</f>
        <v>0.78799392097264398</v>
      </c>
      <c r="L29" s="239">
        <f>IF(ISNA(VLOOKUP(B29,Accuracy!$AD$7:$AQ$69,9,FALSE))=TRUE,"",VLOOKUP(B29,Accuracy!$AD$7:$AQ$69,9,FALSE))</f>
        <v>0.83558366623763303</v>
      </c>
      <c r="M29" s="239">
        <f>IF(ISNA(VLOOKUP(B29,Accuracy!$AD$7:$AQ$69,12,FALSE))=TRUE,"",VLOOKUP(B29,Accuracy!$AD$7:$AQ$69,12,FALSE))</f>
        <v>0.86957951296460601</v>
      </c>
    </row>
    <row r="30" spans="2:13" x14ac:dyDescent="0.2">
      <c r="B30" s="114" t="str">
        <f>IF(ISBLANK(VLOOKUP($B$14,EDW_FEEDER!$A$117:$AK$121,17,FALSE))=TRUE,"",VLOOKUP($B$14,EDW_FEEDER!$A$117:$AK$121,17,FALSE))</f>
        <v>Wilmington</v>
      </c>
      <c r="C30" s="237">
        <f>IF(ISNA(VLOOKUP($B30,EDW_FEEDER!$T$2:$AH$86,2,FALSE))=TRUE,"",VLOOKUP($B30,EDW_FEEDER!$T$2:$AH$86,2,FALSE))</f>
        <v>895</v>
      </c>
      <c r="D30" s="238">
        <f>IF(ISNA(VLOOKUP(B30,EDW_FEEDER!$T$2:$AH$86,3,FALSE))=TRUE,"",VLOOKUP(B30,EDW_FEEDER!$T$2:$AH$86,3,FALSE))</f>
        <v>137</v>
      </c>
      <c r="E30" s="239">
        <f>IF(ISNA(VLOOKUP(B30,EDW_FEEDER!$T$2:$AH$86,4,FALSE))=TRUE,"",VLOOKUP(B30,EDW_FEEDER!$T$2:$AH$870,4,FALSE))</f>
        <v>0.37764999999999999</v>
      </c>
      <c r="F30" s="237">
        <f>IF(ISNA(VLOOKUP(B30,EDW_FEEDER!$T$2:$AH$86,5,FALSE))=TRUE,"",VLOOKUP(B30,EDW_FEEDER!$T$2:$AH$86,5,FALSE))</f>
        <v>145</v>
      </c>
      <c r="G30" s="237">
        <f>IF(ISNA(VLOOKUP(B30,EDW_FEEDER!$T$2:$AH$86,6,FALSE))=TRUE,"",VLOOKUP(B30,EDW_FEEDER!$T$2:$AH$86,6,FALSE))</f>
        <v>2023</v>
      </c>
      <c r="H30" s="238">
        <f>IF(ISNA(VLOOKUP(B30,EDW_FEEDER!$T$2:$AH$86,7,FALSE))=TRUE,"",VLOOKUP(B30,EDW_FEEDER!$T$2:$AH$86,7,FALSE))</f>
        <v>238.2</v>
      </c>
      <c r="I30" s="238">
        <f>IF(ISNA(VLOOKUP(B30,EDW_FEEDER!$T$2:$AH$86,8,FALSE))=TRUE,"",VLOOKUP(B30,EDW_FEEDER!$T$2:$AH$86,8,FALSE))</f>
        <v>224.4</v>
      </c>
      <c r="J30" s="239">
        <f>IF(ISNA(VLOOKUP(B30,Accuracy!$AD$7:$AQ$69,3,FALSE))=TRUE,"",VLOOKUP(B30,Accuracy!$AD$7:$AQ$69,3,FALSE))</f>
        <v>0.941916285454797</v>
      </c>
      <c r="K30" s="239">
        <f>IF(ISNA(VLOOKUP(B30,Accuracy!$AD$7:$AQ$69,6,FALSE))=TRUE,"",VLOOKUP(B30,Accuracy!$AD$7:$AQ$69,6,FALSE))</f>
        <v>0.87576237391508305</v>
      </c>
      <c r="L30" s="239">
        <f>IF(ISNA(VLOOKUP(B30,Accuracy!$AD$7:$AQ$69,9,FALSE))=TRUE,"",VLOOKUP(B30,Accuracy!$AD$7:$AQ$69,9,FALSE))</f>
        <v>0.872788121353545</v>
      </c>
      <c r="M30" s="239">
        <f>IF(ISNA(VLOOKUP(B30,Accuracy!$AD$7:$AQ$69,12,FALSE))=TRUE,"",VLOOKUP(B30,Accuracy!$AD$7:$AQ$69,12,FALSE))</f>
        <v>0.89020310815742798</v>
      </c>
    </row>
    <row r="31" spans="2:13" x14ac:dyDescent="0.2">
      <c r="B31" s="475" t="s">
        <v>297</v>
      </c>
      <c r="C31" s="476"/>
      <c r="D31" s="476"/>
      <c r="E31" s="476"/>
      <c r="F31" s="476"/>
      <c r="G31" s="476"/>
      <c r="H31" s="476"/>
      <c r="I31" s="476"/>
      <c r="J31" s="476"/>
      <c r="K31" s="476"/>
      <c r="L31" s="476"/>
      <c r="M31" s="477"/>
    </row>
    <row r="32" spans="2:13" x14ac:dyDescent="0.2">
      <c r="B32" s="200" t="s">
        <v>387</v>
      </c>
      <c r="C32" s="237">
        <f>IF(ISNA(VLOOKUP("USAP",EDW_FEEDER!$T$2:$AH$86,2,FALSE))=TRUE,"",VLOOKUP("USAP",EDW_FEEDER!$T$2:$AH$86,2,FALSE))</f>
        <v>18985</v>
      </c>
      <c r="D32" s="238">
        <f>IF(ISNA(VLOOKUP("USAP",EDW_FEEDER!$T$2:$AH$86,3,FALSE))=TRUE,"",VLOOKUP("USAP",EDW_FEEDER!$T$2:$AH$86,3,FALSE))</f>
        <v>61.4</v>
      </c>
      <c r="E32" s="239">
        <f>IF(ISNA(VLOOKUP("USAP",EDW_FEEDER!$T$2:$AH$86,4,FALSE))=TRUE,"",VLOOKUP("USAP",EDW_FEEDER!$T$2:$AH$870,4,FALSE))</f>
        <v>9.6180000000000002E-2</v>
      </c>
      <c r="F32" s="237">
        <f>IF(ISNA(VLOOKUP("USAP",EDW_FEEDER!$T$2:$AH$86,5,FALSE))=TRUE,"",VLOOKUP("USAP",EDW_FEEDER!$T$2:$AH$86,5,FALSE))</f>
        <v>8383</v>
      </c>
      <c r="G32" s="237">
        <f>IF(ISNA(VLOOKUP("USAP",EDW_FEEDER!$T$2:$AH$86,6,FALSE))=TRUE,"",VLOOKUP("USAP",EDW_FEEDER!$T$2:$AH$86,6,FALSE))</f>
        <v>110882</v>
      </c>
      <c r="H32" s="238">
        <f>IF(ISNA(VLOOKUP("USAP",EDW_FEEDER!$T$2:$AH$86,7,FALSE))=TRUE,"",VLOOKUP("USAP",EDW_FEEDER!$T$2:$AH$86,7,FALSE))</f>
        <v>62.2</v>
      </c>
      <c r="I32" s="238">
        <f>IF(ISNA(VLOOKUP("USAP",EDW_FEEDER!$T$2:$AH$86,8,FALSE))=TRUE,"",VLOOKUP("USAP",EDW_FEEDER!$T$2:$AH$86,8,FALSE))</f>
        <v>64.5</v>
      </c>
      <c r="J32" s="240"/>
      <c r="K32" s="240" t="s">
        <v>470</v>
      </c>
      <c r="L32" s="240" t="s">
        <v>470</v>
      </c>
      <c r="M32" s="240" t="s">
        <v>470</v>
      </c>
    </row>
    <row r="33" spans="1:16" x14ac:dyDescent="0.2">
      <c r="B33" s="116" t="s">
        <v>245</v>
      </c>
      <c r="C33" s="237">
        <f>IF(ISNA(VLOOKUP($B33,EDW_FEEDER!$T$2:$AH$86,2,FALSE))=TRUE,"",VLOOKUP($B33,EDW_FEEDER!$T$2:$AH$86,2,FALSE))</f>
        <v>6106</v>
      </c>
      <c r="D33" s="238">
        <f>IF(ISNA(VLOOKUP(B33,EDW_FEEDER!$T$2:$AH$86,3,FALSE))=TRUE,"",VLOOKUP(B33,EDW_FEEDER!$T$2:$AH$86,3,FALSE))</f>
        <v>66.099999999999994</v>
      </c>
      <c r="E33" s="239">
        <f>IF(ISNA(VLOOKUP(B33,EDW_FEEDER!$T$2:$AH$86,4,FALSE))=TRUE,"",VLOOKUP(B33,EDW_FEEDER!$T$2:$AH$870,4,FALSE))</f>
        <v>0.11513</v>
      </c>
      <c r="F33" s="237">
        <f>IF(ISNA(VLOOKUP(B33,EDW_FEEDER!$T$2:$AH$86,5,FALSE))=TRUE,"",VLOOKUP(B33,EDW_FEEDER!$T$2:$AH$86,5,FALSE))</f>
        <v>2780</v>
      </c>
      <c r="G33" s="237">
        <f>IF(ISNA(VLOOKUP(B33,EDW_FEEDER!$T$2:$AH$86,6,FALSE))=TRUE,"",VLOOKUP(B33,EDW_FEEDER!$T$2:$AH$86,6,FALSE))</f>
        <v>35023</v>
      </c>
      <c r="H33" s="238">
        <f>IF(ISNA(VLOOKUP(B33,EDW_FEEDER!$T$2:$AH$86,7,FALSE))=TRUE,"",VLOOKUP(B33,EDW_FEEDER!$T$2:$AH$86,7,FALSE))</f>
        <v>65.400000000000006</v>
      </c>
      <c r="I33" s="238">
        <f>IF(ISNA(VLOOKUP(B33,EDW_FEEDER!$T$2:$AH$86,8,FALSE))=TRUE,"",VLOOKUP(B33,EDW_FEEDER!$T$2:$AH$86,8,FALSE))</f>
        <v>72.599999999999994</v>
      </c>
      <c r="J33" s="240"/>
      <c r="K33" s="239">
        <v>0.96956848030018761</v>
      </c>
      <c r="L33" s="239">
        <v>0.97429808300267595</v>
      </c>
      <c r="M33" s="269">
        <v>0.95524786762096037</v>
      </c>
    </row>
    <row r="34" spans="1:16" x14ac:dyDescent="0.2">
      <c r="A34" s="16"/>
      <c r="B34" s="116" t="s">
        <v>243</v>
      </c>
      <c r="C34" s="237">
        <f>IF(ISNA(VLOOKUP($B34,EDW_FEEDER!$T$2:$AH$86,2,FALSE))=TRUE,"",VLOOKUP($B34,EDW_FEEDER!$T$2:$AH$86,2,FALSE))</f>
        <v>4609</v>
      </c>
      <c r="D34" s="238">
        <f>IF(ISNA(VLOOKUP(B34,EDW_FEEDER!$T$2:$AH$86,3,FALSE))=TRUE,"",VLOOKUP(B34,EDW_FEEDER!$T$2:$AH$86,3,FALSE))</f>
        <v>54.6</v>
      </c>
      <c r="E34" s="239">
        <f>IF(ISNA(VLOOKUP(B34,EDW_FEEDER!$T$2:$AH$86,4,FALSE))=TRUE,"",VLOOKUP(B34,EDW_FEEDER!$T$2:$AH$870,4,FALSE))</f>
        <v>8.1799999999999998E-2</v>
      </c>
      <c r="F34" s="237">
        <f>IF(ISNA(VLOOKUP(B34,EDW_FEEDER!$T$2:$AH$86,5,FALSE))=TRUE,"",VLOOKUP(B34,EDW_FEEDER!$T$2:$AH$86,5,FALSE))</f>
        <v>2301</v>
      </c>
      <c r="G34" s="237">
        <f>IF(ISNA(VLOOKUP(B34,EDW_FEEDER!$T$2:$AH$86,6,FALSE))=TRUE,"",VLOOKUP(B34,EDW_FEEDER!$T$2:$AH$86,6,FALSE))</f>
        <v>31231</v>
      </c>
      <c r="H34" s="238">
        <f>IF(ISNA(VLOOKUP(B34,EDW_FEEDER!$T$2:$AH$86,7,FALSE))=TRUE,"",VLOOKUP(B34,EDW_FEEDER!$T$2:$AH$86,7,FALSE))</f>
        <v>51.4</v>
      </c>
      <c r="I34" s="238">
        <f>IF(ISNA(VLOOKUP(B34,EDW_FEEDER!$T$2:$AH$86,8,FALSE))=TRUE,"",VLOOKUP(B34,EDW_FEEDER!$T$2:$AH$86,8,FALSE))</f>
        <v>55.2</v>
      </c>
      <c r="J34" s="240"/>
      <c r="K34" s="239">
        <v>0.92004174357860691</v>
      </c>
      <c r="L34" s="239">
        <v>0.96470723620678556</v>
      </c>
      <c r="M34" s="269">
        <v>0.99654953665206458</v>
      </c>
    </row>
    <row r="35" spans="1:16" x14ac:dyDescent="0.2">
      <c r="B35" s="116" t="s">
        <v>251</v>
      </c>
      <c r="C35" s="237">
        <f>IF(ISNA(VLOOKUP($B35,EDW_FEEDER!$T$2:$AH$86,2,FALSE))=TRUE,"",VLOOKUP($B35,EDW_FEEDER!$T$2:$AH$86,2,FALSE))</f>
        <v>7683</v>
      </c>
      <c r="D35" s="238">
        <f>IF(ISNA(VLOOKUP(B35,EDW_FEEDER!$T$2:$AH$86,3,FALSE))=TRUE,"",VLOOKUP(B35,EDW_FEEDER!$T$2:$AH$86,3,FALSE))</f>
        <v>54.4</v>
      </c>
      <c r="E35" s="239">
        <f>IF(ISNA(VLOOKUP(B35,EDW_FEEDER!$T$2:$AH$86,4,FALSE))=TRUE,"",VLOOKUP(B35,EDW_FEEDER!$T$2:$AH$870,4,FALSE))</f>
        <v>6.404E-2</v>
      </c>
      <c r="F35" s="237">
        <f>IF(ISNA(VLOOKUP(B35,EDW_FEEDER!$T$2:$AH$86,5,FALSE))=TRUE,"",VLOOKUP(B35,EDW_FEEDER!$T$2:$AH$86,5,FALSE))</f>
        <v>3046</v>
      </c>
      <c r="G35" s="237">
        <f>IF(ISNA(VLOOKUP(B35,EDW_FEEDER!$T$2:$AH$86,6,FALSE))=TRUE,"",VLOOKUP(B35,EDW_FEEDER!$T$2:$AH$86,6,FALSE))</f>
        <v>40458</v>
      </c>
      <c r="H35" s="238">
        <f>IF(ISNA(VLOOKUP(B35,EDW_FEEDER!$T$2:$AH$86,7,FALSE))=TRUE,"",VLOOKUP(B35,EDW_FEEDER!$T$2:$AH$86,7,FALSE))</f>
        <v>66.400000000000006</v>
      </c>
      <c r="I35" s="238">
        <f>IF(ISNA(VLOOKUP(B35,EDW_FEEDER!$T$2:$AH$86,8,FALSE))=TRUE,"",VLOOKUP(B35,EDW_FEEDER!$T$2:$AH$86,8,FALSE))</f>
        <v>64.400000000000006</v>
      </c>
      <c r="J35" s="240"/>
      <c r="K35" s="239">
        <v>1</v>
      </c>
      <c r="L35" s="239">
        <v>0.99185396206751464</v>
      </c>
      <c r="M35" s="269">
        <v>0.98049425229308584</v>
      </c>
    </row>
    <row r="36" spans="1:16" x14ac:dyDescent="0.2">
      <c r="B36" s="117" t="s">
        <v>433</v>
      </c>
      <c r="C36" s="237">
        <f>IF(ISNA(VLOOKUP($B36,EDW_FEEDER!$T$2:$AH$86,2,FALSE))=TRUE,"",VLOOKUP($B36,EDW_FEEDER!$T$2:$AH$86,2,FALSE))</f>
        <v>587</v>
      </c>
      <c r="D36" s="238">
        <f>IF(ISNA(VLOOKUP(B36,EDW_FEEDER!$T$2:$AH$86,3,FALSE))=TRUE,"",VLOOKUP(B36,EDW_FEEDER!$T$2:$AH$86,3,FALSE))</f>
        <v>157.19999999999999</v>
      </c>
      <c r="E36" s="239">
        <f>IF(ISNA(VLOOKUP(B36,EDW_FEEDER!$T$2:$AH$86,4,FALSE))=TRUE,"",VLOOKUP(B36,EDW_FEEDER!$T$2:$AH$870,4,FALSE))</f>
        <v>0.43270999999999998</v>
      </c>
      <c r="F36" s="237">
        <f>IF(ISNA(VLOOKUP(B36,EDW_FEEDER!$T$2:$AH$86,5,FALSE))=TRUE,"",VLOOKUP(B36,EDW_FEEDER!$T$2:$AH$86,5,FALSE))</f>
        <v>256</v>
      </c>
      <c r="G36" s="237">
        <f>IF(ISNA(VLOOKUP(B36,EDW_FEEDER!$T$2:$AH$86,6,FALSE))=TRUE,"",VLOOKUP(B36,EDW_FEEDER!$T$2:$AH$86,6,FALSE))</f>
        <v>4170</v>
      </c>
      <c r="H36" s="238">
        <f>IF(ISNA(VLOOKUP(B36,EDW_FEEDER!$T$2:$AH$86,7,FALSE))=TRUE,"",VLOOKUP(B36,EDW_FEEDER!$T$2:$AH$86,7,FALSE))</f>
        <v>73.900000000000006</v>
      </c>
      <c r="I36" s="238">
        <f>IF(ISNA(VLOOKUP(B36,EDW_FEEDER!$T$2:$AH$86,8,FALSE))=TRUE,"",VLOOKUP(B36,EDW_FEEDER!$T$2:$AH$86,8,FALSE))</f>
        <v>66.900000000000006</v>
      </c>
      <c r="J36" s="240"/>
      <c r="K36" s="240" t="str">
        <f>IF(ISNA(VLOOKUP(B36,Accuracy!$AD$70:$AQ$73,6,FALSE))=TRUE,"",VLOOKUP(B36,Accuracy!$AD$70:$AQ$73,6,FALSE))</f>
        <v/>
      </c>
      <c r="L36" s="240" t="str">
        <f>IF(ISNA(VLOOKUP(B36,Accuracy!$AD$70:$AQ$73,9,FALSE))=TRUE,"",VLOOKUP(B36,Accuracy!$AD$70:$AQ$73,9,FALSE))</f>
        <v/>
      </c>
      <c r="M36" s="240" t="str">
        <f>IF(ISNA(VLOOKUP(B36,Accuracy!$AD$70:$AQ$73,9,FALSE))=TRUE,"",VLOOKUP(B36,Accuracy!$AD$70:$AQ$73,9,FALSE))</f>
        <v/>
      </c>
    </row>
    <row r="37" spans="1:16" x14ac:dyDescent="0.2">
      <c r="B37" s="475" t="s">
        <v>298</v>
      </c>
      <c r="C37" s="478"/>
      <c r="D37" s="478"/>
      <c r="E37" s="478"/>
      <c r="F37" s="478"/>
      <c r="G37" s="478"/>
      <c r="H37" s="478"/>
      <c r="I37" s="478"/>
      <c r="J37" s="478"/>
      <c r="K37" s="478"/>
      <c r="L37" s="478"/>
      <c r="M37" s="479"/>
    </row>
    <row r="38" spans="1:16" x14ac:dyDescent="0.2">
      <c r="B38" s="202" t="s">
        <v>388</v>
      </c>
      <c r="C38" s="237">
        <f>IF(ISNA(VLOOKUP("USAQ",EDW_FEEDER!$T$2:$AH$86,2,FALSE))=TRUE,"",VLOOKUP("USAQ",EDW_FEEDER!$T$2:$AH$86,2,FALSE))</f>
        <v>7865</v>
      </c>
      <c r="D38" s="238">
        <f>IF(ISNA(VLOOKUP("USAQ",EDW_FEEDER!$T$2:$AH$86,3,FALSE))=TRUE,"",VLOOKUP("USAQ",EDW_FEEDER!$T$2:$AH$86,3,FALSE))</f>
        <v>76.2</v>
      </c>
      <c r="E38" s="239">
        <f>IF(ISNA(VLOOKUP("USAQ",EDW_FEEDER!$T$2:$AH$86,4,FALSE))=TRUE,"",VLOOKUP("USAQ",EDW_FEEDER!$T$2:$AH$86,4,FALSE))</f>
        <v>0.18168999999999999</v>
      </c>
      <c r="F38" s="237">
        <f>IF(ISNA(VLOOKUP("USAQ",EDW_FEEDER!$T$2:$AH$86,5,FALSE))=TRUE,"",VLOOKUP("USAQ",EDW_FEEDER!$T$2:$AH$86,5,FALSE))</f>
        <v>1391</v>
      </c>
      <c r="G38" s="237">
        <f>IF(ISNA(VLOOKUP("USAQ",EDW_FEEDER!$T$2:$AH$86,6,FALSE))=TRUE,"",VLOOKUP("USAQ",EDW_FEEDER!$T$2:$AH$86,6,FALSE))</f>
        <v>18820</v>
      </c>
      <c r="H38" s="238">
        <f>IF(ISNA(VLOOKUP("USAQ",EDW_FEEDER!$T$2:$AH$86,7,FALSE))=TRUE,"",VLOOKUP("USAQ",EDW_FEEDER!$T$2:$AH$86,7,FALSE))</f>
        <v>126.3</v>
      </c>
      <c r="I38" s="238">
        <f>IF(ISNA(VLOOKUP("USAQ",EDW_FEEDER!$T$2:$AH$86,8,FALSE))=TRUE,"",VLOOKUP("USAQ",EDW_FEEDER!$T$2:$AH$86,8,FALSE))</f>
        <v>135.1</v>
      </c>
      <c r="J38" s="240"/>
      <c r="K38" s="240"/>
      <c r="L38" s="240"/>
      <c r="M38" s="240"/>
    </row>
    <row r="39" spans="1:16" x14ac:dyDescent="0.2">
      <c r="B39" s="201" t="s">
        <v>85</v>
      </c>
      <c r="C39" s="237">
        <f>IF(ISNA(VLOOKUP("San Diego QS",EDW_FEEDER!$T$2:$AH$86,2,FALSE))=TRUE,"",VLOOKUP("San Diego QS",EDW_FEEDER!$T$2:$AH$86,2,FALSE))</f>
        <v>2490</v>
      </c>
      <c r="D39" s="238">
        <f>IF(ISNA(VLOOKUP("San Diego QS",EDW_FEEDER!$T$2:$AH$86,3,FALSE))=TRUE,"",VLOOKUP("San Diego QS",EDW_FEEDER!$T$2:$AH$86,3,FALSE))</f>
        <v>73.599999999999994</v>
      </c>
      <c r="E39" s="239">
        <f>IF(ISNA(VLOOKUP("San Diego QS",EDW_FEEDER!$T$2:$AH$86,4,FALSE))=TRUE,"",VLOOKUP("San Diego QS",EDW_FEEDER!$T$2:$AH$86,4,FALSE))</f>
        <v>0.17549999999999999</v>
      </c>
      <c r="F39" s="237">
        <f>IF(ISNA(VLOOKUP("San Diego QS",EDW_FEEDER!$T$2:$AH$86,5,FALSE))=TRUE,"",VLOOKUP("San Diego QS",EDW_FEEDER!$T$2:$AH$86,5,FALSE))</f>
        <v>595</v>
      </c>
      <c r="G39" s="237">
        <f>IF(ISNA(VLOOKUP("San Diego QS",EDW_FEEDER!$T$2:$AH$86,6,FALSE))=TRUE,"",VLOOKUP("San Diego QS",EDW_FEEDER!$T$2:$AH$86,6,FALSE))</f>
        <v>7953</v>
      </c>
      <c r="H39" s="238">
        <f>IF(ISNA(VLOOKUP("San Diego QS",EDW_FEEDER!$T$2:$AH$86,7,FALSE))=TRUE,"",VLOOKUP("San Diego QS",EDW_FEEDER!$T$2:$AH$86,7,FALSE))</f>
        <v>111.6</v>
      </c>
      <c r="I39" s="238">
        <f>IF(ISNA(VLOOKUP("San Diego QS",EDW_FEEDER!$T$2:$AH$86,8,FALSE))=TRUE,"",VLOOKUP("San Diego QS",EDW_FEEDER!$T$2:$AH$86,8,FALSE))</f>
        <v>120.4</v>
      </c>
      <c r="J39" s="240"/>
      <c r="K39" s="240"/>
      <c r="L39" s="240"/>
      <c r="M39" s="240"/>
      <c r="N39" s="49"/>
      <c r="O39" s="49"/>
      <c r="P39" s="49"/>
    </row>
    <row r="40" spans="1:16" x14ac:dyDescent="0.2">
      <c r="B40" s="201" t="s">
        <v>97</v>
      </c>
      <c r="C40" s="237">
        <f>IF(ISNA(VLOOKUP("Winston-Salem QS",EDW_FEEDER!$T$2:$AH$86,2,FALSE))=TRUE,"",VLOOKUP("Winston-Salem QS",EDW_FEEDER!$T$2:$AH$86,2,FALSE))</f>
        <v>2965</v>
      </c>
      <c r="D40" s="238">
        <f>IF(ISNA(VLOOKUP("Winston-Salem QS",EDW_FEEDER!$T$2:$AH$86,3,FALSE))=TRUE,"",VLOOKUP("Winston-Salem QS",EDW_FEEDER!$T$2:$AH$86,3,FALSE))</f>
        <v>88.7</v>
      </c>
      <c r="E40" s="239">
        <f>IF(ISNA(VLOOKUP("Winston-Salem QS",EDW_FEEDER!$T$2:$AH$86,4,FALSE))=TRUE,"",VLOOKUP("Winston-Salem QS",EDW_FEEDER!$T$2:$AH$86,4,FALSE))</f>
        <v>0.24958</v>
      </c>
      <c r="F40" s="237">
        <f>IF(ISNA(VLOOKUP("Winston-Salem QS",EDW_FEEDER!$T$2:$AH$86,5,FALSE))=TRUE,"",VLOOKUP("Winston-Salem QS",EDW_FEEDER!$T$2:$AH$86,5,FALSE))</f>
        <v>569</v>
      </c>
      <c r="G40" s="237">
        <f>IF(ISNA(VLOOKUP("Winston-Salem QS",EDW_FEEDER!$T$2:$AH$86,6,FALSE))=TRUE,"",VLOOKUP("Winston-Salem QS",EDW_FEEDER!$T$2:$AH$86,6,FALSE))</f>
        <v>8302</v>
      </c>
      <c r="H40" s="238">
        <f>IF(ISNA(VLOOKUP("Winston-Salem QS",EDW_FEEDER!$T$2:$AH$86,7,FALSE))=TRUE,"",VLOOKUP("Winston-Salem QS",EDW_FEEDER!$T$2:$AH$870,7,FALSE))</f>
        <v>149.5</v>
      </c>
      <c r="I40" s="238">
        <f>IF(ISNA(VLOOKUP("Winston-Salem QS",EDW_FEEDER!$T$2:$AH$86,8,FALSE))=TRUE,"",VLOOKUP("Winston-Salem QS",EDW_FEEDER!$T$2:$AH$86,8,FALSE))</f>
        <v>151.80000000000001</v>
      </c>
      <c r="J40" s="240"/>
      <c r="K40" s="240"/>
      <c r="L40" s="240"/>
      <c r="M40" s="240"/>
      <c r="N40" s="87"/>
      <c r="O40" s="88"/>
      <c r="P40" s="88"/>
    </row>
    <row r="41" spans="1:16" x14ac:dyDescent="0.2">
      <c r="B41" s="115" t="s">
        <v>432</v>
      </c>
      <c r="C41" s="237">
        <f>IF(ISNA(VLOOKUP(B41,EDW_FEEDER!$T$2:$AH$86,2,FALSE))=TRUE,"",VLOOKUP(B41,EDW_FEEDER!$T$2:$AH$86,2,FALSE))</f>
        <v>2410</v>
      </c>
      <c r="D41" s="238">
        <f>IF(ISNA(VLOOKUP(B41,EDW_FEEDER!$T$2:$AH$86,3,FALSE))=TRUE,"",VLOOKUP(B41,EDW_FEEDER!$T$2:$AH$86,3,FALSE))</f>
        <v>63.4</v>
      </c>
      <c r="E41" s="239">
        <f>IF(ISNA(VLOOKUP(B41,EDW_FEEDER!$T$2:$AH$86,4,FALSE))=TRUE,"",VLOOKUP(B41,EDW_FEEDER!$T$2:$AH$86,4,FALSE))</f>
        <v>0.10456</v>
      </c>
      <c r="F41" s="237">
        <f>IF(ISNA(VLOOKUP(B41,EDW_FEEDER!$T$2:$AH$86,5,FALSE))=TRUE,"",VLOOKUP(B41,EDW_FEEDER!$T$2:$AH$86,5,FALSE))</f>
        <v>227</v>
      </c>
      <c r="G41" s="237">
        <f>IF(ISNA(VLOOKUP(B41,EDW_FEEDER!$T$2:$AH$86,6,FALSE))=TRUE,"",VLOOKUP(B41,EDW_FEEDER!$T$2:$AH$86,6,FALSE))</f>
        <v>2565</v>
      </c>
      <c r="H41" s="238">
        <f>IF(ISNA(VLOOKUP(B41,EDW_FEEDER!$T$2:$AH$86,7,FALSE))=TRUE,"",VLOOKUP(B41,EDW_FEEDER!$T$2:$AH$870,7,FALSE))</f>
        <v>106.5</v>
      </c>
      <c r="I41" s="238">
        <f>IF(ISNA(VLOOKUP(B41,EDW_FEEDER!$T$2:$AH$86,8,FALSE))=TRUE,"",VLOOKUP(B41,EDW_FEEDER!$T$2:$AH$86,8,FALSE))</f>
        <v>126.9</v>
      </c>
      <c r="J41" s="240"/>
      <c r="K41" s="240"/>
      <c r="L41" s="240"/>
      <c r="M41" s="240"/>
      <c r="N41" s="87"/>
      <c r="O41" s="88"/>
      <c r="P41" s="88"/>
    </row>
    <row r="42" spans="1:16" x14ac:dyDescent="0.2">
      <c r="B42" s="475" t="s">
        <v>299</v>
      </c>
      <c r="C42" s="478"/>
      <c r="D42" s="478"/>
      <c r="E42" s="478"/>
      <c r="F42" s="478"/>
      <c r="G42" s="478"/>
      <c r="H42" s="478"/>
      <c r="I42" s="478"/>
      <c r="J42" s="478"/>
      <c r="K42" s="478"/>
      <c r="L42" s="478"/>
      <c r="M42" s="479"/>
      <c r="N42" s="87"/>
      <c r="O42" s="88"/>
      <c r="P42" s="88"/>
    </row>
    <row r="43" spans="1:16" ht="25.5" x14ac:dyDescent="0.2">
      <c r="B43" s="202" t="s">
        <v>398</v>
      </c>
      <c r="C43" s="237">
        <f>IF(ISNA(VLOOKUP("USAB",EDW_FEEDER!$T$2:$AH$86,2,FALSE))=TRUE,"",VLOOKUP("USAB",EDW_FEEDER!$T$2:$AH$86,2,FALSE))</f>
        <v>8196</v>
      </c>
      <c r="D43" s="238">
        <f>IF(ISNA(VLOOKUP("USAB",EDW_FEEDER!$T$2:$AH$86,3,FALSE))=TRUE,"",VLOOKUP("USAB",EDW_FEEDER!$T$2:$AH$86,3,FALSE))</f>
        <v>80.3</v>
      </c>
      <c r="E43" s="239">
        <f>IF(ISNA(VLOOKUP("USAB",EDW_FEEDER!$T$2:$AH$86,4,FALSE))=TRUE,"",VLOOKUP("USAB",EDW_FEEDER!$T$2:$AH$86,4,FALSE))</f>
        <v>0.18862999999999999</v>
      </c>
      <c r="F43" s="237">
        <f>IF(ISNA(VLOOKUP("USAB",EDW_FEEDER!$T$2:$AH$86,5,FALSE))=TRUE,"",VLOOKUP("USAB",EDW_FEEDER!$T$2:$AH$86,5,FALSE))</f>
        <v>1519</v>
      </c>
      <c r="G43" s="237">
        <f>IF(ISNA(VLOOKUP("USAB",EDW_FEEDER!$T$2:$AH$86,6,FALSE))=TRUE,"",VLOOKUP("USAB",EDW_FEEDER!$T$2:$AH$870,6,FALSE))</f>
        <v>18851</v>
      </c>
      <c r="H43" s="238">
        <f>IF(ISNA(VLOOKUP("USAB",EDW_FEEDER!$T$2:$AH$86,7,FALSE))=TRUE,"",VLOOKUP("USAB",EDW_FEEDER!$T$2:$AH$86,7,FALSE))</f>
        <v>144.9</v>
      </c>
      <c r="I43" s="238">
        <f>IF(ISNA(VLOOKUP("USAB",EDW_FEEDER!$T$2:$AH$86,8,FALSE))=TRUE,"",VLOOKUP("USAB",EDW_FEEDER!$T$2:$AH$86,8,FALSE))</f>
        <v>154.4</v>
      </c>
      <c r="J43" s="240"/>
      <c r="K43" s="240"/>
      <c r="L43" s="240"/>
      <c r="M43" s="240"/>
      <c r="N43" s="87"/>
      <c r="O43" s="88"/>
      <c r="P43" s="88"/>
    </row>
    <row r="44" spans="1:16" x14ac:dyDescent="0.2">
      <c r="B44" s="201" t="s">
        <v>97</v>
      </c>
      <c r="C44" s="237">
        <f>IF(ISNA(VLOOKUP("Winston-Salem BDD",EDW_FEEDER!$T$2:$AH$86,2,FALSE))=TRUE,"",VLOOKUP("Winston-Salem BDD",EDW_FEEDER!$T$2:$AH$86,2,FALSE))</f>
        <v>3504</v>
      </c>
      <c r="D44" s="238">
        <f>IF(ISNA(VLOOKUP("Winston-Salem BDD",EDW_FEEDER!$T$2:$AH$86,3,FALSE))=TRUE,"",VLOOKUP("Winston-Salem BDD",EDW_FEEDER!$T$2:$AH$86,3,FALSE))</f>
        <v>80.400000000000006</v>
      </c>
      <c r="E44" s="239">
        <f>IF(ISNA(VLOOKUP("Winston-Salem BDD",EDW_FEEDER!$T$2:$AH$86,4,FALSE))=TRUE,"",VLOOKUP("Winston-Salem BDD",EDW_FEEDER!$T$2:$AH$86,4,FALSE))</f>
        <v>0.20177</v>
      </c>
      <c r="F44" s="237">
        <f>IF(ISNA(VLOOKUP("Winston-Salem BDD",EDW_FEEDER!$T$2:$AH$86,5,FALSE))=TRUE,"",VLOOKUP("Winston-Salem BDD",EDW_FEEDER!$T$2:$AH$86,5,FALSE))</f>
        <v>695</v>
      </c>
      <c r="G44" s="237">
        <f>IF(ISNA(VLOOKUP("Winston-Salem BDD",EDW_FEEDER!$T$2:$AH$86,6,FALSE))=TRUE,"",VLOOKUP("Winston-Salem BDD",EDW_FEEDER!$T$2:$AH$870,6,FALSE))</f>
        <v>7187</v>
      </c>
      <c r="H44" s="238">
        <f>IF(ISNA(VLOOKUP("Winston-Salem BDD",EDW_FEEDER!$T$2:$AH$86,7,FALSE))=TRUE,"",VLOOKUP("Winston-Salem BDD",EDW_FEEDER!$T$2:$AH$86,7,FALSE))</f>
        <v>140.19999999999999</v>
      </c>
      <c r="I44" s="238">
        <f>IF(ISNA(VLOOKUP("Winston-Salem BDD",EDW_FEEDER!$T$2:$AH$86,8,FALSE))=TRUE,"",VLOOKUP("Winston-Salem BDD",EDW_FEEDER!$T$2:$AH$86,8,FALSE))</f>
        <v>127.6</v>
      </c>
      <c r="J44" s="240"/>
      <c r="K44" s="240"/>
      <c r="L44" s="240"/>
      <c r="M44" s="240"/>
    </row>
    <row r="45" spans="1:16" x14ac:dyDescent="0.2">
      <c r="B45" s="201" t="s">
        <v>84</v>
      </c>
      <c r="C45" s="237">
        <f>IF(ISNA(VLOOKUP("Salt Lake City BDD",EDW_FEEDER!$T$2:$AH$86,2,FALSE))=TRUE,"",VLOOKUP("Salt Lake City BDD",EDW_FEEDER!$T$2:$AH$86,2,FALSE))</f>
        <v>3235</v>
      </c>
      <c r="D45" s="238">
        <f>IF(ISNA(VLOOKUP("Salt Lake City BDD",EDW_FEEDER!$T$2:$AH$86,3,FALSE))=TRUE,"",VLOOKUP("Salt Lake City BDD",EDW_FEEDER!$T$2:$AH$86,3,FALSE))</f>
        <v>82.3</v>
      </c>
      <c r="E45" s="239">
        <f>IF(ISNA(VLOOKUP("Salt Lake City BDD",EDW_FEEDER!$T$2:$AH$86,4,FALSE))=TRUE,"",VLOOKUP("Salt Lake City BDD",EDW_FEEDER!$T$2:$AH$86,4,FALSE))</f>
        <v>0.19103999999999999</v>
      </c>
      <c r="F45" s="237">
        <f>IF(ISNA(VLOOKUP("Salt Lake City BDD",EDW_FEEDER!$T$2:$AH$86,5,FALSE))=TRUE,"",VLOOKUP("Salt Lake City BDD",EDW_FEEDER!$T$2:$AH$86,5,FALSE))</f>
        <v>643</v>
      </c>
      <c r="G45" s="237">
        <f>IF(ISNA(VLOOKUP("Salt Lake City BDD",EDW_FEEDER!$T$2:$AH$86,6,FALSE))=TRUE,"",VLOOKUP("Salt Lake City BDD",EDW_FEEDER!$T$2:$AH$86,6,FALSE))</f>
        <v>9952</v>
      </c>
      <c r="H45" s="238">
        <f>IF(ISNA(VLOOKUP("Salt Lake City BDD",EDW_FEEDER!$T$2:$AH$86,7,FALSE))=TRUE,"",VLOOKUP("Salt Lake City BDD",EDW_FEEDER!$T$2:$AH$870,7,FALSE))</f>
        <v>149.9</v>
      </c>
      <c r="I45" s="238">
        <f>IF(ISNA(VLOOKUP("Salt Lake City BDD",EDW_FEEDER!$T$2:$AH$86,8,FALSE))=TRUE,"",VLOOKUP("Salt Lake City BDD",EDW_FEEDER!$T$2:$AH$86,8,FALSE))</f>
        <v>174.6</v>
      </c>
      <c r="J45" s="240"/>
      <c r="K45" s="240"/>
      <c r="L45" s="240"/>
      <c r="M45" s="240"/>
    </row>
    <row r="46" spans="1:16" x14ac:dyDescent="0.2">
      <c r="B46" s="115" t="s">
        <v>434</v>
      </c>
      <c r="C46" s="237">
        <f>IF(ISNA(VLOOKUP(B46,EDW_FEEDER!$T$2:$AH$86,2,FALSE))=TRUE,"",VLOOKUP(B46,EDW_FEEDER!$T$2:$AH$86,2,FALSE))</f>
        <v>1457</v>
      </c>
      <c r="D46" s="238">
        <f>IF(ISNA(VLOOKUP(B46,EDW_FEEDER!$T$2:$AH$86,3,FALSE))=TRUE,"",VLOOKUP(B46,EDW_FEEDER!$T$2:$AH$86,3,FALSE))</f>
        <v>75.599999999999994</v>
      </c>
      <c r="E46" s="239">
        <f>IF(ISNA(VLOOKUP(B46,EDW_FEEDER!$T$2:$AH$86,4,FALSE))=TRUE,"",VLOOKUP(B46,EDW_FEEDER!$T$2:$AH$86,4,FALSE))</f>
        <v>0.15168000000000001</v>
      </c>
      <c r="F46" s="237">
        <f>IF(ISNA(VLOOKUP(B46,EDW_FEEDER!$T$2:$AH$86,5,FALSE))=TRUE,"",VLOOKUP(B46,EDW_FEEDER!$T$2:$AH$86,5,FALSE))</f>
        <v>181</v>
      </c>
      <c r="G46" s="237">
        <f>IF(ISNA(VLOOKUP(B46,EDW_FEEDER!$T$2:$AH$86,6,FALSE))=TRUE,"",VLOOKUP(B46,EDW_FEEDER!$T$2:$AH$86,6,FALSE))</f>
        <v>1712</v>
      </c>
      <c r="H46" s="238">
        <f>IF(ISNA(VLOOKUP(B46,EDW_FEEDER!$T$2:$AH$86,7,FALSE))=TRUE,"",VLOOKUP(B46,EDW_FEEDER!$T$2:$AH$870,7,FALSE))</f>
        <v>145.19999999999999</v>
      </c>
      <c r="I46" s="238">
        <f>IF(ISNA(VLOOKUP(B46,EDW_FEEDER!$T$2:$AH$86,8,FALSE))=TRUE,"",VLOOKUP(B46,EDW_FEEDER!$T$2:$AH$86,8,FALSE))</f>
        <v>149.4</v>
      </c>
      <c r="J46" s="240"/>
      <c r="K46" s="240"/>
      <c r="L46" s="240"/>
      <c r="M46" s="240"/>
    </row>
    <row r="48" spans="1:16" ht="12.75" customHeight="1" x14ac:dyDescent="0.2">
      <c r="C48" s="206"/>
      <c r="D48" s="206"/>
      <c r="E48" s="206"/>
      <c r="F48" s="206"/>
      <c r="G48" s="206"/>
      <c r="H48" s="206"/>
      <c r="I48" s="206"/>
      <c r="J48" s="206"/>
      <c r="K48" s="206"/>
      <c r="L48" s="206"/>
      <c r="M48" s="206"/>
    </row>
    <row r="49" spans="2:13" ht="12.75" customHeight="1" x14ac:dyDescent="0.2">
      <c r="B49" s="207"/>
      <c r="C49" s="207"/>
      <c r="D49" s="207"/>
      <c r="E49" s="207"/>
      <c r="F49" s="207"/>
      <c r="G49" s="207"/>
      <c r="H49" s="207"/>
      <c r="I49" s="207"/>
      <c r="J49" s="207"/>
      <c r="K49" s="207"/>
      <c r="L49" s="207"/>
      <c r="M49" s="207"/>
    </row>
    <row r="50" spans="2:13" ht="12.75" customHeight="1" x14ac:dyDescent="0.2">
      <c r="B50" s="207"/>
      <c r="C50" s="207"/>
      <c r="D50" s="207"/>
      <c r="E50" s="207"/>
      <c r="F50" s="207"/>
      <c r="G50" s="207"/>
      <c r="H50" s="207"/>
      <c r="I50" s="207"/>
      <c r="J50" s="207"/>
      <c r="K50" s="207"/>
      <c r="L50" s="207"/>
      <c r="M50" s="207"/>
    </row>
    <row r="51" spans="2:13" ht="12.75" customHeight="1" x14ac:dyDescent="0.2">
      <c r="B51" s="207"/>
      <c r="C51" s="207"/>
      <c r="D51" s="207"/>
      <c r="E51" s="207"/>
      <c r="F51" s="207"/>
      <c r="G51" s="207"/>
      <c r="H51" s="207"/>
      <c r="I51" s="207"/>
      <c r="J51" s="207"/>
      <c r="K51" s="207"/>
      <c r="L51" s="207"/>
      <c r="M51" s="207"/>
    </row>
    <row r="52" spans="2:13" ht="12.75" customHeight="1" x14ac:dyDescent="0.2">
      <c r="B52" s="207"/>
      <c r="C52" s="207"/>
      <c r="D52" s="207"/>
      <c r="E52" s="207"/>
      <c r="F52" s="207"/>
      <c r="G52" s="207"/>
      <c r="H52" s="207"/>
      <c r="I52" s="207"/>
      <c r="J52" s="207"/>
      <c r="K52" s="207"/>
      <c r="L52" s="207"/>
      <c r="M52" s="207"/>
    </row>
    <row r="53" spans="2:13" ht="12.75" customHeight="1" x14ac:dyDescent="0.2">
      <c r="B53" s="207"/>
      <c r="C53" s="207"/>
      <c r="D53" s="207"/>
      <c r="E53" s="207"/>
      <c r="F53" s="207"/>
      <c r="G53" s="207"/>
      <c r="H53" s="207"/>
      <c r="I53" s="207"/>
      <c r="J53" s="207"/>
      <c r="K53" s="207"/>
      <c r="L53" s="207"/>
      <c r="M53" s="207"/>
    </row>
    <row r="54" spans="2:13" ht="12.75" customHeight="1" x14ac:dyDescent="0.2">
      <c r="B54" s="207"/>
      <c r="C54" s="207"/>
      <c r="D54" s="207"/>
      <c r="E54" s="207"/>
      <c r="F54" s="207"/>
      <c r="G54" s="207"/>
      <c r="H54" s="207"/>
      <c r="I54" s="207"/>
      <c r="J54" s="207"/>
      <c r="K54" s="207"/>
      <c r="L54" s="207"/>
      <c r="M54" s="207"/>
    </row>
    <row r="55" spans="2:13" ht="12.75" customHeight="1" x14ac:dyDescent="0.2">
      <c r="B55" s="207"/>
      <c r="C55" s="207"/>
      <c r="D55" s="207"/>
      <c r="E55" s="207"/>
      <c r="F55" s="207"/>
      <c r="G55" s="207"/>
      <c r="H55" s="207"/>
      <c r="I55" s="207"/>
      <c r="J55" s="207"/>
      <c r="K55" s="207"/>
      <c r="L55" s="207"/>
      <c r="M55" s="207"/>
    </row>
  </sheetData>
  <sheetProtection password="A320" sheet="1" objects="1" scenarios="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12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08"/>
      <c r="C1" s="490" t="s">
        <v>393</v>
      </c>
      <c r="D1" s="491"/>
      <c r="E1" s="491"/>
      <c r="F1" s="491"/>
      <c r="G1" s="491"/>
      <c r="H1" s="491"/>
      <c r="I1" s="491"/>
      <c r="J1" s="490" t="s">
        <v>399</v>
      </c>
      <c r="K1" s="491"/>
      <c r="L1" s="491"/>
      <c r="M1" s="500"/>
    </row>
    <row r="2" spans="2:16" ht="24" customHeight="1" thickBot="1" x14ac:dyDescent="0.4">
      <c r="B2" s="208"/>
      <c r="C2" s="492"/>
      <c r="D2" s="493"/>
      <c r="E2" s="493"/>
      <c r="F2" s="493"/>
      <c r="G2" s="493"/>
      <c r="H2" s="493"/>
      <c r="I2" s="493"/>
      <c r="J2" s="492" t="str">
        <f>Transformation!B5</f>
        <v>As of June 20, 2015</v>
      </c>
      <c r="K2" s="493"/>
      <c r="L2" s="493"/>
      <c r="M2" s="501"/>
    </row>
    <row r="3" spans="2:16" ht="51.75" customHeight="1" thickBot="1" x14ac:dyDescent="0.25">
      <c r="B3" s="208"/>
      <c r="C3" s="480" t="s">
        <v>428</v>
      </c>
      <c r="D3" s="481"/>
      <c r="E3" s="481"/>
      <c r="F3" s="481"/>
      <c r="G3" s="481"/>
      <c r="H3" s="481"/>
      <c r="I3" s="481"/>
      <c r="J3" s="481"/>
      <c r="K3" s="481"/>
      <c r="L3" s="481"/>
      <c r="M3" s="482"/>
    </row>
    <row r="4" spans="2:16" ht="22.5" customHeight="1" thickBot="1" x14ac:dyDescent="0.3">
      <c r="B4" s="199"/>
      <c r="C4" s="494" t="s">
        <v>236</v>
      </c>
      <c r="D4" s="495"/>
      <c r="E4" s="495"/>
      <c r="F4" s="495"/>
      <c r="G4" s="495"/>
      <c r="H4" s="495"/>
      <c r="I4" s="495"/>
      <c r="J4" s="495"/>
      <c r="K4" s="495"/>
      <c r="L4" s="495"/>
      <c r="M4" s="496"/>
    </row>
    <row r="5" spans="2:16" ht="55.5" customHeight="1" x14ac:dyDescent="0.2">
      <c r="B5" s="99"/>
      <c r="C5" s="66" t="s">
        <v>222</v>
      </c>
      <c r="D5" s="502" t="s">
        <v>23</v>
      </c>
      <c r="E5" s="503"/>
      <c r="F5" s="61" t="s">
        <v>225</v>
      </c>
      <c r="G5" s="502" t="s">
        <v>230</v>
      </c>
      <c r="H5" s="504"/>
      <c r="I5" s="61" t="s">
        <v>228</v>
      </c>
      <c r="J5" s="62" t="s">
        <v>17</v>
      </c>
      <c r="K5" s="61" t="s">
        <v>233</v>
      </c>
      <c r="L5" s="505" t="s">
        <v>99</v>
      </c>
      <c r="M5" s="506"/>
    </row>
    <row r="6" spans="2:16" ht="51.75" customHeight="1" x14ac:dyDescent="0.2">
      <c r="B6" s="99"/>
      <c r="C6" s="67" t="s">
        <v>223</v>
      </c>
      <c r="D6" s="497" t="s">
        <v>0</v>
      </c>
      <c r="E6" s="498"/>
      <c r="F6" s="63" t="s">
        <v>226</v>
      </c>
      <c r="G6" s="499" t="s">
        <v>231</v>
      </c>
      <c r="H6" s="499"/>
      <c r="I6" s="63" t="s">
        <v>229</v>
      </c>
      <c r="J6" s="31" t="s">
        <v>26</v>
      </c>
      <c r="K6" s="63" t="s">
        <v>234</v>
      </c>
      <c r="L6" s="507" t="s">
        <v>101</v>
      </c>
      <c r="M6" s="508"/>
    </row>
    <row r="7" spans="2:16" ht="51.75" customHeight="1" thickBot="1" x14ac:dyDescent="0.25">
      <c r="B7" s="99"/>
      <c r="C7" s="68" t="s">
        <v>224</v>
      </c>
      <c r="D7" s="488" t="s">
        <v>25</v>
      </c>
      <c r="E7" s="489"/>
      <c r="F7" s="64" t="s">
        <v>227</v>
      </c>
      <c r="G7" s="485" t="s">
        <v>24</v>
      </c>
      <c r="H7" s="485"/>
      <c r="I7" s="64" t="s">
        <v>232</v>
      </c>
      <c r="J7" s="65" t="s">
        <v>98</v>
      </c>
      <c r="K7" s="64" t="s">
        <v>235</v>
      </c>
      <c r="L7" s="486" t="s">
        <v>100</v>
      </c>
      <c r="M7" s="487"/>
    </row>
    <row r="8" spans="2:16" ht="14.25" customHeight="1" x14ac:dyDescent="0.4">
      <c r="C8" s="46"/>
      <c r="D8" s="46"/>
      <c r="E8" s="46"/>
      <c r="F8" s="46"/>
      <c r="G8" s="46"/>
      <c r="H8" s="46"/>
      <c r="I8" s="46"/>
      <c r="J8" s="46"/>
      <c r="K8" s="46"/>
      <c r="L8" s="46"/>
    </row>
    <row r="9" spans="2:16" ht="15.75" customHeight="1" x14ac:dyDescent="0.2">
      <c r="C9" s="483" t="s">
        <v>390</v>
      </c>
      <c r="D9" s="483"/>
      <c r="E9" s="483"/>
      <c r="F9" s="483"/>
      <c r="G9" s="483"/>
      <c r="H9" s="483"/>
      <c r="I9" s="483"/>
      <c r="J9" s="483"/>
      <c r="K9" s="483"/>
      <c r="L9" s="483"/>
      <c r="M9" s="48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37">
        <f>IF(ISNA(VLOOKUP($B11,EDW_FEEDER!$T$2:$AH$86,9,FALSE))=TRUE,"",VLOOKUP($B11,EDW_FEEDER!$T$2:$AH$86,9,FALSE))</f>
        <v>396512</v>
      </c>
      <c r="D11" s="238">
        <f>IF(ISNA(VLOOKUP(B11,EDW_FEEDER!$T$2:$AH$86,10,FALSE))=TRUE,"",VLOOKUP(B11,EDW_FEEDER!$T$2:$AH$86,10,FALSE))</f>
        <v>119.7</v>
      </c>
      <c r="E11" s="239">
        <f>IF(ISNA(VLOOKUP(B11,EDW_FEEDER!$T$2:$AH$86,11,FALSE))=TRUE,"",VLOOKUP(B11,EDW_FEEDER!$T$2:$AH$870,11,FALSE))</f>
        <v>0.33381</v>
      </c>
      <c r="F11" s="237">
        <f>IF(ISNA(VLOOKUP(B11,EDW_FEEDER!$T$2:$AH$86,12,FALSE))=TRUE,"",VLOOKUP(B11,EDW_FEEDER!$T$2:$AH$86,12,FALSE))</f>
        <v>81454</v>
      </c>
      <c r="G11" s="237">
        <f>IF(ISNA(VLOOKUP(B11,EDW_FEEDER!$T$2:$AH$86,13,FALSE))=TRUE,"",VLOOKUP(B11,EDW_FEEDER!$T$2:$AH$86,13,FALSE))</f>
        <v>999645</v>
      </c>
      <c r="H11" s="238">
        <f>IF(ISNA(VLOOKUP(B11,EDW_FEEDER!$T$2:$AH$86,14,FALSE))=TRUE,"",VLOOKUP(B11,EDW_FEEDER!$T$2:$AH$86,14,FALSE))</f>
        <v>161.5</v>
      </c>
      <c r="I11" s="238">
        <f>IF(ISNA(VLOOKUP(B11,EDW_FEEDER!$T$2:$AH$86,15,FALSE))=TRUE,"",VLOOKUP(B11,EDW_FEEDER!$T$2:$AH$86,15,FALSE))</f>
        <v>177.2</v>
      </c>
      <c r="J11" s="105"/>
      <c r="K11" s="105"/>
      <c r="L11" s="105"/>
      <c r="M11" s="105"/>
      <c r="P11" s="70" t="s">
        <v>151</v>
      </c>
    </row>
    <row r="12" spans="2:16" x14ac:dyDescent="0.2">
      <c r="B12" s="475" t="s">
        <v>385</v>
      </c>
      <c r="C12" s="476"/>
      <c r="D12" s="476"/>
      <c r="E12" s="476"/>
      <c r="F12" s="476"/>
      <c r="G12" s="476"/>
      <c r="H12" s="476"/>
      <c r="I12" s="476"/>
      <c r="J12" s="476"/>
      <c r="K12" s="476"/>
      <c r="L12" s="476"/>
      <c r="M12" s="477"/>
      <c r="P12" s="170" t="s">
        <v>152</v>
      </c>
    </row>
    <row r="13" spans="2:16" x14ac:dyDescent="0.2">
      <c r="B13" s="111" t="s">
        <v>386</v>
      </c>
      <c r="C13" s="237">
        <f>IF(ISNA(VLOOKUP("USAV",EDW_FEEDER!$T$2:$AH$86,9,FALSE))=TRUE,"",VLOOKUP("USAV",EDW_FEEDER!$T$2:$AH$86,9,FALSE))</f>
        <v>361466</v>
      </c>
      <c r="D13" s="238">
        <f>IF(ISNA(VLOOKUP("USAV",EDW_FEEDER!$T$2:$AH$86,10,FALSE))=TRUE,"",VLOOKUP("USAV",EDW_FEEDER!$T$2:$AH$86,10,FALSE))</f>
        <v>124.7</v>
      </c>
      <c r="E13" s="239">
        <f>IF(ISNA(VLOOKUP("USAV",EDW_FEEDER!$T$2:$AH$86,11,FALSE))=TRUE,"",VLOOKUP("USAV",EDW_FEEDER!$T$2:$AH$870,11,FALSE))</f>
        <v>0.35288999999999998</v>
      </c>
      <c r="F13" s="237">
        <f>IF(ISNA(VLOOKUP("USAV",EDW_FEEDER!$T$2:$AH$86,12,FALSE))=TRUE,"",VLOOKUP("USAV",EDW_FEEDER!$T$2:$AH$86,12,FALSE))</f>
        <v>70161</v>
      </c>
      <c r="G13" s="237">
        <f>IF(ISNA(VLOOKUP("USAV",EDW_FEEDER!$T$2:$AH$86,13,FALSE))=TRUE,"",VLOOKUP("USAV",EDW_FEEDER!$T$2:$AH$86,13,FALSE))</f>
        <v>851091</v>
      </c>
      <c r="H13" s="238">
        <f>IF(ISNA(VLOOKUP("USAV",EDW_FEEDER!$T$2:$AH$86,14,FALSE))=TRUE,"",VLOOKUP("USAV",EDW_FEEDER!$T$2:$AH$86,14,FALSE))</f>
        <v>174.4</v>
      </c>
      <c r="I13" s="238">
        <f>IF(ISNA(VLOOKUP("USAV",EDW_FEEDER!$T$2:$AH$86,15,FALSE))=TRUE,"",VLOOKUP("USAV",EDW_FEEDER!$T$2:$AH$86,15,FALSE))</f>
        <v>193.3</v>
      </c>
      <c r="J13" s="105"/>
      <c r="K13" s="105"/>
      <c r="L13" s="105"/>
      <c r="M13" s="105"/>
      <c r="P13" s="170" t="s">
        <v>9</v>
      </c>
    </row>
    <row r="14" spans="2:16" x14ac:dyDescent="0.2">
      <c r="B14" s="203" t="s">
        <v>149</v>
      </c>
      <c r="C14" s="237">
        <f>IF(ISNA(VLOOKUP($B14,EDW_FEEDER!$T$2:$AH$86,9,FALSE))=TRUE,"",VLOOKUP($B14,EDW_FEEDER!$T$2:$AH$86,9,FALSE))</f>
        <v>73225</v>
      </c>
      <c r="D14" s="238">
        <f>IF(ISNA(VLOOKUP(B14,EDW_FEEDER!$T$2:$AH$86,10,FALSE))=TRUE,"",VLOOKUP(B14,EDW_FEEDER!$T$2:$AH$86,10,FALSE))</f>
        <v>128.4</v>
      </c>
      <c r="E14" s="239">
        <f>IF(ISNA(VLOOKUP(B14,EDW_FEEDER!$T$2:$AH$86,11,FALSE))=TRUE,"",VLOOKUP(B14,EDW_FEEDER!$T$2:$AH$870,11,FALSE))</f>
        <v>0.36771999999999999</v>
      </c>
      <c r="F14" s="237">
        <f>IF(ISNA(VLOOKUP(B14,EDW_FEEDER!$T$2:$AH$86,12,FALSE))=TRUE,"",VLOOKUP(B14,EDW_FEEDER!$T$2:$AH$86,12,FALSE))</f>
        <v>14586</v>
      </c>
      <c r="G14" s="237">
        <f>IF(ISNA(VLOOKUP(B14,EDW_FEEDER!$T$2:$AH$86,13,FALSE))=TRUE,"",VLOOKUP(B14,EDW_FEEDER!$T$2:$AH$86,13,FALSE))</f>
        <v>175564</v>
      </c>
      <c r="H14" s="238">
        <f>IF(ISNA(VLOOKUP(B14,EDW_FEEDER!$T$2:$AH$86,14,FALSE))=TRUE,"",VLOOKUP(B14,EDW_FEEDER!$T$2:$AH$86,14,FALSE))</f>
        <v>177.4</v>
      </c>
      <c r="I14" s="238">
        <f>IF(ISNA(VLOOKUP(B14,EDW_FEEDER!$T$2:$AH$86,15,FALSE))=TRUE,"",VLOOKUP(B14,EDW_FEEDER!$T$2:$AH$86,15,FALSE))</f>
        <v>189.5</v>
      </c>
      <c r="J14" s="105"/>
      <c r="K14" s="105"/>
      <c r="L14" s="105"/>
      <c r="M14" s="105"/>
    </row>
    <row r="15" spans="2:16" x14ac:dyDescent="0.2">
      <c r="B15" s="112" t="str">
        <f>IF(ISBLANK(VLOOKUP($B$14,EDW_FEEDER!$A$117:$AK$121,2,FALSE))=TRUE,"",VLOOKUP($B$14,EDW_FEEDER!$A$117:$AK$121,2,FALSE))</f>
        <v>Baltimore</v>
      </c>
      <c r="C15" s="237">
        <f>IF(ISNA(VLOOKUP($B15,EDW_FEEDER!$T$2:$AH$86,9,FALSE))=TRUE,"",VLOOKUP($B15,EDW_FEEDER!$T$2:$AH$86,9,FALSE))</f>
        <v>2763</v>
      </c>
      <c r="D15" s="238">
        <f>IF(ISNA(VLOOKUP(B15,EDW_FEEDER!$T$2:$AH$86,10,FALSE))=TRUE,"",VLOOKUP(B15,EDW_FEEDER!$T$2:$AH$86,10,FALSE))</f>
        <v>87.3</v>
      </c>
      <c r="E15" s="239">
        <f>IF(ISNA(VLOOKUP(B15,EDW_FEEDER!$T$2:$AH$86,11,FALSE))=TRUE,"",VLOOKUP(B15,EDW_FEEDER!$T$2:$AH$870,11,FALSE))</f>
        <v>0.19291</v>
      </c>
      <c r="F15" s="237">
        <f>IF(ISNA(VLOOKUP(B15,EDW_FEEDER!$T$2:$AH$86,12,FALSE))=TRUE,"",VLOOKUP(B15,EDW_FEEDER!$T$2:$AH$86,12,FALSE))</f>
        <v>542</v>
      </c>
      <c r="G15" s="237">
        <f>IF(ISNA(VLOOKUP(B15,EDW_FEEDER!$T$2:$AH$86,13,FALSE))=TRUE,"",VLOOKUP(B15,EDW_FEEDER!$T$2:$AH$86,13,FALSE))</f>
        <v>4124</v>
      </c>
      <c r="H15" s="238">
        <f>IF(ISNA(VLOOKUP(B15,EDW_FEEDER!$T$2:$AH$86,14,FALSE))=TRUE,"",VLOOKUP(B15,EDW_FEEDER!$T$2:$AH$86,14,FALSE))</f>
        <v>202.9</v>
      </c>
      <c r="I15" s="238">
        <f>IF(ISNA(VLOOKUP(B15,EDW_FEEDER!$T$2:$AH$86,15,FALSE))=TRUE,"",VLOOKUP(B15,EDW_FEEDER!$T$2:$AH$86,15,FALSE))</f>
        <v>269.89999999999998</v>
      </c>
      <c r="J15" s="105"/>
      <c r="K15" s="105"/>
      <c r="L15" s="105"/>
      <c r="M15" s="105"/>
    </row>
    <row r="16" spans="2:16" x14ac:dyDescent="0.2">
      <c r="B16" s="112" t="str">
        <f>IF(ISBLANK(VLOOKUP($B$14,EDW_FEEDER!$A$117:$AK$121,3,FALSE))=TRUE,"",VLOOKUP($B$14,EDW_FEEDER!$A$117:$AK$121,3,FALSE))</f>
        <v>Boston</v>
      </c>
      <c r="C16" s="237">
        <f>IF(ISNA(VLOOKUP($B16,EDW_FEEDER!$T$2:$AH$86,9,FALSE))=TRUE,"",VLOOKUP($B16,EDW_FEEDER!$T$2:$AH$86,9,FALSE))</f>
        <v>4214</v>
      </c>
      <c r="D16" s="238">
        <f>IF(ISNA(VLOOKUP(B16,EDW_FEEDER!$T$2:$AH$86,10,FALSE))=TRUE,"",VLOOKUP(B16,EDW_FEEDER!$T$2:$AH$86,10,FALSE))</f>
        <v>108.2</v>
      </c>
      <c r="E16" s="239">
        <f>IF(ISNA(VLOOKUP(B16,EDW_FEEDER!$T$2:$AH$86,11,FALSE))=TRUE,"",VLOOKUP(B16,EDW_FEEDER!$T$2:$AH$870,11,FALSE))</f>
        <v>0.24987999999999999</v>
      </c>
      <c r="F16" s="237">
        <f>IF(ISNA(VLOOKUP(B16,EDW_FEEDER!$T$2:$AH$86,12,FALSE))=TRUE,"",VLOOKUP(B16,EDW_FEEDER!$T$2:$AH$86,12,FALSE))</f>
        <v>613</v>
      </c>
      <c r="G16" s="237">
        <f>IF(ISNA(VLOOKUP(B16,EDW_FEEDER!$T$2:$AH$86,13,FALSE))=TRUE,"",VLOOKUP(B16,EDW_FEEDER!$T$2:$AH$86,13,FALSE))</f>
        <v>7282</v>
      </c>
      <c r="H16" s="238">
        <f>IF(ISNA(VLOOKUP(B16,EDW_FEEDER!$T$2:$AH$86,14,FALSE))=TRUE,"",VLOOKUP(B16,EDW_FEEDER!$T$2:$AH$86,14,FALSE))</f>
        <v>196.7</v>
      </c>
      <c r="I16" s="238">
        <f>IF(ISNA(VLOOKUP(B16,EDW_FEEDER!$T$2:$AH$86,15,FALSE))=TRUE,"",VLOOKUP(B16,EDW_FEEDER!$T$2:$AH$86,15,FALSE))</f>
        <v>213</v>
      </c>
      <c r="J16" s="105"/>
      <c r="K16" s="105"/>
      <c r="L16" s="105"/>
      <c r="M16" s="105"/>
    </row>
    <row r="17" spans="2:13" x14ac:dyDescent="0.2">
      <c r="B17" s="112" t="str">
        <f>IF(ISBLANK(VLOOKUP($B$14,EDW_FEEDER!$A$117:$AK$121,4,FALSE))=TRUE,"",VLOOKUP($B$14,EDW_FEEDER!$A$117:$AK$121,4,FALSE))</f>
        <v>Buffalo</v>
      </c>
      <c r="C17" s="237">
        <f>IF(ISNA(VLOOKUP($B17,EDW_FEEDER!$T$2:$AH$86,9,FALSE))=TRUE,"",VLOOKUP($B17,EDW_FEEDER!$T$2:$AH$86,9,FALSE))</f>
        <v>3987</v>
      </c>
      <c r="D17" s="238">
        <f>IF(ISNA(VLOOKUP(B17,EDW_FEEDER!$T$2:$AH$86,10,FALSE))=TRUE,"",VLOOKUP(B17,EDW_FEEDER!$T$2:$AH$86,10,FALSE))</f>
        <v>104.6</v>
      </c>
      <c r="E17" s="239">
        <f>IF(ISNA(VLOOKUP(B17,EDW_FEEDER!$T$2:$AH$86,11,FALSE))=TRUE,"",VLOOKUP(B17,EDW_FEEDER!$T$2:$AH$870,11,FALSE))</f>
        <v>0.24981</v>
      </c>
      <c r="F17" s="237">
        <f>IF(ISNA(VLOOKUP(B17,EDW_FEEDER!$T$2:$AH$86,12,FALSE))=TRUE,"",VLOOKUP(B17,EDW_FEEDER!$T$2:$AH$86,12,FALSE))</f>
        <v>821</v>
      </c>
      <c r="G17" s="237">
        <f>IF(ISNA(VLOOKUP(B17,EDW_FEEDER!$T$2:$AH$86,13,FALSE))=TRUE,"",VLOOKUP(B17,EDW_FEEDER!$T$2:$AH$86,13,FALSE))</f>
        <v>8489</v>
      </c>
      <c r="H17" s="238">
        <f>IF(ISNA(VLOOKUP(B17,EDW_FEEDER!$T$2:$AH$86,14,FALSE))=TRUE,"",VLOOKUP(B17,EDW_FEEDER!$T$2:$AH$86,14,FALSE))</f>
        <v>168.5</v>
      </c>
      <c r="I17" s="238">
        <f>IF(ISNA(VLOOKUP(B17,EDW_FEEDER!$T$2:$AH$86,15,FALSE))=TRUE,"",VLOOKUP(B17,EDW_FEEDER!$T$2:$AH$86,15,FALSE))</f>
        <v>217.3</v>
      </c>
      <c r="J17" s="105"/>
      <c r="K17" s="105"/>
      <c r="L17" s="105"/>
      <c r="M17" s="105"/>
    </row>
    <row r="18" spans="2:13" x14ac:dyDescent="0.2">
      <c r="B18" s="112" t="str">
        <f>IF(ISBLANK(VLOOKUP($B$14,EDW_FEEDER!$A$117:$AK$121,5,FALSE))=TRUE,"",VLOOKUP($B$14,EDW_FEEDER!$A$117:$AK$121,5,FALSE))</f>
        <v>Cleveland</v>
      </c>
      <c r="C18" s="237">
        <f>IF(ISNA(VLOOKUP($B18,EDW_FEEDER!$T$2:$AH$86,9,FALSE))=TRUE,"",VLOOKUP($B18,EDW_FEEDER!$T$2:$AH$86,9,FALSE))</f>
        <v>11996</v>
      </c>
      <c r="D18" s="238">
        <f>IF(ISNA(VLOOKUP(B18,EDW_FEEDER!$T$2:$AH$86,10,FALSE))=TRUE,"",VLOOKUP(B18,EDW_FEEDER!$T$2:$AH$86,10,FALSE))</f>
        <v>141.19999999999999</v>
      </c>
      <c r="E18" s="239">
        <f>IF(ISNA(VLOOKUP(B18,EDW_FEEDER!$T$2:$AH$86,11,FALSE))=TRUE,"",VLOOKUP(B18,EDW_FEEDER!$T$2:$AH$870,11,FALSE))</f>
        <v>0.40797</v>
      </c>
      <c r="F18" s="237">
        <f>IF(ISNA(VLOOKUP(B18,EDW_FEEDER!$T$2:$AH$86,12,FALSE))=TRUE,"",VLOOKUP(B18,EDW_FEEDER!$T$2:$AH$86,12,FALSE))</f>
        <v>2255</v>
      </c>
      <c r="G18" s="237">
        <f>IF(ISNA(VLOOKUP(B18,EDW_FEEDER!$T$2:$AH$86,13,FALSE))=TRUE,"",VLOOKUP(B18,EDW_FEEDER!$T$2:$AH$86,13,FALSE))</f>
        <v>27492</v>
      </c>
      <c r="H18" s="238">
        <f>IF(ISNA(VLOOKUP(B18,EDW_FEEDER!$T$2:$AH$86,14,FALSE))=TRUE,"",VLOOKUP(B18,EDW_FEEDER!$T$2:$AH$86,14,FALSE))</f>
        <v>180.7</v>
      </c>
      <c r="I18" s="238">
        <f>IF(ISNA(VLOOKUP(B18,EDW_FEEDER!$T$2:$AH$86,15,FALSE))=TRUE,"",VLOOKUP(B18,EDW_FEEDER!$T$2:$AH$86,15,FALSE))</f>
        <v>181.1</v>
      </c>
      <c r="J18" s="105"/>
      <c r="K18" s="105"/>
      <c r="L18" s="105"/>
      <c r="M18" s="105"/>
    </row>
    <row r="19" spans="2:13" x14ac:dyDescent="0.2">
      <c r="B19" s="112" t="str">
        <f>IF(ISBLANK(VLOOKUP($B$14,EDW_FEEDER!$A$117:$AK$121,6,FALSE))=TRUE,"",VLOOKUP($B$14,EDW_FEEDER!$A$117:$AK$121,6,FALSE))</f>
        <v>Detroit</v>
      </c>
      <c r="C19" s="237">
        <f>IF(ISNA(VLOOKUP($B19,EDW_FEEDER!$T$2:$AH$86,9,FALSE))=TRUE,"",VLOOKUP($B19,EDW_FEEDER!$T$2:$AH$86,9,FALSE))</f>
        <v>9163</v>
      </c>
      <c r="D19" s="238">
        <f>IF(ISNA(VLOOKUP(B19,EDW_FEEDER!$T$2:$AH$86,10,FALSE))=TRUE,"",VLOOKUP(B19,EDW_FEEDER!$T$2:$AH$86,10,FALSE))</f>
        <v>112</v>
      </c>
      <c r="E19" s="239">
        <f>IF(ISNA(VLOOKUP(B19,EDW_FEEDER!$T$2:$AH$86,11,FALSE))=TRUE,"",VLOOKUP(B19,EDW_FEEDER!$T$2:$AH$870,11,FALSE))</f>
        <v>0.32282</v>
      </c>
      <c r="F19" s="237">
        <f>IF(ISNA(VLOOKUP(B19,EDW_FEEDER!$T$2:$AH$86,12,FALSE))=TRUE,"",VLOOKUP(B19,EDW_FEEDER!$T$2:$AH$86,12,FALSE))</f>
        <v>1527</v>
      </c>
      <c r="G19" s="237">
        <f>IF(ISNA(VLOOKUP(B19,EDW_FEEDER!$T$2:$AH$86,13,FALSE))=TRUE,"",VLOOKUP(B19,EDW_FEEDER!$T$2:$AH$86,13,FALSE))</f>
        <v>20169</v>
      </c>
      <c r="H19" s="238">
        <f>IF(ISNA(VLOOKUP(B19,EDW_FEEDER!$T$2:$AH$86,14,FALSE))=TRUE,"",VLOOKUP(B19,EDW_FEEDER!$T$2:$AH$86,14,FALSE))</f>
        <v>176.1</v>
      </c>
      <c r="I19" s="238">
        <f>IF(ISNA(VLOOKUP(B19,EDW_FEEDER!$T$2:$AH$86,15,FALSE))=TRUE,"",VLOOKUP(B19,EDW_FEEDER!$T$2:$AH$86,15,FALSE))</f>
        <v>180.6</v>
      </c>
      <c r="J19" s="105"/>
      <c r="K19" s="105"/>
      <c r="L19" s="105"/>
      <c r="M19" s="105"/>
    </row>
    <row r="20" spans="2:13" x14ac:dyDescent="0.2">
      <c r="B20" s="112" t="str">
        <f>IF(ISBLANK(VLOOKUP($B$14,EDW_FEEDER!$A$117:$AK$121,7,FALSE))=TRUE,"",VLOOKUP($B$14,EDW_FEEDER!$A$117:$AK$121,7,FALSE))</f>
        <v>Hartford</v>
      </c>
      <c r="C20" s="237">
        <f>IF(ISNA(VLOOKUP($B20,EDW_FEEDER!$T$2:$AH$86,9,FALSE))=TRUE,"",VLOOKUP($B20,EDW_FEEDER!$T$2:$AH$86,9,FALSE))</f>
        <v>3223</v>
      </c>
      <c r="D20" s="238">
        <f>IF(ISNA(VLOOKUP(B20,EDW_FEEDER!$T$2:$AH$86,10,FALSE))=TRUE,"",VLOOKUP(B20,EDW_FEEDER!$T$2:$AH$86,10,FALSE))</f>
        <v>119.3</v>
      </c>
      <c r="E20" s="239">
        <f>IF(ISNA(VLOOKUP(B20,EDW_FEEDER!$T$2:$AH$86,11,FALSE))=TRUE,"",VLOOKUP(B20,EDW_FEEDER!$T$2:$AH$870,11,FALSE))</f>
        <v>0.37635999999999997</v>
      </c>
      <c r="F20" s="237">
        <f>IF(ISNA(VLOOKUP(B20,EDW_FEEDER!$T$2:$AH$86,12,FALSE))=TRUE,"",VLOOKUP(B20,EDW_FEEDER!$T$2:$AH$86,12,FALSE))</f>
        <v>516</v>
      </c>
      <c r="G20" s="237">
        <f>IF(ISNA(VLOOKUP(B20,EDW_FEEDER!$T$2:$AH$86,13,FALSE))=TRUE,"",VLOOKUP(B20,EDW_FEEDER!$T$2:$AH$86,13,FALSE))</f>
        <v>7113</v>
      </c>
      <c r="H20" s="238">
        <f>IF(ISNA(VLOOKUP(B20,EDW_FEEDER!$T$2:$AH$86,14,FALSE))=TRUE,"",VLOOKUP(B20,EDW_FEEDER!$T$2:$AH$86,14,FALSE))</f>
        <v>177.3</v>
      </c>
      <c r="I20" s="238">
        <f>IF(ISNA(VLOOKUP(B20,EDW_FEEDER!$T$2:$AH$86,15,FALSE))=TRUE,"",VLOOKUP(B20,EDW_FEEDER!$T$2:$AH$86,15,FALSE))</f>
        <v>175.8</v>
      </c>
      <c r="J20" s="105"/>
      <c r="K20" s="105"/>
      <c r="L20" s="105"/>
      <c r="M20" s="105"/>
    </row>
    <row r="21" spans="2:13" x14ac:dyDescent="0.2">
      <c r="B21" s="112" t="str">
        <f>IF(ISBLANK(VLOOKUP($B$14,EDW_FEEDER!$A$117:$AK$121,8,FALSE))=TRUE,"",VLOOKUP($B$14,EDW_FEEDER!$A$117:$AK$121,8,FALSE))</f>
        <v>Indianapolis</v>
      </c>
      <c r="C21" s="237">
        <f>IF(ISNA(VLOOKUP($B21,EDW_FEEDER!$T$2:$AH$86,9,FALSE))=TRUE,"",VLOOKUP($B21,EDW_FEEDER!$T$2:$AH$86,9,FALSE))</f>
        <v>4628</v>
      </c>
      <c r="D21" s="238">
        <f>IF(ISNA(VLOOKUP(B21,EDW_FEEDER!$T$2:$AH$86,10,FALSE))=TRUE,"",VLOOKUP(B21,EDW_FEEDER!$T$2:$AH$86,10,FALSE))</f>
        <v>114.2</v>
      </c>
      <c r="E21" s="239">
        <f>IF(ISNA(VLOOKUP(B21,EDW_FEEDER!$T$2:$AH$86,11,FALSE))=TRUE,"",VLOOKUP(B21,EDW_FEEDER!$T$2:$AH$870,11,FALSE))</f>
        <v>0.26684999999999998</v>
      </c>
      <c r="F21" s="237">
        <f>IF(ISNA(VLOOKUP(B21,EDW_FEEDER!$T$2:$AH$86,12,FALSE))=TRUE,"",VLOOKUP(B21,EDW_FEEDER!$T$2:$AH$86,12,FALSE))</f>
        <v>1087</v>
      </c>
      <c r="G21" s="237">
        <f>IF(ISNA(VLOOKUP(B21,EDW_FEEDER!$T$2:$AH$86,13,FALSE))=TRUE,"",VLOOKUP(B21,EDW_FEEDER!$T$2:$AH$86,13,FALSE))</f>
        <v>11510</v>
      </c>
      <c r="H21" s="238">
        <f>IF(ISNA(VLOOKUP(B21,EDW_FEEDER!$T$2:$AH$86,14,FALSE))=TRUE,"",VLOOKUP(B21,EDW_FEEDER!$T$2:$AH$86,14,FALSE))</f>
        <v>191.9</v>
      </c>
      <c r="I21" s="238">
        <f>IF(ISNA(VLOOKUP(B21,EDW_FEEDER!$T$2:$AH$86,15,FALSE))=TRUE,"",VLOOKUP(B21,EDW_FEEDER!$T$2:$AH$86,15,FALSE))</f>
        <v>224.7</v>
      </c>
      <c r="J21" s="105"/>
      <c r="K21" s="105"/>
      <c r="L21" s="105"/>
      <c r="M21" s="105"/>
    </row>
    <row r="22" spans="2:13" x14ac:dyDescent="0.2">
      <c r="B22" s="112" t="str">
        <f>IF(ISBLANK(VLOOKUP($B$14,EDW_FEEDER!$A$117:$AK$121,9,FALSE))=TRUE,"",VLOOKUP($B$14,EDW_FEEDER!$A$117:$AK$121,9,FALSE))</f>
        <v>Manchester</v>
      </c>
      <c r="C22" s="237">
        <f>IF(ISNA(VLOOKUP($B22,EDW_FEEDER!$T$2:$AH$86,9,FALSE))=TRUE,"",VLOOKUP($B22,EDW_FEEDER!$T$2:$AH$86,9,FALSE))</f>
        <v>1554</v>
      </c>
      <c r="D22" s="238">
        <f>IF(ISNA(VLOOKUP(B22,EDW_FEEDER!$T$2:$AH$86,10,FALSE))=TRUE,"",VLOOKUP(B22,EDW_FEEDER!$T$2:$AH$86,10,FALSE))</f>
        <v>125.2</v>
      </c>
      <c r="E22" s="239">
        <f>IF(ISNA(VLOOKUP(B22,EDW_FEEDER!$T$2:$AH$86,11,FALSE))=TRUE,"",VLOOKUP(B22,EDW_FEEDER!$T$2:$AH$870,11,FALSE))</f>
        <v>0.32754</v>
      </c>
      <c r="F22" s="237">
        <f>IF(ISNA(VLOOKUP(B22,EDW_FEEDER!$T$2:$AH$86,12,FALSE))=TRUE,"",VLOOKUP(B22,EDW_FEEDER!$T$2:$AH$86,12,FALSE))</f>
        <v>314</v>
      </c>
      <c r="G22" s="237">
        <f>IF(ISNA(VLOOKUP(B22,EDW_FEEDER!$T$2:$AH$86,13,FALSE))=TRUE,"",VLOOKUP(B22,EDW_FEEDER!$T$2:$AH$86,13,FALSE))</f>
        <v>3461</v>
      </c>
      <c r="H22" s="238">
        <f>IF(ISNA(VLOOKUP(B22,EDW_FEEDER!$T$2:$AH$86,14,FALSE))=TRUE,"",VLOOKUP(B22,EDW_FEEDER!$T$2:$AH$86,14,FALSE))</f>
        <v>177.7</v>
      </c>
      <c r="I22" s="238">
        <f>IF(ISNA(VLOOKUP(B22,EDW_FEEDER!$T$2:$AH$86,15,FALSE))=TRUE,"",VLOOKUP(B22,EDW_FEEDER!$T$2:$AH$86,15,FALSE))</f>
        <v>196.5</v>
      </c>
      <c r="J22" s="105"/>
      <c r="K22" s="105"/>
      <c r="L22" s="105"/>
      <c r="M22" s="105"/>
    </row>
    <row r="23" spans="2:13" x14ac:dyDescent="0.2">
      <c r="B23" s="112" t="str">
        <f>IF(ISBLANK(VLOOKUP($B$14,EDW_FEEDER!$A$117:$AK$121,10,FALSE))=TRUE,"",VLOOKUP($B$14,EDW_FEEDER!$A$117:$AK$121,10,FALSE))</f>
        <v>New York</v>
      </c>
      <c r="C23" s="237">
        <f>IF(ISNA(VLOOKUP($B23,EDW_FEEDER!$T$2:$AH$86,9,FALSE))=TRUE,"",VLOOKUP($B23,EDW_FEEDER!$T$2:$AH$86,9,FALSE))</f>
        <v>4270</v>
      </c>
      <c r="D23" s="238">
        <f>IF(ISNA(VLOOKUP(B23,EDW_FEEDER!$T$2:$AH$86,10,FALSE))=TRUE,"",VLOOKUP(B23,EDW_FEEDER!$T$2:$AH$86,10,FALSE))</f>
        <v>113.7</v>
      </c>
      <c r="E23" s="239">
        <f>IF(ISNA(VLOOKUP(B23,EDW_FEEDER!$T$2:$AH$86,11,FALSE))=TRUE,"",VLOOKUP(B23,EDW_FEEDER!$T$2:$AH$870,11,FALSE))</f>
        <v>0.33326</v>
      </c>
      <c r="F23" s="237">
        <f>IF(ISNA(VLOOKUP(B23,EDW_FEEDER!$T$2:$AH$86,12,FALSE))=TRUE,"",VLOOKUP(B23,EDW_FEEDER!$T$2:$AH$86,12,FALSE))</f>
        <v>990</v>
      </c>
      <c r="G23" s="237">
        <f>IF(ISNA(VLOOKUP(B23,EDW_FEEDER!$T$2:$AH$86,13,FALSE))=TRUE,"",VLOOKUP(B23,EDW_FEEDER!$T$2:$AH$86,13,FALSE))</f>
        <v>10222</v>
      </c>
      <c r="H23" s="238">
        <f>IF(ISNA(VLOOKUP(B23,EDW_FEEDER!$T$2:$AH$86,14,FALSE))=TRUE,"",VLOOKUP(B23,EDW_FEEDER!$T$2:$AH$86,14,FALSE))</f>
        <v>164.3</v>
      </c>
      <c r="I23" s="238">
        <f>IF(ISNA(VLOOKUP(B23,EDW_FEEDER!$T$2:$AH$86,15,FALSE))=TRUE,"",VLOOKUP(B23,EDW_FEEDER!$T$2:$AH$86,15,FALSE))</f>
        <v>201</v>
      </c>
      <c r="J23" s="105"/>
      <c r="K23" s="105"/>
      <c r="L23" s="105"/>
      <c r="M23" s="105"/>
    </row>
    <row r="24" spans="2:13" x14ac:dyDescent="0.2">
      <c r="B24" s="112" t="str">
        <f>IF(ISBLANK(VLOOKUP($B$14,EDW_FEEDER!$A$117:$AK$121,11,FALSE))=TRUE,"",VLOOKUP($B$14,EDW_FEEDER!$A$117:$AK$121,11,FALSE))</f>
        <v>Newark</v>
      </c>
      <c r="C24" s="237">
        <f>IF(ISNA(VLOOKUP($B24,EDW_FEEDER!$T$2:$AH$86,9,FALSE))=TRUE,"",VLOOKUP($B24,EDW_FEEDER!$T$2:$AH$86,9,FALSE))</f>
        <v>2683</v>
      </c>
      <c r="D24" s="238">
        <f>IF(ISNA(VLOOKUP(B24,EDW_FEEDER!$T$2:$AH$86,10,FALSE))=TRUE,"",VLOOKUP(B24,EDW_FEEDER!$T$2:$AH$86,10,FALSE))</f>
        <v>117.4</v>
      </c>
      <c r="E24" s="239">
        <f>IF(ISNA(VLOOKUP(B24,EDW_FEEDER!$T$2:$AH$86,11,FALSE))=TRUE,"",VLOOKUP(B24,EDW_FEEDER!$T$2:$AH$870,11,FALSE))</f>
        <v>0.36713000000000001</v>
      </c>
      <c r="F24" s="237">
        <f>IF(ISNA(VLOOKUP(B24,EDW_FEEDER!$T$2:$AH$86,12,FALSE))=TRUE,"",VLOOKUP(B24,EDW_FEEDER!$T$2:$AH$86,12,FALSE))</f>
        <v>389</v>
      </c>
      <c r="G24" s="237">
        <f>IF(ISNA(VLOOKUP(B24,EDW_FEEDER!$T$2:$AH$86,13,FALSE))=TRUE,"",VLOOKUP(B24,EDW_FEEDER!$T$2:$AH$86,13,FALSE))</f>
        <v>5494</v>
      </c>
      <c r="H24" s="238">
        <f>IF(ISNA(VLOOKUP(B24,EDW_FEEDER!$T$2:$AH$86,14,FALSE))=TRUE,"",VLOOKUP(B24,EDW_FEEDER!$T$2:$AH$86,14,FALSE))</f>
        <v>181.3</v>
      </c>
      <c r="I24" s="238">
        <f>IF(ISNA(VLOOKUP(B24,EDW_FEEDER!$T$2:$AH$86,15,FALSE))=TRUE,"",VLOOKUP(B24,EDW_FEEDER!$T$2:$AH$86,15,FALSE))</f>
        <v>168.7</v>
      </c>
      <c r="J24" s="105"/>
      <c r="K24" s="105"/>
      <c r="L24" s="105"/>
      <c r="M24" s="105"/>
    </row>
    <row r="25" spans="2:13" x14ac:dyDescent="0.2">
      <c r="B25" s="113" t="str">
        <f>IF(ISBLANK(VLOOKUP($B$14,EDW_FEEDER!$A$117:$AK$121,12,FALSE))=TRUE,"",VLOOKUP($B$14,EDW_FEEDER!$A$117:$AK$121,12,FALSE))</f>
        <v>Philadelphia (Non-PMC)</v>
      </c>
      <c r="C25" s="237">
        <f>IF(ISNA(VLOOKUP($B25,EDW_FEEDER!$T$2:$AH$86,9,FALSE))=TRUE,"",VLOOKUP($B25,EDW_FEEDER!$T$2:$AH$86,9,FALSE))</f>
        <v>9045</v>
      </c>
      <c r="D25" s="238">
        <f>IF(ISNA(VLOOKUP(B25,EDW_FEEDER!$T$2:$AH$86,10,FALSE))=TRUE,"",VLOOKUP(B25,EDW_FEEDER!$T$2:$AH$86,10,FALSE))</f>
        <v>143.4</v>
      </c>
      <c r="E25" s="239">
        <f>IF(ISNA(VLOOKUP(B25,EDW_FEEDER!$T$2:$AH$86,11,FALSE))=TRUE,"",VLOOKUP(B25,EDW_FEEDER!$T$2:$AH$870,11,FALSE))</f>
        <v>0.44002000000000002</v>
      </c>
      <c r="F25" s="237">
        <f>IF(ISNA(VLOOKUP(B25,EDW_FEEDER!$T$2:$AH$86,12,FALSE))=TRUE,"",VLOOKUP(B25,EDW_FEEDER!$T$2:$AH$86,12,FALSE))</f>
        <v>1707</v>
      </c>
      <c r="G25" s="237">
        <f>IF(ISNA(VLOOKUP(B25,EDW_FEEDER!$T$2:$AH$86,13,FALSE))=TRUE,"",VLOOKUP(B25,EDW_FEEDER!$T$2:$AH$86,13,FALSE))</f>
        <v>22242</v>
      </c>
      <c r="H25" s="238">
        <f>IF(ISNA(VLOOKUP(B25,EDW_FEEDER!$T$2:$AH$86,14,FALSE))=TRUE,"",VLOOKUP(B25,EDW_FEEDER!$T$2:$AH$86,14,FALSE))</f>
        <v>209.5</v>
      </c>
      <c r="I25" s="238">
        <f>IF(ISNA(VLOOKUP(B25,EDW_FEEDER!$T$2:$AH$86,15,FALSE))=TRUE,"",VLOOKUP(B25,EDW_FEEDER!$T$2:$AH$86,15,FALSE))</f>
        <v>236.3</v>
      </c>
      <c r="J25" s="105"/>
      <c r="K25" s="105"/>
      <c r="L25" s="105"/>
      <c r="M25" s="105"/>
    </row>
    <row r="26" spans="2:13" x14ac:dyDescent="0.2">
      <c r="B26" s="112" t="str">
        <f>IF(ISBLANK(VLOOKUP($B$14,EDW_FEEDER!$A$117:$AK$121,13,FALSE))=TRUE,"",VLOOKUP($B$14,EDW_FEEDER!$A$117:$AK$121,13,FALSE))</f>
        <v>Pittsburgh</v>
      </c>
      <c r="C26" s="237">
        <f>IF(ISNA(VLOOKUP($B26,EDW_FEEDER!$T$2:$AH$86,9,FALSE))=TRUE,"",VLOOKUP($B26,EDW_FEEDER!$T$2:$AH$86,9,FALSE))</f>
        <v>4561</v>
      </c>
      <c r="D26" s="238">
        <f>IF(ISNA(VLOOKUP(B26,EDW_FEEDER!$T$2:$AH$86,10,FALSE))=TRUE,"",VLOOKUP(B26,EDW_FEEDER!$T$2:$AH$86,10,FALSE))</f>
        <v>143.19999999999999</v>
      </c>
      <c r="E26" s="239">
        <f>IF(ISNA(VLOOKUP(B26,EDW_FEEDER!$T$2:$AH$86,11,FALSE))=TRUE,"",VLOOKUP(B26,EDW_FEEDER!$T$2:$AH$870,11,FALSE))</f>
        <v>0.39355000000000001</v>
      </c>
      <c r="F26" s="237">
        <f>IF(ISNA(VLOOKUP(B26,EDW_FEEDER!$T$2:$AH$86,12,FALSE))=TRUE,"",VLOOKUP(B26,EDW_FEEDER!$T$2:$AH$86,12,FALSE))</f>
        <v>714</v>
      </c>
      <c r="G26" s="237">
        <f>IF(ISNA(VLOOKUP(B26,EDW_FEEDER!$T$2:$AH$86,13,FALSE))=TRUE,"",VLOOKUP(B26,EDW_FEEDER!$T$2:$AH$86,13,FALSE))</f>
        <v>8658</v>
      </c>
      <c r="H26" s="238">
        <f>IF(ISNA(VLOOKUP(B26,EDW_FEEDER!$T$2:$AH$86,14,FALSE))=TRUE,"",VLOOKUP(B26,EDW_FEEDER!$T$2:$AH$86,14,FALSE))</f>
        <v>169.8</v>
      </c>
      <c r="I26" s="238">
        <f>IF(ISNA(VLOOKUP(B26,EDW_FEEDER!$T$2:$AH$86,15,FALSE))=TRUE,"",VLOOKUP(B26,EDW_FEEDER!$T$2:$AH$86,15,FALSE))</f>
        <v>208.2</v>
      </c>
      <c r="J26" s="105"/>
      <c r="K26" s="105"/>
      <c r="L26" s="105"/>
      <c r="M26" s="105"/>
    </row>
    <row r="27" spans="2:13" x14ac:dyDescent="0.2">
      <c r="B27" s="112" t="str">
        <f>IF(ISBLANK(VLOOKUP($B$14,EDW_FEEDER!$A$117:$AK$121,14,FALSE))=TRUE,"",VLOOKUP($B$14,EDW_FEEDER!$A$117:$AK$121,14,FALSE))</f>
        <v>Providence</v>
      </c>
      <c r="C27" s="237">
        <f>IF(ISNA(VLOOKUP($B27,EDW_FEEDER!$T$2:$AH$86,9,FALSE))=TRUE,"",VLOOKUP($B27,EDW_FEEDER!$T$2:$AH$86,9,FALSE))</f>
        <v>4371</v>
      </c>
      <c r="D27" s="238">
        <f>IF(ISNA(VLOOKUP(B27,EDW_FEEDER!$T$2:$AH$86,10,FALSE))=TRUE,"",VLOOKUP(B27,EDW_FEEDER!$T$2:$AH$86,10,FALSE))</f>
        <v>160.4</v>
      </c>
      <c r="E27" s="239">
        <f>IF(ISNA(VLOOKUP(B27,EDW_FEEDER!$T$2:$AH$86,11,FALSE))=TRUE,"",VLOOKUP(B27,EDW_FEEDER!$T$2:$AH$870,11,FALSE))</f>
        <v>0.55318999999999996</v>
      </c>
      <c r="F27" s="237">
        <f>IF(ISNA(VLOOKUP(B27,EDW_FEEDER!$T$2:$AH$86,12,FALSE))=TRUE,"",VLOOKUP(B27,EDW_FEEDER!$T$2:$AH$86,12,FALSE))</f>
        <v>1696</v>
      </c>
      <c r="G27" s="237">
        <f>IF(ISNA(VLOOKUP(B27,EDW_FEEDER!$T$2:$AH$86,13,FALSE))=TRUE,"",VLOOKUP(B27,EDW_FEEDER!$T$2:$AH$86,13,FALSE))</f>
        <v>21758</v>
      </c>
      <c r="H27" s="238">
        <f>IF(ISNA(VLOOKUP(B27,EDW_FEEDER!$T$2:$AH$86,14,FALSE))=TRUE,"",VLOOKUP(B27,EDW_FEEDER!$T$2:$AH$86,14,FALSE))</f>
        <v>89</v>
      </c>
      <c r="I27" s="238">
        <f>IF(ISNA(VLOOKUP(B27,EDW_FEEDER!$T$2:$AH$86,15,FALSE))=TRUE,"",VLOOKUP(B27,EDW_FEEDER!$T$2:$AH$86,15,FALSE))</f>
        <v>84</v>
      </c>
      <c r="J27" s="105"/>
      <c r="K27" s="105"/>
      <c r="L27" s="105"/>
      <c r="M27" s="105"/>
    </row>
    <row r="28" spans="2:13" x14ac:dyDescent="0.2">
      <c r="B28" s="112" t="str">
        <f>IF(ISBLANK(VLOOKUP($B$14,EDW_FEEDER!$A$117:$AK$121,15,FALSE))=TRUE,"",VLOOKUP($B$14,EDW_FEEDER!$A$117:$AK$121,15,FALSE))</f>
        <v>Togus</v>
      </c>
      <c r="C28" s="237">
        <f>IF(ISNA(VLOOKUP($B28,EDW_FEEDER!$T$2:$AH$86,9,FALSE))=TRUE,"",VLOOKUP($B28,EDW_FEEDER!$T$2:$AH$86,9,FALSE))</f>
        <v>5264</v>
      </c>
      <c r="D28" s="238">
        <f>IF(ISNA(VLOOKUP(B28,EDW_FEEDER!$T$2:$AH$86,10,FALSE))=TRUE,"",VLOOKUP(B28,EDW_FEEDER!$T$2:$AH$86,10,FALSE))</f>
        <v>155.1</v>
      </c>
      <c r="E28" s="239">
        <f>IF(ISNA(VLOOKUP(B28,EDW_FEEDER!$T$2:$AH$86,11,FALSE))=TRUE,"",VLOOKUP(B28,EDW_FEEDER!$T$2:$AH$870,11,FALSE))</f>
        <v>0.44757000000000002</v>
      </c>
      <c r="F28" s="237">
        <f>IF(ISNA(VLOOKUP(B28,EDW_FEEDER!$T$2:$AH$86,12,FALSE))=TRUE,"",VLOOKUP(B28,EDW_FEEDER!$T$2:$AH$86,12,FALSE))</f>
        <v>1183</v>
      </c>
      <c r="G28" s="237">
        <f>IF(ISNA(VLOOKUP(B28,EDW_FEEDER!$T$2:$AH$86,13,FALSE))=TRUE,"",VLOOKUP(B28,EDW_FEEDER!$T$2:$AH$86,13,FALSE))</f>
        <v>14239</v>
      </c>
      <c r="H28" s="238">
        <f>IF(ISNA(VLOOKUP(B28,EDW_FEEDER!$T$2:$AH$86,14,FALSE))=TRUE,"",VLOOKUP(B28,EDW_FEEDER!$T$2:$AH$86,14,FALSE))</f>
        <v>233.8</v>
      </c>
      <c r="I28" s="238">
        <f>IF(ISNA(VLOOKUP(B28,EDW_FEEDER!$T$2:$AH$86,15,FALSE))=TRUE,"",VLOOKUP(B28,EDW_FEEDER!$T$2:$AH$86,15,FALSE))</f>
        <v>214.2</v>
      </c>
      <c r="J28" s="105"/>
      <c r="K28" s="105"/>
      <c r="L28" s="105"/>
      <c r="M28" s="105"/>
    </row>
    <row r="29" spans="2:13" x14ac:dyDescent="0.2">
      <c r="B29" s="112" t="str">
        <f>IF(ISBLANK(VLOOKUP($B$14,EDW_FEEDER!$A$117:$AK$121,16,FALSE))=TRUE,"",VLOOKUP($B$14,EDW_FEEDER!$A$117:$AK$121,16,FALSE))</f>
        <v>White River J.</v>
      </c>
      <c r="C29" s="237">
        <f>IF(ISNA(VLOOKUP($B29,EDW_FEEDER!$T$2:$AH$86,9,FALSE))=TRUE,"",VLOOKUP($B29,EDW_FEEDER!$T$2:$AH$86,9,FALSE))</f>
        <v>779</v>
      </c>
      <c r="D29" s="238">
        <f>IF(ISNA(VLOOKUP(B29,EDW_FEEDER!$T$2:$AH$86,10,FALSE))=TRUE,"",VLOOKUP(B29,EDW_FEEDER!$T$2:$AH$86,10,FALSE))</f>
        <v>130</v>
      </c>
      <c r="E29" s="239">
        <f>IF(ISNA(VLOOKUP(B29,EDW_FEEDER!$T$2:$AH$86,11,FALSE))=TRUE,"",VLOOKUP(B29,EDW_FEEDER!$T$2:$AH$870,11,FALSE))</f>
        <v>0.46983000000000003</v>
      </c>
      <c r="F29" s="237">
        <f>IF(ISNA(VLOOKUP(B29,EDW_FEEDER!$T$2:$AH$86,12,FALSE))=TRUE,"",VLOOKUP(B29,EDW_FEEDER!$T$2:$AH$86,12,FALSE))</f>
        <v>135</v>
      </c>
      <c r="G29" s="237">
        <f>IF(ISNA(VLOOKUP(B29,EDW_FEEDER!$T$2:$AH$86,13,FALSE))=TRUE,"",VLOOKUP(B29,EDW_FEEDER!$T$2:$AH$86,13,FALSE))</f>
        <v>1694</v>
      </c>
      <c r="H29" s="238">
        <f>IF(ISNA(VLOOKUP(B29,EDW_FEEDER!$T$2:$AH$86,14,FALSE))=TRUE,"",VLOOKUP(B29,EDW_FEEDER!$T$2:$AH$86,14,FALSE))</f>
        <v>162.9</v>
      </c>
      <c r="I29" s="238">
        <f>IF(ISNA(VLOOKUP(B29,EDW_FEEDER!$T$2:$AH$86,15,FALSE))=TRUE,"",VLOOKUP(B29,EDW_FEEDER!$T$2:$AH$86,15,FALSE))</f>
        <v>196.1</v>
      </c>
      <c r="J29" s="105"/>
      <c r="K29" s="105"/>
      <c r="L29" s="105"/>
      <c r="M29" s="105"/>
    </row>
    <row r="30" spans="2:13" x14ac:dyDescent="0.2">
      <c r="B30" s="114" t="str">
        <f>IF(ISBLANK(VLOOKUP($B$14,EDW_FEEDER!$A$117:$AK$121,17,FALSE))=TRUE,"",VLOOKUP($B$14,EDW_FEEDER!$A$117:$AK$121,17,FALSE))</f>
        <v>Wilmington</v>
      </c>
      <c r="C30" s="237">
        <f>IF(ISNA(VLOOKUP($B30,EDW_FEEDER!$T$2:$AH$86,9,FALSE))=TRUE,"",VLOOKUP($B30,EDW_FEEDER!$T$2:$AH$86,9,FALSE))</f>
        <v>724</v>
      </c>
      <c r="D30" s="238">
        <f>IF(ISNA(VLOOKUP(B30,EDW_FEEDER!$T$2:$AH$86,10,FALSE))=TRUE,"",VLOOKUP(B30,EDW_FEEDER!$T$2:$AH$86,10,FALSE))</f>
        <v>128.9</v>
      </c>
      <c r="E30" s="239">
        <f>IF(ISNA(VLOOKUP(B30,EDW_FEEDER!$T$2:$AH$86,11,FALSE))=TRUE,"",VLOOKUP(B30,EDW_FEEDER!$T$2:$AH$870,11,FALSE))</f>
        <v>0.29282000000000002</v>
      </c>
      <c r="F30" s="237">
        <f>IF(ISNA(VLOOKUP(B30,EDW_FEEDER!$T$2:$AH$86,12,FALSE))=TRUE,"",VLOOKUP(B30,EDW_FEEDER!$T$2:$AH$86,12,FALSE))</f>
        <v>97</v>
      </c>
      <c r="G30" s="237">
        <f>IF(ISNA(VLOOKUP(B30,EDW_FEEDER!$T$2:$AH$86,13,FALSE))=TRUE,"",VLOOKUP(B30,EDW_FEEDER!$T$2:$AH$86,13,FALSE))</f>
        <v>1617</v>
      </c>
      <c r="H30" s="238">
        <f>IF(ISNA(VLOOKUP(B30,EDW_FEEDER!$T$2:$AH$86,14,FALSE))=TRUE,"",VLOOKUP(B30,EDW_FEEDER!$T$2:$AH$86,14,FALSE))</f>
        <v>259.10000000000002</v>
      </c>
      <c r="I30" s="238">
        <f>IF(ISNA(VLOOKUP(B30,EDW_FEEDER!$T$2:$AH$86,15,FALSE))=TRUE,"",VLOOKUP(B30,EDW_FEEDER!$T$2:$AH$86,15,FALSE))</f>
        <v>229.2</v>
      </c>
      <c r="J30" s="105"/>
      <c r="K30" s="105"/>
      <c r="L30" s="105"/>
      <c r="M30" s="105"/>
    </row>
    <row r="31" spans="2:13" x14ac:dyDescent="0.2">
      <c r="B31" s="475" t="s">
        <v>297</v>
      </c>
      <c r="C31" s="476"/>
      <c r="D31" s="476"/>
      <c r="E31" s="476"/>
      <c r="F31" s="476"/>
      <c r="G31" s="476"/>
      <c r="H31" s="476"/>
      <c r="I31" s="476"/>
      <c r="J31" s="476"/>
      <c r="K31" s="476"/>
      <c r="L31" s="476"/>
      <c r="M31" s="477"/>
    </row>
    <row r="32" spans="2:13" x14ac:dyDescent="0.2">
      <c r="B32" s="200" t="s">
        <v>387</v>
      </c>
      <c r="C32" s="237">
        <f>IF(ISNA(VLOOKUP("USAP",EDW_FEEDER!$T$2:$AH$86,9,FALSE))=TRUE,"",VLOOKUP("USAP",EDW_FEEDER!$T$2:$AH$86,9,FALSE))</f>
        <v>18985</v>
      </c>
      <c r="D32" s="238">
        <f>IF(ISNA(VLOOKUP("USAP",EDW_FEEDER!$T$2:$AH$86,10,FALSE))=TRUE,"",VLOOKUP("USAP",EDW_FEEDER!$T$2:$AH$86,10,FALSE))</f>
        <v>61.4</v>
      </c>
      <c r="E32" s="239">
        <f>IF(ISNA(VLOOKUP("USAP",EDW_FEEDER!$T$2:$AH$86,11,FALSE))=TRUE,"",VLOOKUP("USAP",EDW_FEEDER!$T$2:$AH$870,11,FALSE))</f>
        <v>9.6180000000000002E-2</v>
      </c>
      <c r="F32" s="237">
        <f>IF(ISNA(VLOOKUP("USAP",EDW_FEEDER!$T$2:$AH$86,12,FALSE))=TRUE,"",VLOOKUP("USAP",EDW_FEEDER!$T$2:$AH$86,12,FALSE))</f>
        <v>8383</v>
      </c>
      <c r="G32" s="237">
        <f>IF(ISNA(VLOOKUP("USAP",EDW_FEEDER!$T$2:$AH$86,13,FALSE))=TRUE,"",VLOOKUP("USAP",EDW_FEEDER!$T$2:$AH$86,13,FALSE))</f>
        <v>110883</v>
      </c>
      <c r="H32" s="238">
        <f>IF(ISNA(VLOOKUP("USAP",EDW_FEEDER!$T$2:$AH$86,14,FALSE))=TRUE,"",VLOOKUP("USAP",EDW_FEEDER!$T$2:$AH$86,14,FALSE))</f>
        <v>62.2</v>
      </c>
      <c r="I32" s="238">
        <f>IF(ISNA(VLOOKUP("USAP",EDW_FEEDER!$T$2:$AH$86,15,FALSE))=TRUE,"",VLOOKUP("USAP",EDW_FEEDER!$T$2:$AH$86,15,FALSE))</f>
        <v>64.5</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37">
        <f>IF(ISNA(VLOOKUP($B33,EDW_FEEDER!$T$2:$AH$86,9,FALSE))=TRUE,"",VLOOKUP($B33,EDW_FEEDER!$T$2:$AH$86,9,FALSE))</f>
        <v>6135</v>
      </c>
      <c r="D33" s="238">
        <f>IF(ISNA(VLOOKUP(B33,EDW_FEEDER!$T$2:$AH$86,10,FALSE))=TRUE,"",VLOOKUP(B33,EDW_FEEDER!$T$2:$AH$86,10,FALSE))</f>
        <v>66.5</v>
      </c>
      <c r="E33" s="239">
        <f>IF(ISNA(VLOOKUP(B33,EDW_FEEDER!$T$2:$AH$86,11,FALSE))=TRUE,"",VLOOKUP(B33,EDW_FEEDER!$T$2:$AH$870,11,FALSE))</f>
        <v>0.11654</v>
      </c>
      <c r="F33" s="237">
        <f>IF(ISNA(VLOOKUP(B33,EDW_FEEDER!$T$2:$AH$86,12,FALSE))=TRUE,"",VLOOKUP(B33,EDW_FEEDER!$T$2:$AH$86,12,FALSE))</f>
        <v>2788</v>
      </c>
      <c r="G33" s="237">
        <f>IF(ISNA(VLOOKUP(B33,EDW_FEEDER!$T$2:$AH$86,13,FALSE))=TRUE,"",VLOOKUP(B33,EDW_FEEDER!$T$2:$AH$86,13,FALSE))</f>
        <v>35087</v>
      </c>
      <c r="H33" s="238">
        <f>IF(ISNA(VLOOKUP(B33,EDW_FEEDER!$T$2:$AH$86,14,FALSE))=TRUE,"",VLOOKUP(B33,EDW_FEEDER!$T$2:$AH$86,14,FALSE))</f>
        <v>65.599999999999994</v>
      </c>
      <c r="I33" s="238">
        <f>IF(ISNA(VLOOKUP(B33,EDW_FEEDER!$T$2:$AH$86,15,FALSE))=TRUE,"",VLOOKUP(B33,EDW_FEEDER!$T$2:$AH$86,15,FALSE))</f>
        <v>72.8</v>
      </c>
      <c r="J33" s="105"/>
      <c r="K33" s="105"/>
      <c r="L33" s="105"/>
      <c r="M33" s="105"/>
    </row>
    <row r="34" spans="1:16" x14ac:dyDescent="0.2">
      <c r="A34" s="16"/>
      <c r="B34" s="116" t="s">
        <v>243</v>
      </c>
      <c r="C34" s="237">
        <f>IF(ISNA(VLOOKUP($B34,EDW_FEEDER!$T$2:$AH$86,9,FALSE))=TRUE,"",VLOOKUP($B34,EDW_FEEDER!$T$2:$AH$86,9,FALSE))</f>
        <v>4623</v>
      </c>
      <c r="D34" s="238">
        <f>IF(ISNA(VLOOKUP(B34,EDW_FEEDER!$T$2:$AH$86,10,FALSE))=TRUE,"",VLOOKUP(B34,EDW_FEEDER!$T$2:$AH$86,10,FALSE))</f>
        <v>54.9</v>
      </c>
      <c r="E34" s="239">
        <f>IF(ISNA(VLOOKUP(B34,EDW_FEEDER!$T$2:$AH$86,11,FALSE))=TRUE,"",VLOOKUP(B34,EDW_FEEDER!$T$2:$AH$870,11,FALSE))</f>
        <v>8.3059999999999995E-2</v>
      </c>
      <c r="F34" s="237">
        <f>IF(ISNA(VLOOKUP(B34,EDW_FEEDER!$T$2:$AH$86,12,FALSE))=TRUE,"",VLOOKUP(B34,EDW_FEEDER!$T$2:$AH$86,12,FALSE))</f>
        <v>2309</v>
      </c>
      <c r="G34" s="237">
        <f>IF(ISNA(VLOOKUP(B34,EDW_FEEDER!$T$2:$AH$86,13,FALSE))=TRUE,"",VLOOKUP(B34,EDW_FEEDER!$T$2:$AH$86,13,FALSE))</f>
        <v>31299</v>
      </c>
      <c r="H34" s="238">
        <f>IF(ISNA(VLOOKUP(B34,EDW_FEEDER!$T$2:$AH$86,14,FALSE))=TRUE,"",VLOOKUP(B34,EDW_FEEDER!$T$2:$AH$86,14,FALSE))</f>
        <v>51.7</v>
      </c>
      <c r="I34" s="238">
        <f>IF(ISNA(VLOOKUP(B34,EDW_FEEDER!$T$2:$AH$86,15,FALSE))=TRUE,"",VLOOKUP(B34,EDW_FEEDER!$T$2:$AH$86,15,FALSE))</f>
        <v>55.5</v>
      </c>
      <c r="J34" s="105"/>
      <c r="K34" s="105"/>
      <c r="L34" s="105"/>
      <c r="M34" s="105"/>
    </row>
    <row r="35" spans="1:16" x14ac:dyDescent="0.2">
      <c r="B35" s="116" t="s">
        <v>251</v>
      </c>
      <c r="C35" s="237">
        <f>IF(ISNA(VLOOKUP($B35,EDW_FEEDER!$T$2:$AH$86,9,FALSE))=TRUE,"",VLOOKUP($B35,EDW_FEEDER!$T$2:$AH$86,9,FALSE))</f>
        <v>7704</v>
      </c>
      <c r="D35" s="238">
        <f>IF(ISNA(VLOOKUP(B35,EDW_FEEDER!$T$2:$AH$86,10,FALSE))=TRUE,"",VLOOKUP(B35,EDW_FEEDER!$T$2:$AH$86,10,FALSE))</f>
        <v>54.5</v>
      </c>
      <c r="E35" s="239">
        <f>IF(ISNA(VLOOKUP(B35,EDW_FEEDER!$T$2:$AH$86,11,FALSE))=TRUE,"",VLOOKUP(B35,EDW_FEEDER!$T$2:$AH$870,11,FALSE))</f>
        <v>6.4119999999999996E-2</v>
      </c>
      <c r="F35" s="237">
        <f>IF(ISNA(VLOOKUP(B35,EDW_FEEDER!$T$2:$AH$86,12,FALSE))=TRUE,"",VLOOKUP(B35,EDW_FEEDER!$T$2:$AH$86,12,FALSE))</f>
        <v>3061</v>
      </c>
      <c r="G35" s="237">
        <f>IF(ISNA(VLOOKUP(B35,EDW_FEEDER!$T$2:$AH$86,13,FALSE))=TRUE,"",VLOOKUP(B35,EDW_FEEDER!$T$2:$AH$86,13,FALSE))</f>
        <v>40551</v>
      </c>
      <c r="H35" s="238">
        <f>IF(ISNA(VLOOKUP(B35,EDW_FEEDER!$T$2:$AH$86,14,FALSE))=TRUE,"",VLOOKUP(B35,EDW_FEEDER!$T$2:$AH$86,14,FALSE))</f>
        <v>66.900000000000006</v>
      </c>
      <c r="I35" s="238">
        <f>IF(ISNA(VLOOKUP(B35,EDW_FEEDER!$T$2:$AH$86,15,FALSE))=TRUE,"",VLOOKUP(B35,EDW_FEEDER!$T$2:$AH$86,15,FALSE))</f>
        <v>64.7</v>
      </c>
      <c r="J35" s="105"/>
      <c r="K35" s="105"/>
      <c r="L35" s="105"/>
      <c r="M35" s="105"/>
    </row>
    <row r="36" spans="1:16" x14ac:dyDescent="0.2">
      <c r="B36" s="117" t="s">
        <v>433</v>
      </c>
      <c r="C36" s="237">
        <f>IF(ISNA(VLOOKUP(B36,EDW_FEEDER!$T$2:$AH$86,9,FALSE))=TRUE,"",VLOOKUP(B36,EDW_FEEDER!$T$2:$AH$86,9,FALSE))</f>
        <v>523</v>
      </c>
      <c r="D36" s="238">
        <f>IF(ISNA(VLOOKUP(B36,EDW_FEEDER!$T$2:$AH$86,10,FALSE))=TRUE,"",VLOOKUP(B36,EDW_FEEDER!$T$2:$AH$86,10,FALSE))</f>
        <v>161.30000000000001</v>
      </c>
      <c r="E36" s="239">
        <f>IF(ISNA(VLOOKUP(B36,EDW_FEEDER!$T$2:$AH$86,11,FALSE))=TRUE,"",VLOOKUP(B36,EDW_FEEDER!$T$2:$AH$86,11,FALSE))</f>
        <v>0.44551000000000002</v>
      </c>
      <c r="F36" s="237">
        <f>IF(ISNA(VLOOKUP(B36,EDW_FEEDER!$T$2:$AH$86,12,FALSE))=TRUE,"",VLOOKUP(B36,EDW_FEEDER!$T$2:$AH$86,12,FALSE))</f>
        <v>225</v>
      </c>
      <c r="G36" s="237">
        <f>IF(ISNA(VLOOKUP(B36,EDW_FEEDER!$T$2:$AH$86,13,FALSE))=TRUE,"",VLOOKUP(B36,EDW_FEEDER!$T$2:$AH$86,13,FALSE))</f>
        <v>3946</v>
      </c>
      <c r="H36" s="238">
        <f>IF(ISNA(VLOOKUP(B36,EDW_FEEDER!$T$2:$AH$86,14,FALSE))=TRUE,"",VLOOKUP(B36,EDW_FEEDER!$T$2:$AH$870,14,FALSE))</f>
        <v>63.8</v>
      </c>
      <c r="I36" s="238">
        <f>IF(ISNA(VLOOKUP(B36,EDW_FEEDER!$T$2:$AH$86,15,FALSE))=TRUE,"",VLOOKUP(B36,EDW_FEEDER!$T$2:$AH$86,15,FALSE))</f>
        <v>59.5</v>
      </c>
      <c r="J36" s="105"/>
      <c r="K36" s="105"/>
      <c r="L36" s="105"/>
      <c r="M36" s="105"/>
    </row>
    <row r="37" spans="1:16" x14ac:dyDescent="0.2">
      <c r="B37" s="475" t="s">
        <v>298</v>
      </c>
      <c r="C37" s="476"/>
      <c r="D37" s="476"/>
      <c r="E37" s="476"/>
      <c r="F37" s="476"/>
      <c r="G37" s="476"/>
      <c r="H37" s="476"/>
      <c r="I37" s="476"/>
      <c r="J37" s="476"/>
      <c r="K37" s="476"/>
      <c r="L37" s="476"/>
      <c r="M37" s="477"/>
    </row>
    <row r="38" spans="1:16" x14ac:dyDescent="0.2">
      <c r="B38" s="202" t="s">
        <v>388</v>
      </c>
      <c r="C38" s="237">
        <f>IF(ISNA(VLOOKUP("USAQ",EDW_FEEDER!$T$2:$AH$86,9,FALSE))=TRUE,"",VLOOKUP("USAQ",EDW_FEEDER!$T$2:$AH$86,9,FALSE))</f>
        <v>7865</v>
      </c>
      <c r="D38" s="238">
        <f>IF(ISNA(VLOOKUP("USAQ",EDW_FEEDER!$T$2:$AH$86,10,FALSE))=TRUE,"",VLOOKUP("USAQ",EDW_FEEDER!$T$2:$AH$86,10,FALSE))</f>
        <v>76.2</v>
      </c>
      <c r="E38" s="239">
        <f>IF(ISNA(VLOOKUP("USAQ",EDW_FEEDER!$T$2:$AH$86,11,FALSE))=TRUE,"",VLOOKUP("USAQ",EDW_FEEDER!$T$2:$AH$86,11,FALSE))</f>
        <v>0.18168999999999999</v>
      </c>
      <c r="F38" s="237">
        <f>IF(ISNA(VLOOKUP("USAQ",EDW_FEEDER!$T$2:$AH$86,12,FALSE))=TRUE,"",VLOOKUP("USAQ",EDW_FEEDER!$T$2:$AH$86,12,FALSE))</f>
        <v>1391</v>
      </c>
      <c r="G38" s="237">
        <f>IF(ISNA(VLOOKUP("USAQ",EDW_FEEDER!$T$2:$AH$86,13,FALSE))=TRUE,"",VLOOKUP("USAQ",EDW_FEEDER!$T$2:$AH$86,13,FALSE))</f>
        <v>18820</v>
      </c>
      <c r="H38" s="238">
        <f>IF(ISNA(VLOOKUP("USAQ",EDW_FEEDER!$T$2:$AH$86,14,FALSE))=TRUE,"",VLOOKUP("USAQ",EDW_FEEDER!$T$2:$AH$86,14,FALSE))</f>
        <v>126.3</v>
      </c>
      <c r="I38" s="238">
        <f>IF(ISNA(VLOOKUP("USAQ",EDW_FEEDER!$T$2:$AH$86,15,FALSE))=TRUE,"",VLOOKUP("USAQ",EDW_FEEDER!$T$2:$AH$86,15,FALSE))</f>
        <v>135.1</v>
      </c>
      <c r="J38" s="105"/>
      <c r="K38" s="105"/>
      <c r="L38" s="105"/>
      <c r="M38" s="105"/>
    </row>
    <row r="39" spans="1:16" x14ac:dyDescent="0.2">
      <c r="B39" s="201" t="s">
        <v>85</v>
      </c>
      <c r="C39" s="237">
        <f>IF(ISNA(VLOOKUP("San Diego QS",EDW_FEEDER!$T$2:$AH$86,9,FALSE))=TRUE,"",VLOOKUP("San Diego QS",EDW_FEEDER!$T$2:$AH$86,9,FALSE))</f>
        <v>3350</v>
      </c>
      <c r="D39" s="238">
        <f>IF(ISNA(VLOOKUP("San Diego QS",EDW_FEEDER!$T$2:$AH$86,10,FALSE))=TRUE,"",VLOOKUP("San Diego QS",EDW_FEEDER!$T$2:$AH$86,10,FALSE))</f>
        <v>70.7</v>
      </c>
      <c r="E39" s="239">
        <f>IF(ISNA(VLOOKUP("San Diego QS",EDW_FEEDER!$T$2:$AH$86,11,FALSE))=TRUE,"",VLOOKUP("San Diego QS",EDW_FEEDER!$T$2:$AH$86,11,FALSE))</f>
        <v>0.15970000000000001</v>
      </c>
      <c r="F39" s="237">
        <f>IF(ISNA(VLOOKUP("San Diego QS",EDW_FEEDER!$T$2:$AH$86,12,FALSE))=TRUE,"",VLOOKUP("San Diego QS",EDW_FEEDER!$T$2:$AH$86,12,FALSE))</f>
        <v>739</v>
      </c>
      <c r="G39" s="237">
        <f>IF(ISNA(VLOOKUP("San Diego QS",EDW_FEEDER!$T$2:$AH$86,13,FALSE))=TRUE,"",VLOOKUP("San Diego QS",EDW_FEEDER!$T$2:$AH$86,13,FALSE))</f>
        <v>9743</v>
      </c>
      <c r="H39" s="238">
        <f>IF(ISNA(VLOOKUP("San Diego QS",EDW_FEEDER!$T$2:$AH$86,14,FALSE))=TRUE,"",VLOOKUP("San Diego QS",EDW_FEEDER!$T$2:$AH$86,14,FALSE))</f>
        <v>107.1</v>
      </c>
      <c r="I39" s="238">
        <f>IF(ISNA(VLOOKUP("San Diego QS",EDW_FEEDER!$T$2:$AH$86,15,FALSE))=TRUE,"",VLOOKUP("San Diego QS",EDW_FEEDER!$T$2:$AH$86,15,FALSE))</f>
        <v>117.5</v>
      </c>
      <c r="J39" s="105"/>
      <c r="K39" s="105"/>
      <c r="L39" s="105"/>
      <c r="M39" s="105"/>
      <c r="N39" s="49"/>
      <c r="O39" s="49"/>
      <c r="P39" s="49"/>
    </row>
    <row r="40" spans="1:16" x14ac:dyDescent="0.2">
      <c r="B40" s="201" t="s">
        <v>97</v>
      </c>
      <c r="C40" s="237">
        <f>IF(ISNA(VLOOKUP("Winston-Salem QS",EDW_FEEDER!$T$2:$AH$86,9,FALSE))=TRUE,"",VLOOKUP("Winston-Salem QS",EDW_FEEDER!$T$2:$AH$86,9,FALSE))</f>
        <v>3942</v>
      </c>
      <c r="D40" s="238">
        <f>IF(ISNA(VLOOKUP("Winston-Salem QS",EDW_FEEDER!$T$2:$AH$86,10,FALSE))=TRUE,"",VLOOKUP("Winston-Salem QS",EDW_FEEDER!$T$2:$AH$86,10,FALSE))</f>
        <v>83.1</v>
      </c>
      <c r="E40" s="239">
        <f>IF(ISNA(VLOOKUP("Winston-Salem QS",EDW_FEEDER!$T$2:$AH$86,11,FALSE))=TRUE,"",VLOOKUP("Winston-Salem QS",EDW_FEEDER!$T$2:$AH$86,11,FALSE))</f>
        <v>0.20902999999999999</v>
      </c>
      <c r="F40" s="237">
        <f>IF(ISNA(VLOOKUP("Winston-Salem QS",EDW_FEEDER!$T$2:$AH$86,12,FALSE))=TRUE,"",VLOOKUP("Winston-Salem QS",EDW_FEEDER!$T$2:$AH$86,12,FALSE))</f>
        <v>626</v>
      </c>
      <c r="G40" s="237">
        <f>IF(ISNA(VLOOKUP("Winston-Salem QS",EDW_FEEDER!$T$2:$AH$86,13,FALSE))=TRUE,"",VLOOKUP("Winston-Salem QS",EDW_FEEDER!$T$2:$AH$86,13,FALSE))</f>
        <v>8556</v>
      </c>
      <c r="H40" s="238">
        <f>IF(ISNA(VLOOKUP("Winston-Salem QS",EDW_FEEDER!$T$2:$AH$86,14,FALSE))=TRUE,"",VLOOKUP("Winston-Salem QS",EDW_FEEDER!$T$2:$AH$870,14,FALSE))</f>
        <v>147.4</v>
      </c>
      <c r="I40" s="238">
        <f>IF(ISNA(VLOOKUP("Winston-Salem QS",EDW_FEEDER!$T$2:$AH$86,15,FALSE))=TRUE,"",VLOOKUP("Winston-Salem QS",EDW_FEEDER!$T$2:$AH$86,15,FALSE))</f>
        <v>151.19999999999999</v>
      </c>
      <c r="J40" s="105"/>
      <c r="K40" s="105"/>
      <c r="L40" s="105"/>
      <c r="M40" s="105"/>
      <c r="N40" s="87"/>
      <c r="O40" s="88"/>
      <c r="P40" s="88"/>
    </row>
    <row r="41" spans="1:16" x14ac:dyDescent="0.2">
      <c r="B41" s="115" t="s">
        <v>432</v>
      </c>
      <c r="C41" s="237">
        <f>IF(ISNA(VLOOKUP(B41,EDW_FEEDER!$T$2:$AH$86,9,FALSE))=TRUE,"",VLOOKUP(B41,EDW_FEEDER!$T$2:$AH$86,9,FALSE))</f>
        <v>573</v>
      </c>
      <c r="D41" s="238">
        <f>IF(ISNA(VLOOKUP(B41,EDW_FEEDER!$T$2:$AH$86,10,FALSE))=TRUE,"",VLOOKUP(B41,EDW_FEEDER!$T$2:$AH$86,10,FALSE))</f>
        <v>60.8</v>
      </c>
      <c r="E41" s="239">
        <f>IF(ISNA(VLOOKUP(B41,EDW_FEEDER!$T$2:$AH$86,11,FALSE))=TRUE,"",VLOOKUP(B41,EDW_FEEDER!$T$2:$AH$86,11,FALSE))</f>
        <v>0.12216</v>
      </c>
      <c r="F41" s="237">
        <f>IF(ISNA(VLOOKUP(B41,EDW_FEEDER!$T$2:$AH$86,12,FALSE))=TRUE,"",VLOOKUP(B41,EDW_FEEDER!$T$2:$AH$86,12,FALSE))</f>
        <v>26</v>
      </c>
      <c r="G41" s="237">
        <f>IF(ISNA(VLOOKUP(B41,EDW_FEEDER!$T$2:$AH$86,13,FALSE))=TRUE,"",VLOOKUP(B41,EDW_FEEDER!$T$2:$AH$86,13,FALSE))</f>
        <v>521</v>
      </c>
      <c r="H41" s="238">
        <f>IF(ISNA(VLOOKUP(B41,EDW_FEEDER!$T$2:$AH$86,14,FALSE))=TRUE,"",VLOOKUP(B41,EDW_FEEDER!$T$2:$AH$870,14,FALSE))</f>
        <v>162.69999999999999</v>
      </c>
      <c r="I41" s="238">
        <f>IF(ISNA(VLOOKUP(B41,EDW_FEEDER!$T$2:$AH$86,15,FALSE))=TRUE,"",VLOOKUP(B41,EDW_FEEDER!$T$2:$AH$86,15,FALSE))</f>
        <v>200.3</v>
      </c>
      <c r="J41" s="105"/>
      <c r="K41" s="105"/>
      <c r="L41" s="105"/>
      <c r="M41" s="105"/>
      <c r="N41" s="87"/>
      <c r="O41" s="88"/>
      <c r="P41" s="88"/>
    </row>
    <row r="42" spans="1:16" x14ac:dyDescent="0.2">
      <c r="B42" s="475" t="s">
        <v>299</v>
      </c>
      <c r="C42" s="476"/>
      <c r="D42" s="476"/>
      <c r="E42" s="476"/>
      <c r="F42" s="476"/>
      <c r="G42" s="476"/>
      <c r="H42" s="476"/>
      <c r="I42" s="476"/>
      <c r="J42" s="476"/>
      <c r="K42" s="476"/>
      <c r="L42" s="476"/>
      <c r="M42" s="477"/>
      <c r="N42" s="87"/>
      <c r="O42" s="88"/>
      <c r="P42" s="88"/>
    </row>
    <row r="43" spans="1:16" ht="25.5" x14ac:dyDescent="0.2">
      <c r="B43" s="202" t="s">
        <v>389</v>
      </c>
      <c r="C43" s="237">
        <f>IF(ISNA(VLOOKUP("USAB",EDW_FEEDER!$T$2:$AH$86,9,FALSE))=TRUE,"",VLOOKUP("USAB",EDW_FEEDER!$T$2:$AH$86,9,FALSE))</f>
        <v>8196</v>
      </c>
      <c r="D43" s="238">
        <f>IF(ISNA(VLOOKUP("USAB",EDW_FEEDER!$T$2:$AH$86,10,FALSE))=TRUE,"",VLOOKUP("USAB",EDW_FEEDER!$T$2:$AH$86,10,FALSE))</f>
        <v>80.3</v>
      </c>
      <c r="E43" s="239">
        <f>IF(ISNA(VLOOKUP("USAB",EDW_FEEDER!$T$2:$AH$86,11,FALSE))=TRUE,"",VLOOKUP("USAB",EDW_FEEDER!$T$2:$AH$86,11,FALSE))</f>
        <v>0.18862999999999999</v>
      </c>
      <c r="F43" s="237">
        <f>IF(ISNA(VLOOKUP("USAB",EDW_FEEDER!$T$2:$AH$86,12,FALSE))=TRUE,"",VLOOKUP("USAB",EDW_FEEDER!$T$2:$AH$86,12,FALSE))</f>
        <v>1519</v>
      </c>
      <c r="G43" s="237">
        <f>IF(ISNA(VLOOKUP("USAB",EDW_FEEDER!$T$2:$AH$86,13,FALSE))=TRUE,"",VLOOKUP("USAB",EDW_FEEDER!$T$2:$AH$870,13,FALSE))</f>
        <v>18851</v>
      </c>
      <c r="H43" s="238">
        <f>IF(ISNA(VLOOKUP("USAB",EDW_FEEDER!$T$2:$AH$86,14,FALSE))=TRUE,"",VLOOKUP("USAB",EDW_FEEDER!$T$2:$AH$86,14,FALSE))</f>
        <v>144.9</v>
      </c>
      <c r="I43" s="238">
        <f>IF(ISNA(VLOOKUP("USAB",EDW_FEEDER!$T$2:$AH$86,15,FALSE))=TRUE,"",VLOOKUP("USAB",EDW_FEEDER!$T$2:$AH$86,15,FALSE))</f>
        <v>154.4</v>
      </c>
      <c r="J43" s="105"/>
      <c r="K43" s="105"/>
      <c r="L43" s="105"/>
      <c r="M43" s="105"/>
      <c r="N43" s="87"/>
      <c r="O43" s="88"/>
      <c r="P43" s="88"/>
    </row>
    <row r="44" spans="1:16" x14ac:dyDescent="0.2">
      <c r="B44" s="201" t="s">
        <v>97</v>
      </c>
      <c r="C44" s="237">
        <f>IF(ISNA(VLOOKUP("Winston-Salem BDD",EDW_FEEDER!$T$2:$AH$86,9,FALSE))=TRUE,"",VLOOKUP("Winston-Salem BDD",EDW_FEEDER!$T$2:$AH$86,9,FALSE))</f>
        <v>4274</v>
      </c>
      <c r="D44" s="238">
        <f>IF(ISNA(VLOOKUP("Winston-Salem BDD",EDW_FEEDER!$T$2:$AH$86,10,FALSE))=TRUE,"",VLOOKUP("Winston-Salem BDD",EDW_FEEDER!$T$2:$AH$86,10,FALSE))</f>
        <v>77.2</v>
      </c>
      <c r="E44" s="239">
        <f>IF(ISNA(VLOOKUP("Winston-Salem BDD",EDW_FEEDER!$T$2:$AH$86,11,FALSE))=TRUE,"",VLOOKUP("Winston-Salem BDD",EDW_FEEDER!$T$2:$AH$86,11,FALSE))</f>
        <v>0.18109</v>
      </c>
      <c r="F44" s="237">
        <f>IF(ISNA(VLOOKUP("Winston-Salem BDD",EDW_FEEDER!$T$2:$AH$86,12,FALSE))=TRUE,"",VLOOKUP("Winston-Salem BDD",EDW_FEEDER!$T$2:$AH$86,12,FALSE))</f>
        <v>747</v>
      </c>
      <c r="G44" s="237">
        <f>IF(ISNA(VLOOKUP("Winston-Salem BDD",EDW_FEEDER!$T$2:$AH$86,13,FALSE))=TRUE,"",VLOOKUP("Winston-Salem BDD",EDW_FEEDER!$T$2:$AH$870,13,FALSE))</f>
        <v>7366</v>
      </c>
      <c r="H44" s="238">
        <f>IF(ISNA(VLOOKUP("Winston-Salem BDD",EDW_FEEDER!$T$2:$AH$86,14,FALSE))=TRUE,"",VLOOKUP("Winston-Salem BDD",EDW_FEEDER!$T$2:$AH$86,14,FALSE))</f>
        <v>139</v>
      </c>
      <c r="I44" s="238">
        <f>IF(ISNA(VLOOKUP("Winston-Salem BDD",EDW_FEEDER!$T$2:$AH$86,15,FALSE))=TRUE,"",VLOOKUP("Winston-Salem BDD",EDW_FEEDER!$T$2:$AH$86,15,FALSE))</f>
        <v>127.6</v>
      </c>
      <c r="J44" s="105"/>
      <c r="K44" s="105"/>
      <c r="L44" s="105"/>
      <c r="M44" s="105"/>
    </row>
    <row r="45" spans="1:16" x14ac:dyDescent="0.2">
      <c r="B45" s="201" t="s">
        <v>84</v>
      </c>
      <c r="C45" s="237">
        <f>IF(ISNA(VLOOKUP("Salt Lake City BDD",EDW_FEEDER!$T$2:$AH$86,9,FALSE))=TRUE,"",VLOOKUP("Salt Lake City BDD",EDW_FEEDER!$T$2:$AH$86,9,FALSE))</f>
        <v>3285</v>
      </c>
      <c r="D45" s="238">
        <f>IF(ISNA(VLOOKUP("Salt Lake City BDD",EDW_FEEDER!$T$2:$AH$86,10,FALSE))=TRUE,"",VLOOKUP("Salt Lake City BDD",EDW_FEEDER!$T$2:$AH$86,10,FALSE))</f>
        <v>81.599999999999994</v>
      </c>
      <c r="E45" s="239">
        <f>IF(ISNA(VLOOKUP("Salt Lake City BDD",EDW_FEEDER!$T$2:$AH$86,11,FALSE))=TRUE,"",VLOOKUP("Salt Lake City BDD",EDW_FEEDER!$T$2:$AH$86,11,FALSE))</f>
        <v>0.18842999999999999</v>
      </c>
      <c r="F45" s="237">
        <f>IF(ISNA(VLOOKUP("Salt Lake City BDD",EDW_FEEDER!$T$2:$AH$86,12,FALSE))=TRUE,"",VLOOKUP("Salt Lake City BDD",EDW_FEEDER!$T$2:$AH$86,12,FALSE))</f>
        <v>647</v>
      </c>
      <c r="G45" s="237">
        <f>IF(ISNA(VLOOKUP("Salt Lake City BDD",EDW_FEEDER!$T$2:$AH$86,13,FALSE))=TRUE,"",VLOOKUP("Salt Lake City BDD",EDW_FEEDER!$T$2:$AH$86,13,FALSE))</f>
        <v>9963</v>
      </c>
      <c r="H45" s="238">
        <f>IF(ISNA(VLOOKUP("Salt Lake City BDD",EDW_FEEDER!$T$2:$AH$86,14,FALSE))=TRUE,"",VLOOKUP("Salt Lake City BDD",EDW_FEEDER!$T$2:$AH$870,14,FALSE))</f>
        <v>150.19999999999999</v>
      </c>
      <c r="I45" s="238">
        <f>IF(ISNA(VLOOKUP("Salt Lake City BDD",EDW_FEEDER!$T$2:$AH$86,15,FALSE))=TRUE,"",VLOOKUP("Salt Lake City BDD",EDW_FEEDER!$T$2:$AH$86,15,FALSE))</f>
        <v>174.6</v>
      </c>
      <c r="J45" s="105"/>
      <c r="K45" s="105"/>
      <c r="L45" s="105"/>
      <c r="M45" s="105"/>
    </row>
    <row r="46" spans="1:16" ht="25.5" x14ac:dyDescent="0.2">
      <c r="B46" s="243" t="s">
        <v>434</v>
      </c>
      <c r="C46" s="237">
        <f>IF(ISNA(VLOOKUP(B46,EDW_FEEDER!$T$2:$AH$86,9,FALSE))=TRUE,"",VLOOKUP(B46,EDW_FEEDER!$T$2:$AH$86,9,FALSE))</f>
        <v>637</v>
      </c>
      <c r="D46" s="238">
        <f>IF(ISNA(VLOOKUP(B46,EDW_FEEDER!$T$2:$AH$86,10,FALSE))=TRUE,"",VLOOKUP(B46,EDW_FEEDER!$T$2:$AH$86,10,FALSE))</f>
        <v>94</v>
      </c>
      <c r="E46" s="239">
        <f>IF(ISNA(VLOOKUP(B46,EDW_FEEDER!$T$2:$AH$86,11,FALSE))=TRUE,"",VLOOKUP(B46,EDW_FEEDER!$T$2:$AH$86,11,FALSE))</f>
        <v>0.24018999999999999</v>
      </c>
      <c r="F46" s="237">
        <f>IF(ISNA(VLOOKUP(B46,EDW_FEEDER!$T$2:$AH$86,12,FALSE))=TRUE,"",VLOOKUP(B46,EDW_FEEDER!$T$2:$AH$86,12,FALSE))</f>
        <v>125</v>
      </c>
      <c r="G46" s="237">
        <f>IF(ISNA(VLOOKUP(B46,EDW_FEEDER!$T$2:$AH$86,13,FALSE))=TRUE,"",VLOOKUP(B46,EDW_FEEDER!$T$2:$AH$86,13,FALSE))</f>
        <v>1522</v>
      </c>
      <c r="H46" s="238">
        <f>IF(ISNA(VLOOKUP(B46,EDW_FEEDER!$T$2:$AH$86,14,FALSE))=TRUE,"",VLOOKUP(B46,EDW_FEEDER!$T$2:$AH$870,14,FALSE))</f>
        <v>153</v>
      </c>
      <c r="I46" s="238">
        <f>IF(ISNA(VLOOKUP(B46,EDW_FEEDER!$T$2:$AH$86,15,FALSE))=TRUE,"",VLOOKUP(B46,EDW_FEEDER!$T$2:$AH$86,15,FALSE))</f>
        <v>151.69999999999999</v>
      </c>
      <c r="J46" s="105"/>
      <c r="K46" s="105"/>
      <c r="L46" s="105"/>
      <c r="M46" s="105"/>
    </row>
    <row r="47" spans="1:16" ht="12.75" customHeight="1" x14ac:dyDescent="0.2">
      <c r="C47" s="206"/>
      <c r="D47" s="206"/>
      <c r="E47" s="206"/>
      <c r="F47" s="206"/>
      <c r="G47" s="206"/>
      <c r="H47" s="206"/>
      <c r="I47" s="206"/>
      <c r="J47" s="206"/>
      <c r="K47" s="206"/>
      <c r="L47" s="206"/>
      <c r="M47" s="206"/>
    </row>
    <row r="48" spans="1:16" ht="12.75" customHeight="1" x14ac:dyDescent="0.2">
      <c r="C48" s="206"/>
      <c r="D48" s="206"/>
      <c r="E48" s="206"/>
      <c r="F48" s="206"/>
      <c r="G48" s="206"/>
      <c r="H48" s="206"/>
      <c r="I48" s="206"/>
      <c r="J48" s="206"/>
      <c r="K48" s="206"/>
      <c r="L48" s="206"/>
      <c r="M48" s="206"/>
    </row>
    <row r="49" spans="3:13" x14ac:dyDescent="0.2">
      <c r="C49" s="206"/>
      <c r="D49" s="206"/>
      <c r="E49" s="206"/>
      <c r="F49" s="206"/>
      <c r="G49" s="206"/>
      <c r="H49" s="206"/>
      <c r="I49" s="206"/>
      <c r="J49" s="206"/>
      <c r="K49" s="206"/>
      <c r="L49" s="206"/>
      <c r="M49" s="206"/>
    </row>
  </sheetData>
  <sheetProtection password="A320" sheet="1" objects="1" scenarios="1" autoFilter="0"/>
  <protectedRanges>
    <protectedRange sqref="C11:I11 C43:I46 C38:I41 C32:I36 C13:I30"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122" priority="2" stopIfTrue="1">
      <formula>ISERROR(B14)</formula>
    </cfRule>
  </conditionalFormatting>
  <conditionalFormatting sqref="B36">
    <cfRule type="expression" dxfId="12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60" zoomScaleNormal="60" zoomScaleSheetLayoutView="80" workbookViewId="0"/>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09" t="s">
        <v>394</v>
      </c>
      <c r="D2" s="510"/>
      <c r="E2" s="510"/>
      <c r="F2" s="510"/>
      <c r="G2" s="510"/>
      <c r="H2" s="510"/>
      <c r="I2" s="510"/>
      <c r="J2" s="510"/>
      <c r="K2" s="510"/>
      <c r="L2" s="510"/>
      <c r="M2" s="510"/>
      <c r="N2" s="510"/>
      <c r="O2" s="510"/>
      <c r="P2" s="510"/>
      <c r="Q2" s="510"/>
      <c r="R2" s="510"/>
      <c r="S2" s="511"/>
      <c r="T2" s="166"/>
    </row>
    <row r="3" spans="2:20" ht="63" customHeight="1" thickBot="1" x14ac:dyDescent="0.45">
      <c r="C3" s="529" t="s">
        <v>446</v>
      </c>
      <c r="D3" s="530"/>
      <c r="E3" s="530"/>
      <c r="F3" s="530"/>
      <c r="G3" s="530"/>
      <c r="H3" s="530"/>
      <c r="I3" s="530"/>
      <c r="J3" s="530"/>
      <c r="K3" s="530"/>
      <c r="L3" s="530"/>
      <c r="M3" s="530"/>
      <c r="N3" s="530"/>
      <c r="O3" s="530"/>
      <c r="P3" s="530"/>
      <c r="Q3" s="530"/>
      <c r="R3" s="530"/>
      <c r="S3" s="531"/>
      <c r="T3" s="166"/>
    </row>
    <row r="4" spans="2:20" ht="32.25" customHeight="1" thickBot="1" x14ac:dyDescent="0.45">
      <c r="C4" s="526" t="s">
        <v>468</v>
      </c>
      <c r="D4" s="527"/>
      <c r="E4" s="527"/>
      <c r="F4" s="527"/>
      <c r="G4" s="527"/>
      <c r="H4" s="527"/>
      <c r="I4" s="527"/>
      <c r="J4" s="527"/>
      <c r="K4" s="527"/>
      <c r="L4" s="527"/>
      <c r="M4" s="527"/>
      <c r="N4" s="527"/>
      <c r="O4" s="527"/>
      <c r="P4" s="527"/>
      <c r="Q4" s="527"/>
      <c r="R4" s="527"/>
      <c r="S4" s="528"/>
      <c r="T4" s="166"/>
    </row>
    <row r="5" spans="2:20" ht="27" customHeight="1" thickBot="1" x14ac:dyDescent="0.45">
      <c r="B5" s="25"/>
      <c r="C5" s="523" t="s">
        <v>309</v>
      </c>
      <c r="D5" s="524"/>
      <c r="E5" s="524"/>
      <c r="F5" s="524"/>
      <c r="G5" s="524"/>
      <c r="H5" s="524"/>
      <c r="I5" s="525"/>
      <c r="J5" s="249"/>
      <c r="K5" s="523" t="s">
        <v>306</v>
      </c>
      <c r="L5" s="524"/>
      <c r="M5" s="524"/>
      <c r="N5" s="524"/>
      <c r="O5" s="525"/>
      <c r="P5" s="161"/>
      <c r="Q5" s="523" t="s">
        <v>316</v>
      </c>
      <c r="R5" s="524"/>
      <c r="S5" s="525"/>
    </row>
    <row r="6" spans="2:20" ht="65.25" customHeight="1" thickBot="1" x14ac:dyDescent="0.25">
      <c r="B6" s="5"/>
      <c r="C6" s="512" t="s">
        <v>355</v>
      </c>
      <c r="D6" s="513"/>
      <c r="E6" s="513"/>
      <c r="F6" s="514"/>
      <c r="G6" s="247" t="s">
        <v>13</v>
      </c>
      <c r="H6" s="248" t="s">
        <v>4</v>
      </c>
      <c r="I6" s="250" t="s">
        <v>5</v>
      </c>
      <c r="J6" s="5"/>
      <c r="K6" s="549" t="s">
        <v>355</v>
      </c>
      <c r="L6" s="550"/>
      <c r="M6" s="244" t="s">
        <v>13</v>
      </c>
      <c r="N6" s="245" t="s">
        <v>4</v>
      </c>
      <c r="O6" s="246" t="s">
        <v>5</v>
      </c>
      <c r="P6" s="133"/>
      <c r="Q6" s="546" t="s">
        <v>355</v>
      </c>
      <c r="R6" s="547"/>
      <c r="S6" s="244" t="s">
        <v>13</v>
      </c>
    </row>
    <row r="7" spans="2:20" ht="32.25" customHeight="1" thickBot="1" x14ac:dyDescent="0.25">
      <c r="B7" s="5"/>
      <c r="C7" s="518" t="s">
        <v>396</v>
      </c>
      <c r="D7" s="519"/>
      <c r="E7" s="519"/>
      <c r="F7" s="519"/>
      <c r="G7" s="209">
        <v>139090</v>
      </c>
      <c r="H7" s="210">
        <v>54930</v>
      </c>
      <c r="I7" s="211">
        <v>0.39492414983104462</v>
      </c>
      <c r="J7" s="5"/>
      <c r="K7" s="518" t="s">
        <v>338</v>
      </c>
      <c r="L7" s="519"/>
      <c r="M7" s="210">
        <v>23361</v>
      </c>
      <c r="N7" s="210">
        <v>2683</v>
      </c>
      <c r="O7" s="214">
        <v>0.11484953555070417</v>
      </c>
      <c r="P7" s="163"/>
      <c r="Q7" s="518" t="s">
        <v>317</v>
      </c>
      <c r="R7" s="519"/>
      <c r="S7" s="217">
        <v>306689</v>
      </c>
    </row>
    <row r="8" spans="2:20" ht="51" customHeight="1" x14ac:dyDescent="0.2">
      <c r="B8" s="5"/>
      <c r="C8" s="541" t="s">
        <v>322</v>
      </c>
      <c r="D8" s="542"/>
      <c r="E8" s="542"/>
      <c r="F8" s="543"/>
      <c r="G8" s="160">
        <v>343</v>
      </c>
      <c r="H8" s="157">
        <v>218</v>
      </c>
      <c r="I8" s="434">
        <v>0.63556851311953355</v>
      </c>
      <c r="J8" s="5"/>
      <c r="K8" s="544" t="s">
        <v>340</v>
      </c>
      <c r="L8" s="548"/>
      <c r="M8" s="160">
        <v>4988</v>
      </c>
      <c r="N8" s="157">
        <v>284</v>
      </c>
      <c r="O8" s="434">
        <v>5.6936647955092221E-2</v>
      </c>
      <c r="P8" s="272" t="s">
        <v>445</v>
      </c>
      <c r="Q8" s="515" t="s">
        <v>310</v>
      </c>
      <c r="R8" s="516"/>
      <c r="S8" s="196">
        <v>212293</v>
      </c>
    </row>
    <row r="9" spans="2:20" ht="45" customHeight="1" x14ac:dyDescent="0.2">
      <c r="B9" s="5"/>
      <c r="C9" s="541" t="s">
        <v>320</v>
      </c>
      <c r="D9" s="542"/>
      <c r="E9" s="542"/>
      <c r="F9" s="543"/>
      <c r="G9" s="160">
        <v>41936</v>
      </c>
      <c r="H9" s="157">
        <v>17776</v>
      </c>
      <c r="I9" s="434">
        <v>0.42388401373521556</v>
      </c>
      <c r="J9" s="272" t="s">
        <v>445</v>
      </c>
      <c r="K9" s="541" t="s">
        <v>339</v>
      </c>
      <c r="L9" s="542"/>
      <c r="M9" s="160">
        <v>5884</v>
      </c>
      <c r="N9" s="157">
        <v>334</v>
      </c>
      <c r="O9" s="434">
        <v>5.6764106050305914E-2</v>
      </c>
      <c r="P9" s="272" t="s">
        <v>445</v>
      </c>
      <c r="Q9" s="515" t="s">
        <v>291</v>
      </c>
      <c r="R9" s="516"/>
      <c r="S9" s="435">
        <v>396.4</v>
      </c>
    </row>
    <row r="10" spans="2:20" ht="63" customHeight="1" thickBot="1" x14ac:dyDescent="0.25">
      <c r="B10" s="5"/>
      <c r="C10" s="541" t="s">
        <v>321</v>
      </c>
      <c r="D10" s="542"/>
      <c r="E10" s="542"/>
      <c r="F10" s="543"/>
      <c r="G10" s="160">
        <v>96811</v>
      </c>
      <c r="H10" s="157">
        <v>36936</v>
      </c>
      <c r="I10" s="434">
        <v>0.38152689260517919</v>
      </c>
      <c r="J10" s="272" t="s">
        <v>445</v>
      </c>
      <c r="K10" s="515" t="s">
        <v>341</v>
      </c>
      <c r="L10" s="516"/>
      <c r="M10" s="160">
        <v>12489</v>
      </c>
      <c r="N10" s="157">
        <v>2065</v>
      </c>
      <c r="O10" s="434">
        <v>0.16534550404355833</v>
      </c>
      <c r="P10" s="164"/>
      <c r="Q10" s="515" t="s">
        <v>311</v>
      </c>
      <c r="R10" s="516"/>
      <c r="S10" s="197">
        <v>21949</v>
      </c>
    </row>
    <row r="11" spans="2:20" ht="45" customHeight="1" thickBot="1" x14ac:dyDescent="0.25">
      <c r="B11" s="5"/>
      <c r="C11" s="518" t="s">
        <v>397</v>
      </c>
      <c r="D11" s="519"/>
      <c r="E11" s="519"/>
      <c r="F11" s="519"/>
      <c r="G11" s="209">
        <v>7034</v>
      </c>
      <c r="H11" s="212">
        <v>1382</v>
      </c>
      <c r="I11" s="213">
        <v>0.19647426784191072</v>
      </c>
      <c r="J11" s="5"/>
      <c r="K11" s="518" t="s">
        <v>307</v>
      </c>
      <c r="L11" s="519"/>
      <c r="M11" s="209">
        <v>33221</v>
      </c>
      <c r="N11" s="209">
        <v>6013</v>
      </c>
      <c r="O11" s="215">
        <v>0.18099996989855813</v>
      </c>
      <c r="P11" s="164"/>
      <c r="Q11" s="515" t="s">
        <v>312</v>
      </c>
      <c r="R11" s="517"/>
      <c r="S11" s="197">
        <v>58052</v>
      </c>
    </row>
    <row r="12" spans="2:20" ht="46.5" customHeight="1" x14ac:dyDescent="0.2">
      <c r="B12" s="5"/>
      <c r="C12" s="520" t="s">
        <v>343</v>
      </c>
      <c r="D12" s="521"/>
      <c r="E12" s="521"/>
      <c r="F12" s="522"/>
      <c r="G12" s="160">
        <v>6505</v>
      </c>
      <c r="H12" s="157">
        <v>971</v>
      </c>
      <c r="I12" s="434">
        <v>0.14926979246733282</v>
      </c>
      <c r="J12" s="272" t="s">
        <v>445</v>
      </c>
      <c r="K12" s="515" t="s">
        <v>333</v>
      </c>
      <c r="L12" s="517"/>
      <c r="M12" s="160">
        <v>810</v>
      </c>
      <c r="N12" s="157">
        <v>30</v>
      </c>
      <c r="O12" s="434">
        <v>3.7037037037037035E-2</v>
      </c>
      <c r="P12" s="164"/>
      <c r="Q12" s="515" t="s">
        <v>292</v>
      </c>
      <c r="R12" s="517"/>
      <c r="S12" s="435">
        <v>617.70000000000005</v>
      </c>
    </row>
    <row r="13" spans="2:20" ht="49.5" customHeight="1" thickBot="1" x14ac:dyDescent="0.25">
      <c r="B13" s="5"/>
      <c r="C13" s="520" t="s">
        <v>323</v>
      </c>
      <c r="D13" s="521"/>
      <c r="E13" s="521"/>
      <c r="F13" s="522"/>
      <c r="G13" s="160">
        <v>529</v>
      </c>
      <c r="H13" s="157">
        <v>411</v>
      </c>
      <c r="I13" s="434">
        <v>0.77693761814744799</v>
      </c>
      <c r="J13" s="5"/>
      <c r="K13" s="515" t="s">
        <v>342</v>
      </c>
      <c r="L13" s="517"/>
      <c r="M13" s="160">
        <v>3740</v>
      </c>
      <c r="N13" s="157">
        <v>621</v>
      </c>
      <c r="O13" s="434">
        <v>0.1660427807486631</v>
      </c>
      <c r="P13" s="164"/>
      <c r="Q13" s="515" t="s">
        <v>313</v>
      </c>
      <c r="R13" s="517"/>
      <c r="S13" s="197">
        <v>22934</v>
      </c>
    </row>
    <row r="14" spans="2:20" ht="45" customHeight="1" thickBot="1" x14ac:dyDescent="0.25">
      <c r="B14" s="5"/>
      <c r="C14" s="518" t="s">
        <v>1</v>
      </c>
      <c r="D14" s="519"/>
      <c r="E14" s="519"/>
      <c r="F14" s="519"/>
      <c r="G14" s="209">
        <v>224129</v>
      </c>
      <c r="H14" s="212">
        <v>73067</v>
      </c>
      <c r="I14" s="213">
        <v>0.32600422078356661</v>
      </c>
      <c r="J14" s="5"/>
      <c r="K14" s="515" t="s">
        <v>344</v>
      </c>
      <c r="L14" s="517"/>
      <c r="M14" s="160">
        <v>12386</v>
      </c>
      <c r="N14" s="157">
        <v>1883</v>
      </c>
      <c r="O14" s="434">
        <v>0.15202648151138382</v>
      </c>
      <c r="P14" s="164"/>
      <c r="Q14" s="515" t="s">
        <v>293</v>
      </c>
      <c r="R14" s="517"/>
      <c r="S14" s="435">
        <v>529.5</v>
      </c>
    </row>
    <row r="15" spans="2:20" ht="44.25" customHeight="1" x14ac:dyDescent="0.2">
      <c r="B15" s="5"/>
      <c r="C15" s="541" t="s">
        <v>324</v>
      </c>
      <c r="D15" s="542"/>
      <c r="E15" s="542"/>
      <c r="F15" s="543"/>
      <c r="G15" s="160">
        <v>223564</v>
      </c>
      <c r="H15" s="157">
        <v>72891</v>
      </c>
      <c r="I15" s="434">
        <v>0.32604086525558679</v>
      </c>
      <c r="J15" s="272" t="s">
        <v>445</v>
      </c>
      <c r="K15" s="515" t="s">
        <v>345</v>
      </c>
      <c r="L15" s="517"/>
      <c r="M15" s="160">
        <v>1</v>
      </c>
      <c r="N15" s="157">
        <v>1</v>
      </c>
      <c r="O15" s="434">
        <v>1</v>
      </c>
      <c r="P15" s="164"/>
      <c r="Q15" s="515" t="s">
        <v>314</v>
      </c>
      <c r="R15" s="517"/>
      <c r="S15" s="197">
        <v>13004</v>
      </c>
    </row>
    <row r="16" spans="2:20" ht="57.75" customHeight="1" x14ac:dyDescent="0.2">
      <c r="B16" s="5"/>
      <c r="C16" s="515" t="s">
        <v>325</v>
      </c>
      <c r="D16" s="516"/>
      <c r="E16" s="516"/>
      <c r="F16" s="517"/>
      <c r="G16" s="160">
        <v>361</v>
      </c>
      <c r="H16" s="157">
        <v>49</v>
      </c>
      <c r="I16" s="434">
        <v>0.13573407202216067</v>
      </c>
      <c r="J16" s="272" t="s">
        <v>445</v>
      </c>
      <c r="K16" s="515" t="s">
        <v>346</v>
      </c>
      <c r="L16" s="517"/>
      <c r="M16" s="160">
        <v>4362</v>
      </c>
      <c r="N16" s="157">
        <v>1382</v>
      </c>
      <c r="O16" s="434">
        <v>0.31682714351215041</v>
      </c>
      <c r="P16" s="164"/>
      <c r="Q16" s="515" t="s">
        <v>294</v>
      </c>
      <c r="R16" s="517"/>
      <c r="S16" s="435">
        <v>182.4</v>
      </c>
    </row>
    <row r="17" spans="2:26" ht="31.5" customHeight="1" thickBot="1" x14ac:dyDescent="0.25">
      <c r="B17" s="5"/>
      <c r="C17" s="515" t="s">
        <v>326</v>
      </c>
      <c r="D17" s="516"/>
      <c r="E17" s="516"/>
      <c r="F17" s="517"/>
      <c r="G17" s="160">
        <v>163</v>
      </c>
      <c r="H17" s="157">
        <v>108</v>
      </c>
      <c r="I17" s="434">
        <v>0.66257668711656437</v>
      </c>
      <c r="J17" s="5"/>
      <c r="K17" s="515" t="s">
        <v>347</v>
      </c>
      <c r="L17" s="517"/>
      <c r="M17" s="160">
        <v>11922</v>
      </c>
      <c r="N17" s="157">
        <v>2096</v>
      </c>
      <c r="O17" s="434">
        <v>0.17580942794833082</v>
      </c>
      <c r="P17" s="154"/>
      <c r="Q17" s="515" t="s">
        <v>422</v>
      </c>
      <c r="R17" s="517"/>
      <c r="S17" s="197">
        <v>406</v>
      </c>
    </row>
    <row r="18" spans="2:26" ht="32.25" customHeight="1" thickBot="1" x14ac:dyDescent="0.25">
      <c r="B18" s="5"/>
      <c r="C18" s="515" t="s">
        <v>327</v>
      </c>
      <c r="D18" s="516"/>
      <c r="E18" s="516"/>
      <c r="F18" s="517"/>
      <c r="G18" s="160">
        <v>31</v>
      </c>
      <c r="H18" s="157">
        <v>17</v>
      </c>
      <c r="I18" s="434">
        <v>0.54838709677419351</v>
      </c>
      <c r="J18" s="272" t="s">
        <v>445</v>
      </c>
      <c r="K18" s="518" t="s">
        <v>18</v>
      </c>
      <c r="L18" s="519"/>
      <c r="M18" s="209">
        <v>860</v>
      </c>
      <c r="N18" s="209">
        <v>842</v>
      </c>
      <c r="O18" s="215">
        <v>0.97906976744186047</v>
      </c>
      <c r="P18" s="165"/>
      <c r="Q18" s="518" t="s">
        <v>318</v>
      </c>
      <c r="R18" s="519"/>
      <c r="S18" s="218">
        <v>17794</v>
      </c>
    </row>
    <row r="19" spans="2:26" ht="41.25" customHeight="1" thickBot="1" x14ac:dyDescent="0.45">
      <c r="B19" s="5"/>
      <c r="C19" s="515" t="s">
        <v>328</v>
      </c>
      <c r="D19" s="516"/>
      <c r="E19" s="516"/>
      <c r="F19" s="517"/>
      <c r="G19" s="160">
        <v>1</v>
      </c>
      <c r="H19" s="157">
        <v>1</v>
      </c>
      <c r="I19" s="434">
        <v>1</v>
      </c>
      <c r="J19" s="272" t="s">
        <v>445</v>
      </c>
      <c r="K19" s="515" t="s">
        <v>348</v>
      </c>
      <c r="L19" s="517"/>
      <c r="M19" s="160">
        <v>754</v>
      </c>
      <c r="N19" s="157">
        <v>744</v>
      </c>
      <c r="O19" s="434">
        <v>0.98673740053050396</v>
      </c>
      <c r="P19" s="46"/>
      <c r="Q19" s="518" t="s">
        <v>319</v>
      </c>
      <c r="R19" s="519"/>
      <c r="S19" s="219">
        <v>8855</v>
      </c>
    </row>
    <row r="20" spans="2:26" ht="40.5" customHeight="1" x14ac:dyDescent="0.4">
      <c r="B20" s="5"/>
      <c r="C20" s="515" t="s">
        <v>329</v>
      </c>
      <c r="D20" s="516"/>
      <c r="E20" s="516"/>
      <c r="F20" s="517"/>
      <c r="G20" s="160">
        <v>7</v>
      </c>
      <c r="H20" s="157">
        <v>1</v>
      </c>
      <c r="I20" s="434">
        <v>0.14285714285714285</v>
      </c>
      <c r="J20" s="272" t="s">
        <v>445</v>
      </c>
      <c r="K20" s="515" t="s">
        <v>395</v>
      </c>
      <c r="L20" s="517"/>
      <c r="M20" s="160">
        <v>102</v>
      </c>
      <c r="N20" s="157">
        <v>96</v>
      </c>
      <c r="O20" s="434">
        <v>0.94117647058823528</v>
      </c>
      <c r="P20" s="46"/>
      <c r="Q20" s="46"/>
      <c r="R20" s="46"/>
      <c r="S20" s="167"/>
    </row>
    <row r="21" spans="2:26" ht="39" customHeight="1" thickBot="1" x14ac:dyDescent="0.45">
      <c r="B21" s="5"/>
      <c r="C21" s="515" t="s">
        <v>330</v>
      </c>
      <c r="D21" s="516"/>
      <c r="E21" s="516"/>
      <c r="F21" s="517"/>
      <c r="G21" s="160">
        <v>2</v>
      </c>
      <c r="H21" s="157">
        <v>0</v>
      </c>
      <c r="I21" s="434">
        <v>0</v>
      </c>
      <c r="J21" s="272" t="s">
        <v>445</v>
      </c>
      <c r="K21" s="515" t="s">
        <v>349</v>
      </c>
      <c r="L21" s="517"/>
      <c r="M21" s="160">
        <v>4</v>
      </c>
      <c r="N21" s="157">
        <v>2</v>
      </c>
      <c r="O21" s="434">
        <v>0.5</v>
      </c>
      <c r="P21" s="46"/>
      <c r="Q21" s="46"/>
      <c r="R21" s="46"/>
      <c r="S21" s="167"/>
    </row>
    <row r="22" spans="2:26" ht="32.25" customHeight="1" thickBot="1" x14ac:dyDescent="0.45">
      <c r="B22" s="5"/>
      <c r="C22" s="518" t="s">
        <v>16</v>
      </c>
      <c r="D22" s="519"/>
      <c r="E22" s="519"/>
      <c r="F22" s="519"/>
      <c r="G22" s="209">
        <v>492886</v>
      </c>
      <c r="H22" s="209">
        <v>314646</v>
      </c>
      <c r="I22" s="214">
        <v>0.63837479660611174</v>
      </c>
      <c r="J22" s="5"/>
      <c r="K22" s="518" t="s">
        <v>279</v>
      </c>
      <c r="L22" s="519"/>
      <c r="M22" s="209">
        <v>5315</v>
      </c>
      <c r="N22" s="209">
        <v>983</v>
      </c>
      <c r="O22" s="215">
        <v>0.18494825964252118</v>
      </c>
      <c r="P22" s="46"/>
      <c r="Q22" s="46"/>
      <c r="R22" s="46"/>
      <c r="S22" s="167"/>
    </row>
    <row r="23" spans="2:26" ht="26.25" customHeight="1" x14ac:dyDescent="0.4">
      <c r="B23" s="5"/>
      <c r="C23" s="520" t="s">
        <v>331</v>
      </c>
      <c r="D23" s="521"/>
      <c r="E23" s="521"/>
      <c r="F23" s="522"/>
      <c r="G23" s="160">
        <v>227508</v>
      </c>
      <c r="H23" s="157">
        <v>172409</v>
      </c>
      <c r="I23" s="434">
        <v>0.75781510979833677</v>
      </c>
      <c r="J23" s="5"/>
      <c r="K23" s="544" t="s">
        <v>352</v>
      </c>
      <c r="L23" s="545"/>
      <c r="M23" s="433">
        <v>4218</v>
      </c>
      <c r="N23" s="432">
        <v>644</v>
      </c>
      <c r="O23" s="431">
        <v>0.15267899478425795</v>
      </c>
      <c r="P23" s="46"/>
      <c r="Q23" s="46"/>
      <c r="R23" s="46"/>
      <c r="S23" s="167"/>
    </row>
    <row r="24" spans="2:26" ht="39.75" customHeight="1" x14ac:dyDescent="0.4">
      <c r="B24" s="5"/>
      <c r="C24" s="520" t="s">
        <v>332</v>
      </c>
      <c r="D24" s="521"/>
      <c r="E24" s="521"/>
      <c r="F24" s="522"/>
      <c r="G24" s="160">
        <v>184</v>
      </c>
      <c r="H24" s="157">
        <v>101</v>
      </c>
      <c r="I24" s="434">
        <v>0.54891304347826086</v>
      </c>
      <c r="J24" s="5"/>
      <c r="K24" s="515" t="s">
        <v>351</v>
      </c>
      <c r="L24" s="517"/>
      <c r="M24" s="160">
        <v>436</v>
      </c>
      <c r="N24" s="157">
        <v>15</v>
      </c>
      <c r="O24" s="434">
        <v>3.4403669724770644E-2</v>
      </c>
      <c r="P24" s="46"/>
      <c r="Q24" s="46"/>
      <c r="R24" s="46"/>
      <c r="S24" s="167"/>
    </row>
    <row r="25" spans="2:26" ht="37.5" customHeight="1" x14ac:dyDescent="0.4">
      <c r="B25" s="5"/>
      <c r="C25" s="520" t="s">
        <v>333</v>
      </c>
      <c r="D25" s="521"/>
      <c r="E25" s="521"/>
      <c r="F25" s="522"/>
      <c r="G25" s="160">
        <v>245</v>
      </c>
      <c r="H25" s="157">
        <v>177</v>
      </c>
      <c r="I25" s="434">
        <v>0.72244897959183674</v>
      </c>
      <c r="J25" s="5"/>
      <c r="K25" s="515" t="s">
        <v>350</v>
      </c>
      <c r="L25" s="517"/>
      <c r="M25" s="160">
        <v>612</v>
      </c>
      <c r="N25" s="157">
        <v>298</v>
      </c>
      <c r="O25" s="434">
        <v>0.48692810457516339</v>
      </c>
      <c r="P25" s="46"/>
      <c r="Q25" s="46"/>
      <c r="R25" s="46"/>
      <c r="S25" s="167"/>
    </row>
    <row r="26" spans="2:26" ht="37.5" customHeight="1" thickBot="1" x14ac:dyDescent="0.45">
      <c r="B26" s="5"/>
      <c r="C26" s="520" t="s">
        <v>334</v>
      </c>
      <c r="D26" s="521"/>
      <c r="E26" s="521"/>
      <c r="F26" s="522"/>
      <c r="G26" s="160">
        <v>134102</v>
      </c>
      <c r="H26" s="157">
        <v>83811</v>
      </c>
      <c r="I26" s="434">
        <v>0.62497949322157764</v>
      </c>
      <c r="J26" s="161"/>
      <c r="K26" s="532" t="s">
        <v>448</v>
      </c>
      <c r="L26" s="533"/>
      <c r="M26" s="430">
        <v>49</v>
      </c>
      <c r="N26" s="429">
        <v>26</v>
      </c>
      <c r="O26" s="428">
        <v>0.53061224489795922</v>
      </c>
      <c r="P26" s="46"/>
      <c r="Q26" s="46"/>
      <c r="R26" s="46"/>
      <c r="S26" s="167"/>
    </row>
    <row r="27" spans="2:26" ht="26.25" customHeight="1" x14ac:dyDescent="0.4">
      <c r="B27" s="5"/>
      <c r="C27" s="520" t="s">
        <v>335</v>
      </c>
      <c r="D27" s="521"/>
      <c r="E27" s="521"/>
      <c r="F27" s="522"/>
      <c r="G27" s="160">
        <v>7</v>
      </c>
      <c r="H27" s="157">
        <v>5</v>
      </c>
      <c r="I27" s="434">
        <v>0.7142857142857143</v>
      </c>
      <c r="J27" s="161"/>
      <c r="K27" s="161"/>
      <c r="L27" s="161"/>
      <c r="M27" s="161"/>
      <c r="N27" s="46"/>
      <c r="O27" s="46"/>
      <c r="P27" s="46"/>
      <c r="Q27" s="46"/>
      <c r="R27" s="46"/>
      <c r="S27" s="167"/>
    </row>
    <row r="28" spans="2:26" ht="32.25" customHeight="1" thickBot="1" x14ac:dyDescent="0.45">
      <c r="B28" s="5"/>
      <c r="C28" s="520" t="s">
        <v>336</v>
      </c>
      <c r="D28" s="521"/>
      <c r="E28" s="521"/>
      <c r="F28" s="522"/>
      <c r="G28" s="160">
        <v>16422</v>
      </c>
      <c r="H28" s="157">
        <v>3100</v>
      </c>
      <c r="I28" s="434">
        <v>0.18877116063816832</v>
      </c>
      <c r="J28" s="272" t="s">
        <v>445</v>
      </c>
      <c r="K28" s="161"/>
      <c r="R28" s="46"/>
      <c r="S28" s="167"/>
    </row>
    <row r="29" spans="2:26" ht="27" customHeight="1" thickBot="1" x14ac:dyDescent="0.45">
      <c r="B29" s="5"/>
      <c r="C29" s="520" t="s">
        <v>337</v>
      </c>
      <c r="D29" s="521"/>
      <c r="E29" s="521"/>
      <c r="F29" s="522"/>
      <c r="G29" s="160">
        <v>114418</v>
      </c>
      <c r="H29" s="157">
        <v>55043</v>
      </c>
      <c r="I29" s="434">
        <v>0.48106941215543009</v>
      </c>
      <c r="J29" s="161"/>
      <c r="K29" s="534" t="s">
        <v>447</v>
      </c>
      <c r="L29" s="535"/>
      <c r="M29" s="535"/>
      <c r="N29" s="535"/>
      <c r="O29" s="536"/>
      <c r="P29" s="540" t="s">
        <v>445</v>
      </c>
      <c r="Q29" s="271"/>
      <c r="R29" s="46"/>
      <c r="S29" s="167"/>
    </row>
    <row r="30" spans="2:26" ht="32.25" customHeight="1" thickBot="1" x14ac:dyDescent="0.45">
      <c r="B30" s="5"/>
      <c r="C30" s="518" t="s">
        <v>42</v>
      </c>
      <c r="D30" s="519"/>
      <c r="E30" s="519"/>
      <c r="F30" s="519"/>
      <c r="G30" s="210">
        <v>72565</v>
      </c>
      <c r="H30" s="210">
        <v>58825</v>
      </c>
      <c r="I30" s="215">
        <v>0.81065251843175079</v>
      </c>
      <c r="J30" s="161"/>
      <c r="K30" s="537"/>
      <c r="L30" s="538"/>
      <c r="M30" s="538"/>
      <c r="N30" s="538"/>
      <c r="O30" s="539"/>
      <c r="P30" s="540"/>
      <c r="Q30" s="46"/>
      <c r="R30" s="46"/>
      <c r="S30" s="167"/>
    </row>
    <row r="31" spans="2:26" ht="33.75" customHeight="1" x14ac:dyDescent="0.4">
      <c r="B31" s="5"/>
      <c r="C31" s="515" t="s">
        <v>357</v>
      </c>
      <c r="D31" s="516"/>
      <c r="E31" s="516"/>
      <c r="F31" s="517"/>
      <c r="G31" s="160">
        <v>55</v>
      </c>
      <c r="H31" s="157">
        <v>55</v>
      </c>
      <c r="I31" s="434">
        <v>1</v>
      </c>
      <c r="J31" s="161"/>
      <c r="K31" s="161"/>
      <c r="L31" s="161"/>
      <c r="M31" s="161"/>
      <c r="N31" s="46"/>
      <c r="O31" s="46"/>
      <c r="P31" s="46"/>
      <c r="Q31" s="46"/>
      <c r="R31" s="46"/>
      <c r="S31" s="167"/>
    </row>
    <row r="32" spans="2:26" ht="32.25" customHeight="1" x14ac:dyDescent="0.4">
      <c r="B32" s="5"/>
      <c r="C32" s="515" t="s">
        <v>358</v>
      </c>
      <c r="D32" s="516"/>
      <c r="E32" s="516"/>
      <c r="F32" s="517"/>
      <c r="G32" s="160">
        <v>57</v>
      </c>
      <c r="H32" s="157">
        <v>55</v>
      </c>
      <c r="I32" s="434">
        <v>0.96491228070175439</v>
      </c>
      <c r="J32" s="46"/>
      <c r="K32" s="46"/>
      <c r="L32" s="46"/>
      <c r="M32" s="46"/>
      <c r="N32" s="46"/>
      <c r="O32" s="46"/>
      <c r="P32" s="46"/>
      <c r="Q32" s="46"/>
      <c r="R32" s="46"/>
      <c r="S32" s="167"/>
      <c r="T32" s="26"/>
      <c r="U32" s="26"/>
      <c r="V32" s="153"/>
      <c r="W32" s="154"/>
      <c r="X32" s="154"/>
      <c r="Y32" s="155"/>
      <c r="Z32" s="13"/>
    </row>
    <row r="33" spans="2:26" ht="32.25" customHeight="1" x14ac:dyDescent="0.4">
      <c r="B33" s="5"/>
      <c r="C33" s="515" t="s">
        <v>359</v>
      </c>
      <c r="D33" s="516"/>
      <c r="E33" s="516"/>
      <c r="F33" s="517"/>
      <c r="G33" s="160">
        <v>701</v>
      </c>
      <c r="H33" s="157">
        <v>624</v>
      </c>
      <c r="I33" s="434">
        <v>0.89015691868758917</v>
      </c>
      <c r="J33" s="46"/>
      <c r="K33" s="46"/>
      <c r="L33" s="46"/>
      <c r="M33" s="46"/>
      <c r="N33" s="46"/>
      <c r="O33" s="46"/>
      <c r="P33" s="46"/>
      <c r="Q33" s="46"/>
      <c r="R33" s="46"/>
      <c r="S33" s="167"/>
      <c r="T33" s="152"/>
      <c r="U33" s="152"/>
      <c r="V33" s="156"/>
      <c r="W33" s="163"/>
      <c r="X33" s="163"/>
      <c r="Y33" s="162"/>
      <c r="Z33" s="13"/>
    </row>
    <row r="34" spans="2:26" ht="32.25" customHeight="1" x14ac:dyDescent="0.4">
      <c r="B34" s="5"/>
      <c r="C34" s="515" t="s">
        <v>360</v>
      </c>
      <c r="D34" s="516"/>
      <c r="E34" s="516"/>
      <c r="F34" s="517"/>
      <c r="G34" s="160">
        <v>1445</v>
      </c>
      <c r="H34" s="157">
        <v>339</v>
      </c>
      <c r="I34" s="434">
        <v>0.23460207612456746</v>
      </c>
      <c r="J34" s="46"/>
      <c r="K34" s="46"/>
      <c r="L34" s="46"/>
      <c r="M34" s="46"/>
      <c r="N34" s="46"/>
      <c r="O34" s="46"/>
      <c r="P34" s="46"/>
      <c r="Q34" s="46"/>
      <c r="R34" s="46"/>
      <c r="S34" s="167"/>
      <c r="T34" s="26"/>
      <c r="U34" s="26"/>
      <c r="V34" s="153"/>
      <c r="W34" s="154"/>
      <c r="X34" s="154"/>
      <c r="Y34" s="155"/>
      <c r="Z34" s="13"/>
    </row>
    <row r="35" spans="2:26" ht="32.25" customHeight="1" x14ac:dyDescent="0.4">
      <c r="B35" s="5"/>
      <c r="C35" s="515" t="s">
        <v>361</v>
      </c>
      <c r="D35" s="516"/>
      <c r="E35" s="516"/>
      <c r="F35" s="517"/>
      <c r="G35" s="160">
        <v>193</v>
      </c>
      <c r="H35" s="157">
        <v>191</v>
      </c>
      <c r="I35" s="434">
        <v>0.98963730569948183</v>
      </c>
      <c r="J35" s="46"/>
      <c r="K35" s="46"/>
      <c r="L35" s="46"/>
      <c r="M35" s="46"/>
      <c r="N35" s="46"/>
      <c r="O35" s="46"/>
      <c r="P35" s="46"/>
      <c r="Q35" s="46"/>
      <c r="R35" s="46"/>
      <c r="S35" s="167"/>
      <c r="T35" s="26"/>
      <c r="U35" s="26"/>
      <c r="V35" s="153"/>
      <c r="W35" s="154"/>
      <c r="X35" s="154"/>
      <c r="Y35" s="155"/>
      <c r="Z35" s="13"/>
    </row>
    <row r="36" spans="2:26" ht="32.25" customHeight="1" x14ac:dyDescent="0.4">
      <c r="B36" s="5"/>
      <c r="C36" s="515" t="s">
        <v>362</v>
      </c>
      <c r="D36" s="516"/>
      <c r="E36" s="516"/>
      <c r="F36" s="517"/>
      <c r="G36" s="160">
        <v>16630</v>
      </c>
      <c r="H36" s="157">
        <v>12667</v>
      </c>
      <c r="I36" s="434">
        <v>0.76169573060733609</v>
      </c>
      <c r="J36" s="46"/>
      <c r="K36" s="46"/>
      <c r="L36" s="46"/>
      <c r="M36" s="46"/>
      <c r="N36" s="46"/>
      <c r="O36" s="46"/>
      <c r="P36" s="46"/>
      <c r="Q36" s="46"/>
      <c r="R36" s="46"/>
      <c r="S36" s="167"/>
      <c r="T36" s="26"/>
      <c r="U36" s="26"/>
      <c r="V36" s="153"/>
      <c r="W36" s="154"/>
      <c r="X36" s="154"/>
      <c r="Y36" s="155"/>
      <c r="Z36" s="13"/>
    </row>
    <row r="37" spans="2:26" ht="27" customHeight="1" thickBot="1" x14ac:dyDescent="0.45">
      <c r="B37" s="5"/>
      <c r="C37" s="515" t="s">
        <v>363</v>
      </c>
      <c r="D37" s="516"/>
      <c r="E37" s="516"/>
      <c r="F37" s="517"/>
      <c r="G37" s="160">
        <v>53484</v>
      </c>
      <c r="H37" s="157">
        <v>44894</v>
      </c>
      <c r="I37" s="434">
        <v>0.83939121980405351</v>
      </c>
      <c r="J37" s="46"/>
      <c r="K37" s="46"/>
      <c r="L37" s="46"/>
      <c r="M37" s="46"/>
      <c r="N37" s="46"/>
      <c r="O37" s="46"/>
      <c r="P37" s="46"/>
      <c r="Q37" s="46"/>
      <c r="R37" s="46"/>
      <c r="S37" s="167"/>
    </row>
    <row r="38" spans="2:26" ht="32.25" customHeight="1" thickBot="1" x14ac:dyDescent="0.45">
      <c r="B38" s="5"/>
      <c r="C38" s="518" t="s">
        <v>308</v>
      </c>
      <c r="D38" s="519"/>
      <c r="E38" s="519"/>
      <c r="F38" s="519"/>
      <c r="G38" s="216">
        <v>159419</v>
      </c>
      <c r="H38" s="218">
        <v>110707</v>
      </c>
      <c r="I38" s="215">
        <v>0.69444043683626167</v>
      </c>
      <c r="J38" s="46"/>
      <c r="K38" s="46"/>
      <c r="Q38" s="46"/>
      <c r="R38" s="46"/>
      <c r="S38" s="167"/>
    </row>
    <row r="39" spans="2:26" ht="26.25" customHeight="1" x14ac:dyDescent="0.4">
      <c r="B39" s="5"/>
      <c r="C39" s="515" t="s">
        <v>364</v>
      </c>
      <c r="D39" s="516"/>
      <c r="E39" s="516"/>
      <c r="F39" s="516"/>
      <c r="G39" s="427">
        <v>6130</v>
      </c>
      <c r="H39" s="432">
        <v>4603</v>
      </c>
      <c r="I39" s="431">
        <v>0.75089722675367043</v>
      </c>
      <c r="J39" s="46"/>
      <c r="K39" s="46"/>
      <c r="Q39" s="46"/>
      <c r="R39" s="46"/>
      <c r="S39" s="167"/>
    </row>
    <row r="40" spans="2:26" ht="26.25" customHeight="1" x14ac:dyDescent="0.4">
      <c r="B40" s="5"/>
      <c r="C40" s="515" t="s">
        <v>365</v>
      </c>
      <c r="D40" s="516"/>
      <c r="E40" s="516"/>
      <c r="F40" s="516"/>
      <c r="G40" s="426">
        <v>100923</v>
      </c>
      <c r="H40" s="157">
        <v>72454</v>
      </c>
      <c r="I40" s="434">
        <v>0.71791365694638487</v>
      </c>
      <c r="J40" s="46"/>
      <c r="K40" s="46"/>
      <c r="L40" s="46"/>
      <c r="M40" s="46"/>
      <c r="N40" s="46"/>
      <c r="O40" s="46"/>
      <c r="P40" s="46"/>
      <c r="Q40" s="46"/>
      <c r="R40" s="46"/>
      <c r="S40" s="167"/>
    </row>
    <row r="41" spans="2:26" ht="26.25" customHeight="1" x14ac:dyDescent="0.4">
      <c r="B41" s="5"/>
      <c r="C41" s="515" t="s">
        <v>366</v>
      </c>
      <c r="D41" s="516"/>
      <c r="E41" s="516"/>
      <c r="F41" s="516"/>
      <c r="G41" s="426">
        <v>1338</v>
      </c>
      <c r="H41" s="157">
        <v>339</v>
      </c>
      <c r="I41" s="434">
        <v>0.25336322869955158</v>
      </c>
      <c r="J41" s="46"/>
      <c r="K41" s="46"/>
      <c r="L41" s="46"/>
      <c r="M41" s="46"/>
      <c r="N41" s="46"/>
      <c r="O41" s="46"/>
      <c r="P41" s="46"/>
      <c r="Q41" s="46"/>
      <c r="R41" s="46"/>
      <c r="S41" s="167"/>
    </row>
    <row r="42" spans="2:26" ht="36" customHeight="1" x14ac:dyDescent="0.4">
      <c r="B42" s="5"/>
      <c r="C42" s="515" t="s">
        <v>367</v>
      </c>
      <c r="D42" s="516"/>
      <c r="E42" s="516"/>
      <c r="F42" s="516"/>
      <c r="G42" s="426">
        <v>25995</v>
      </c>
      <c r="H42" s="157">
        <v>11626</v>
      </c>
      <c r="I42" s="434">
        <v>0.44723985381804193</v>
      </c>
      <c r="J42" s="46"/>
      <c r="K42" s="46"/>
      <c r="L42" s="46"/>
      <c r="M42" s="46"/>
      <c r="N42" s="46"/>
      <c r="O42" s="46"/>
      <c r="P42" s="46"/>
      <c r="Q42" s="46"/>
      <c r="R42" s="46"/>
      <c r="S42" s="167"/>
    </row>
    <row r="43" spans="2:26" ht="33" customHeight="1" x14ac:dyDescent="0.4">
      <c r="B43" s="5"/>
      <c r="C43" s="515" t="s">
        <v>368</v>
      </c>
      <c r="D43" s="516"/>
      <c r="E43" s="516"/>
      <c r="F43" s="516"/>
      <c r="G43" s="426">
        <v>24482</v>
      </c>
      <c r="H43" s="157">
        <v>21195</v>
      </c>
      <c r="I43" s="434">
        <v>0.86573809329303164</v>
      </c>
      <c r="J43" s="46"/>
      <c r="K43" s="46"/>
      <c r="L43" s="46"/>
      <c r="M43" s="46"/>
      <c r="N43" s="46"/>
      <c r="O43" s="46"/>
      <c r="P43" s="46"/>
      <c r="Q43" s="46"/>
      <c r="R43" s="46"/>
      <c r="S43" s="167"/>
    </row>
    <row r="44" spans="2:26" ht="27" customHeight="1" thickBot="1" x14ac:dyDescent="0.45">
      <c r="B44" s="5"/>
      <c r="C44" s="532" t="s">
        <v>369</v>
      </c>
      <c r="D44" s="558"/>
      <c r="E44" s="558"/>
      <c r="F44" s="558"/>
      <c r="G44" s="425">
        <v>551</v>
      </c>
      <c r="H44" s="429">
        <v>490</v>
      </c>
      <c r="I44" s="428">
        <v>0.88929219600725951</v>
      </c>
      <c r="J44" s="158"/>
      <c r="K44" s="158"/>
      <c r="L44" s="158"/>
      <c r="M44" s="158"/>
      <c r="N44" s="158"/>
      <c r="O44" s="158"/>
      <c r="P44" s="158"/>
      <c r="Q44" s="158"/>
      <c r="R44" s="158"/>
      <c r="S44" s="16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54" t="s">
        <v>353</v>
      </c>
      <c r="D49" s="555"/>
      <c r="E49" s="555"/>
      <c r="F49" s="555"/>
      <c r="G49" s="555"/>
      <c r="H49" s="555"/>
      <c r="I49" s="555"/>
      <c r="J49" s="555"/>
      <c r="K49" s="555"/>
      <c r="L49" s="555"/>
      <c r="M49" s="555"/>
      <c r="N49" s="555"/>
      <c r="O49" s="555"/>
      <c r="P49" s="555"/>
      <c r="Q49" s="555"/>
      <c r="R49" s="555"/>
      <c r="S49" s="556"/>
    </row>
    <row r="50" spans="1:19" x14ac:dyDescent="0.2">
      <c r="C50" s="557" t="s">
        <v>287</v>
      </c>
      <c r="D50" s="557"/>
      <c r="E50" s="551" t="s">
        <v>238</v>
      </c>
      <c r="F50" s="552"/>
      <c r="G50" s="553"/>
      <c r="H50" s="551" t="s">
        <v>8</v>
      </c>
      <c r="I50" s="552"/>
      <c r="J50" s="553"/>
      <c r="K50" s="551" t="s">
        <v>43</v>
      </c>
      <c r="L50" s="552"/>
      <c r="M50" s="553"/>
      <c r="N50" s="551" t="s">
        <v>9</v>
      </c>
      <c r="O50" s="552"/>
      <c r="P50" s="553"/>
      <c r="Q50" s="241" t="s">
        <v>10</v>
      </c>
      <c r="R50" s="198" t="s">
        <v>11</v>
      </c>
      <c r="S50" s="198" t="s">
        <v>12</v>
      </c>
    </row>
    <row r="51" spans="1:19" s="10" customFormat="1" ht="51" x14ac:dyDescent="0.2">
      <c r="A51" s="221"/>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53">
        <v>361890</v>
      </c>
      <c r="D52" s="80">
        <v>358.8</v>
      </c>
      <c r="E52" s="81">
        <v>370253</v>
      </c>
      <c r="F52" s="81">
        <v>129379</v>
      </c>
      <c r="G52" s="84">
        <v>0.3494340356458962</v>
      </c>
      <c r="H52" s="81">
        <v>492886</v>
      </c>
      <c r="I52" s="81">
        <v>314646</v>
      </c>
      <c r="J52" s="84">
        <v>0.63837479660611174</v>
      </c>
      <c r="K52" s="81">
        <v>72565</v>
      </c>
      <c r="L52" s="81">
        <v>58825</v>
      </c>
      <c r="M52" s="84">
        <v>0.81065251843175079</v>
      </c>
      <c r="N52" s="81">
        <v>159419</v>
      </c>
      <c r="O52" s="81">
        <v>110707</v>
      </c>
      <c r="P52" s="84">
        <v>0.69444043683626167</v>
      </c>
      <c r="Q52" s="81">
        <v>7253</v>
      </c>
      <c r="R52" s="81">
        <v>4359</v>
      </c>
      <c r="S52" s="83">
        <v>300630</v>
      </c>
    </row>
    <row r="53" spans="1:19" x14ac:dyDescent="0.2">
      <c r="A53" s="70"/>
      <c r="B53" s="92" t="s">
        <v>149</v>
      </c>
      <c r="C53" s="81">
        <v>52881</v>
      </c>
      <c r="D53" s="171">
        <v>431.4</v>
      </c>
      <c r="E53" s="172">
        <v>67366</v>
      </c>
      <c r="F53" s="172">
        <v>23627</v>
      </c>
      <c r="G53" s="174">
        <v>0.35072588546150879</v>
      </c>
      <c r="H53" s="172">
        <v>77610</v>
      </c>
      <c r="I53" s="172">
        <v>49609</v>
      </c>
      <c r="J53" s="174">
        <v>0.63920886483700556</v>
      </c>
      <c r="K53" s="172">
        <v>12112</v>
      </c>
      <c r="L53" s="172">
        <v>9440</v>
      </c>
      <c r="M53" s="175">
        <v>0.77939233817701448</v>
      </c>
      <c r="N53" s="172">
        <v>28063</v>
      </c>
      <c r="O53" s="172">
        <v>21295</v>
      </c>
      <c r="P53" s="175">
        <v>0.75882835049709585</v>
      </c>
      <c r="Q53" s="172">
        <v>6437</v>
      </c>
      <c r="R53" s="172">
        <v>790</v>
      </c>
      <c r="S53" s="81">
        <v>56260</v>
      </c>
    </row>
    <row r="54" spans="1:19" x14ac:dyDescent="0.2">
      <c r="A54" s="222" t="s">
        <v>166</v>
      </c>
      <c r="B54" s="93" t="s">
        <v>46</v>
      </c>
      <c r="C54" s="82">
        <v>6022</v>
      </c>
      <c r="D54" s="176">
        <v>562.79999999999995</v>
      </c>
      <c r="E54" s="177">
        <v>6208</v>
      </c>
      <c r="F54" s="177">
        <v>2660</v>
      </c>
      <c r="G54" s="178">
        <v>0.42847938144329895</v>
      </c>
      <c r="H54" s="177">
        <v>7464</v>
      </c>
      <c r="I54" s="177">
        <v>5775</v>
      </c>
      <c r="J54" s="178">
        <v>0.7737138263665595</v>
      </c>
      <c r="K54" s="177">
        <v>963</v>
      </c>
      <c r="L54" s="177">
        <v>869</v>
      </c>
      <c r="M54" s="178">
        <v>0.90238836967808933</v>
      </c>
      <c r="N54" s="177">
        <v>6017</v>
      </c>
      <c r="O54" s="177">
        <v>5319</v>
      </c>
      <c r="P54" s="178">
        <v>0.88399534651819844</v>
      </c>
      <c r="Q54" s="177">
        <v>31</v>
      </c>
      <c r="R54" s="177">
        <v>6</v>
      </c>
      <c r="S54" s="82">
        <v>5380</v>
      </c>
    </row>
    <row r="55" spans="1:19" x14ac:dyDescent="0.2">
      <c r="A55" s="222" t="s">
        <v>159</v>
      </c>
      <c r="B55" s="93" t="s">
        <v>48</v>
      </c>
      <c r="C55" s="82">
        <v>5307</v>
      </c>
      <c r="D55" s="176">
        <v>457.4</v>
      </c>
      <c r="E55" s="177">
        <v>3742</v>
      </c>
      <c r="F55" s="177">
        <v>1337</v>
      </c>
      <c r="G55" s="178">
        <v>0.35729556386958844</v>
      </c>
      <c r="H55" s="177">
        <v>6811</v>
      </c>
      <c r="I55" s="177">
        <v>4706</v>
      </c>
      <c r="J55" s="178">
        <v>0.69094112465129942</v>
      </c>
      <c r="K55" s="177">
        <v>2104</v>
      </c>
      <c r="L55" s="177">
        <v>1924</v>
      </c>
      <c r="M55" s="178">
        <v>0.9144486692015209</v>
      </c>
      <c r="N55" s="177">
        <v>862</v>
      </c>
      <c r="O55" s="177">
        <v>748</v>
      </c>
      <c r="P55" s="178">
        <v>0.86774941995359633</v>
      </c>
      <c r="Q55" s="177">
        <v>2</v>
      </c>
      <c r="R55" s="177">
        <v>9</v>
      </c>
      <c r="S55" s="82">
        <v>3530</v>
      </c>
    </row>
    <row r="56" spans="1:19" x14ac:dyDescent="0.2">
      <c r="A56" s="222" t="s">
        <v>162</v>
      </c>
      <c r="B56" s="93" t="s">
        <v>33</v>
      </c>
      <c r="C56" s="82">
        <v>1100</v>
      </c>
      <c r="D56" s="176">
        <v>118.9</v>
      </c>
      <c r="E56" s="177">
        <v>4711</v>
      </c>
      <c r="F56" s="177">
        <v>1730</v>
      </c>
      <c r="G56" s="178">
        <v>0.36722564211420083</v>
      </c>
      <c r="H56" s="177">
        <v>2101</v>
      </c>
      <c r="I56" s="177">
        <v>544</v>
      </c>
      <c r="J56" s="178">
        <v>0.25892432175154689</v>
      </c>
      <c r="K56" s="177">
        <v>116</v>
      </c>
      <c r="L56" s="177">
        <v>53</v>
      </c>
      <c r="M56" s="178">
        <v>0.45689655172413796</v>
      </c>
      <c r="N56" s="177">
        <v>446</v>
      </c>
      <c r="O56" s="177">
        <v>332</v>
      </c>
      <c r="P56" s="178">
        <v>0.74439461883408076</v>
      </c>
      <c r="Q56" s="177">
        <v>0</v>
      </c>
      <c r="R56" s="177">
        <v>1</v>
      </c>
      <c r="S56" s="82">
        <v>1705</v>
      </c>
    </row>
    <row r="57" spans="1:19" x14ac:dyDescent="0.2">
      <c r="A57" s="223" t="s">
        <v>175</v>
      </c>
      <c r="B57" s="93" t="s">
        <v>51</v>
      </c>
      <c r="C57" s="82">
        <v>9184</v>
      </c>
      <c r="D57" s="176">
        <v>539.1</v>
      </c>
      <c r="E57" s="177">
        <v>8298</v>
      </c>
      <c r="F57" s="177">
        <v>2432</v>
      </c>
      <c r="G57" s="178">
        <v>0.29308267052301762</v>
      </c>
      <c r="H57" s="177">
        <v>11349</v>
      </c>
      <c r="I57" s="177">
        <v>9453</v>
      </c>
      <c r="J57" s="178">
        <v>0.83293682262754432</v>
      </c>
      <c r="K57" s="177">
        <v>1639</v>
      </c>
      <c r="L57" s="177">
        <v>1561</v>
      </c>
      <c r="M57" s="178">
        <v>0.95241000610128124</v>
      </c>
      <c r="N57" s="177">
        <v>4951</v>
      </c>
      <c r="O57" s="177">
        <v>4000</v>
      </c>
      <c r="P57" s="178">
        <v>0.80791759240557459</v>
      </c>
      <c r="Q57" s="177">
        <v>16</v>
      </c>
      <c r="R57" s="177">
        <v>343</v>
      </c>
      <c r="S57" s="82">
        <v>13453</v>
      </c>
    </row>
    <row r="58" spans="1:19" x14ac:dyDescent="0.2">
      <c r="A58" s="223" t="s">
        <v>179</v>
      </c>
      <c r="B58" s="93" t="s">
        <v>55</v>
      </c>
      <c r="C58" s="82">
        <v>2699</v>
      </c>
      <c r="D58" s="176">
        <v>242.6</v>
      </c>
      <c r="E58" s="177">
        <v>8140</v>
      </c>
      <c r="F58" s="177">
        <v>2391</v>
      </c>
      <c r="G58" s="178">
        <v>0.29373464373464375</v>
      </c>
      <c r="H58" s="177">
        <v>4963</v>
      </c>
      <c r="I58" s="177">
        <v>2608</v>
      </c>
      <c r="J58" s="178">
        <v>0.52548861575659878</v>
      </c>
      <c r="K58" s="177">
        <v>753</v>
      </c>
      <c r="L58" s="177">
        <v>637</v>
      </c>
      <c r="M58" s="178">
        <v>0.84594953519256311</v>
      </c>
      <c r="N58" s="177">
        <v>900</v>
      </c>
      <c r="O58" s="177">
        <v>689</v>
      </c>
      <c r="P58" s="178">
        <v>0.76555555555555554</v>
      </c>
      <c r="Q58" s="177">
        <v>2</v>
      </c>
      <c r="R58" s="177">
        <v>203</v>
      </c>
      <c r="S58" s="82">
        <v>6212</v>
      </c>
    </row>
    <row r="59" spans="1:19" x14ac:dyDescent="0.2">
      <c r="A59" s="223" t="s">
        <v>163</v>
      </c>
      <c r="B59" s="93" t="s">
        <v>58</v>
      </c>
      <c r="C59" s="82">
        <v>1343</v>
      </c>
      <c r="D59" s="176">
        <v>282.5</v>
      </c>
      <c r="E59" s="177">
        <v>1858</v>
      </c>
      <c r="F59" s="177">
        <v>511</v>
      </c>
      <c r="G59" s="178">
        <v>0.27502691065661999</v>
      </c>
      <c r="H59" s="177">
        <v>2719</v>
      </c>
      <c r="I59" s="177">
        <v>1646</v>
      </c>
      <c r="J59" s="178">
        <v>0.60536962118425897</v>
      </c>
      <c r="K59" s="177">
        <v>330</v>
      </c>
      <c r="L59" s="177">
        <v>252</v>
      </c>
      <c r="M59" s="178">
        <v>0.76363636363636367</v>
      </c>
      <c r="N59" s="177">
        <v>622</v>
      </c>
      <c r="O59" s="177">
        <v>483</v>
      </c>
      <c r="P59" s="178">
        <v>0.77652733118971062</v>
      </c>
      <c r="Q59" s="177">
        <v>0</v>
      </c>
      <c r="R59" s="177">
        <v>3</v>
      </c>
      <c r="S59" s="82">
        <v>866</v>
      </c>
    </row>
    <row r="60" spans="1:19" x14ac:dyDescent="0.2">
      <c r="A60" s="223" t="s">
        <v>176</v>
      </c>
      <c r="B60" s="93" t="s">
        <v>62</v>
      </c>
      <c r="C60" s="82">
        <v>8271</v>
      </c>
      <c r="D60" s="176">
        <v>488.5</v>
      </c>
      <c r="E60" s="177">
        <v>5370</v>
      </c>
      <c r="F60" s="177">
        <v>1943</v>
      </c>
      <c r="G60" s="178">
        <v>0.36182495344506516</v>
      </c>
      <c r="H60" s="177">
        <v>13790</v>
      </c>
      <c r="I60" s="177">
        <v>7840</v>
      </c>
      <c r="J60" s="178">
        <v>0.56852791878172593</v>
      </c>
      <c r="K60" s="177">
        <v>1111</v>
      </c>
      <c r="L60" s="177">
        <v>982</v>
      </c>
      <c r="M60" s="178">
        <v>0.88388838883888388</v>
      </c>
      <c r="N60" s="177">
        <v>1771</v>
      </c>
      <c r="O60" s="177">
        <v>1254</v>
      </c>
      <c r="P60" s="178">
        <v>0.70807453416149069</v>
      </c>
      <c r="Q60" s="177">
        <v>3</v>
      </c>
      <c r="R60" s="177">
        <v>205</v>
      </c>
      <c r="S60" s="82">
        <v>7935</v>
      </c>
    </row>
    <row r="61" spans="1:19" x14ac:dyDescent="0.2">
      <c r="A61" s="223" t="s">
        <v>201</v>
      </c>
      <c r="B61" s="93" t="s">
        <v>68</v>
      </c>
      <c r="C61" s="82">
        <v>2138</v>
      </c>
      <c r="D61" s="176">
        <v>352.3</v>
      </c>
      <c r="E61" s="177">
        <v>1223</v>
      </c>
      <c r="F61" s="177">
        <v>321</v>
      </c>
      <c r="G61" s="178">
        <v>0.26246933769419462</v>
      </c>
      <c r="H61" s="177">
        <v>2531</v>
      </c>
      <c r="I61" s="177">
        <v>1702</v>
      </c>
      <c r="J61" s="178">
        <v>0.67246147767680764</v>
      </c>
      <c r="K61" s="177">
        <v>669</v>
      </c>
      <c r="L61" s="177">
        <v>657</v>
      </c>
      <c r="M61" s="178">
        <v>0.98206278026905824</v>
      </c>
      <c r="N61" s="177">
        <v>110</v>
      </c>
      <c r="O61" s="177">
        <v>85</v>
      </c>
      <c r="P61" s="178">
        <v>0.77272727272727271</v>
      </c>
      <c r="Q61" s="177">
        <v>0</v>
      </c>
      <c r="R61" s="177">
        <v>1</v>
      </c>
      <c r="S61" s="82">
        <v>699</v>
      </c>
    </row>
    <row r="62" spans="1:19" x14ac:dyDescent="0.2">
      <c r="A62" s="223" t="s">
        <v>161</v>
      </c>
      <c r="B62" s="93" t="s">
        <v>74</v>
      </c>
      <c r="C62" s="82">
        <v>3324</v>
      </c>
      <c r="D62" s="176">
        <v>254.7</v>
      </c>
      <c r="E62" s="177">
        <v>4938</v>
      </c>
      <c r="F62" s="177">
        <v>2123</v>
      </c>
      <c r="G62" s="178">
        <v>0.42993114621304174</v>
      </c>
      <c r="H62" s="177">
        <v>5057</v>
      </c>
      <c r="I62" s="177">
        <v>2775</v>
      </c>
      <c r="J62" s="178">
        <v>0.54874431481115282</v>
      </c>
      <c r="K62" s="177">
        <v>1223</v>
      </c>
      <c r="L62" s="177">
        <v>816</v>
      </c>
      <c r="M62" s="178">
        <v>0.66721177432542922</v>
      </c>
      <c r="N62" s="177">
        <v>297</v>
      </c>
      <c r="O62" s="177">
        <v>224</v>
      </c>
      <c r="P62" s="178">
        <v>0.75420875420875422</v>
      </c>
      <c r="Q62" s="177">
        <v>0</v>
      </c>
      <c r="R62" s="177">
        <v>9</v>
      </c>
      <c r="S62" s="82">
        <v>3361</v>
      </c>
    </row>
    <row r="63" spans="1:19" x14ac:dyDescent="0.2">
      <c r="A63" s="223" t="s">
        <v>164</v>
      </c>
      <c r="B63" s="93" t="s">
        <v>75</v>
      </c>
      <c r="C63" s="82">
        <v>586</v>
      </c>
      <c r="D63" s="176">
        <v>162.30000000000001</v>
      </c>
      <c r="E63" s="177">
        <v>2652</v>
      </c>
      <c r="F63" s="177">
        <v>967</v>
      </c>
      <c r="G63" s="178">
        <v>0.36463046757164402</v>
      </c>
      <c r="H63" s="177">
        <v>1188</v>
      </c>
      <c r="I63" s="177">
        <v>466</v>
      </c>
      <c r="J63" s="178">
        <v>0.39225589225589225</v>
      </c>
      <c r="K63" s="177">
        <v>104</v>
      </c>
      <c r="L63" s="177">
        <v>76</v>
      </c>
      <c r="M63" s="178">
        <v>0.73076923076923073</v>
      </c>
      <c r="N63" s="177">
        <v>1998</v>
      </c>
      <c r="O63" s="177">
        <v>1259</v>
      </c>
      <c r="P63" s="178">
        <v>0.63013013013013008</v>
      </c>
      <c r="Q63" s="177">
        <v>0</v>
      </c>
      <c r="R63" s="177">
        <v>2</v>
      </c>
      <c r="S63" s="82">
        <v>2693</v>
      </c>
    </row>
    <row r="64" spans="1:19" x14ac:dyDescent="0.2">
      <c r="A64" s="223" t="s">
        <v>115</v>
      </c>
      <c r="B64" s="94" t="s">
        <v>77</v>
      </c>
      <c r="C64" s="82">
        <v>5863</v>
      </c>
      <c r="D64" s="176">
        <v>426.7</v>
      </c>
      <c r="E64" s="177">
        <v>11112</v>
      </c>
      <c r="F64" s="177">
        <v>4102</v>
      </c>
      <c r="G64" s="178">
        <v>0.36915046796256301</v>
      </c>
      <c r="H64" s="177">
        <v>8654</v>
      </c>
      <c r="I64" s="177">
        <v>5560</v>
      </c>
      <c r="J64" s="178">
        <v>0.64247746706725217</v>
      </c>
      <c r="K64" s="177">
        <v>1224</v>
      </c>
      <c r="L64" s="177">
        <v>399</v>
      </c>
      <c r="M64" s="178">
        <v>0.32598039215686275</v>
      </c>
      <c r="N64" s="177">
        <v>7306</v>
      </c>
      <c r="O64" s="177">
        <v>4622</v>
      </c>
      <c r="P64" s="178">
        <v>0.6326307144812483</v>
      </c>
      <c r="Q64" s="177">
        <v>6382</v>
      </c>
      <c r="R64" s="177">
        <v>0</v>
      </c>
      <c r="S64" s="82">
        <v>4589</v>
      </c>
    </row>
    <row r="65" spans="1:19" x14ac:dyDescent="0.2">
      <c r="A65" s="223" t="s">
        <v>165</v>
      </c>
      <c r="B65" s="93" t="s">
        <v>79</v>
      </c>
      <c r="C65" s="82">
        <v>4065</v>
      </c>
      <c r="D65" s="176">
        <v>437</v>
      </c>
      <c r="E65" s="177">
        <v>4644</v>
      </c>
      <c r="F65" s="177">
        <v>1893</v>
      </c>
      <c r="G65" s="178">
        <v>0.40762273901808788</v>
      </c>
      <c r="H65" s="177">
        <v>5533</v>
      </c>
      <c r="I65" s="177">
        <v>3998</v>
      </c>
      <c r="J65" s="178">
        <v>0.72257364901500087</v>
      </c>
      <c r="K65" s="177">
        <v>500</v>
      </c>
      <c r="L65" s="177">
        <v>401</v>
      </c>
      <c r="M65" s="178">
        <v>0.80200000000000005</v>
      </c>
      <c r="N65" s="177">
        <v>1264</v>
      </c>
      <c r="O65" s="177">
        <v>1017</v>
      </c>
      <c r="P65" s="178">
        <v>0.80458860759493667</v>
      </c>
      <c r="Q65" s="177">
        <v>1</v>
      </c>
      <c r="R65" s="177">
        <v>3</v>
      </c>
      <c r="S65" s="82">
        <v>4622</v>
      </c>
    </row>
    <row r="66" spans="1:19" x14ac:dyDescent="0.2">
      <c r="A66" s="223" t="s">
        <v>160</v>
      </c>
      <c r="B66" s="93" t="s">
        <v>81</v>
      </c>
      <c r="C66" s="82">
        <v>786</v>
      </c>
      <c r="D66" s="176">
        <v>132.6</v>
      </c>
      <c r="E66" s="177">
        <v>1968</v>
      </c>
      <c r="F66" s="177">
        <v>472</v>
      </c>
      <c r="G66" s="178">
        <v>0.23983739837398374</v>
      </c>
      <c r="H66" s="177">
        <v>2293</v>
      </c>
      <c r="I66" s="177">
        <v>643</v>
      </c>
      <c r="J66" s="178">
        <v>0.28041866550370692</v>
      </c>
      <c r="K66" s="177">
        <v>664</v>
      </c>
      <c r="L66" s="177">
        <v>226</v>
      </c>
      <c r="M66" s="178">
        <v>0.34036144578313254</v>
      </c>
      <c r="N66" s="177">
        <v>198</v>
      </c>
      <c r="O66" s="177">
        <v>145</v>
      </c>
      <c r="P66" s="178">
        <v>0.73232323232323238</v>
      </c>
      <c r="Q66" s="177">
        <v>0</v>
      </c>
      <c r="R66" s="177">
        <v>4</v>
      </c>
      <c r="S66" s="82">
        <v>491</v>
      </c>
    </row>
    <row r="67" spans="1:19" x14ac:dyDescent="0.2">
      <c r="A67" s="223" t="s">
        <v>203</v>
      </c>
      <c r="B67" s="93" t="s">
        <v>92</v>
      </c>
      <c r="C67" s="82">
        <v>1126</v>
      </c>
      <c r="D67" s="176">
        <v>267.5</v>
      </c>
      <c r="E67" s="177">
        <v>1209</v>
      </c>
      <c r="F67" s="177">
        <v>285</v>
      </c>
      <c r="G67" s="178">
        <v>0.23573200992555832</v>
      </c>
      <c r="H67" s="177">
        <v>1739</v>
      </c>
      <c r="I67" s="177">
        <v>960</v>
      </c>
      <c r="J67" s="178">
        <v>0.55204140310523286</v>
      </c>
      <c r="K67" s="177">
        <v>623</v>
      </c>
      <c r="L67" s="177">
        <v>508</v>
      </c>
      <c r="M67" s="178">
        <v>0.8154093097913323</v>
      </c>
      <c r="N67" s="177">
        <v>968</v>
      </c>
      <c r="O67" s="177">
        <v>887</v>
      </c>
      <c r="P67" s="178">
        <v>0.91632231404958675</v>
      </c>
      <c r="Q67" s="177">
        <v>0</v>
      </c>
      <c r="R67" s="177">
        <v>0</v>
      </c>
      <c r="S67" s="82">
        <v>349</v>
      </c>
    </row>
    <row r="68" spans="1:19" x14ac:dyDescent="0.2">
      <c r="A68" s="223" t="s">
        <v>105</v>
      </c>
      <c r="B68" s="32" t="s">
        <v>155</v>
      </c>
      <c r="C68" s="82">
        <v>516</v>
      </c>
      <c r="D68" s="176">
        <v>387.5</v>
      </c>
      <c r="E68" s="177">
        <v>410</v>
      </c>
      <c r="F68" s="177">
        <v>129</v>
      </c>
      <c r="G68" s="178">
        <v>0.31463414634146342</v>
      </c>
      <c r="H68" s="177">
        <v>788</v>
      </c>
      <c r="I68" s="177">
        <v>494</v>
      </c>
      <c r="J68" s="178">
        <v>0.62690355329949243</v>
      </c>
      <c r="K68" s="177">
        <v>80</v>
      </c>
      <c r="L68" s="177">
        <v>72</v>
      </c>
      <c r="M68" s="178">
        <v>0.9</v>
      </c>
      <c r="N68" s="177">
        <v>110</v>
      </c>
      <c r="O68" s="177">
        <v>77</v>
      </c>
      <c r="P68" s="178">
        <v>0.7</v>
      </c>
      <c r="Q68" s="177">
        <v>0</v>
      </c>
      <c r="R68" s="177">
        <v>1</v>
      </c>
      <c r="S68" s="82">
        <v>172</v>
      </c>
    </row>
    <row r="69" spans="1:19" x14ac:dyDescent="0.2">
      <c r="A69" s="223" t="s">
        <v>212</v>
      </c>
      <c r="B69" s="95" t="s">
        <v>96</v>
      </c>
      <c r="C69" s="82">
        <v>551</v>
      </c>
      <c r="D69" s="179">
        <v>479.1</v>
      </c>
      <c r="E69" s="180">
        <v>883</v>
      </c>
      <c r="F69" s="180">
        <v>331</v>
      </c>
      <c r="G69" s="181">
        <v>0.37485843714609285</v>
      </c>
      <c r="H69" s="180">
        <v>630</v>
      </c>
      <c r="I69" s="180">
        <v>439</v>
      </c>
      <c r="J69" s="181">
        <v>0.69682539682539679</v>
      </c>
      <c r="K69" s="180">
        <v>9</v>
      </c>
      <c r="L69" s="180">
        <v>7</v>
      </c>
      <c r="M69" s="181">
        <v>0.77777777777777779</v>
      </c>
      <c r="N69" s="180">
        <v>243</v>
      </c>
      <c r="O69" s="180">
        <v>154</v>
      </c>
      <c r="P69" s="181">
        <v>0.63374485596707819</v>
      </c>
      <c r="Q69" s="180">
        <v>0</v>
      </c>
      <c r="R69" s="180">
        <v>0</v>
      </c>
      <c r="S69" s="82">
        <v>203</v>
      </c>
    </row>
    <row r="70" spans="1:19" x14ac:dyDescent="0.2">
      <c r="A70" s="70"/>
      <c r="B70" s="92" t="s">
        <v>20</v>
      </c>
      <c r="C70" s="81">
        <v>154197</v>
      </c>
      <c r="D70" s="182">
        <v>365.1</v>
      </c>
      <c r="E70" s="183">
        <v>124751</v>
      </c>
      <c r="F70" s="183">
        <v>45999</v>
      </c>
      <c r="G70" s="173">
        <v>0.36872650319436318</v>
      </c>
      <c r="H70" s="183">
        <v>193955</v>
      </c>
      <c r="I70" s="183">
        <v>137553</v>
      </c>
      <c r="J70" s="173">
        <v>0.70920058776520323</v>
      </c>
      <c r="K70" s="183">
        <v>26204</v>
      </c>
      <c r="L70" s="183">
        <v>22111</v>
      </c>
      <c r="M70" s="173">
        <v>0.84380247290490007</v>
      </c>
      <c r="N70" s="183">
        <v>46764</v>
      </c>
      <c r="O70" s="183">
        <v>34108</v>
      </c>
      <c r="P70" s="173">
        <v>0.72936446839449154</v>
      </c>
      <c r="Q70" s="183">
        <v>243</v>
      </c>
      <c r="R70" s="183">
        <v>1315</v>
      </c>
      <c r="S70" s="81">
        <v>108782</v>
      </c>
    </row>
    <row r="71" spans="1:19" x14ac:dyDescent="0.2">
      <c r="A71" s="222" t="s">
        <v>168</v>
      </c>
      <c r="B71" s="93" t="s">
        <v>34</v>
      </c>
      <c r="C71" s="82">
        <v>13091</v>
      </c>
      <c r="D71" s="176">
        <v>366.9</v>
      </c>
      <c r="E71" s="177">
        <v>17704</v>
      </c>
      <c r="F71" s="177">
        <v>5972</v>
      </c>
      <c r="G71" s="178">
        <v>0.33732489832806145</v>
      </c>
      <c r="H71" s="177">
        <v>17820</v>
      </c>
      <c r="I71" s="177">
        <v>12421</v>
      </c>
      <c r="J71" s="178">
        <v>0.6970258136924804</v>
      </c>
      <c r="K71" s="177">
        <v>4379</v>
      </c>
      <c r="L71" s="177">
        <v>3868</v>
      </c>
      <c r="M71" s="178">
        <v>0.8833066910253482</v>
      </c>
      <c r="N71" s="177">
        <v>11482</v>
      </c>
      <c r="O71" s="177">
        <v>8446</v>
      </c>
      <c r="P71" s="178">
        <v>0.7355861348197178</v>
      </c>
      <c r="Q71" s="177">
        <v>56</v>
      </c>
      <c r="R71" s="177">
        <v>26</v>
      </c>
      <c r="S71" s="82">
        <v>15650</v>
      </c>
    </row>
    <row r="72" spans="1:19" x14ac:dyDescent="0.2">
      <c r="A72" s="222" t="s">
        <v>171</v>
      </c>
      <c r="B72" s="93" t="s">
        <v>52</v>
      </c>
      <c r="C72" s="82">
        <v>11209</v>
      </c>
      <c r="D72" s="176">
        <v>293.60000000000002</v>
      </c>
      <c r="E72" s="177">
        <v>9842</v>
      </c>
      <c r="F72" s="177">
        <v>3037</v>
      </c>
      <c r="G72" s="178">
        <v>0.30857549278601909</v>
      </c>
      <c r="H72" s="177">
        <v>18763</v>
      </c>
      <c r="I72" s="177">
        <v>12063</v>
      </c>
      <c r="J72" s="178">
        <v>0.64291424612268822</v>
      </c>
      <c r="K72" s="177">
        <v>1667</v>
      </c>
      <c r="L72" s="177">
        <v>1203</v>
      </c>
      <c r="M72" s="178">
        <v>0.72165566886622678</v>
      </c>
      <c r="N72" s="177">
        <v>1912</v>
      </c>
      <c r="O72" s="177">
        <v>1416</v>
      </c>
      <c r="P72" s="178">
        <v>0.7405857740585774</v>
      </c>
      <c r="Q72" s="177">
        <v>2</v>
      </c>
      <c r="R72" s="177">
        <v>56</v>
      </c>
      <c r="S72" s="82">
        <v>11100</v>
      </c>
    </row>
    <row r="73" spans="1:19" x14ac:dyDescent="0.2">
      <c r="A73" s="222" t="s">
        <v>167</v>
      </c>
      <c r="B73" s="93" t="s">
        <v>61</v>
      </c>
      <c r="C73" s="82">
        <v>2247</v>
      </c>
      <c r="D73" s="176">
        <v>220.2</v>
      </c>
      <c r="E73" s="177">
        <v>2642</v>
      </c>
      <c r="F73" s="177">
        <v>737</v>
      </c>
      <c r="G73" s="178">
        <v>0.27895533686601059</v>
      </c>
      <c r="H73" s="177">
        <v>3350</v>
      </c>
      <c r="I73" s="177">
        <v>1820</v>
      </c>
      <c r="J73" s="178">
        <v>0.54328358208955219</v>
      </c>
      <c r="K73" s="177">
        <v>254</v>
      </c>
      <c r="L73" s="177">
        <v>230</v>
      </c>
      <c r="M73" s="178">
        <v>0.90551181102362199</v>
      </c>
      <c r="N73" s="177">
        <v>1089</v>
      </c>
      <c r="O73" s="177">
        <v>796</v>
      </c>
      <c r="P73" s="178">
        <v>0.73094582185491275</v>
      </c>
      <c r="Q73" s="177">
        <v>2</v>
      </c>
      <c r="R73" s="177">
        <v>17</v>
      </c>
      <c r="S73" s="82">
        <v>1878</v>
      </c>
    </row>
    <row r="74" spans="1:19" x14ac:dyDescent="0.2">
      <c r="A74" s="223" t="s">
        <v>174</v>
      </c>
      <c r="B74" s="32" t="s">
        <v>63</v>
      </c>
      <c r="C74" s="82">
        <v>4287</v>
      </c>
      <c r="D74" s="176">
        <v>383.5</v>
      </c>
      <c r="E74" s="177">
        <v>4880</v>
      </c>
      <c r="F74" s="177">
        <v>2487</v>
      </c>
      <c r="G74" s="178">
        <v>0.5096311475409836</v>
      </c>
      <c r="H74" s="177">
        <v>5645</v>
      </c>
      <c r="I74" s="177">
        <v>3934</v>
      </c>
      <c r="J74" s="178">
        <v>0.6968999114260408</v>
      </c>
      <c r="K74" s="177">
        <v>1431</v>
      </c>
      <c r="L74" s="177">
        <v>1209</v>
      </c>
      <c r="M74" s="178">
        <v>0.84486373165618445</v>
      </c>
      <c r="N74" s="177">
        <v>2428</v>
      </c>
      <c r="O74" s="177">
        <v>1971</v>
      </c>
      <c r="P74" s="178">
        <v>0.81177924217462938</v>
      </c>
      <c r="Q74" s="177">
        <v>80</v>
      </c>
      <c r="R74" s="177">
        <v>166</v>
      </c>
      <c r="S74" s="82">
        <v>4278</v>
      </c>
    </row>
    <row r="75" spans="1:19" x14ac:dyDescent="0.2">
      <c r="A75" s="223" t="s">
        <v>177</v>
      </c>
      <c r="B75" s="93" t="s">
        <v>67</v>
      </c>
      <c r="C75" s="82">
        <v>9435</v>
      </c>
      <c r="D75" s="176">
        <v>444.4</v>
      </c>
      <c r="E75" s="177">
        <v>7187</v>
      </c>
      <c r="F75" s="177">
        <v>3877</v>
      </c>
      <c r="G75" s="178">
        <v>0.53944622234590234</v>
      </c>
      <c r="H75" s="177">
        <v>13043</v>
      </c>
      <c r="I75" s="177">
        <v>8878</v>
      </c>
      <c r="J75" s="178">
        <v>0.68067162462623632</v>
      </c>
      <c r="K75" s="177">
        <v>1788</v>
      </c>
      <c r="L75" s="177">
        <v>1706</v>
      </c>
      <c r="M75" s="178">
        <v>0.95413870246085009</v>
      </c>
      <c r="N75" s="177">
        <v>1687</v>
      </c>
      <c r="O75" s="177">
        <v>835</v>
      </c>
      <c r="P75" s="178">
        <v>0.49496147006520452</v>
      </c>
      <c r="Q75" s="177">
        <v>79</v>
      </c>
      <c r="R75" s="177">
        <v>241</v>
      </c>
      <c r="S75" s="82">
        <v>4418</v>
      </c>
    </row>
    <row r="76" spans="1:19" x14ac:dyDescent="0.2">
      <c r="A76" s="223" t="s">
        <v>173</v>
      </c>
      <c r="B76" s="93" t="s">
        <v>71</v>
      </c>
      <c r="C76" s="82">
        <v>12434</v>
      </c>
      <c r="D76" s="176">
        <v>384.3</v>
      </c>
      <c r="E76" s="177">
        <v>8036</v>
      </c>
      <c r="F76" s="177">
        <v>3178</v>
      </c>
      <c r="G76" s="178">
        <v>0.39547038327526135</v>
      </c>
      <c r="H76" s="177">
        <v>13891</v>
      </c>
      <c r="I76" s="177">
        <v>10291</v>
      </c>
      <c r="J76" s="178">
        <v>0.7408393924123533</v>
      </c>
      <c r="K76" s="177">
        <v>4463</v>
      </c>
      <c r="L76" s="177">
        <v>4100</v>
      </c>
      <c r="M76" s="178">
        <v>0.91866457539771451</v>
      </c>
      <c r="N76" s="177">
        <v>2674</v>
      </c>
      <c r="O76" s="177">
        <v>2148</v>
      </c>
      <c r="P76" s="178">
        <v>0.80329094988780858</v>
      </c>
      <c r="Q76" s="177">
        <v>2</v>
      </c>
      <c r="R76" s="177">
        <v>336</v>
      </c>
      <c r="S76" s="82">
        <v>10300</v>
      </c>
    </row>
    <row r="77" spans="1:19" x14ac:dyDescent="0.2">
      <c r="A77" s="223" t="s">
        <v>107</v>
      </c>
      <c r="B77" s="93" t="s">
        <v>72</v>
      </c>
      <c r="C77" s="82">
        <v>5161</v>
      </c>
      <c r="D77" s="176">
        <v>223.1</v>
      </c>
      <c r="E77" s="177">
        <v>9105</v>
      </c>
      <c r="F77" s="177">
        <v>2800</v>
      </c>
      <c r="G77" s="178">
        <v>0.30752333882482152</v>
      </c>
      <c r="H77" s="177">
        <v>8174</v>
      </c>
      <c r="I77" s="177">
        <v>4170</v>
      </c>
      <c r="J77" s="178">
        <v>0.51015414729630537</v>
      </c>
      <c r="K77" s="177">
        <v>1544</v>
      </c>
      <c r="L77" s="177">
        <v>1371</v>
      </c>
      <c r="M77" s="178">
        <v>0.88795336787564771</v>
      </c>
      <c r="N77" s="177">
        <v>1586</v>
      </c>
      <c r="O77" s="177">
        <v>1342</v>
      </c>
      <c r="P77" s="178">
        <v>0.84615384615384615</v>
      </c>
      <c r="Q77" s="177">
        <v>5</v>
      </c>
      <c r="R77" s="177">
        <v>201</v>
      </c>
      <c r="S77" s="82">
        <v>6236</v>
      </c>
    </row>
    <row r="78" spans="1:19" x14ac:dyDescent="0.2">
      <c r="A78" s="223" t="s">
        <v>121</v>
      </c>
      <c r="B78" s="93" t="s">
        <v>83</v>
      </c>
      <c r="C78" s="82">
        <v>15973</v>
      </c>
      <c r="D78" s="176">
        <v>400.7</v>
      </c>
      <c r="E78" s="177">
        <v>11465</v>
      </c>
      <c r="F78" s="177">
        <v>4032</v>
      </c>
      <c r="G78" s="178">
        <v>0.35167902311382471</v>
      </c>
      <c r="H78" s="177">
        <v>18832</v>
      </c>
      <c r="I78" s="177">
        <v>13177</v>
      </c>
      <c r="J78" s="178">
        <v>0.69971325403568396</v>
      </c>
      <c r="K78" s="177">
        <v>2795</v>
      </c>
      <c r="L78" s="177">
        <v>2283</v>
      </c>
      <c r="M78" s="178">
        <v>0.81681574239713772</v>
      </c>
      <c r="N78" s="177">
        <v>5227</v>
      </c>
      <c r="O78" s="177">
        <v>4494</v>
      </c>
      <c r="P78" s="178">
        <v>0.85976659651807918</v>
      </c>
      <c r="Q78" s="177">
        <v>6</v>
      </c>
      <c r="R78" s="177">
        <v>23</v>
      </c>
      <c r="S78" s="82">
        <v>13203</v>
      </c>
    </row>
    <row r="79" spans="1:19" x14ac:dyDescent="0.2">
      <c r="A79" s="223" t="s">
        <v>198</v>
      </c>
      <c r="B79" s="93" t="s">
        <v>86</v>
      </c>
      <c r="C79" s="82">
        <v>2457</v>
      </c>
      <c r="D79" s="176">
        <v>303.10000000000002</v>
      </c>
      <c r="E79" s="177">
        <v>2888</v>
      </c>
      <c r="F79" s="177">
        <v>820</v>
      </c>
      <c r="G79" s="178">
        <v>0.28393351800554018</v>
      </c>
      <c r="H79" s="177">
        <v>4056</v>
      </c>
      <c r="I79" s="177">
        <v>2620</v>
      </c>
      <c r="J79" s="178">
        <v>0.645956607495069</v>
      </c>
      <c r="K79" s="177">
        <v>681</v>
      </c>
      <c r="L79" s="177">
        <v>639</v>
      </c>
      <c r="M79" s="178">
        <v>0.93832599118942728</v>
      </c>
      <c r="N79" s="177">
        <v>1498</v>
      </c>
      <c r="O79" s="177">
        <v>1247</v>
      </c>
      <c r="P79" s="178">
        <v>0.83244325767690253</v>
      </c>
      <c r="Q79" s="177">
        <v>0</v>
      </c>
      <c r="R79" s="177">
        <v>5</v>
      </c>
      <c r="S79" s="82">
        <v>5663</v>
      </c>
    </row>
    <row r="80" spans="1:19" x14ac:dyDescent="0.2">
      <c r="A80" s="223" t="s">
        <v>169</v>
      </c>
      <c r="B80" s="93" t="s">
        <v>91</v>
      </c>
      <c r="C80" s="82">
        <v>14729</v>
      </c>
      <c r="D80" s="176">
        <v>305.10000000000002</v>
      </c>
      <c r="E80" s="177">
        <v>25243</v>
      </c>
      <c r="F80" s="177">
        <v>10153</v>
      </c>
      <c r="G80" s="178">
        <v>0.40221051380580752</v>
      </c>
      <c r="H80" s="177">
        <v>18748</v>
      </c>
      <c r="I80" s="177">
        <v>11343</v>
      </c>
      <c r="J80" s="178">
        <v>0.60502453595050143</v>
      </c>
      <c r="K80" s="177">
        <v>2298</v>
      </c>
      <c r="L80" s="177">
        <v>1562</v>
      </c>
      <c r="M80" s="178">
        <v>0.67972149695387296</v>
      </c>
      <c r="N80" s="177">
        <v>9758</v>
      </c>
      <c r="O80" s="177">
        <v>6526</v>
      </c>
      <c r="P80" s="178">
        <v>0.66878458700553389</v>
      </c>
      <c r="Q80" s="177">
        <v>11</v>
      </c>
      <c r="R80" s="177">
        <v>222</v>
      </c>
      <c r="S80" s="82">
        <v>27018</v>
      </c>
    </row>
    <row r="81" spans="1:20" x14ac:dyDescent="0.2">
      <c r="A81" s="223" t="s">
        <v>416</v>
      </c>
      <c r="B81" s="96" t="s">
        <v>94</v>
      </c>
      <c r="C81" s="82">
        <v>46440</v>
      </c>
      <c r="D81" s="176">
        <v>404.4</v>
      </c>
      <c r="E81" s="177">
        <v>1041</v>
      </c>
      <c r="F81" s="177">
        <v>351</v>
      </c>
      <c r="G81" s="178">
        <v>0.33717579250720459</v>
      </c>
      <c r="H81" s="177">
        <v>47020</v>
      </c>
      <c r="I81" s="177">
        <v>42651</v>
      </c>
      <c r="J81" s="178">
        <v>0.90708209272649931</v>
      </c>
      <c r="K81" s="177">
        <v>120</v>
      </c>
      <c r="L81" s="177">
        <v>115</v>
      </c>
      <c r="M81" s="178">
        <v>0.95833333333333337</v>
      </c>
      <c r="N81" s="177">
        <v>781</v>
      </c>
      <c r="O81" s="177">
        <v>745</v>
      </c>
      <c r="P81" s="178">
        <v>0.95390524967989754</v>
      </c>
      <c r="Q81" s="177">
        <v>0</v>
      </c>
      <c r="R81" s="177">
        <v>2</v>
      </c>
      <c r="S81" s="82">
        <v>3</v>
      </c>
    </row>
    <row r="82" spans="1:20" x14ac:dyDescent="0.2">
      <c r="A82" s="223" t="s">
        <v>170</v>
      </c>
      <c r="B82" s="97" t="s">
        <v>97</v>
      </c>
      <c r="C82" s="82">
        <v>16734</v>
      </c>
      <c r="D82" s="184">
        <v>329.6</v>
      </c>
      <c r="E82" s="180">
        <v>24718</v>
      </c>
      <c r="F82" s="180">
        <v>8555</v>
      </c>
      <c r="G82" s="181">
        <v>0.34610405372602959</v>
      </c>
      <c r="H82" s="180">
        <v>24613</v>
      </c>
      <c r="I82" s="180">
        <v>14185</v>
      </c>
      <c r="J82" s="181">
        <v>0.57632145614106367</v>
      </c>
      <c r="K82" s="180">
        <v>4784</v>
      </c>
      <c r="L82" s="180">
        <v>3825</v>
      </c>
      <c r="M82" s="181">
        <v>0.79954013377926425</v>
      </c>
      <c r="N82" s="180">
        <v>6642</v>
      </c>
      <c r="O82" s="180">
        <v>4142</v>
      </c>
      <c r="P82" s="181">
        <v>0.62360734718458299</v>
      </c>
      <c r="Q82" s="180">
        <v>0</v>
      </c>
      <c r="R82" s="180">
        <v>20</v>
      </c>
      <c r="S82" s="82">
        <v>9035</v>
      </c>
    </row>
    <row r="83" spans="1:20" x14ac:dyDescent="0.2">
      <c r="A83" s="70"/>
      <c r="B83" s="561"/>
      <c r="C83" s="561"/>
      <c r="D83" s="561"/>
      <c r="E83" s="561"/>
      <c r="F83" s="561"/>
      <c r="G83" s="561"/>
      <c r="H83" s="561"/>
      <c r="I83" s="561"/>
      <c r="J83" s="561"/>
      <c r="K83" s="561"/>
      <c r="L83" s="561"/>
      <c r="M83" s="561"/>
      <c r="N83" s="561"/>
      <c r="O83" s="561"/>
      <c r="P83" s="561"/>
      <c r="Q83" s="561"/>
      <c r="R83" s="561"/>
      <c r="S83" s="561"/>
    </row>
    <row r="84" spans="1:20" ht="23.25" customHeight="1" x14ac:dyDescent="0.4">
      <c r="A84" s="70"/>
      <c r="B84" s="12"/>
      <c r="C84" s="554" t="s">
        <v>353</v>
      </c>
      <c r="D84" s="555"/>
      <c r="E84" s="555"/>
      <c r="F84" s="555"/>
      <c r="G84" s="555"/>
      <c r="H84" s="555"/>
      <c r="I84" s="555"/>
      <c r="J84" s="555"/>
      <c r="K84" s="555"/>
      <c r="L84" s="555"/>
      <c r="M84" s="555"/>
      <c r="N84" s="555"/>
      <c r="O84" s="555"/>
      <c r="P84" s="555"/>
      <c r="Q84" s="555"/>
      <c r="R84" s="555"/>
      <c r="S84" s="556"/>
    </row>
    <row r="85" spans="1:20" x14ac:dyDescent="0.2">
      <c r="A85" s="70"/>
      <c r="B85" s="28"/>
      <c r="C85" s="557" t="s">
        <v>287</v>
      </c>
      <c r="D85" s="557"/>
      <c r="E85" s="551" t="s">
        <v>238</v>
      </c>
      <c r="F85" s="552"/>
      <c r="G85" s="553"/>
      <c r="H85" s="551" t="s">
        <v>8</v>
      </c>
      <c r="I85" s="552"/>
      <c r="J85" s="553"/>
      <c r="K85" s="551" t="s">
        <v>43</v>
      </c>
      <c r="L85" s="552"/>
      <c r="M85" s="553"/>
      <c r="N85" s="551" t="s">
        <v>9</v>
      </c>
      <c r="O85" s="552"/>
      <c r="P85" s="553"/>
      <c r="Q85" s="241" t="s">
        <v>10</v>
      </c>
      <c r="R85" s="198" t="s">
        <v>11</v>
      </c>
      <c r="S85" s="198" t="s">
        <v>12</v>
      </c>
    </row>
    <row r="86" spans="1:20" s="10" customFormat="1" ht="51" x14ac:dyDescent="0.2">
      <c r="A86" s="221"/>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52">
        <v>69782</v>
      </c>
      <c r="D87" s="171">
        <v>284.89999999999998</v>
      </c>
      <c r="E87" s="172">
        <v>92909</v>
      </c>
      <c r="F87" s="172">
        <v>30525</v>
      </c>
      <c r="G87" s="174">
        <v>0.32854728820673995</v>
      </c>
      <c r="H87" s="172">
        <v>102314</v>
      </c>
      <c r="I87" s="172">
        <v>53479</v>
      </c>
      <c r="J87" s="174">
        <v>0.52269484137068245</v>
      </c>
      <c r="K87" s="172">
        <v>14267</v>
      </c>
      <c r="L87" s="172">
        <v>10483</v>
      </c>
      <c r="M87" s="174">
        <v>0.7347725520431766</v>
      </c>
      <c r="N87" s="172">
        <v>35188</v>
      </c>
      <c r="O87" s="172">
        <v>26778</v>
      </c>
      <c r="P87" s="174">
        <v>0.76099806752301924</v>
      </c>
      <c r="Q87" s="172">
        <v>217</v>
      </c>
      <c r="R87" s="172">
        <v>1482</v>
      </c>
      <c r="S87" s="81">
        <v>74811</v>
      </c>
    </row>
    <row r="88" spans="1:20" x14ac:dyDescent="0.2">
      <c r="A88" s="222" t="s">
        <v>178</v>
      </c>
      <c r="B88" s="93" t="s">
        <v>50</v>
      </c>
      <c r="C88" s="82">
        <v>5642</v>
      </c>
      <c r="D88" s="176">
        <v>498.2</v>
      </c>
      <c r="E88" s="177">
        <v>7683</v>
      </c>
      <c r="F88" s="177">
        <v>2924</v>
      </c>
      <c r="G88" s="178">
        <v>0.38058050240791358</v>
      </c>
      <c r="H88" s="177">
        <v>7474</v>
      </c>
      <c r="I88" s="177">
        <v>5522</v>
      </c>
      <c r="J88" s="178">
        <v>0.73882793684773884</v>
      </c>
      <c r="K88" s="177">
        <v>1410</v>
      </c>
      <c r="L88" s="177">
        <v>1308</v>
      </c>
      <c r="M88" s="178">
        <v>0.92765957446808511</v>
      </c>
      <c r="N88" s="177">
        <v>3066</v>
      </c>
      <c r="O88" s="177">
        <v>2555</v>
      </c>
      <c r="P88" s="178">
        <v>0.83333333333333337</v>
      </c>
      <c r="Q88" s="177">
        <v>0</v>
      </c>
      <c r="R88" s="177">
        <v>289</v>
      </c>
      <c r="S88" s="82">
        <v>7352</v>
      </c>
      <c r="T88" s="137"/>
    </row>
    <row r="89" spans="1:20" x14ac:dyDescent="0.2">
      <c r="A89" s="222" t="s">
        <v>182</v>
      </c>
      <c r="B89" s="93" t="s">
        <v>54</v>
      </c>
      <c r="C89" s="82">
        <v>1345</v>
      </c>
      <c r="D89" s="176">
        <v>127.1</v>
      </c>
      <c r="E89" s="177">
        <v>2537</v>
      </c>
      <c r="F89" s="177">
        <v>681</v>
      </c>
      <c r="G89" s="178">
        <v>0.26842727631060309</v>
      </c>
      <c r="H89" s="177">
        <v>2245</v>
      </c>
      <c r="I89" s="177">
        <v>808</v>
      </c>
      <c r="J89" s="178">
        <v>0.35991091314031182</v>
      </c>
      <c r="K89" s="177">
        <v>207</v>
      </c>
      <c r="L89" s="177">
        <v>160</v>
      </c>
      <c r="M89" s="178">
        <v>0.77294685990338163</v>
      </c>
      <c r="N89" s="177">
        <v>2848</v>
      </c>
      <c r="O89" s="177">
        <v>1849</v>
      </c>
      <c r="P89" s="178">
        <v>0.6492275280898876</v>
      </c>
      <c r="Q89" s="177">
        <v>0</v>
      </c>
      <c r="R89" s="177">
        <v>13</v>
      </c>
      <c r="S89" s="82">
        <v>1145</v>
      </c>
      <c r="T89" s="137"/>
    </row>
    <row r="90" spans="1:20" x14ac:dyDescent="0.2">
      <c r="A90" s="222" t="s">
        <v>207</v>
      </c>
      <c r="B90" s="93" t="s">
        <v>56</v>
      </c>
      <c r="C90" s="82">
        <v>228</v>
      </c>
      <c r="D90" s="176">
        <v>78.400000000000006</v>
      </c>
      <c r="E90" s="177">
        <v>899</v>
      </c>
      <c r="F90" s="177">
        <v>214</v>
      </c>
      <c r="G90" s="178">
        <v>0.23804226918798665</v>
      </c>
      <c r="H90" s="177">
        <v>682</v>
      </c>
      <c r="I90" s="177">
        <v>44</v>
      </c>
      <c r="J90" s="178">
        <v>6.4516129032258063E-2</v>
      </c>
      <c r="K90" s="177">
        <v>42</v>
      </c>
      <c r="L90" s="177">
        <v>11</v>
      </c>
      <c r="M90" s="178">
        <v>0.26190476190476192</v>
      </c>
      <c r="N90" s="177">
        <v>43</v>
      </c>
      <c r="O90" s="177">
        <v>20</v>
      </c>
      <c r="P90" s="178">
        <v>0.46511627906976744</v>
      </c>
      <c r="Q90" s="177">
        <v>0</v>
      </c>
      <c r="R90" s="177">
        <v>1</v>
      </c>
      <c r="S90" s="82">
        <v>457</v>
      </c>
      <c r="T90" s="137"/>
    </row>
    <row r="91" spans="1:20" x14ac:dyDescent="0.2">
      <c r="A91" s="222" t="s">
        <v>200</v>
      </c>
      <c r="B91" s="93" t="s">
        <v>60</v>
      </c>
      <c r="C91" s="82">
        <v>12906</v>
      </c>
      <c r="D91" s="176">
        <v>332.9</v>
      </c>
      <c r="E91" s="177">
        <v>18533</v>
      </c>
      <c r="F91" s="177">
        <v>7495</v>
      </c>
      <c r="G91" s="178">
        <v>0.40441374844871308</v>
      </c>
      <c r="H91" s="177">
        <v>17354</v>
      </c>
      <c r="I91" s="177">
        <v>11286</v>
      </c>
      <c r="J91" s="178">
        <v>0.65033997925550302</v>
      </c>
      <c r="K91" s="177">
        <v>1797</v>
      </c>
      <c r="L91" s="177">
        <v>1393</v>
      </c>
      <c r="M91" s="178">
        <v>0.77518085698386197</v>
      </c>
      <c r="N91" s="177">
        <v>5632</v>
      </c>
      <c r="O91" s="177">
        <v>4603</v>
      </c>
      <c r="P91" s="178">
        <v>0.81729403409090906</v>
      </c>
      <c r="Q91" s="177">
        <v>1</v>
      </c>
      <c r="R91" s="177">
        <v>238</v>
      </c>
      <c r="S91" s="82">
        <v>18864</v>
      </c>
      <c r="T91" s="137"/>
    </row>
    <row r="92" spans="1:20" x14ac:dyDescent="0.2">
      <c r="A92" s="222" t="s">
        <v>183</v>
      </c>
      <c r="B92" s="93" t="s">
        <v>64</v>
      </c>
      <c r="C92" s="82">
        <v>2748</v>
      </c>
      <c r="D92" s="176">
        <v>111.1</v>
      </c>
      <c r="E92" s="177">
        <v>2118</v>
      </c>
      <c r="F92" s="177">
        <v>377</v>
      </c>
      <c r="G92" s="178">
        <v>0.17799811142587346</v>
      </c>
      <c r="H92" s="177">
        <v>5273</v>
      </c>
      <c r="I92" s="177">
        <v>1301</v>
      </c>
      <c r="J92" s="178">
        <v>0.24672861748530248</v>
      </c>
      <c r="K92" s="177">
        <v>623</v>
      </c>
      <c r="L92" s="177">
        <v>511</v>
      </c>
      <c r="M92" s="178">
        <v>0.8202247191011236</v>
      </c>
      <c r="N92" s="177">
        <v>512</v>
      </c>
      <c r="O92" s="177">
        <v>398</v>
      </c>
      <c r="P92" s="178">
        <v>0.77734375</v>
      </c>
      <c r="Q92" s="177">
        <v>0</v>
      </c>
      <c r="R92" s="177">
        <v>14</v>
      </c>
      <c r="S92" s="82">
        <v>1400</v>
      </c>
      <c r="T92" s="137"/>
    </row>
    <row r="93" spans="1:20" x14ac:dyDescent="0.2">
      <c r="A93" s="222" t="s">
        <v>195</v>
      </c>
      <c r="B93" s="93" t="s">
        <v>65</v>
      </c>
      <c r="C93" s="82">
        <v>4478</v>
      </c>
      <c r="D93" s="176">
        <v>340.6</v>
      </c>
      <c r="E93" s="177">
        <v>3471</v>
      </c>
      <c r="F93" s="177">
        <v>1069</v>
      </c>
      <c r="G93" s="178">
        <v>0.30798040910400459</v>
      </c>
      <c r="H93" s="177">
        <v>6648</v>
      </c>
      <c r="I93" s="177">
        <v>3891</v>
      </c>
      <c r="J93" s="178">
        <v>0.58528880866425992</v>
      </c>
      <c r="K93" s="177">
        <v>2516</v>
      </c>
      <c r="L93" s="177">
        <v>1807</v>
      </c>
      <c r="M93" s="178">
        <v>0.71820349761526237</v>
      </c>
      <c r="N93" s="177">
        <v>10513</v>
      </c>
      <c r="O93" s="177">
        <v>9053</v>
      </c>
      <c r="P93" s="178">
        <v>0.86112432226766855</v>
      </c>
      <c r="Q93" s="177">
        <v>0</v>
      </c>
      <c r="R93" s="177">
        <v>169</v>
      </c>
      <c r="S93" s="82">
        <v>5046</v>
      </c>
      <c r="T93" s="137"/>
    </row>
    <row r="94" spans="1:20" x14ac:dyDescent="0.2">
      <c r="A94" s="222" t="s">
        <v>180</v>
      </c>
      <c r="B94" s="32" t="s">
        <v>70</v>
      </c>
      <c r="C94" s="82">
        <v>5776</v>
      </c>
      <c r="D94" s="176">
        <v>211.8</v>
      </c>
      <c r="E94" s="177">
        <v>5823</v>
      </c>
      <c r="F94" s="177">
        <v>1355</v>
      </c>
      <c r="G94" s="178">
        <v>0.23269792203331616</v>
      </c>
      <c r="H94" s="177">
        <v>8244</v>
      </c>
      <c r="I94" s="177">
        <v>3827</v>
      </c>
      <c r="J94" s="178">
        <v>0.46421639980591944</v>
      </c>
      <c r="K94" s="177">
        <v>293</v>
      </c>
      <c r="L94" s="177">
        <v>211</v>
      </c>
      <c r="M94" s="178">
        <v>0.72013651877133111</v>
      </c>
      <c r="N94" s="177">
        <v>327</v>
      </c>
      <c r="O94" s="177">
        <v>145</v>
      </c>
      <c r="P94" s="178">
        <v>0.44342507645259938</v>
      </c>
      <c r="Q94" s="177">
        <v>151</v>
      </c>
      <c r="R94" s="177">
        <v>0</v>
      </c>
      <c r="S94" s="82">
        <v>2837</v>
      </c>
      <c r="T94" s="137"/>
    </row>
    <row r="95" spans="1:20" x14ac:dyDescent="0.2">
      <c r="A95" s="222" t="s">
        <v>196</v>
      </c>
      <c r="B95" s="93" t="s">
        <v>36</v>
      </c>
      <c r="C95" s="82">
        <v>3961</v>
      </c>
      <c r="D95" s="176">
        <v>152.69999999999999</v>
      </c>
      <c r="E95" s="177">
        <v>7644</v>
      </c>
      <c r="F95" s="177">
        <v>2171</v>
      </c>
      <c r="G95" s="178">
        <v>0.28401360544217685</v>
      </c>
      <c r="H95" s="177">
        <v>9063</v>
      </c>
      <c r="I95" s="177">
        <v>3383</v>
      </c>
      <c r="J95" s="178">
        <v>0.37327595718856893</v>
      </c>
      <c r="K95" s="177">
        <v>1234</v>
      </c>
      <c r="L95" s="177">
        <v>541</v>
      </c>
      <c r="M95" s="178">
        <v>0.43841166936790926</v>
      </c>
      <c r="N95" s="177">
        <v>620</v>
      </c>
      <c r="O95" s="177">
        <v>266</v>
      </c>
      <c r="P95" s="178">
        <v>0.42903225806451611</v>
      </c>
      <c r="Q95" s="177">
        <v>0</v>
      </c>
      <c r="R95" s="177">
        <v>74</v>
      </c>
      <c r="S95" s="82">
        <v>3731</v>
      </c>
      <c r="T95" s="137"/>
    </row>
    <row r="96" spans="1:20" x14ac:dyDescent="0.2">
      <c r="A96" s="222" t="s">
        <v>172</v>
      </c>
      <c r="B96" s="93" t="s">
        <v>73</v>
      </c>
      <c r="C96" s="82">
        <v>6316</v>
      </c>
      <c r="D96" s="176">
        <v>408.5</v>
      </c>
      <c r="E96" s="177">
        <v>5951</v>
      </c>
      <c r="F96" s="177">
        <v>2145</v>
      </c>
      <c r="G96" s="178">
        <v>0.36044362292051757</v>
      </c>
      <c r="H96" s="177">
        <v>7494</v>
      </c>
      <c r="I96" s="177">
        <v>4988</v>
      </c>
      <c r="J96" s="178">
        <v>0.66559914598345338</v>
      </c>
      <c r="K96" s="177">
        <v>562</v>
      </c>
      <c r="L96" s="177">
        <v>512</v>
      </c>
      <c r="M96" s="178">
        <v>0.91103202846975084</v>
      </c>
      <c r="N96" s="177">
        <v>770</v>
      </c>
      <c r="O96" s="177">
        <v>557</v>
      </c>
      <c r="P96" s="178">
        <v>0.72337662337662334</v>
      </c>
      <c r="Q96" s="177">
        <v>3</v>
      </c>
      <c r="R96" s="177">
        <v>311</v>
      </c>
      <c r="S96" s="82">
        <v>5679</v>
      </c>
      <c r="T96" s="137"/>
    </row>
    <row r="97" spans="1:21" x14ac:dyDescent="0.2">
      <c r="A97" s="222" t="s">
        <v>208</v>
      </c>
      <c r="B97" s="93" t="s">
        <v>88</v>
      </c>
      <c r="C97" s="82">
        <v>929</v>
      </c>
      <c r="D97" s="176">
        <v>53.5</v>
      </c>
      <c r="E97" s="177">
        <v>904</v>
      </c>
      <c r="F97" s="177">
        <v>248</v>
      </c>
      <c r="G97" s="178">
        <v>0.27433628318584069</v>
      </c>
      <c r="H97" s="177">
        <v>1110</v>
      </c>
      <c r="I97" s="177">
        <v>103</v>
      </c>
      <c r="J97" s="178">
        <v>9.2792792792792789E-2</v>
      </c>
      <c r="K97" s="177">
        <v>865</v>
      </c>
      <c r="L97" s="177">
        <v>100</v>
      </c>
      <c r="M97" s="178">
        <v>0.11560693641618497</v>
      </c>
      <c r="N97" s="177">
        <v>31</v>
      </c>
      <c r="O97" s="177">
        <v>14</v>
      </c>
      <c r="P97" s="178">
        <v>0.45161290322580644</v>
      </c>
      <c r="Q97" s="177">
        <v>0</v>
      </c>
      <c r="R97" s="177">
        <v>2</v>
      </c>
      <c r="S97" s="82">
        <v>224</v>
      </c>
      <c r="T97" s="137"/>
    </row>
    <row r="98" spans="1:21" x14ac:dyDescent="0.2">
      <c r="A98" s="222" t="s">
        <v>181</v>
      </c>
      <c r="B98" s="93" t="s">
        <v>89</v>
      </c>
      <c r="C98" s="82">
        <v>4712</v>
      </c>
      <c r="D98" s="176">
        <v>267.10000000000002</v>
      </c>
      <c r="E98" s="177">
        <v>5529</v>
      </c>
      <c r="F98" s="177">
        <v>1769</v>
      </c>
      <c r="G98" s="178">
        <v>0.31994935793090973</v>
      </c>
      <c r="H98" s="177">
        <v>7530</v>
      </c>
      <c r="I98" s="177">
        <v>4763</v>
      </c>
      <c r="J98" s="178">
        <v>0.6325365205843293</v>
      </c>
      <c r="K98" s="177">
        <v>2424</v>
      </c>
      <c r="L98" s="177">
        <v>2294</v>
      </c>
      <c r="M98" s="178">
        <v>0.94636963696369636</v>
      </c>
      <c r="N98" s="177">
        <v>5905</v>
      </c>
      <c r="O98" s="177">
        <v>4670</v>
      </c>
      <c r="P98" s="178">
        <v>0.79085520745131244</v>
      </c>
      <c r="Q98" s="177">
        <v>45</v>
      </c>
      <c r="R98" s="177">
        <v>128</v>
      </c>
      <c r="S98" s="82">
        <v>6101</v>
      </c>
      <c r="T98" s="137"/>
    </row>
    <row r="99" spans="1:21" x14ac:dyDescent="0.2">
      <c r="A99" s="222" t="s">
        <v>184</v>
      </c>
      <c r="B99" s="98" t="s">
        <v>90</v>
      </c>
      <c r="C99" s="82">
        <v>6363</v>
      </c>
      <c r="D99" s="176">
        <v>152.1</v>
      </c>
      <c r="E99" s="177">
        <v>10333</v>
      </c>
      <c r="F99" s="177">
        <v>2423</v>
      </c>
      <c r="G99" s="178">
        <v>0.23449143520758733</v>
      </c>
      <c r="H99" s="177">
        <v>11094</v>
      </c>
      <c r="I99" s="177">
        <v>3396</v>
      </c>
      <c r="J99" s="178">
        <v>0.30611141157382371</v>
      </c>
      <c r="K99" s="177">
        <v>583</v>
      </c>
      <c r="L99" s="177">
        <v>383</v>
      </c>
      <c r="M99" s="178">
        <v>0.65694682675814753</v>
      </c>
      <c r="N99" s="177">
        <v>1502</v>
      </c>
      <c r="O99" s="177">
        <v>712</v>
      </c>
      <c r="P99" s="178">
        <v>0.47403462050599199</v>
      </c>
      <c r="Q99" s="177">
        <v>15</v>
      </c>
      <c r="R99" s="177">
        <v>0</v>
      </c>
      <c r="S99" s="82">
        <v>1788</v>
      </c>
      <c r="T99" s="137"/>
    </row>
    <row r="100" spans="1:21" x14ac:dyDescent="0.2">
      <c r="A100" s="222" t="s">
        <v>194</v>
      </c>
      <c r="B100" s="93" t="s">
        <v>93</v>
      </c>
      <c r="C100" s="82">
        <v>12542</v>
      </c>
      <c r="D100" s="176">
        <v>308.10000000000002</v>
      </c>
      <c r="E100" s="177">
        <v>18897</v>
      </c>
      <c r="F100" s="177">
        <v>6914</v>
      </c>
      <c r="G100" s="178">
        <v>0.36587818172196646</v>
      </c>
      <c r="H100" s="177">
        <v>15385</v>
      </c>
      <c r="I100" s="177">
        <v>9196</v>
      </c>
      <c r="J100" s="178">
        <v>0.59772505687357813</v>
      </c>
      <c r="K100" s="177">
        <v>1428</v>
      </c>
      <c r="L100" s="177">
        <v>1103</v>
      </c>
      <c r="M100" s="178">
        <v>0.77240896358543421</v>
      </c>
      <c r="N100" s="177">
        <v>3268</v>
      </c>
      <c r="O100" s="177">
        <v>1823</v>
      </c>
      <c r="P100" s="178">
        <v>0.55783353733170138</v>
      </c>
      <c r="Q100" s="177">
        <v>2</v>
      </c>
      <c r="R100" s="177">
        <v>232</v>
      </c>
      <c r="S100" s="82">
        <v>18820</v>
      </c>
      <c r="T100" s="137"/>
    </row>
    <row r="101" spans="1:21" x14ac:dyDescent="0.2">
      <c r="A101" s="222" t="s">
        <v>209</v>
      </c>
      <c r="B101" s="95" t="s">
        <v>95</v>
      </c>
      <c r="C101" s="82">
        <v>1836</v>
      </c>
      <c r="D101" s="176">
        <v>112.1</v>
      </c>
      <c r="E101" s="177">
        <v>2587</v>
      </c>
      <c r="F101" s="177">
        <v>740</v>
      </c>
      <c r="G101" s="178">
        <v>0.28604561267877848</v>
      </c>
      <c r="H101" s="177">
        <v>2718</v>
      </c>
      <c r="I101" s="177">
        <v>971</v>
      </c>
      <c r="J101" s="178">
        <v>0.35724797645327444</v>
      </c>
      <c r="K101" s="177">
        <v>283</v>
      </c>
      <c r="L101" s="177">
        <v>149</v>
      </c>
      <c r="M101" s="178">
        <v>0.52650176678445226</v>
      </c>
      <c r="N101" s="177">
        <v>151</v>
      </c>
      <c r="O101" s="177">
        <v>113</v>
      </c>
      <c r="P101" s="178">
        <v>0.7483443708609272</v>
      </c>
      <c r="Q101" s="177">
        <v>0</v>
      </c>
      <c r="R101" s="177">
        <v>11</v>
      </c>
      <c r="S101" s="82">
        <v>1367</v>
      </c>
      <c r="T101" s="137"/>
    </row>
    <row r="102" spans="1:21" x14ac:dyDescent="0.2">
      <c r="A102" s="222"/>
      <c r="B102" s="92" t="s">
        <v>22</v>
      </c>
      <c r="C102" s="81">
        <v>84975</v>
      </c>
      <c r="D102" s="171">
        <v>362.9</v>
      </c>
      <c r="E102" s="172">
        <v>85225</v>
      </c>
      <c r="F102" s="172">
        <v>29227</v>
      </c>
      <c r="G102" s="174">
        <v>0.34293927838075683</v>
      </c>
      <c r="H102" s="172">
        <v>118949</v>
      </c>
      <c r="I102" s="172">
        <v>73948</v>
      </c>
      <c r="J102" s="174">
        <v>0.62167819821940495</v>
      </c>
      <c r="K102" s="172">
        <v>19981</v>
      </c>
      <c r="L102" s="172">
        <v>16790</v>
      </c>
      <c r="M102" s="174">
        <v>0.84029828336920076</v>
      </c>
      <c r="N102" s="172">
        <v>33825</v>
      </c>
      <c r="O102" s="172">
        <v>25158</v>
      </c>
      <c r="P102" s="174">
        <v>0.74376940133037694</v>
      </c>
      <c r="Q102" s="172">
        <v>356</v>
      </c>
      <c r="R102" s="172">
        <v>766</v>
      </c>
      <c r="S102" s="81">
        <v>47773</v>
      </c>
    </row>
    <row r="103" spans="1:21" x14ac:dyDescent="0.2">
      <c r="A103" s="222" t="s">
        <v>186</v>
      </c>
      <c r="B103" s="93" t="s">
        <v>44</v>
      </c>
      <c r="C103" s="82">
        <v>1344</v>
      </c>
      <c r="D103" s="176">
        <v>163.6</v>
      </c>
      <c r="E103" s="177">
        <v>3190</v>
      </c>
      <c r="F103" s="177">
        <v>1179</v>
      </c>
      <c r="G103" s="178">
        <v>0.36959247648902821</v>
      </c>
      <c r="H103" s="177">
        <v>2036</v>
      </c>
      <c r="I103" s="177">
        <v>835</v>
      </c>
      <c r="J103" s="178">
        <v>0.41011787819253437</v>
      </c>
      <c r="K103" s="177">
        <v>182</v>
      </c>
      <c r="L103" s="177">
        <v>114</v>
      </c>
      <c r="M103" s="178">
        <v>0.62637362637362637</v>
      </c>
      <c r="N103" s="177">
        <v>413</v>
      </c>
      <c r="O103" s="177">
        <v>250</v>
      </c>
      <c r="P103" s="178">
        <v>0.60532687651331718</v>
      </c>
      <c r="Q103" s="177">
        <v>0</v>
      </c>
      <c r="R103" s="177">
        <v>17</v>
      </c>
      <c r="S103" s="82">
        <v>1824</v>
      </c>
    </row>
    <row r="104" spans="1:21" x14ac:dyDescent="0.2">
      <c r="A104" s="222" t="s">
        <v>420</v>
      </c>
      <c r="B104" s="93" t="s">
        <v>45</v>
      </c>
      <c r="C104" s="82">
        <v>2490</v>
      </c>
      <c r="D104" s="176">
        <v>513.70000000000005</v>
      </c>
      <c r="E104" s="177">
        <v>897</v>
      </c>
      <c r="F104" s="177">
        <v>130</v>
      </c>
      <c r="G104" s="178">
        <v>0.14492753623188406</v>
      </c>
      <c r="H104" s="177">
        <v>3070</v>
      </c>
      <c r="I104" s="177">
        <v>2283</v>
      </c>
      <c r="J104" s="178">
        <v>0.74364820846905533</v>
      </c>
      <c r="K104" s="177">
        <v>1894</v>
      </c>
      <c r="L104" s="177">
        <v>1712</v>
      </c>
      <c r="M104" s="178">
        <v>0.9039070749736009</v>
      </c>
      <c r="N104" s="177">
        <v>149</v>
      </c>
      <c r="O104" s="177">
        <v>121</v>
      </c>
      <c r="P104" s="178">
        <v>0.81208053691275173</v>
      </c>
      <c r="Q104" s="177">
        <v>0</v>
      </c>
      <c r="R104" s="177">
        <v>3</v>
      </c>
      <c r="S104" s="82">
        <v>310</v>
      </c>
    </row>
    <row r="105" spans="1:21" x14ac:dyDescent="0.2">
      <c r="A105" s="222" t="s">
        <v>192</v>
      </c>
      <c r="B105" s="93" t="s">
        <v>47</v>
      </c>
      <c r="C105" s="82">
        <v>457</v>
      </c>
      <c r="D105" s="176">
        <v>99.1</v>
      </c>
      <c r="E105" s="177">
        <v>1537</v>
      </c>
      <c r="F105" s="177">
        <v>411</v>
      </c>
      <c r="G105" s="178">
        <v>0.26740403383214051</v>
      </c>
      <c r="H105" s="177">
        <v>897</v>
      </c>
      <c r="I105" s="177">
        <v>122</v>
      </c>
      <c r="J105" s="178">
        <v>0.13600891861761427</v>
      </c>
      <c r="K105" s="177">
        <v>165</v>
      </c>
      <c r="L105" s="177">
        <v>86</v>
      </c>
      <c r="M105" s="178">
        <v>0.52121212121212124</v>
      </c>
      <c r="N105" s="177">
        <v>68</v>
      </c>
      <c r="O105" s="177">
        <v>44</v>
      </c>
      <c r="P105" s="178">
        <v>0.6470588235294118</v>
      </c>
      <c r="Q105" s="177">
        <v>0</v>
      </c>
      <c r="R105" s="177">
        <v>12</v>
      </c>
      <c r="S105" s="82">
        <v>976</v>
      </c>
    </row>
    <row r="106" spans="1:21" x14ac:dyDescent="0.2">
      <c r="A106" s="222" t="s">
        <v>421</v>
      </c>
      <c r="B106" s="32" t="s">
        <v>49</v>
      </c>
      <c r="C106" s="82">
        <v>518</v>
      </c>
      <c r="D106" s="176">
        <v>259.60000000000002</v>
      </c>
      <c r="E106" s="177">
        <v>905</v>
      </c>
      <c r="F106" s="177">
        <v>188</v>
      </c>
      <c r="G106" s="178">
        <v>0.20773480662983426</v>
      </c>
      <c r="H106" s="177">
        <v>861</v>
      </c>
      <c r="I106" s="177">
        <v>389</v>
      </c>
      <c r="J106" s="178">
        <v>0.45180023228803717</v>
      </c>
      <c r="K106" s="177">
        <v>147</v>
      </c>
      <c r="L106" s="177">
        <v>107</v>
      </c>
      <c r="M106" s="178">
        <v>0.72789115646258506</v>
      </c>
      <c r="N106" s="177">
        <v>156</v>
      </c>
      <c r="O106" s="177">
        <v>81</v>
      </c>
      <c r="P106" s="178">
        <v>0.51923076923076927</v>
      </c>
      <c r="Q106" s="177">
        <v>25</v>
      </c>
      <c r="R106" s="177">
        <v>8</v>
      </c>
      <c r="S106" s="82">
        <v>317</v>
      </c>
    </row>
    <row r="107" spans="1:21" x14ac:dyDescent="0.2">
      <c r="A107" s="222" t="s">
        <v>185</v>
      </c>
      <c r="B107" s="32" t="s">
        <v>53</v>
      </c>
      <c r="C107" s="82">
        <v>7221</v>
      </c>
      <c r="D107" s="176">
        <v>456.8</v>
      </c>
      <c r="E107" s="177">
        <v>7912</v>
      </c>
      <c r="F107" s="177">
        <v>3589</v>
      </c>
      <c r="G107" s="178">
        <v>0.45361476238624876</v>
      </c>
      <c r="H107" s="177">
        <v>9488</v>
      </c>
      <c r="I107" s="177">
        <v>6806</v>
      </c>
      <c r="J107" s="178">
        <v>0.71732715008431702</v>
      </c>
      <c r="K107" s="177">
        <v>2094</v>
      </c>
      <c r="L107" s="177">
        <v>1827</v>
      </c>
      <c r="M107" s="178">
        <v>0.8724928366762178</v>
      </c>
      <c r="N107" s="177">
        <v>4987</v>
      </c>
      <c r="O107" s="177">
        <v>3216</v>
      </c>
      <c r="P107" s="178">
        <v>0.64487667936635251</v>
      </c>
      <c r="Q107" s="177">
        <v>1</v>
      </c>
      <c r="R107" s="177">
        <v>54</v>
      </c>
      <c r="S107" s="82">
        <v>5483</v>
      </c>
      <c r="U107" s="17"/>
    </row>
    <row r="108" spans="1:21" x14ac:dyDescent="0.2">
      <c r="A108" s="222" t="s">
        <v>206</v>
      </c>
      <c r="B108" s="32" t="s">
        <v>57</v>
      </c>
      <c r="C108" s="82">
        <v>1159</v>
      </c>
      <c r="D108" s="176">
        <v>143.19999999999999</v>
      </c>
      <c r="E108" s="177">
        <v>901</v>
      </c>
      <c r="F108" s="177">
        <v>142</v>
      </c>
      <c r="G108" s="178">
        <v>0.15760266370699222</v>
      </c>
      <c r="H108" s="177">
        <v>1432</v>
      </c>
      <c r="I108" s="177">
        <v>413</v>
      </c>
      <c r="J108" s="178">
        <v>0.28840782122905029</v>
      </c>
      <c r="K108" s="177">
        <v>328</v>
      </c>
      <c r="L108" s="177">
        <v>187</v>
      </c>
      <c r="M108" s="178">
        <v>0.57012195121951215</v>
      </c>
      <c r="N108" s="177">
        <v>82</v>
      </c>
      <c r="O108" s="177">
        <v>29</v>
      </c>
      <c r="P108" s="178">
        <v>0.35365853658536583</v>
      </c>
      <c r="Q108" s="177">
        <v>0</v>
      </c>
      <c r="R108" s="177">
        <v>4</v>
      </c>
      <c r="S108" s="82">
        <v>322</v>
      </c>
      <c r="U108"/>
    </row>
    <row r="109" spans="1:21" x14ac:dyDescent="0.2">
      <c r="A109" s="222" t="s">
        <v>210</v>
      </c>
      <c r="B109" s="93" t="s">
        <v>59</v>
      </c>
      <c r="C109" s="82">
        <v>1882</v>
      </c>
      <c r="D109" s="176">
        <v>221.5</v>
      </c>
      <c r="E109" s="177">
        <v>2650</v>
      </c>
      <c r="F109" s="177">
        <v>950</v>
      </c>
      <c r="G109" s="178">
        <v>0.35849056603773582</v>
      </c>
      <c r="H109" s="177">
        <v>2441</v>
      </c>
      <c r="I109" s="177">
        <v>1258</v>
      </c>
      <c r="J109" s="178">
        <v>0.51536255632937322</v>
      </c>
      <c r="K109" s="177">
        <v>456</v>
      </c>
      <c r="L109" s="177">
        <v>411</v>
      </c>
      <c r="M109" s="178">
        <v>0.90131578947368418</v>
      </c>
      <c r="N109" s="177">
        <v>434</v>
      </c>
      <c r="O109" s="177">
        <v>284</v>
      </c>
      <c r="P109" s="178">
        <v>0.65437788018433185</v>
      </c>
      <c r="Q109" s="177">
        <v>0</v>
      </c>
      <c r="R109" s="177">
        <v>1</v>
      </c>
      <c r="S109" s="82">
        <v>1145</v>
      </c>
      <c r="U109"/>
    </row>
    <row r="110" spans="1:21" x14ac:dyDescent="0.2">
      <c r="A110" s="222" t="s">
        <v>189</v>
      </c>
      <c r="B110" s="93" t="s">
        <v>66</v>
      </c>
      <c r="C110" s="82">
        <v>6950</v>
      </c>
      <c r="D110" s="176">
        <v>439</v>
      </c>
      <c r="E110" s="177">
        <v>11694</v>
      </c>
      <c r="F110" s="177">
        <v>4860</v>
      </c>
      <c r="G110" s="178">
        <v>0.41559774243201641</v>
      </c>
      <c r="H110" s="177">
        <v>8592</v>
      </c>
      <c r="I110" s="177">
        <v>6477</v>
      </c>
      <c r="J110" s="178">
        <v>0.75384078212290506</v>
      </c>
      <c r="K110" s="177">
        <v>1031</v>
      </c>
      <c r="L110" s="177">
        <v>928</v>
      </c>
      <c r="M110" s="178">
        <v>0.90009699321047532</v>
      </c>
      <c r="N110" s="177">
        <v>5591</v>
      </c>
      <c r="O110" s="177">
        <v>3585</v>
      </c>
      <c r="P110" s="178">
        <v>0.64120908603112148</v>
      </c>
      <c r="Q110" s="177">
        <v>3</v>
      </c>
      <c r="R110" s="177">
        <v>36</v>
      </c>
      <c r="S110" s="82">
        <v>4506</v>
      </c>
      <c r="U110"/>
    </row>
    <row r="111" spans="1:21" x14ac:dyDescent="0.2">
      <c r="A111" s="222" t="s">
        <v>199</v>
      </c>
      <c r="B111" s="93" t="s">
        <v>69</v>
      </c>
      <c r="C111" s="82">
        <v>725</v>
      </c>
      <c r="D111" s="176">
        <v>154.80000000000001</v>
      </c>
      <c r="E111" s="177">
        <v>1225</v>
      </c>
      <c r="F111" s="177">
        <v>505</v>
      </c>
      <c r="G111" s="178">
        <v>0.41224489795918368</v>
      </c>
      <c r="H111" s="177">
        <v>956</v>
      </c>
      <c r="I111" s="177">
        <v>399</v>
      </c>
      <c r="J111" s="178">
        <v>0.41736401673640167</v>
      </c>
      <c r="K111" s="177">
        <v>204</v>
      </c>
      <c r="L111" s="177">
        <v>149</v>
      </c>
      <c r="M111" s="178">
        <v>0.73039215686274506</v>
      </c>
      <c r="N111" s="177">
        <v>652</v>
      </c>
      <c r="O111" s="177">
        <v>428</v>
      </c>
      <c r="P111" s="178">
        <v>0.65644171779141103</v>
      </c>
      <c r="Q111" s="177">
        <v>326</v>
      </c>
      <c r="R111" s="177">
        <v>127</v>
      </c>
      <c r="S111" s="82">
        <v>1057</v>
      </c>
      <c r="U111"/>
    </row>
    <row r="112" spans="1:21" x14ac:dyDescent="0.2">
      <c r="A112" s="222" t="s">
        <v>188</v>
      </c>
      <c r="B112" s="93" t="s">
        <v>76</v>
      </c>
      <c r="C112" s="82">
        <v>9052</v>
      </c>
      <c r="D112" s="176">
        <v>419.7</v>
      </c>
      <c r="E112" s="177">
        <v>12736</v>
      </c>
      <c r="F112" s="177">
        <v>4977</v>
      </c>
      <c r="G112" s="178">
        <v>0.39078203517587939</v>
      </c>
      <c r="H112" s="177">
        <v>12692</v>
      </c>
      <c r="I112" s="177">
        <v>9622</v>
      </c>
      <c r="J112" s="178">
        <v>0.75811534825086668</v>
      </c>
      <c r="K112" s="177">
        <v>1962</v>
      </c>
      <c r="L112" s="177">
        <v>1742</v>
      </c>
      <c r="M112" s="178">
        <v>0.88786952089704385</v>
      </c>
      <c r="N112" s="177">
        <v>6502</v>
      </c>
      <c r="O112" s="177">
        <v>5714</v>
      </c>
      <c r="P112" s="178">
        <v>0.87880652107043988</v>
      </c>
      <c r="Q112" s="177">
        <v>0</v>
      </c>
      <c r="R112" s="177">
        <v>42</v>
      </c>
      <c r="S112" s="82">
        <v>8682</v>
      </c>
      <c r="U112"/>
    </row>
    <row r="113" spans="1:21" x14ac:dyDescent="0.2">
      <c r="A113" s="222" t="s">
        <v>190</v>
      </c>
      <c r="B113" s="93" t="s">
        <v>78</v>
      </c>
      <c r="C113" s="82">
        <v>6596</v>
      </c>
      <c r="D113" s="176">
        <v>281.8</v>
      </c>
      <c r="E113" s="177">
        <v>5443</v>
      </c>
      <c r="F113" s="177">
        <v>1629</v>
      </c>
      <c r="G113" s="178">
        <v>0.29928348337313981</v>
      </c>
      <c r="H113" s="177">
        <v>7850</v>
      </c>
      <c r="I113" s="177">
        <v>4578</v>
      </c>
      <c r="J113" s="178">
        <v>0.58318471337579614</v>
      </c>
      <c r="K113" s="177">
        <v>250</v>
      </c>
      <c r="L113" s="177">
        <v>202</v>
      </c>
      <c r="M113" s="178">
        <v>0.80800000000000005</v>
      </c>
      <c r="N113" s="177">
        <v>3028</v>
      </c>
      <c r="O113" s="177">
        <v>2553</v>
      </c>
      <c r="P113" s="178">
        <v>0.84313077939233816</v>
      </c>
      <c r="Q113" s="177">
        <v>0</v>
      </c>
      <c r="R113" s="177">
        <v>67</v>
      </c>
      <c r="S113" s="82">
        <v>6877</v>
      </c>
      <c r="U113"/>
    </row>
    <row r="114" spans="1:21" x14ac:dyDescent="0.2">
      <c r="A114" s="222" t="s">
        <v>193</v>
      </c>
      <c r="B114" s="93" t="s">
        <v>80</v>
      </c>
      <c r="C114" s="82">
        <v>8999</v>
      </c>
      <c r="D114" s="176">
        <v>388.2</v>
      </c>
      <c r="E114" s="177">
        <v>6000</v>
      </c>
      <c r="F114" s="177">
        <v>2079</v>
      </c>
      <c r="G114" s="178">
        <v>0.34649999999999997</v>
      </c>
      <c r="H114" s="177">
        <v>11294</v>
      </c>
      <c r="I114" s="177">
        <v>7298</v>
      </c>
      <c r="J114" s="178">
        <v>0.64618381441473349</v>
      </c>
      <c r="K114" s="177">
        <v>3743</v>
      </c>
      <c r="L114" s="177">
        <v>3242</v>
      </c>
      <c r="M114" s="178">
        <v>0.86615014694095649</v>
      </c>
      <c r="N114" s="177">
        <v>1077</v>
      </c>
      <c r="O114" s="177">
        <v>693</v>
      </c>
      <c r="P114" s="178">
        <v>0.64345403899721454</v>
      </c>
      <c r="Q114" s="177">
        <v>0</v>
      </c>
      <c r="R114" s="177">
        <v>71</v>
      </c>
      <c r="S114" s="82">
        <v>5259</v>
      </c>
      <c r="U114"/>
    </row>
    <row r="115" spans="1:21" x14ac:dyDescent="0.2">
      <c r="A115" s="222" t="s">
        <v>197</v>
      </c>
      <c r="B115" s="93" t="s">
        <v>82</v>
      </c>
      <c r="C115" s="82">
        <v>3579</v>
      </c>
      <c r="D115" s="176">
        <v>478.6</v>
      </c>
      <c r="E115" s="177">
        <v>4005</v>
      </c>
      <c r="F115" s="177">
        <v>1575</v>
      </c>
      <c r="G115" s="178">
        <v>0.39325842696629215</v>
      </c>
      <c r="H115" s="177">
        <v>4484</v>
      </c>
      <c r="I115" s="177">
        <v>3340</v>
      </c>
      <c r="J115" s="178">
        <v>0.74487065120428186</v>
      </c>
      <c r="K115" s="177">
        <v>376</v>
      </c>
      <c r="L115" s="177">
        <v>345</v>
      </c>
      <c r="M115" s="178">
        <v>0.91755319148936165</v>
      </c>
      <c r="N115" s="177">
        <v>1133</v>
      </c>
      <c r="O115" s="177">
        <v>807</v>
      </c>
      <c r="P115" s="178">
        <v>0.71226831421006176</v>
      </c>
      <c r="Q115" s="177">
        <v>1</v>
      </c>
      <c r="R115" s="177">
        <v>109</v>
      </c>
      <c r="S115" s="82">
        <v>2473</v>
      </c>
      <c r="U115"/>
    </row>
    <row r="116" spans="1:21" ht="13.5" customHeight="1" x14ac:dyDescent="0.2">
      <c r="A116" s="222" t="s">
        <v>187</v>
      </c>
      <c r="B116" s="32" t="s">
        <v>84</v>
      </c>
      <c r="C116" s="82">
        <v>9739</v>
      </c>
      <c r="D116" s="176">
        <v>230.6</v>
      </c>
      <c r="E116" s="177">
        <v>5046</v>
      </c>
      <c r="F116" s="177">
        <v>1082</v>
      </c>
      <c r="G116" s="178">
        <v>0.21442726912405866</v>
      </c>
      <c r="H116" s="177">
        <v>16995</v>
      </c>
      <c r="I116" s="177">
        <v>7642</v>
      </c>
      <c r="J116" s="178">
        <v>0.44966166519564577</v>
      </c>
      <c r="K116" s="177">
        <v>910</v>
      </c>
      <c r="L116" s="177">
        <v>531</v>
      </c>
      <c r="M116" s="178">
        <v>0.58351648351648355</v>
      </c>
      <c r="N116" s="177">
        <v>131</v>
      </c>
      <c r="O116" s="177">
        <v>66</v>
      </c>
      <c r="P116" s="178">
        <v>0.50381679389312972</v>
      </c>
      <c r="Q116" s="177">
        <v>0</v>
      </c>
      <c r="R116" s="177">
        <v>3</v>
      </c>
      <c r="S116" s="82">
        <v>459</v>
      </c>
      <c r="U116"/>
    </row>
    <row r="117" spans="1:21" x14ac:dyDescent="0.2">
      <c r="A117" s="222" t="s">
        <v>202</v>
      </c>
      <c r="B117" s="32" t="s">
        <v>85</v>
      </c>
      <c r="C117" s="82">
        <v>9318</v>
      </c>
      <c r="D117" s="176">
        <v>297.10000000000002</v>
      </c>
      <c r="E117" s="177">
        <v>12195</v>
      </c>
      <c r="F117" s="177">
        <v>2637</v>
      </c>
      <c r="G117" s="178">
        <v>0.21623616236162363</v>
      </c>
      <c r="H117" s="177">
        <v>15161</v>
      </c>
      <c r="I117" s="177">
        <v>7339</v>
      </c>
      <c r="J117" s="178">
        <v>0.48407097157179607</v>
      </c>
      <c r="K117" s="177">
        <v>1737</v>
      </c>
      <c r="L117" s="177">
        <v>1160</v>
      </c>
      <c r="M117" s="178">
        <v>0.66781807714450203</v>
      </c>
      <c r="N117" s="177">
        <v>1930</v>
      </c>
      <c r="O117" s="177">
        <v>1390</v>
      </c>
      <c r="P117" s="178">
        <v>0.72020725388601037</v>
      </c>
      <c r="Q117" s="177">
        <v>0</v>
      </c>
      <c r="R117" s="177">
        <v>68</v>
      </c>
      <c r="S117" s="82">
        <v>3801</v>
      </c>
      <c r="U117"/>
    </row>
    <row r="118" spans="1:21" x14ac:dyDescent="0.2">
      <c r="A118" s="222" t="s">
        <v>191</v>
      </c>
      <c r="B118" s="93" t="s">
        <v>87</v>
      </c>
      <c r="C118" s="82">
        <v>14946</v>
      </c>
      <c r="D118" s="185">
        <v>417.1</v>
      </c>
      <c r="E118" s="177">
        <v>8889</v>
      </c>
      <c r="F118" s="177">
        <v>3294</v>
      </c>
      <c r="G118" s="178">
        <v>0.3705703678704016</v>
      </c>
      <c r="H118" s="177">
        <v>20700</v>
      </c>
      <c r="I118" s="177">
        <v>15147</v>
      </c>
      <c r="J118" s="178">
        <v>0.73173913043478256</v>
      </c>
      <c r="K118" s="177">
        <v>4502</v>
      </c>
      <c r="L118" s="177">
        <v>4047</v>
      </c>
      <c r="M118" s="178">
        <v>0.89893380719680138</v>
      </c>
      <c r="N118" s="177">
        <v>7492</v>
      </c>
      <c r="O118" s="177">
        <v>5897</v>
      </c>
      <c r="P118" s="178">
        <v>0.78710624666310736</v>
      </c>
      <c r="Q118" s="177">
        <v>0</v>
      </c>
      <c r="R118" s="177">
        <v>144</v>
      </c>
      <c r="S118" s="82">
        <v>4282</v>
      </c>
      <c r="U118"/>
    </row>
    <row r="119" spans="1:21" x14ac:dyDescent="0.2">
      <c r="A119" s="222"/>
      <c r="B119" s="251" t="s">
        <v>435</v>
      </c>
      <c r="C119" s="255">
        <v>55</v>
      </c>
      <c r="D119" s="182">
        <v>743.7</v>
      </c>
      <c r="E119" s="183">
        <v>2</v>
      </c>
      <c r="F119" s="183">
        <v>1</v>
      </c>
      <c r="G119" s="173">
        <v>0.5</v>
      </c>
      <c r="H119" s="183">
        <v>58</v>
      </c>
      <c r="I119" s="183">
        <v>57</v>
      </c>
      <c r="J119" s="173">
        <v>0.98275862068965514</v>
      </c>
      <c r="K119" s="183">
        <v>1</v>
      </c>
      <c r="L119" s="183">
        <v>1</v>
      </c>
      <c r="M119" s="173">
        <v>1</v>
      </c>
      <c r="N119" s="183">
        <v>15579</v>
      </c>
      <c r="O119" s="183">
        <v>3368</v>
      </c>
      <c r="P119" s="173">
        <v>0.21618845882277424</v>
      </c>
      <c r="Q119" s="183">
        <v>0</v>
      </c>
      <c r="R119" s="183">
        <v>6</v>
      </c>
      <c r="S119" s="252">
        <v>13004</v>
      </c>
      <c r="U119"/>
    </row>
    <row r="120" spans="1:21" ht="17.25" customHeight="1" x14ac:dyDescent="0.2">
      <c r="B120" s="561"/>
      <c r="C120" s="561"/>
      <c r="D120" s="561"/>
      <c r="E120" s="561"/>
      <c r="F120" s="561"/>
      <c r="G120" s="561"/>
      <c r="H120" s="561"/>
      <c r="I120" s="561"/>
      <c r="J120" s="561"/>
      <c r="K120" s="561"/>
      <c r="L120" s="561"/>
      <c r="M120" s="561"/>
      <c r="N120" s="561"/>
      <c r="O120" s="561"/>
      <c r="P120" s="561"/>
      <c r="Q120" s="561"/>
      <c r="R120" s="561"/>
      <c r="S120" s="561"/>
    </row>
    <row r="121" spans="1:21" ht="27" customHeight="1" x14ac:dyDescent="0.4">
      <c r="B121" s="13"/>
      <c r="C121" s="554" t="s">
        <v>354</v>
      </c>
      <c r="D121" s="555"/>
      <c r="E121" s="555"/>
      <c r="F121" s="555"/>
      <c r="G121" s="555"/>
      <c r="H121" s="555"/>
      <c r="I121" s="555"/>
      <c r="J121" s="555"/>
      <c r="K121" s="555"/>
      <c r="L121" s="555"/>
      <c r="M121" s="555"/>
      <c r="N121" s="555"/>
      <c r="O121" s="555"/>
      <c r="P121" s="555"/>
      <c r="Q121" s="555"/>
      <c r="R121" s="555"/>
      <c r="S121" s="556"/>
    </row>
    <row r="122" spans="1:21" x14ac:dyDescent="0.2">
      <c r="B122" s="30"/>
      <c r="C122" s="557" t="s">
        <v>287</v>
      </c>
      <c r="D122" s="557"/>
      <c r="E122" s="551" t="s">
        <v>238</v>
      </c>
      <c r="F122" s="552"/>
      <c r="G122" s="553"/>
      <c r="H122" s="551" t="s">
        <v>8</v>
      </c>
      <c r="I122" s="552"/>
      <c r="J122" s="553"/>
      <c r="K122" s="551" t="s">
        <v>43</v>
      </c>
      <c r="L122" s="552"/>
      <c r="M122" s="553"/>
      <c r="N122" s="551" t="s">
        <v>9</v>
      </c>
      <c r="O122" s="552"/>
      <c r="P122" s="553"/>
      <c r="Q122" s="241" t="s">
        <v>10</v>
      </c>
      <c r="R122" s="198" t="s">
        <v>11</v>
      </c>
      <c r="S122" s="19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54">
        <v>20000</v>
      </c>
      <c r="D124" s="186">
        <v>81.599999999999994</v>
      </c>
      <c r="E124" s="187">
        <v>23361</v>
      </c>
      <c r="F124" s="187">
        <v>2683</v>
      </c>
      <c r="G124" s="188">
        <v>0.11484953555070417</v>
      </c>
      <c r="H124" s="187">
        <v>33221</v>
      </c>
      <c r="I124" s="187">
        <v>6013</v>
      </c>
      <c r="J124" s="188">
        <v>0.18099996989855813</v>
      </c>
      <c r="K124" s="187">
        <v>860</v>
      </c>
      <c r="L124" s="187">
        <v>842</v>
      </c>
      <c r="M124" s="188">
        <v>0.97906976744186047</v>
      </c>
      <c r="N124" s="187">
        <v>5315</v>
      </c>
      <c r="O124" s="187">
        <v>983</v>
      </c>
      <c r="P124" s="188">
        <v>0.18494825964252118</v>
      </c>
      <c r="Q124" s="187">
        <v>10541</v>
      </c>
      <c r="R124" s="187">
        <v>4496</v>
      </c>
      <c r="S124" s="85">
        <v>6059</v>
      </c>
    </row>
    <row r="125" spans="1:21" x14ac:dyDescent="0.2">
      <c r="A125" s="222" t="s">
        <v>414</v>
      </c>
      <c r="B125" s="15" t="s">
        <v>283</v>
      </c>
      <c r="C125" s="82">
        <v>12407</v>
      </c>
      <c r="D125" s="176">
        <v>99.6</v>
      </c>
      <c r="E125" s="177">
        <v>10847</v>
      </c>
      <c r="F125" s="177">
        <v>1836</v>
      </c>
      <c r="G125" s="178">
        <v>0.16926339079929933</v>
      </c>
      <c r="H125" s="177">
        <v>19278</v>
      </c>
      <c r="I125" s="177">
        <v>4603</v>
      </c>
      <c r="J125" s="178">
        <v>0.23876958190683681</v>
      </c>
      <c r="K125" s="177">
        <v>529</v>
      </c>
      <c r="L125" s="177">
        <v>525</v>
      </c>
      <c r="M125" s="178">
        <v>0.99243856332703217</v>
      </c>
      <c r="N125" s="177">
        <v>4435</v>
      </c>
      <c r="O125" s="177">
        <v>607</v>
      </c>
      <c r="P125" s="178">
        <v>0.13686583990980833</v>
      </c>
      <c r="Q125" s="177">
        <v>1803</v>
      </c>
      <c r="R125" s="177">
        <v>2987</v>
      </c>
      <c r="S125" s="82">
        <v>2567</v>
      </c>
    </row>
    <row r="126" spans="1:21" x14ac:dyDescent="0.2">
      <c r="A126" s="224" t="s">
        <v>418</v>
      </c>
      <c r="B126" s="15" t="s">
        <v>284</v>
      </c>
      <c r="C126" s="82">
        <v>4608</v>
      </c>
      <c r="D126" s="176">
        <v>60.5</v>
      </c>
      <c r="E126" s="177">
        <v>5520</v>
      </c>
      <c r="F126" s="177">
        <v>429</v>
      </c>
      <c r="G126" s="178">
        <v>7.7717391304347822E-2</v>
      </c>
      <c r="H126" s="177">
        <v>7888</v>
      </c>
      <c r="I126" s="177">
        <v>551</v>
      </c>
      <c r="J126" s="178">
        <v>6.985294117647059E-2</v>
      </c>
      <c r="K126" s="177">
        <v>31</v>
      </c>
      <c r="L126" s="177">
        <v>30</v>
      </c>
      <c r="M126" s="178">
        <v>0.967741935483871</v>
      </c>
      <c r="N126" s="177">
        <v>471</v>
      </c>
      <c r="O126" s="177">
        <v>87</v>
      </c>
      <c r="P126" s="178">
        <v>0.18471337579617833</v>
      </c>
      <c r="Q126" s="177">
        <v>3838</v>
      </c>
      <c r="R126" s="177">
        <v>452</v>
      </c>
      <c r="S126" s="82">
        <v>2063</v>
      </c>
    </row>
    <row r="127" spans="1:21" x14ac:dyDescent="0.2">
      <c r="A127" s="222" t="s">
        <v>419</v>
      </c>
      <c r="B127" s="18" t="s">
        <v>285</v>
      </c>
      <c r="C127" s="82">
        <v>2985</v>
      </c>
      <c r="D127" s="176">
        <v>39.5</v>
      </c>
      <c r="E127" s="177">
        <v>6733</v>
      </c>
      <c r="F127" s="177">
        <v>326</v>
      </c>
      <c r="G127" s="178">
        <v>4.8418238526659739E-2</v>
      </c>
      <c r="H127" s="177">
        <v>5019</v>
      </c>
      <c r="I127" s="177">
        <v>9</v>
      </c>
      <c r="J127" s="178">
        <v>1.7931858936043037E-3</v>
      </c>
      <c r="K127" s="177">
        <v>13</v>
      </c>
      <c r="L127" s="177">
        <v>11</v>
      </c>
      <c r="M127" s="178">
        <v>0.84615384615384615</v>
      </c>
      <c r="N127" s="177">
        <v>108</v>
      </c>
      <c r="O127" s="177">
        <v>28</v>
      </c>
      <c r="P127" s="178">
        <v>0.25925925925925924</v>
      </c>
      <c r="Q127" s="177">
        <v>4790</v>
      </c>
      <c r="R127" s="177">
        <v>1057</v>
      </c>
      <c r="S127" s="82">
        <v>1429</v>
      </c>
    </row>
    <row r="128" spans="1:21" x14ac:dyDescent="0.2">
      <c r="A128" s="70"/>
      <c r="B128" s="18" t="s">
        <v>27</v>
      </c>
      <c r="C128" s="189" t="s">
        <v>31</v>
      </c>
      <c r="D128" s="189" t="s">
        <v>31</v>
      </c>
      <c r="E128" s="190">
        <v>261</v>
      </c>
      <c r="F128" s="190">
        <v>92</v>
      </c>
      <c r="G128" s="191">
        <v>0.35249042145593867</v>
      </c>
      <c r="H128" s="190">
        <v>1036</v>
      </c>
      <c r="I128" s="190">
        <v>850</v>
      </c>
      <c r="J128" s="191">
        <v>0.82046332046332049</v>
      </c>
      <c r="K128" s="190">
        <v>287</v>
      </c>
      <c r="L128" s="190">
        <v>276</v>
      </c>
      <c r="M128" s="191">
        <v>0.9616724738675958</v>
      </c>
      <c r="N128" s="190">
        <v>301</v>
      </c>
      <c r="O128" s="190">
        <v>261</v>
      </c>
      <c r="P128" s="191">
        <v>0.86710963455149503</v>
      </c>
      <c r="Q128" s="190">
        <v>110</v>
      </c>
      <c r="R128" s="19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59"/>
      <c r="H131" s="559"/>
      <c r="I131" s="559"/>
      <c r="J131" s="559"/>
      <c r="K131" s="559"/>
      <c r="L131" s="559"/>
      <c r="M131" s="559"/>
      <c r="N131" s="559"/>
      <c r="O131" s="559"/>
    </row>
    <row r="132" spans="2:19" x14ac:dyDescent="0.2">
      <c r="D132" s="48"/>
      <c r="G132" s="13"/>
      <c r="H132" s="560"/>
      <c r="I132" s="560"/>
      <c r="J132" s="560"/>
      <c r="K132" s="560"/>
      <c r="L132" s="560"/>
      <c r="M132" s="560"/>
      <c r="N132" s="560"/>
      <c r="O132" s="560"/>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5"/>
      <c r="H139" s="465"/>
      <c r="I139" s="465"/>
      <c r="J139" s="465"/>
      <c r="K139" s="465"/>
      <c r="L139" s="465"/>
      <c r="M139" s="465"/>
      <c r="N139" s="465"/>
      <c r="O139" s="465"/>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120" priority="164" stopIfTrue="1">
      <formula>ISERROR(B47)</formula>
    </cfRule>
  </conditionalFormatting>
  <conditionalFormatting sqref="D52">
    <cfRule type="expression" dxfId="119" priority="141" stopIfTrue="1">
      <formula>ISERROR(D52)</formula>
    </cfRule>
  </conditionalFormatting>
  <conditionalFormatting sqref="D129">
    <cfRule type="expression" dxfId="118" priority="140" stopIfTrue="1">
      <formula>ISERROR(D129)</formula>
    </cfRule>
  </conditionalFormatting>
  <conditionalFormatting sqref="Y32">
    <cfRule type="expression" dxfId="117" priority="110" stopIfTrue="1">
      <formula>ISERROR(Y32)</formula>
    </cfRule>
  </conditionalFormatting>
  <conditionalFormatting sqref="Y34:Y36">
    <cfRule type="expression" dxfId="116" priority="111" stopIfTrue="1">
      <formula>ISERROR(Y34)</formula>
    </cfRule>
  </conditionalFormatting>
  <conditionalFormatting sqref="Y33">
    <cfRule type="expression" dxfId="115" priority="94" stopIfTrue="1">
      <formula>ISERROR(Y33)</formula>
    </cfRule>
  </conditionalFormatting>
  <conditionalFormatting sqref="I8">
    <cfRule type="expression" dxfId="114" priority="92" stopIfTrue="1">
      <formula>ISERROR(I8)</formula>
    </cfRule>
  </conditionalFormatting>
  <conditionalFormatting sqref="I30">
    <cfRule type="expression" dxfId="113" priority="85" stopIfTrue="1">
      <formula>ISERROR(I30)</formula>
    </cfRule>
  </conditionalFormatting>
  <conditionalFormatting sqref="I38">
    <cfRule type="expression" dxfId="112" priority="83" stopIfTrue="1">
      <formula>ISERROR(I38)</formula>
    </cfRule>
  </conditionalFormatting>
  <conditionalFormatting sqref="K8">
    <cfRule type="expression" dxfId="111" priority="79" stopIfTrue="1">
      <formula>ISERROR(K8)</formula>
    </cfRule>
  </conditionalFormatting>
  <conditionalFormatting sqref="K10">
    <cfRule type="expression" dxfId="110" priority="75" stopIfTrue="1">
      <formula>ISERROR(K10)</formula>
    </cfRule>
  </conditionalFormatting>
  <conditionalFormatting sqref="O11">
    <cfRule type="expression" dxfId="109" priority="72" stopIfTrue="1">
      <formula>ISERROR(O11)</formula>
    </cfRule>
  </conditionalFormatting>
  <conditionalFormatting sqref="O18">
    <cfRule type="expression" dxfId="108" priority="71" stopIfTrue="1">
      <formula>ISERROR(O18)</formula>
    </cfRule>
  </conditionalFormatting>
  <conditionalFormatting sqref="O22">
    <cfRule type="expression" dxfId="107" priority="69" stopIfTrue="1">
      <formula>ISERROR(O22)</formula>
    </cfRule>
  </conditionalFormatting>
  <conditionalFormatting sqref="D53:R82">
    <cfRule type="expression" dxfId="106" priority="68" stopIfTrue="1">
      <formula>ISERROR(D53)</formula>
    </cfRule>
  </conditionalFormatting>
  <conditionalFormatting sqref="E87:R119">
    <cfRule type="expression" dxfId="105" priority="67" stopIfTrue="1">
      <formula>ISERROR(E87)</formula>
    </cfRule>
  </conditionalFormatting>
  <conditionalFormatting sqref="D87:D119">
    <cfRule type="expression" dxfId="104" priority="66" stopIfTrue="1">
      <formula>ISERROR(D87)</formula>
    </cfRule>
  </conditionalFormatting>
  <conditionalFormatting sqref="E124:R128">
    <cfRule type="expression" dxfId="103" priority="65" stopIfTrue="1">
      <formula>ISERROR(E124)</formula>
    </cfRule>
  </conditionalFormatting>
  <conditionalFormatting sqref="D124:D128">
    <cfRule type="expression" dxfId="102" priority="64" stopIfTrue="1">
      <formula>ISERROR(D124)</formula>
    </cfRule>
  </conditionalFormatting>
  <conditionalFormatting sqref="C128">
    <cfRule type="expression" dxfId="101" priority="63" stopIfTrue="1">
      <formula>ISERROR(C128)</formula>
    </cfRule>
  </conditionalFormatting>
  <conditionalFormatting sqref="E51">
    <cfRule type="expression" dxfId="100" priority="62" stopIfTrue="1">
      <formula>ISERROR(E51)</formula>
    </cfRule>
  </conditionalFormatting>
  <conditionalFormatting sqref="C51">
    <cfRule type="expression" dxfId="99" priority="61" stopIfTrue="1">
      <formula>ISERROR(C51)</formula>
    </cfRule>
  </conditionalFormatting>
  <conditionalFormatting sqref="H51">
    <cfRule type="expression" dxfId="98" priority="60" stopIfTrue="1">
      <formula>ISERROR(H51)</formula>
    </cfRule>
  </conditionalFormatting>
  <conditionalFormatting sqref="K51">
    <cfRule type="expression" dxfId="97" priority="59" stopIfTrue="1">
      <formula>ISERROR(K51)</formula>
    </cfRule>
  </conditionalFormatting>
  <conditionalFormatting sqref="N51">
    <cfRule type="expression" dxfId="96" priority="58" stopIfTrue="1">
      <formula>ISERROR(N51)</formula>
    </cfRule>
  </conditionalFormatting>
  <conditionalFormatting sqref="Q51">
    <cfRule type="expression" dxfId="95" priority="57" stopIfTrue="1">
      <formula>ISERROR(Q51)</formula>
    </cfRule>
  </conditionalFormatting>
  <conditionalFormatting sqref="R51">
    <cfRule type="expression" dxfId="94" priority="56" stopIfTrue="1">
      <formula>ISERROR(R51)</formula>
    </cfRule>
  </conditionalFormatting>
  <conditionalFormatting sqref="S51">
    <cfRule type="expression" dxfId="93" priority="55" stopIfTrue="1">
      <formula>ISERROR(S51)</formula>
    </cfRule>
  </conditionalFormatting>
  <conditionalFormatting sqref="G6">
    <cfRule type="expression" dxfId="92" priority="54" stopIfTrue="1">
      <formula>ISERROR(G6)</formula>
    </cfRule>
  </conditionalFormatting>
  <conditionalFormatting sqref="M6">
    <cfRule type="expression" dxfId="91" priority="53" stopIfTrue="1">
      <formula>ISERROR(M6)</formula>
    </cfRule>
  </conditionalFormatting>
  <conditionalFormatting sqref="S6">
    <cfRule type="expression" dxfId="90" priority="52" stopIfTrue="1">
      <formula>ISERROR(S6)</formula>
    </cfRule>
  </conditionalFormatting>
  <conditionalFormatting sqref="C53:C82">
    <cfRule type="expression" dxfId="89" priority="51" stopIfTrue="1">
      <formula>ISERROR(C53)</formula>
    </cfRule>
  </conditionalFormatting>
  <conditionalFormatting sqref="C87:C119">
    <cfRule type="expression" dxfId="88" priority="50" stopIfTrue="1">
      <formula>ISERROR(C87)</formula>
    </cfRule>
  </conditionalFormatting>
  <conditionalFormatting sqref="C125:C127">
    <cfRule type="expression" dxfId="87" priority="49" stopIfTrue="1">
      <formula>ISERROR(C125)</formula>
    </cfRule>
  </conditionalFormatting>
  <conditionalFormatting sqref="I9">
    <cfRule type="expression" dxfId="86" priority="47" stopIfTrue="1">
      <formula>ISERROR(I9)</formula>
    </cfRule>
  </conditionalFormatting>
  <conditionalFormatting sqref="I10">
    <cfRule type="expression" dxfId="85" priority="46" stopIfTrue="1">
      <formula>ISERROR(I10)</formula>
    </cfRule>
  </conditionalFormatting>
  <conditionalFormatting sqref="I12">
    <cfRule type="expression" dxfId="84" priority="45" stopIfTrue="1">
      <formula>ISERROR(I12)</formula>
    </cfRule>
  </conditionalFormatting>
  <conditionalFormatting sqref="I13">
    <cfRule type="expression" dxfId="83" priority="44" stopIfTrue="1">
      <formula>ISERROR(I13)</formula>
    </cfRule>
  </conditionalFormatting>
  <conditionalFormatting sqref="I15">
    <cfRule type="expression" dxfId="82" priority="43" stopIfTrue="1">
      <formula>ISERROR(I15)</formula>
    </cfRule>
  </conditionalFormatting>
  <conditionalFormatting sqref="I16">
    <cfRule type="expression" dxfId="81" priority="42" stopIfTrue="1">
      <formula>ISERROR(I16)</formula>
    </cfRule>
  </conditionalFormatting>
  <conditionalFormatting sqref="I17">
    <cfRule type="expression" dxfId="80" priority="41" stopIfTrue="1">
      <formula>ISERROR(I17)</formula>
    </cfRule>
  </conditionalFormatting>
  <conditionalFormatting sqref="I18">
    <cfRule type="expression" dxfId="79" priority="40" stopIfTrue="1">
      <formula>ISERROR(I18)</formula>
    </cfRule>
  </conditionalFormatting>
  <conditionalFormatting sqref="I19">
    <cfRule type="expression" dxfId="78" priority="39" stopIfTrue="1">
      <formula>ISERROR(I19)</formula>
    </cfRule>
  </conditionalFormatting>
  <conditionalFormatting sqref="I20">
    <cfRule type="expression" dxfId="77" priority="38" stopIfTrue="1">
      <formula>ISERROR(I20)</formula>
    </cfRule>
  </conditionalFormatting>
  <conditionalFormatting sqref="I21">
    <cfRule type="expression" dxfId="76" priority="37" stopIfTrue="1">
      <formula>ISERROR(I21)</formula>
    </cfRule>
  </conditionalFormatting>
  <conditionalFormatting sqref="I23">
    <cfRule type="expression" dxfId="75" priority="36" stopIfTrue="1">
      <formula>ISERROR(I23)</formula>
    </cfRule>
  </conditionalFormatting>
  <conditionalFormatting sqref="I24">
    <cfRule type="expression" dxfId="74" priority="35" stopIfTrue="1">
      <formula>ISERROR(I24)</formula>
    </cfRule>
  </conditionalFormatting>
  <conditionalFormatting sqref="I25">
    <cfRule type="expression" dxfId="73" priority="34" stopIfTrue="1">
      <formula>ISERROR(I25)</formula>
    </cfRule>
  </conditionalFormatting>
  <conditionalFormatting sqref="I26">
    <cfRule type="expression" dxfId="72" priority="33" stopIfTrue="1">
      <formula>ISERROR(I26)</formula>
    </cfRule>
  </conditionalFormatting>
  <conditionalFormatting sqref="I27">
    <cfRule type="expression" dxfId="71" priority="32" stopIfTrue="1">
      <formula>ISERROR(I27)</formula>
    </cfRule>
  </conditionalFormatting>
  <conditionalFormatting sqref="I28">
    <cfRule type="expression" dxfId="70" priority="31" stopIfTrue="1">
      <formula>ISERROR(I28)</formula>
    </cfRule>
  </conditionalFormatting>
  <conditionalFormatting sqref="I29">
    <cfRule type="expression" dxfId="69" priority="30" stopIfTrue="1">
      <formula>ISERROR(I29)</formula>
    </cfRule>
  </conditionalFormatting>
  <conditionalFormatting sqref="I31">
    <cfRule type="expression" dxfId="68" priority="29" stopIfTrue="1">
      <formula>ISERROR(I31)</formula>
    </cfRule>
  </conditionalFormatting>
  <conditionalFormatting sqref="I32">
    <cfRule type="expression" dxfId="67" priority="28" stopIfTrue="1">
      <formula>ISERROR(I32)</formula>
    </cfRule>
  </conditionalFormatting>
  <conditionalFormatting sqref="I33">
    <cfRule type="expression" dxfId="66" priority="27" stopIfTrue="1">
      <formula>ISERROR(I33)</formula>
    </cfRule>
  </conditionalFormatting>
  <conditionalFormatting sqref="I34">
    <cfRule type="expression" dxfId="65" priority="26" stopIfTrue="1">
      <formula>ISERROR(I34)</formula>
    </cfRule>
  </conditionalFormatting>
  <conditionalFormatting sqref="I35">
    <cfRule type="expression" dxfId="64" priority="25" stopIfTrue="1">
      <formula>ISERROR(I35)</formula>
    </cfRule>
  </conditionalFormatting>
  <conditionalFormatting sqref="I36">
    <cfRule type="expression" dxfId="63" priority="24" stopIfTrue="1">
      <formula>ISERROR(I36)</formula>
    </cfRule>
  </conditionalFormatting>
  <conditionalFormatting sqref="I37">
    <cfRule type="expression" dxfId="62" priority="23" stopIfTrue="1">
      <formula>ISERROR(I37)</formula>
    </cfRule>
  </conditionalFormatting>
  <conditionalFormatting sqref="I39">
    <cfRule type="expression" dxfId="61" priority="22" stopIfTrue="1">
      <formula>ISERROR(I39)</formula>
    </cfRule>
  </conditionalFormatting>
  <conditionalFormatting sqref="I40">
    <cfRule type="expression" dxfId="60" priority="21" stopIfTrue="1">
      <formula>ISERROR(I40)</formula>
    </cfRule>
  </conditionalFormatting>
  <conditionalFormatting sqref="I41">
    <cfRule type="expression" dxfId="59" priority="20" stopIfTrue="1">
      <formula>ISERROR(I41)</formula>
    </cfRule>
  </conditionalFormatting>
  <conditionalFormatting sqref="I42">
    <cfRule type="expression" dxfId="58" priority="19" stopIfTrue="1">
      <formula>ISERROR(I42)</formula>
    </cfRule>
  </conditionalFormatting>
  <conditionalFormatting sqref="I43">
    <cfRule type="expression" dxfId="57" priority="18" stopIfTrue="1">
      <formula>ISERROR(I43)</formula>
    </cfRule>
  </conditionalFormatting>
  <conditionalFormatting sqref="I44">
    <cfRule type="expression" dxfId="56" priority="17" stopIfTrue="1">
      <formula>ISERROR(I44)</formula>
    </cfRule>
  </conditionalFormatting>
  <conditionalFormatting sqref="O26">
    <cfRule type="expression" dxfId="55" priority="16" stopIfTrue="1">
      <formula>ISERROR(O26)</formula>
    </cfRule>
  </conditionalFormatting>
  <conditionalFormatting sqref="O25">
    <cfRule type="expression" dxfId="54" priority="15" stopIfTrue="1">
      <formula>ISERROR(O25)</formula>
    </cfRule>
  </conditionalFormatting>
  <conditionalFormatting sqref="O24">
    <cfRule type="expression" dxfId="53" priority="14" stopIfTrue="1">
      <formula>ISERROR(O24)</formula>
    </cfRule>
  </conditionalFormatting>
  <conditionalFormatting sqref="O23">
    <cfRule type="expression" dxfId="52" priority="13" stopIfTrue="1">
      <formula>ISERROR(O23)</formula>
    </cfRule>
  </conditionalFormatting>
  <conditionalFormatting sqref="O21">
    <cfRule type="expression" dxfId="51" priority="12" stopIfTrue="1">
      <formula>ISERROR(O21)</formula>
    </cfRule>
  </conditionalFormatting>
  <conditionalFormatting sqref="O20">
    <cfRule type="expression" dxfId="50" priority="11" stopIfTrue="1">
      <formula>ISERROR(O20)</formula>
    </cfRule>
  </conditionalFormatting>
  <conditionalFormatting sqref="O19">
    <cfRule type="expression" dxfId="49" priority="10" stopIfTrue="1">
      <formula>ISERROR(O19)</formula>
    </cfRule>
  </conditionalFormatting>
  <conditionalFormatting sqref="O17">
    <cfRule type="expression" dxfId="48" priority="9" stopIfTrue="1">
      <formula>ISERROR(O17)</formula>
    </cfRule>
  </conditionalFormatting>
  <conditionalFormatting sqref="O16">
    <cfRule type="expression" dxfId="47" priority="8" stopIfTrue="1">
      <formula>ISERROR(O16)</formula>
    </cfRule>
  </conditionalFormatting>
  <conditionalFormatting sqref="O15">
    <cfRule type="expression" dxfId="46" priority="7" stopIfTrue="1">
      <formula>ISERROR(O15)</formula>
    </cfRule>
  </conditionalFormatting>
  <conditionalFormatting sqref="O14">
    <cfRule type="expression" dxfId="45" priority="6" stopIfTrue="1">
      <formula>ISERROR(O14)</formula>
    </cfRule>
  </conditionalFormatting>
  <conditionalFormatting sqref="O13">
    <cfRule type="expression" dxfId="44" priority="5" stopIfTrue="1">
      <formula>ISERROR(O13)</formula>
    </cfRule>
  </conditionalFormatting>
  <conditionalFormatting sqref="O12">
    <cfRule type="expression" dxfId="43" priority="4" stopIfTrue="1">
      <formula>ISERROR(O12)</formula>
    </cfRule>
  </conditionalFormatting>
  <conditionalFormatting sqref="O10">
    <cfRule type="expression" dxfId="42" priority="3" stopIfTrue="1">
      <formula>ISERROR(O10)</formula>
    </cfRule>
  </conditionalFormatting>
  <conditionalFormatting sqref="O9">
    <cfRule type="expression" dxfId="41" priority="2" stopIfTrue="1">
      <formula>ISERROR(O9)</formula>
    </cfRule>
  </conditionalFormatting>
  <conditionalFormatting sqref="O8">
    <cfRule type="expression" dxfId="40" priority="1" stopIfTrue="1">
      <formula>ISERROR(O8)</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ignoredErrors>
    <ignoredError sqref="A54:A69 A71:A82 A88:A101 A103:A118 A125:A127" numberStoredAsText="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topLeftCell="S1" zoomScale="70" zoomScaleNormal="70" workbookViewId="0">
      <selection activeCell="W81" sqref="W8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62" t="s">
        <v>280</v>
      </c>
      <c r="B1" s="562"/>
      <c r="C1" s="562"/>
      <c r="D1" s="38"/>
      <c r="E1" s="564" t="s">
        <v>280</v>
      </c>
      <c r="F1" s="565"/>
      <c r="G1" s="565"/>
      <c r="H1" s="565"/>
      <c r="I1" s="565"/>
      <c r="J1" s="565"/>
      <c r="K1" s="565"/>
      <c r="L1" s="565"/>
      <c r="M1" s="565"/>
      <c r="N1" s="565"/>
      <c r="O1" s="565"/>
      <c r="P1" s="565"/>
      <c r="Q1" s="565"/>
      <c r="R1" s="242"/>
      <c r="T1" s="563" t="s">
        <v>281</v>
      </c>
      <c r="U1" s="563"/>
      <c r="V1" s="563"/>
      <c r="W1" s="563"/>
      <c r="X1" s="563"/>
      <c r="Y1" s="563"/>
      <c r="Z1" s="563"/>
      <c r="AA1" s="563"/>
      <c r="AB1" s="563"/>
      <c r="AC1" s="563"/>
      <c r="AD1" s="563"/>
      <c r="AE1" s="563"/>
      <c r="AF1" s="563"/>
      <c r="AG1" s="563"/>
      <c r="AH1" s="563"/>
      <c r="AI1" s="230"/>
      <c r="AJ1" s="230"/>
      <c r="AK1" s="563" t="s">
        <v>423</v>
      </c>
      <c r="AL1" s="563"/>
      <c r="AM1" s="563"/>
      <c r="AN1" s="563"/>
      <c r="AO1" s="563"/>
      <c r="AP1" s="563"/>
      <c r="AQ1" s="563"/>
      <c r="AR1" s="563"/>
      <c r="AS1" s="563"/>
      <c r="AT1" s="563"/>
      <c r="AU1" s="563"/>
      <c r="AV1" s="563"/>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20" t="s">
        <v>401</v>
      </c>
      <c r="AM2" s="220" t="s">
        <v>402</v>
      </c>
      <c r="AN2" s="220" t="s">
        <v>403</v>
      </c>
      <c r="AO2" s="220" t="s">
        <v>404</v>
      </c>
      <c r="AP2" s="220" t="s">
        <v>405</v>
      </c>
      <c r="AQ2" s="220" t="s">
        <v>406</v>
      </c>
      <c r="AR2" s="220" t="s">
        <v>407</v>
      </c>
      <c r="AS2" s="220" t="s">
        <v>408</v>
      </c>
      <c r="AT2" s="220" t="s">
        <v>409</v>
      </c>
      <c r="AU2" s="220" t="s">
        <v>410</v>
      </c>
      <c r="AV2" s="220" t="s">
        <v>411</v>
      </c>
      <c r="AX2" t="s">
        <v>463</v>
      </c>
      <c r="AY2" t="s">
        <v>464</v>
      </c>
      <c r="AZ2" t="s">
        <v>465</v>
      </c>
    </row>
    <row r="3" spans="1:52" hidden="1" x14ac:dyDescent="0.2">
      <c r="B3">
        <v>480280</v>
      </c>
      <c r="C3">
        <v>354177</v>
      </c>
      <c r="E3" t="s">
        <v>9</v>
      </c>
      <c r="F3">
        <v>2</v>
      </c>
      <c r="G3">
        <v>1</v>
      </c>
      <c r="H3">
        <v>58</v>
      </c>
      <c r="I3">
        <v>57</v>
      </c>
      <c r="J3">
        <v>1</v>
      </c>
      <c r="K3">
        <v>1</v>
      </c>
      <c r="L3">
        <v>15579</v>
      </c>
      <c r="M3">
        <v>3368</v>
      </c>
      <c r="N3">
        <v>0</v>
      </c>
      <c r="O3">
        <v>6</v>
      </c>
      <c r="P3">
        <v>689.9</v>
      </c>
      <c r="Q3">
        <v>61</v>
      </c>
      <c r="T3" t="s">
        <v>44</v>
      </c>
      <c r="U3">
        <v>3231</v>
      </c>
      <c r="V3">
        <v>118.3</v>
      </c>
      <c r="W3">
        <v>0.35437999999999997</v>
      </c>
      <c r="X3">
        <v>523</v>
      </c>
      <c r="Y3">
        <v>6287</v>
      </c>
      <c r="Z3">
        <v>173.1</v>
      </c>
      <c r="AA3">
        <v>180.5</v>
      </c>
      <c r="AB3">
        <v>3157</v>
      </c>
      <c r="AC3">
        <v>117</v>
      </c>
      <c r="AD3">
        <v>0.34115000000000001</v>
      </c>
      <c r="AE3">
        <v>515</v>
      </c>
      <c r="AF3">
        <v>6409</v>
      </c>
      <c r="AG3">
        <v>175.2</v>
      </c>
      <c r="AH3">
        <v>183.3</v>
      </c>
      <c r="AK3" t="s">
        <v>159</v>
      </c>
      <c r="AV3">
        <v>3530</v>
      </c>
      <c r="AX3">
        <v>12</v>
      </c>
      <c r="AY3">
        <v>23723</v>
      </c>
      <c r="AZ3" s="423">
        <v>41986</v>
      </c>
    </row>
    <row r="4" spans="1:52" hidden="1" x14ac:dyDescent="0.2">
      <c r="A4" t="s">
        <v>114</v>
      </c>
      <c r="B4">
        <v>134102</v>
      </c>
      <c r="C4">
        <v>83811</v>
      </c>
      <c r="E4" t="s">
        <v>9</v>
      </c>
      <c r="F4">
        <v>2</v>
      </c>
      <c r="G4">
        <v>1</v>
      </c>
      <c r="H4">
        <v>58</v>
      </c>
      <c r="I4">
        <v>57</v>
      </c>
      <c r="J4">
        <v>1</v>
      </c>
      <c r="K4">
        <v>1</v>
      </c>
      <c r="L4">
        <v>15579</v>
      </c>
      <c r="M4">
        <v>3368</v>
      </c>
      <c r="N4">
        <v>0</v>
      </c>
      <c r="O4">
        <v>6</v>
      </c>
      <c r="P4">
        <v>689.9</v>
      </c>
      <c r="Q4">
        <v>61</v>
      </c>
      <c r="T4" t="s">
        <v>45</v>
      </c>
      <c r="U4">
        <v>1035</v>
      </c>
      <c r="V4">
        <v>79.2</v>
      </c>
      <c r="W4">
        <v>0.12753999999999999</v>
      </c>
      <c r="X4">
        <v>220</v>
      </c>
      <c r="Y4">
        <v>2475</v>
      </c>
      <c r="Z4">
        <v>119.4</v>
      </c>
      <c r="AA4">
        <v>150</v>
      </c>
      <c r="AB4">
        <v>982</v>
      </c>
      <c r="AC4">
        <v>80.8</v>
      </c>
      <c r="AD4">
        <v>0.13339999999999999</v>
      </c>
      <c r="AE4">
        <v>211</v>
      </c>
      <c r="AF4">
        <v>2452</v>
      </c>
      <c r="AG4">
        <v>120.8</v>
      </c>
      <c r="AH4">
        <v>151.30000000000001</v>
      </c>
      <c r="AK4" t="s">
        <v>160</v>
      </c>
      <c r="AV4">
        <v>491</v>
      </c>
    </row>
    <row r="5" spans="1:52" hidden="1" x14ac:dyDescent="0.2">
      <c r="A5" t="s">
        <v>106</v>
      </c>
      <c r="B5">
        <v>6505</v>
      </c>
      <c r="C5">
        <v>971</v>
      </c>
      <c r="E5" t="s">
        <v>93</v>
      </c>
      <c r="F5">
        <v>18897</v>
      </c>
      <c r="G5">
        <v>6914</v>
      </c>
      <c r="H5">
        <v>15385</v>
      </c>
      <c r="I5">
        <v>9196</v>
      </c>
      <c r="J5">
        <v>1428</v>
      </c>
      <c r="K5">
        <v>1103</v>
      </c>
      <c r="L5">
        <v>3268</v>
      </c>
      <c r="M5">
        <v>1823</v>
      </c>
      <c r="N5">
        <v>2</v>
      </c>
      <c r="O5">
        <v>232</v>
      </c>
      <c r="P5">
        <v>308.7</v>
      </c>
      <c r="Q5">
        <v>12774</v>
      </c>
      <c r="T5" t="s">
        <v>34</v>
      </c>
      <c r="U5">
        <v>17750</v>
      </c>
      <c r="V5">
        <v>117.1</v>
      </c>
      <c r="W5">
        <v>0.34186</v>
      </c>
      <c r="X5">
        <v>3421</v>
      </c>
      <c r="Y5">
        <v>40189</v>
      </c>
      <c r="Z5">
        <v>173.8</v>
      </c>
      <c r="AA5">
        <v>203.5</v>
      </c>
      <c r="AB5">
        <v>14669</v>
      </c>
      <c r="AC5">
        <v>107</v>
      </c>
      <c r="AD5">
        <v>0.28870000000000001</v>
      </c>
      <c r="AE5">
        <v>2729</v>
      </c>
      <c r="AF5">
        <v>34320</v>
      </c>
      <c r="AG5">
        <v>168.5</v>
      </c>
      <c r="AH5">
        <v>197.6</v>
      </c>
      <c r="AK5" t="s">
        <v>161</v>
      </c>
      <c r="AV5">
        <v>3361</v>
      </c>
    </row>
    <row r="6" spans="1:52" hidden="1" x14ac:dyDescent="0.2">
      <c r="A6" t="s">
        <v>107</v>
      </c>
      <c r="B6">
        <v>361</v>
      </c>
      <c r="C6">
        <v>49</v>
      </c>
      <c r="E6" t="s">
        <v>56</v>
      </c>
      <c r="F6">
        <v>899</v>
      </c>
      <c r="G6">
        <v>214</v>
      </c>
      <c r="H6">
        <v>682</v>
      </c>
      <c r="I6">
        <v>44</v>
      </c>
      <c r="J6">
        <v>42</v>
      </c>
      <c r="K6">
        <v>11</v>
      </c>
      <c r="L6">
        <v>43</v>
      </c>
      <c r="M6">
        <v>20</v>
      </c>
      <c r="N6">
        <v>0</v>
      </c>
      <c r="O6">
        <v>1</v>
      </c>
      <c r="P6">
        <v>80.5</v>
      </c>
      <c r="Q6">
        <v>229</v>
      </c>
      <c r="T6" t="s">
        <v>46</v>
      </c>
      <c r="U6">
        <v>6267</v>
      </c>
      <c r="V6">
        <v>150.4</v>
      </c>
      <c r="W6">
        <v>0.43003000000000002</v>
      </c>
      <c r="X6">
        <v>1441</v>
      </c>
      <c r="Y6">
        <v>14049</v>
      </c>
      <c r="Z6">
        <v>239.5</v>
      </c>
      <c r="AA6">
        <v>263.60000000000002</v>
      </c>
      <c r="AB6">
        <v>2763</v>
      </c>
      <c r="AC6">
        <v>87.3</v>
      </c>
      <c r="AD6">
        <v>0.19291</v>
      </c>
      <c r="AE6">
        <v>542</v>
      </c>
      <c r="AF6">
        <v>4124</v>
      </c>
      <c r="AG6">
        <v>202.9</v>
      </c>
      <c r="AH6">
        <v>269.89999999999998</v>
      </c>
      <c r="AK6" t="s">
        <v>162</v>
      </c>
      <c r="AV6">
        <v>1705</v>
      </c>
    </row>
    <row r="7" spans="1:52" hidden="1" x14ac:dyDescent="0.2">
      <c r="A7" t="s">
        <v>116</v>
      </c>
      <c r="B7">
        <v>245</v>
      </c>
      <c r="C7">
        <v>177</v>
      </c>
      <c r="E7" t="s">
        <v>50</v>
      </c>
      <c r="F7">
        <v>7683</v>
      </c>
      <c r="G7">
        <v>2924</v>
      </c>
      <c r="H7">
        <v>7474</v>
      </c>
      <c r="I7">
        <v>5522</v>
      </c>
      <c r="J7">
        <v>1410</v>
      </c>
      <c r="K7">
        <v>1308</v>
      </c>
      <c r="L7">
        <v>3066</v>
      </c>
      <c r="M7">
        <v>2555</v>
      </c>
      <c r="N7">
        <v>0</v>
      </c>
      <c r="O7">
        <v>289</v>
      </c>
      <c r="P7">
        <v>506.9</v>
      </c>
      <c r="Q7">
        <v>5931</v>
      </c>
      <c r="T7" t="s">
        <v>47</v>
      </c>
      <c r="U7">
        <v>1582</v>
      </c>
      <c r="V7">
        <v>99.6</v>
      </c>
      <c r="W7">
        <v>0.26549</v>
      </c>
      <c r="X7">
        <v>255</v>
      </c>
      <c r="Y7">
        <v>3503</v>
      </c>
      <c r="Z7">
        <v>139.80000000000001</v>
      </c>
      <c r="AA7">
        <v>147.1</v>
      </c>
      <c r="AB7">
        <v>2035</v>
      </c>
      <c r="AC7">
        <v>130.30000000000001</v>
      </c>
      <c r="AD7">
        <v>0.43242999999999998</v>
      </c>
      <c r="AE7">
        <v>381</v>
      </c>
      <c r="AF7">
        <v>4679</v>
      </c>
      <c r="AG7">
        <v>169.8</v>
      </c>
      <c r="AH7">
        <v>163.4</v>
      </c>
      <c r="AK7" t="s">
        <v>163</v>
      </c>
      <c r="AV7">
        <v>866</v>
      </c>
    </row>
    <row r="8" spans="1:52" hidden="1" x14ac:dyDescent="0.2">
      <c r="A8" t="s">
        <v>108</v>
      </c>
      <c r="B8">
        <v>31</v>
      </c>
      <c r="C8">
        <v>17</v>
      </c>
      <c r="E8" t="s">
        <v>60</v>
      </c>
      <c r="F8">
        <v>18533</v>
      </c>
      <c r="G8">
        <v>7495</v>
      </c>
      <c r="H8">
        <v>17354</v>
      </c>
      <c r="I8">
        <v>11286</v>
      </c>
      <c r="J8">
        <v>1797</v>
      </c>
      <c r="K8">
        <v>1393</v>
      </c>
      <c r="L8">
        <v>5632</v>
      </c>
      <c r="M8">
        <v>4603</v>
      </c>
      <c r="N8">
        <v>1</v>
      </c>
      <c r="O8">
        <v>238</v>
      </c>
      <c r="P8">
        <v>333.2</v>
      </c>
      <c r="Q8">
        <v>13144</v>
      </c>
      <c r="T8" t="s">
        <v>48</v>
      </c>
      <c r="U8">
        <v>3885</v>
      </c>
      <c r="V8">
        <v>128.9</v>
      </c>
      <c r="W8">
        <v>0.34698000000000001</v>
      </c>
      <c r="X8">
        <v>624</v>
      </c>
      <c r="Y8">
        <v>8828</v>
      </c>
      <c r="Z8">
        <v>226.1</v>
      </c>
      <c r="AA8">
        <v>224.3</v>
      </c>
      <c r="AB8">
        <v>4214</v>
      </c>
      <c r="AC8">
        <v>108.2</v>
      </c>
      <c r="AD8">
        <v>0.24987999999999999</v>
      </c>
      <c r="AE8">
        <v>613</v>
      </c>
      <c r="AF8">
        <v>7282</v>
      </c>
      <c r="AG8">
        <v>196.7</v>
      </c>
      <c r="AH8">
        <v>213</v>
      </c>
      <c r="AK8" t="s">
        <v>164</v>
      </c>
      <c r="AV8">
        <v>2693</v>
      </c>
    </row>
    <row r="9" spans="1:52" hidden="1" x14ac:dyDescent="0.2">
      <c r="A9" t="s">
        <v>466</v>
      </c>
      <c r="B9">
        <v>1</v>
      </c>
      <c r="C9">
        <v>1</v>
      </c>
      <c r="E9" t="s">
        <v>64</v>
      </c>
      <c r="F9">
        <v>2118</v>
      </c>
      <c r="G9">
        <v>377</v>
      </c>
      <c r="H9">
        <v>5273</v>
      </c>
      <c r="I9">
        <v>1301</v>
      </c>
      <c r="J9">
        <v>623</v>
      </c>
      <c r="K9">
        <v>511</v>
      </c>
      <c r="L9">
        <v>512</v>
      </c>
      <c r="M9">
        <v>398</v>
      </c>
      <c r="N9">
        <v>0</v>
      </c>
      <c r="O9">
        <v>14</v>
      </c>
      <c r="P9">
        <v>112.5</v>
      </c>
      <c r="Q9">
        <v>2762</v>
      </c>
      <c r="T9" t="s">
        <v>33</v>
      </c>
      <c r="U9">
        <v>4884</v>
      </c>
      <c r="V9">
        <v>125.4</v>
      </c>
      <c r="W9">
        <v>0.35852000000000001</v>
      </c>
      <c r="X9">
        <v>1009</v>
      </c>
      <c r="Y9">
        <v>9565</v>
      </c>
      <c r="Z9">
        <v>181.6</v>
      </c>
      <c r="AA9">
        <v>216.9</v>
      </c>
      <c r="AB9">
        <v>3987</v>
      </c>
      <c r="AC9">
        <v>104.6</v>
      </c>
      <c r="AD9">
        <v>0.24981</v>
      </c>
      <c r="AE9">
        <v>821</v>
      </c>
      <c r="AF9">
        <v>8489</v>
      </c>
      <c r="AG9">
        <v>168.5</v>
      </c>
      <c r="AH9">
        <v>217.3</v>
      </c>
      <c r="AK9" t="s">
        <v>115</v>
      </c>
      <c r="AV9">
        <v>4589</v>
      </c>
    </row>
    <row r="10" spans="1:52" hidden="1" x14ac:dyDescent="0.2">
      <c r="A10" t="s">
        <v>113</v>
      </c>
      <c r="B10">
        <v>184</v>
      </c>
      <c r="C10">
        <v>101</v>
      </c>
      <c r="E10" t="s">
        <v>95</v>
      </c>
      <c r="F10">
        <v>2587</v>
      </c>
      <c r="G10">
        <v>740</v>
      </c>
      <c r="H10">
        <v>2718</v>
      </c>
      <c r="I10">
        <v>971</v>
      </c>
      <c r="J10">
        <v>283</v>
      </c>
      <c r="K10">
        <v>149</v>
      </c>
      <c r="L10">
        <v>151</v>
      </c>
      <c r="M10">
        <v>113</v>
      </c>
      <c r="N10">
        <v>0</v>
      </c>
      <c r="O10">
        <v>11</v>
      </c>
      <c r="P10">
        <v>114</v>
      </c>
      <c r="Q10">
        <v>1847</v>
      </c>
      <c r="T10" t="s">
        <v>151</v>
      </c>
      <c r="U10">
        <v>90997</v>
      </c>
      <c r="V10">
        <v>120.2</v>
      </c>
      <c r="W10">
        <v>0.33230999999999999</v>
      </c>
      <c r="X10">
        <v>16488</v>
      </c>
      <c r="Y10">
        <v>201453</v>
      </c>
      <c r="Z10">
        <v>177.8</v>
      </c>
      <c r="AA10">
        <v>187.9</v>
      </c>
      <c r="AB10">
        <v>97584</v>
      </c>
      <c r="AC10">
        <v>121.9</v>
      </c>
      <c r="AD10">
        <v>0.33966000000000002</v>
      </c>
      <c r="AE10">
        <v>17988</v>
      </c>
      <c r="AF10">
        <v>216322</v>
      </c>
      <c r="AG10">
        <v>178.8</v>
      </c>
      <c r="AH10">
        <v>192.7</v>
      </c>
      <c r="AK10" t="s">
        <v>165</v>
      </c>
      <c r="AV10">
        <v>3055</v>
      </c>
    </row>
    <row r="11" spans="1:52" hidden="1" x14ac:dyDescent="0.2">
      <c r="A11" t="s">
        <v>140</v>
      </c>
      <c r="B11">
        <v>612</v>
      </c>
      <c r="C11">
        <v>298</v>
      </c>
      <c r="E11" t="s">
        <v>36</v>
      </c>
      <c r="F11">
        <v>7644</v>
      </c>
      <c r="G11">
        <v>2171</v>
      </c>
      <c r="H11">
        <v>9063</v>
      </c>
      <c r="I11">
        <v>3383</v>
      </c>
      <c r="J11">
        <v>1234</v>
      </c>
      <c r="K11">
        <v>541</v>
      </c>
      <c r="L11">
        <v>620</v>
      </c>
      <c r="M11">
        <v>266</v>
      </c>
      <c r="N11">
        <v>0</v>
      </c>
      <c r="O11">
        <v>74</v>
      </c>
      <c r="P11">
        <v>156.5</v>
      </c>
      <c r="Q11">
        <v>4035</v>
      </c>
      <c r="T11" t="s">
        <v>49</v>
      </c>
      <c r="U11">
        <v>951</v>
      </c>
      <c r="V11">
        <v>87.3</v>
      </c>
      <c r="W11">
        <v>0.20083999999999999</v>
      </c>
      <c r="X11">
        <v>129</v>
      </c>
      <c r="Y11">
        <v>2179</v>
      </c>
      <c r="Z11">
        <v>120.6</v>
      </c>
      <c r="AA11">
        <v>134</v>
      </c>
      <c r="AB11">
        <v>1147</v>
      </c>
      <c r="AC11">
        <v>97.8</v>
      </c>
      <c r="AD11">
        <v>0.24759999999999999</v>
      </c>
      <c r="AE11">
        <v>181</v>
      </c>
      <c r="AF11">
        <v>2522</v>
      </c>
      <c r="AG11">
        <v>139.80000000000001</v>
      </c>
      <c r="AH11">
        <v>153.5</v>
      </c>
      <c r="AK11" t="s">
        <v>166</v>
      </c>
      <c r="AV11">
        <v>5380</v>
      </c>
    </row>
    <row r="12" spans="1:52" hidden="1" x14ac:dyDescent="0.2">
      <c r="A12" t="s">
        <v>130</v>
      </c>
      <c r="B12">
        <v>5884</v>
      </c>
      <c r="C12">
        <v>334</v>
      </c>
      <c r="E12" t="s">
        <v>90</v>
      </c>
      <c r="F12">
        <v>10333</v>
      </c>
      <c r="G12">
        <v>2423</v>
      </c>
      <c r="H12">
        <v>11094</v>
      </c>
      <c r="I12">
        <v>3396</v>
      </c>
      <c r="J12">
        <v>583</v>
      </c>
      <c r="K12">
        <v>383</v>
      </c>
      <c r="L12">
        <v>1502</v>
      </c>
      <c r="M12">
        <v>712</v>
      </c>
      <c r="N12">
        <v>15</v>
      </c>
      <c r="O12">
        <v>0</v>
      </c>
      <c r="P12">
        <v>152.1</v>
      </c>
      <c r="Q12">
        <v>6363</v>
      </c>
      <c r="T12" t="s">
        <v>50</v>
      </c>
      <c r="U12">
        <v>7906</v>
      </c>
      <c r="V12">
        <v>139.9</v>
      </c>
      <c r="W12">
        <v>0.37491000000000002</v>
      </c>
      <c r="X12">
        <v>1484</v>
      </c>
      <c r="Y12">
        <v>17912</v>
      </c>
      <c r="Z12">
        <v>227</v>
      </c>
      <c r="AA12">
        <v>236.1</v>
      </c>
      <c r="AB12">
        <v>5691</v>
      </c>
      <c r="AC12">
        <v>117.2</v>
      </c>
      <c r="AD12">
        <v>0.25337999999999999</v>
      </c>
      <c r="AE12">
        <v>778</v>
      </c>
      <c r="AF12">
        <v>11678</v>
      </c>
      <c r="AG12">
        <v>241.3</v>
      </c>
      <c r="AH12">
        <v>257.89999999999998</v>
      </c>
      <c r="AK12" t="s">
        <v>175</v>
      </c>
      <c r="AV12">
        <v>13453</v>
      </c>
    </row>
    <row r="13" spans="1:52" hidden="1" x14ac:dyDescent="0.2">
      <c r="A13" t="s">
        <v>148</v>
      </c>
      <c r="B13">
        <v>810</v>
      </c>
      <c r="C13">
        <v>30</v>
      </c>
      <c r="E13" t="s">
        <v>70</v>
      </c>
      <c r="F13">
        <v>5823</v>
      </c>
      <c r="G13">
        <v>1355</v>
      </c>
      <c r="H13">
        <v>8244</v>
      </c>
      <c r="I13">
        <v>3827</v>
      </c>
      <c r="J13">
        <v>293</v>
      </c>
      <c r="K13">
        <v>211</v>
      </c>
      <c r="L13">
        <v>327</v>
      </c>
      <c r="M13">
        <v>145</v>
      </c>
      <c r="N13">
        <v>151</v>
      </c>
      <c r="O13">
        <v>0</v>
      </c>
      <c r="P13">
        <v>211.8</v>
      </c>
      <c r="Q13">
        <v>5776</v>
      </c>
      <c r="T13" t="s">
        <v>51</v>
      </c>
      <c r="U13">
        <v>8407</v>
      </c>
      <c r="V13">
        <v>113.2</v>
      </c>
      <c r="W13">
        <v>0.29107</v>
      </c>
      <c r="X13">
        <v>1513</v>
      </c>
      <c r="Y13">
        <v>21678</v>
      </c>
      <c r="Z13">
        <v>150.1</v>
      </c>
      <c r="AA13">
        <v>166.8</v>
      </c>
      <c r="AB13">
        <v>11996</v>
      </c>
      <c r="AC13">
        <v>141.19999999999999</v>
      </c>
      <c r="AD13">
        <v>0.40797</v>
      </c>
      <c r="AE13">
        <v>2255</v>
      </c>
      <c r="AF13">
        <v>27492</v>
      </c>
      <c r="AG13">
        <v>180.7</v>
      </c>
      <c r="AH13">
        <v>181.1</v>
      </c>
      <c r="AK13" t="s">
        <v>176</v>
      </c>
      <c r="AV13">
        <v>7935</v>
      </c>
    </row>
    <row r="14" spans="1:52" hidden="1" x14ac:dyDescent="0.2">
      <c r="A14" t="s">
        <v>137</v>
      </c>
      <c r="B14">
        <v>4</v>
      </c>
      <c r="C14">
        <v>2</v>
      </c>
      <c r="E14" t="s">
        <v>89</v>
      </c>
      <c r="F14">
        <v>5529</v>
      </c>
      <c r="G14">
        <v>1769</v>
      </c>
      <c r="H14">
        <v>7530</v>
      </c>
      <c r="I14">
        <v>4763</v>
      </c>
      <c r="J14">
        <v>2424</v>
      </c>
      <c r="K14">
        <v>2294</v>
      </c>
      <c r="L14">
        <v>5905</v>
      </c>
      <c r="M14">
        <v>4670</v>
      </c>
      <c r="N14">
        <v>45</v>
      </c>
      <c r="O14">
        <v>128</v>
      </c>
      <c r="P14">
        <v>272.2</v>
      </c>
      <c r="Q14">
        <v>4840</v>
      </c>
      <c r="T14" t="s">
        <v>52</v>
      </c>
      <c r="U14">
        <v>10103</v>
      </c>
      <c r="V14">
        <v>114.6</v>
      </c>
      <c r="W14">
        <v>0.30357000000000001</v>
      </c>
      <c r="X14">
        <v>1670</v>
      </c>
      <c r="Y14">
        <v>23844</v>
      </c>
      <c r="Z14">
        <v>173.3</v>
      </c>
      <c r="AA14">
        <v>203.3</v>
      </c>
      <c r="AB14">
        <v>10624</v>
      </c>
      <c r="AC14">
        <v>116.8</v>
      </c>
      <c r="AD14">
        <v>0.33387</v>
      </c>
      <c r="AE14">
        <v>1915</v>
      </c>
      <c r="AF14">
        <v>22317</v>
      </c>
      <c r="AG14">
        <v>174.9</v>
      </c>
      <c r="AH14">
        <v>198.9</v>
      </c>
      <c r="AK14" t="s">
        <v>179</v>
      </c>
      <c r="AV14">
        <v>6212</v>
      </c>
    </row>
    <row r="15" spans="1:52" hidden="1" x14ac:dyDescent="0.2">
      <c r="A15" t="s">
        <v>469</v>
      </c>
      <c r="B15">
        <v>2</v>
      </c>
      <c r="E15" t="s">
        <v>54</v>
      </c>
      <c r="F15">
        <v>2537</v>
      </c>
      <c r="G15">
        <v>681</v>
      </c>
      <c r="H15">
        <v>2245</v>
      </c>
      <c r="I15">
        <v>808</v>
      </c>
      <c r="J15">
        <v>207</v>
      </c>
      <c r="K15">
        <v>160</v>
      </c>
      <c r="L15">
        <v>2848</v>
      </c>
      <c r="M15">
        <v>1849</v>
      </c>
      <c r="N15">
        <v>0</v>
      </c>
      <c r="O15">
        <v>13</v>
      </c>
      <c r="P15">
        <v>128.9</v>
      </c>
      <c r="Q15">
        <v>1358</v>
      </c>
      <c r="T15" t="s">
        <v>53</v>
      </c>
      <c r="U15">
        <v>7461</v>
      </c>
      <c r="V15">
        <v>139.5</v>
      </c>
      <c r="W15">
        <v>0.42165999999999998</v>
      </c>
      <c r="X15">
        <v>1318</v>
      </c>
      <c r="Y15">
        <v>15009</v>
      </c>
      <c r="Z15">
        <v>189.4</v>
      </c>
      <c r="AA15">
        <v>208.6</v>
      </c>
      <c r="AB15">
        <v>7161</v>
      </c>
      <c r="AC15">
        <v>132.5</v>
      </c>
      <c r="AD15">
        <v>0.38024999999999998</v>
      </c>
      <c r="AE15">
        <v>1171</v>
      </c>
      <c r="AF15">
        <v>14843</v>
      </c>
      <c r="AG15">
        <v>180.5</v>
      </c>
      <c r="AH15">
        <v>208.9</v>
      </c>
      <c r="AK15" t="s">
        <v>412</v>
      </c>
      <c r="AV15">
        <v>1567</v>
      </c>
    </row>
    <row r="16" spans="1:52" hidden="1" x14ac:dyDescent="0.2">
      <c r="A16" t="s">
        <v>138</v>
      </c>
      <c r="B16">
        <v>102</v>
      </c>
      <c r="C16">
        <v>96</v>
      </c>
      <c r="E16" t="s">
        <v>65</v>
      </c>
      <c r="F16">
        <v>3471</v>
      </c>
      <c r="G16">
        <v>1069</v>
      </c>
      <c r="H16">
        <v>6648</v>
      </c>
      <c r="I16">
        <v>3891</v>
      </c>
      <c r="J16">
        <v>2516</v>
      </c>
      <c r="K16">
        <v>1807</v>
      </c>
      <c r="L16">
        <v>10513</v>
      </c>
      <c r="M16">
        <v>9053</v>
      </c>
      <c r="N16">
        <v>0</v>
      </c>
      <c r="O16">
        <v>169</v>
      </c>
      <c r="P16">
        <v>347.5</v>
      </c>
      <c r="Q16">
        <v>4647</v>
      </c>
      <c r="T16" t="s">
        <v>54</v>
      </c>
      <c r="U16">
        <v>2569</v>
      </c>
      <c r="V16">
        <v>96.7</v>
      </c>
      <c r="W16">
        <v>0.26507999999999998</v>
      </c>
      <c r="X16">
        <v>392</v>
      </c>
      <c r="Y16">
        <v>6119</v>
      </c>
      <c r="Z16">
        <v>172.4</v>
      </c>
      <c r="AA16">
        <v>152.19999999999999</v>
      </c>
      <c r="AB16">
        <v>3513</v>
      </c>
      <c r="AC16">
        <v>137.9</v>
      </c>
      <c r="AD16">
        <v>0.42698999999999998</v>
      </c>
      <c r="AE16">
        <v>629</v>
      </c>
      <c r="AF16">
        <v>8620</v>
      </c>
      <c r="AG16">
        <v>208.9</v>
      </c>
      <c r="AH16">
        <v>180.7</v>
      </c>
      <c r="AK16" t="s">
        <v>201</v>
      </c>
      <c r="AV16">
        <v>699</v>
      </c>
    </row>
    <row r="17" spans="1:48" hidden="1" x14ac:dyDescent="0.2">
      <c r="A17" t="s">
        <v>110</v>
      </c>
      <c r="B17">
        <v>7</v>
      </c>
      <c r="C17">
        <v>5</v>
      </c>
      <c r="E17" t="s">
        <v>73</v>
      </c>
      <c r="F17">
        <v>5951</v>
      </c>
      <c r="G17">
        <v>2145</v>
      </c>
      <c r="H17">
        <v>7494</v>
      </c>
      <c r="I17">
        <v>4988</v>
      </c>
      <c r="J17">
        <v>562</v>
      </c>
      <c r="K17">
        <v>512</v>
      </c>
      <c r="L17">
        <v>770</v>
      </c>
      <c r="M17">
        <v>557</v>
      </c>
      <c r="N17">
        <v>3</v>
      </c>
      <c r="O17">
        <v>311</v>
      </c>
      <c r="P17">
        <v>420.9</v>
      </c>
      <c r="Q17">
        <v>6627</v>
      </c>
      <c r="T17" t="s">
        <v>55</v>
      </c>
      <c r="U17">
        <v>8470</v>
      </c>
      <c r="V17">
        <v>107.5</v>
      </c>
      <c r="W17">
        <v>0.2974</v>
      </c>
      <c r="X17">
        <v>1531</v>
      </c>
      <c r="Y17">
        <v>18224</v>
      </c>
      <c r="Z17">
        <v>175.3</v>
      </c>
      <c r="AA17">
        <v>179.6</v>
      </c>
      <c r="AB17">
        <v>9163</v>
      </c>
      <c r="AC17">
        <v>112</v>
      </c>
      <c r="AD17">
        <v>0.32282</v>
      </c>
      <c r="AE17">
        <v>1527</v>
      </c>
      <c r="AF17">
        <v>20169</v>
      </c>
      <c r="AG17">
        <v>176.1</v>
      </c>
      <c r="AH17">
        <v>180.6</v>
      </c>
      <c r="AK17" t="s">
        <v>203</v>
      </c>
      <c r="AV17">
        <v>349</v>
      </c>
    </row>
    <row r="18" spans="1:48" hidden="1" x14ac:dyDescent="0.2">
      <c r="A18" t="s">
        <v>142</v>
      </c>
      <c r="B18">
        <v>49</v>
      </c>
      <c r="C18">
        <v>26</v>
      </c>
      <c r="E18" t="s">
        <v>88</v>
      </c>
      <c r="F18">
        <v>904</v>
      </c>
      <c r="G18">
        <v>248</v>
      </c>
      <c r="H18">
        <v>1110</v>
      </c>
      <c r="I18">
        <v>103</v>
      </c>
      <c r="J18">
        <v>865</v>
      </c>
      <c r="K18">
        <v>100</v>
      </c>
      <c r="L18">
        <v>31</v>
      </c>
      <c r="M18">
        <v>14</v>
      </c>
      <c r="N18">
        <v>0</v>
      </c>
      <c r="O18">
        <v>2</v>
      </c>
      <c r="P18">
        <v>53.7</v>
      </c>
      <c r="Q18">
        <v>931</v>
      </c>
      <c r="T18" t="s">
        <v>149</v>
      </c>
      <c r="U18">
        <v>66590</v>
      </c>
      <c r="V18">
        <v>125.8</v>
      </c>
      <c r="W18">
        <v>0.35226000000000002</v>
      </c>
      <c r="X18">
        <v>13864</v>
      </c>
      <c r="Y18">
        <v>168450</v>
      </c>
      <c r="Z18">
        <v>177.3</v>
      </c>
      <c r="AA18">
        <v>190.4</v>
      </c>
      <c r="AB18">
        <v>73225</v>
      </c>
      <c r="AC18">
        <v>128.4</v>
      </c>
      <c r="AD18">
        <v>0.36771999999999999</v>
      </c>
      <c r="AE18">
        <v>14586</v>
      </c>
      <c r="AF18">
        <v>175564</v>
      </c>
      <c r="AG18">
        <v>177.4</v>
      </c>
      <c r="AH18">
        <v>189.5</v>
      </c>
      <c r="AK18" t="s">
        <v>413</v>
      </c>
      <c r="AV18">
        <v>22</v>
      </c>
    </row>
    <row r="19" spans="1:48" hidden="1" x14ac:dyDescent="0.2">
      <c r="A19" t="s">
        <v>135</v>
      </c>
      <c r="B19">
        <v>12386</v>
      </c>
      <c r="C19">
        <v>1883</v>
      </c>
      <c r="E19" t="s">
        <v>151</v>
      </c>
      <c r="F19">
        <v>92909</v>
      </c>
      <c r="G19">
        <v>30525</v>
      </c>
      <c r="H19">
        <v>102314</v>
      </c>
      <c r="I19">
        <v>53479</v>
      </c>
      <c r="J19">
        <v>14267</v>
      </c>
      <c r="K19">
        <v>10483</v>
      </c>
      <c r="L19">
        <v>35188</v>
      </c>
      <c r="M19">
        <v>26778</v>
      </c>
      <c r="N19">
        <v>217</v>
      </c>
      <c r="O19">
        <v>1482</v>
      </c>
      <c r="P19">
        <v>289.60000000000002</v>
      </c>
      <c r="Q19">
        <v>71264</v>
      </c>
      <c r="T19" t="s">
        <v>56</v>
      </c>
      <c r="U19">
        <v>947</v>
      </c>
      <c r="V19">
        <v>92.4</v>
      </c>
      <c r="W19">
        <v>0.22492000000000001</v>
      </c>
      <c r="X19">
        <v>160</v>
      </c>
      <c r="Y19">
        <v>2563</v>
      </c>
      <c r="Z19">
        <v>108.6</v>
      </c>
      <c r="AA19">
        <v>135</v>
      </c>
      <c r="AB19">
        <v>1516</v>
      </c>
      <c r="AC19">
        <v>139.9</v>
      </c>
      <c r="AD19">
        <v>0.43798999999999999</v>
      </c>
      <c r="AE19">
        <v>254</v>
      </c>
      <c r="AF19">
        <v>3255</v>
      </c>
      <c r="AG19">
        <v>159.5</v>
      </c>
      <c r="AH19">
        <v>154.1</v>
      </c>
      <c r="AK19" t="s">
        <v>105</v>
      </c>
      <c r="AV19">
        <v>150</v>
      </c>
    </row>
    <row r="20" spans="1:48" hidden="1" x14ac:dyDescent="0.2">
      <c r="A20" t="s">
        <v>467</v>
      </c>
      <c r="B20">
        <v>1</v>
      </c>
      <c r="C20">
        <v>1</v>
      </c>
      <c r="E20" t="s">
        <v>92</v>
      </c>
      <c r="F20">
        <v>1209</v>
      </c>
      <c r="G20">
        <v>285</v>
      </c>
      <c r="H20">
        <v>1739</v>
      </c>
      <c r="I20">
        <v>960</v>
      </c>
      <c r="J20">
        <v>623</v>
      </c>
      <c r="K20">
        <v>508</v>
      </c>
      <c r="L20">
        <v>968</v>
      </c>
      <c r="M20">
        <v>887</v>
      </c>
      <c r="N20">
        <v>0</v>
      </c>
      <c r="O20">
        <v>0</v>
      </c>
      <c r="P20">
        <v>267.5</v>
      </c>
      <c r="Q20">
        <v>1126</v>
      </c>
      <c r="T20" t="s">
        <v>205</v>
      </c>
      <c r="U20">
        <v>942</v>
      </c>
      <c r="V20">
        <v>74.3</v>
      </c>
      <c r="W20">
        <v>0.15074000000000001</v>
      </c>
      <c r="X20">
        <v>136</v>
      </c>
      <c r="Y20">
        <v>2498</v>
      </c>
      <c r="Z20">
        <v>131.1</v>
      </c>
      <c r="AA20">
        <v>103.1</v>
      </c>
      <c r="AB20">
        <v>1463</v>
      </c>
      <c r="AC20">
        <v>159.1</v>
      </c>
      <c r="AD20">
        <v>0.46548</v>
      </c>
      <c r="AE20">
        <v>432</v>
      </c>
      <c r="AF20">
        <v>4610</v>
      </c>
      <c r="AG20">
        <v>215.6</v>
      </c>
      <c r="AH20">
        <v>166.5</v>
      </c>
      <c r="AK20" t="s">
        <v>212</v>
      </c>
      <c r="AV20">
        <v>203</v>
      </c>
    </row>
    <row r="21" spans="1:48" hidden="1" x14ac:dyDescent="0.2">
      <c r="A21" t="s">
        <v>123</v>
      </c>
      <c r="B21">
        <v>57</v>
      </c>
      <c r="C21">
        <v>55</v>
      </c>
      <c r="E21" t="s">
        <v>48</v>
      </c>
      <c r="F21">
        <v>3742</v>
      </c>
      <c r="G21">
        <v>1337</v>
      </c>
      <c r="H21">
        <v>6811</v>
      </c>
      <c r="I21">
        <v>4706</v>
      </c>
      <c r="J21">
        <v>2104</v>
      </c>
      <c r="K21">
        <v>1924</v>
      </c>
      <c r="L21">
        <v>862</v>
      </c>
      <c r="M21">
        <v>748</v>
      </c>
      <c r="N21">
        <v>2</v>
      </c>
      <c r="O21">
        <v>9</v>
      </c>
      <c r="P21">
        <v>457.5</v>
      </c>
      <c r="Q21">
        <v>5316</v>
      </c>
      <c r="T21" t="s">
        <v>58</v>
      </c>
      <c r="U21">
        <v>1974</v>
      </c>
      <c r="V21">
        <v>96</v>
      </c>
      <c r="W21">
        <v>0.26039000000000001</v>
      </c>
      <c r="X21">
        <v>298</v>
      </c>
      <c r="Y21">
        <v>4692</v>
      </c>
      <c r="Z21">
        <v>144.5</v>
      </c>
      <c r="AA21">
        <v>154</v>
      </c>
      <c r="AB21">
        <v>3223</v>
      </c>
      <c r="AC21">
        <v>119.3</v>
      </c>
      <c r="AD21">
        <v>0.37635999999999997</v>
      </c>
      <c r="AE21">
        <v>516</v>
      </c>
      <c r="AF21">
        <v>7113</v>
      </c>
      <c r="AG21">
        <v>177.3</v>
      </c>
      <c r="AH21">
        <v>175.8</v>
      </c>
      <c r="AK21" t="s">
        <v>414</v>
      </c>
      <c r="AV21">
        <v>2567</v>
      </c>
    </row>
    <row r="22" spans="1:48" x14ac:dyDescent="0.2">
      <c r="A22" t="s">
        <v>121</v>
      </c>
      <c r="B22">
        <v>55</v>
      </c>
      <c r="C22">
        <v>55</v>
      </c>
      <c r="E22" t="s">
        <v>75</v>
      </c>
      <c r="F22">
        <v>2652</v>
      </c>
      <c r="G22">
        <v>967</v>
      </c>
      <c r="H22">
        <v>1188</v>
      </c>
      <c r="I22">
        <v>466</v>
      </c>
      <c r="J22">
        <v>104</v>
      </c>
      <c r="K22">
        <v>76</v>
      </c>
      <c r="L22">
        <v>1998</v>
      </c>
      <c r="M22">
        <v>1259</v>
      </c>
      <c r="N22">
        <v>0</v>
      </c>
      <c r="O22">
        <v>2</v>
      </c>
      <c r="P22">
        <v>163.1</v>
      </c>
      <c r="Q22">
        <v>588</v>
      </c>
      <c r="T22" t="s">
        <v>59</v>
      </c>
      <c r="U22">
        <v>2654</v>
      </c>
      <c r="V22">
        <v>123.8</v>
      </c>
      <c r="W22">
        <v>0.35599999999999998</v>
      </c>
      <c r="X22">
        <v>555</v>
      </c>
      <c r="Y22">
        <v>6179</v>
      </c>
      <c r="Z22">
        <v>171.4</v>
      </c>
      <c r="AA22">
        <v>202.2</v>
      </c>
      <c r="AB22">
        <v>2155</v>
      </c>
      <c r="AC22">
        <v>116</v>
      </c>
      <c r="AD22">
        <v>0.33500000000000002</v>
      </c>
      <c r="AE22">
        <v>443</v>
      </c>
      <c r="AF22">
        <v>5090</v>
      </c>
      <c r="AG22">
        <v>160.80000000000001</v>
      </c>
      <c r="AH22">
        <v>197.5</v>
      </c>
      <c r="AK22" t="s">
        <v>415</v>
      </c>
      <c r="AV22">
        <v>58827</v>
      </c>
    </row>
    <row r="23" spans="1:48" hidden="1" x14ac:dyDescent="0.2">
      <c r="A23" t="s">
        <v>112</v>
      </c>
      <c r="B23">
        <v>114418</v>
      </c>
      <c r="C23">
        <v>55043</v>
      </c>
      <c r="E23" t="s">
        <v>33</v>
      </c>
      <c r="F23">
        <v>4711</v>
      </c>
      <c r="G23">
        <v>1730</v>
      </c>
      <c r="H23">
        <v>2101</v>
      </c>
      <c r="I23">
        <v>544</v>
      </c>
      <c r="J23">
        <v>116</v>
      </c>
      <c r="K23">
        <v>53</v>
      </c>
      <c r="L23">
        <v>446</v>
      </c>
      <c r="M23">
        <v>332</v>
      </c>
      <c r="N23">
        <v>0</v>
      </c>
      <c r="O23">
        <v>1</v>
      </c>
      <c r="P23">
        <v>119.2</v>
      </c>
      <c r="Q23">
        <v>1101</v>
      </c>
      <c r="T23" t="s">
        <v>60</v>
      </c>
      <c r="U23">
        <v>19263</v>
      </c>
      <c r="V23">
        <v>140.69999999999999</v>
      </c>
      <c r="W23">
        <v>0.39141999999999999</v>
      </c>
      <c r="X23">
        <v>2833</v>
      </c>
      <c r="Y23">
        <v>37096</v>
      </c>
      <c r="Z23">
        <v>232.4</v>
      </c>
      <c r="AA23">
        <v>217.3</v>
      </c>
      <c r="AB23">
        <v>14806</v>
      </c>
      <c r="AC23">
        <v>120.3</v>
      </c>
      <c r="AD23">
        <v>0.29441000000000001</v>
      </c>
      <c r="AE23">
        <v>1718</v>
      </c>
      <c r="AF23">
        <v>26944</v>
      </c>
      <c r="AG23">
        <v>233.1</v>
      </c>
      <c r="AH23">
        <v>221.9</v>
      </c>
      <c r="AK23" t="s">
        <v>121</v>
      </c>
      <c r="AV23">
        <v>13203</v>
      </c>
    </row>
    <row r="24" spans="1:48" hidden="1" x14ac:dyDescent="0.2">
      <c r="A24" t="s">
        <v>28</v>
      </c>
      <c r="B24">
        <v>343</v>
      </c>
      <c r="C24">
        <v>218</v>
      </c>
      <c r="E24" t="s">
        <v>55</v>
      </c>
      <c r="F24">
        <v>8140</v>
      </c>
      <c r="G24">
        <v>2391</v>
      </c>
      <c r="H24">
        <v>4963</v>
      </c>
      <c r="I24">
        <v>2608</v>
      </c>
      <c r="J24">
        <v>753</v>
      </c>
      <c r="K24">
        <v>637</v>
      </c>
      <c r="L24">
        <v>900</v>
      </c>
      <c r="M24">
        <v>689</v>
      </c>
      <c r="N24">
        <v>2</v>
      </c>
      <c r="O24">
        <v>203</v>
      </c>
      <c r="P24">
        <v>252.4</v>
      </c>
      <c r="Q24">
        <v>2902</v>
      </c>
      <c r="T24" t="s">
        <v>61</v>
      </c>
      <c r="U24">
        <v>2844</v>
      </c>
      <c r="V24">
        <v>94.5</v>
      </c>
      <c r="W24">
        <v>0.26055</v>
      </c>
      <c r="X24">
        <v>641</v>
      </c>
      <c r="Y24">
        <v>6445</v>
      </c>
      <c r="Z24">
        <v>133.69999999999999</v>
      </c>
      <c r="AA24">
        <v>147.9</v>
      </c>
      <c r="AB24">
        <v>4959</v>
      </c>
      <c r="AC24">
        <v>140</v>
      </c>
      <c r="AD24">
        <v>0.42509000000000002</v>
      </c>
      <c r="AE24">
        <v>1286</v>
      </c>
      <c r="AF24">
        <v>13108</v>
      </c>
      <c r="AG24">
        <v>174.5</v>
      </c>
      <c r="AH24">
        <v>182.1</v>
      </c>
      <c r="AK24" t="s">
        <v>167</v>
      </c>
      <c r="AV24">
        <v>1878</v>
      </c>
    </row>
    <row r="25" spans="1:48" hidden="1" x14ac:dyDescent="0.2">
      <c r="A25" t="s">
        <v>104</v>
      </c>
      <c r="B25">
        <v>96811</v>
      </c>
      <c r="C25">
        <v>36936</v>
      </c>
      <c r="E25" t="s">
        <v>58</v>
      </c>
      <c r="F25">
        <v>1858</v>
      </c>
      <c r="G25">
        <v>511</v>
      </c>
      <c r="H25">
        <v>2719</v>
      </c>
      <c r="I25">
        <v>1646</v>
      </c>
      <c r="J25">
        <v>330</v>
      </c>
      <c r="K25">
        <v>252</v>
      </c>
      <c r="L25">
        <v>622</v>
      </c>
      <c r="M25">
        <v>483</v>
      </c>
      <c r="N25">
        <v>0</v>
      </c>
      <c r="O25">
        <v>3</v>
      </c>
      <c r="P25">
        <v>282.5</v>
      </c>
      <c r="Q25">
        <v>1346</v>
      </c>
      <c r="T25" t="s">
        <v>62</v>
      </c>
      <c r="U25">
        <v>5576</v>
      </c>
      <c r="V25">
        <v>129.1</v>
      </c>
      <c r="W25">
        <v>0.35616999999999999</v>
      </c>
      <c r="X25">
        <v>1421</v>
      </c>
      <c r="Y25">
        <v>15341</v>
      </c>
      <c r="Z25">
        <v>197.4</v>
      </c>
      <c r="AA25">
        <v>219.5</v>
      </c>
      <c r="AB25">
        <v>4628</v>
      </c>
      <c r="AC25">
        <v>114.2</v>
      </c>
      <c r="AD25">
        <v>0.26684999999999998</v>
      </c>
      <c r="AE25">
        <v>1087</v>
      </c>
      <c r="AF25">
        <v>11510</v>
      </c>
      <c r="AG25">
        <v>191.9</v>
      </c>
      <c r="AH25">
        <v>224.7</v>
      </c>
      <c r="AK25" t="s">
        <v>168</v>
      </c>
      <c r="AV25">
        <v>15650</v>
      </c>
    </row>
    <row r="26" spans="1:48" hidden="1" x14ac:dyDescent="0.2">
      <c r="A26" t="s">
        <v>133</v>
      </c>
      <c r="B26">
        <v>11922</v>
      </c>
      <c r="C26">
        <v>2096</v>
      </c>
      <c r="E26" t="s">
        <v>74</v>
      </c>
      <c r="F26">
        <v>4938</v>
      </c>
      <c r="G26">
        <v>2123</v>
      </c>
      <c r="H26">
        <v>5057</v>
      </c>
      <c r="I26">
        <v>2775</v>
      </c>
      <c r="J26">
        <v>1223</v>
      </c>
      <c r="K26">
        <v>816</v>
      </c>
      <c r="L26">
        <v>297</v>
      </c>
      <c r="M26">
        <v>224</v>
      </c>
      <c r="N26">
        <v>0</v>
      </c>
      <c r="O26">
        <v>9</v>
      </c>
      <c r="P26">
        <v>256</v>
      </c>
      <c r="Q26">
        <v>3333</v>
      </c>
      <c r="T26" t="s">
        <v>63</v>
      </c>
      <c r="U26">
        <v>4920</v>
      </c>
      <c r="V26">
        <v>170.5</v>
      </c>
      <c r="W26">
        <v>0.50122</v>
      </c>
      <c r="X26">
        <v>1013</v>
      </c>
      <c r="Y26">
        <v>11499</v>
      </c>
      <c r="Z26">
        <v>208.6</v>
      </c>
      <c r="AA26">
        <v>252.6</v>
      </c>
      <c r="AB26">
        <v>4712</v>
      </c>
      <c r="AC26">
        <v>147.4</v>
      </c>
      <c r="AD26">
        <v>0.40916999999999998</v>
      </c>
      <c r="AE26">
        <v>963</v>
      </c>
      <c r="AF26">
        <v>10664</v>
      </c>
      <c r="AG26">
        <v>184</v>
      </c>
      <c r="AH26">
        <v>249.4</v>
      </c>
      <c r="AK26" t="s">
        <v>169</v>
      </c>
      <c r="AV26">
        <v>27018</v>
      </c>
    </row>
    <row r="27" spans="1:48" hidden="1" x14ac:dyDescent="0.2">
      <c r="A27" t="s">
        <v>141</v>
      </c>
      <c r="B27">
        <v>436</v>
      </c>
      <c r="C27">
        <v>15</v>
      </c>
      <c r="E27" t="s">
        <v>46</v>
      </c>
      <c r="F27">
        <v>6208</v>
      </c>
      <c r="G27">
        <v>2660</v>
      </c>
      <c r="H27">
        <v>7464</v>
      </c>
      <c r="I27">
        <v>5775</v>
      </c>
      <c r="J27">
        <v>963</v>
      </c>
      <c r="K27">
        <v>869</v>
      </c>
      <c r="L27">
        <v>6017</v>
      </c>
      <c r="M27">
        <v>5319</v>
      </c>
      <c r="N27">
        <v>31</v>
      </c>
      <c r="O27">
        <v>6</v>
      </c>
      <c r="P27">
        <v>563</v>
      </c>
      <c r="Q27">
        <v>6028</v>
      </c>
      <c r="T27" t="s">
        <v>64</v>
      </c>
      <c r="U27">
        <v>2279</v>
      </c>
      <c r="V27">
        <v>83.3</v>
      </c>
      <c r="W27">
        <v>0.16542000000000001</v>
      </c>
      <c r="X27">
        <v>448</v>
      </c>
      <c r="Y27">
        <v>4910</v>
      </c>
      <c r="Z27">
        <v>127</v>
      </c>
      <c r="AA27">
        <v>122.1</v>
      </c>
      <c r="AB27">
        <v>5402</v>
      </c>
      <c r="AC27">
        <v>129.30000000000001</v>
      </c>
      <c r="AD27">
        <v>0.39689000000000002</v>
      </c>
      <c r="AE27">
        <v>1394</v>
      </c>
      <c r="AF27">
        <v>13686</v>
      </c>
      <c r="AG27">
        <v>178.6</v>
      </c>
      <c r="AH27">
        <v>178.7</v>
      </c>
      <c r="AK27" t="s">
        <v>170</v>
      </c>
      <c r="AV27">
        <v>9035</v>
      </c>
    </row>
    <row r="28" spans="1:48" hidden="1" x14ac:dyDescent="0.2">
      <c r="A28" t="s">
        <v>109</v>
      </c>
      <c r="B28">
        <v>163</v>
      </c>
      <c r="C28">
        <v>108</v>
      </c>
      <c r="E28" t="s">
        <v>51</v>
      </c>
      <c r="F28">
        <v>8298</v>
      </c>
      <c r="G28">
        <v>2432</v>
      </c>
      <c r="H28">
        <v>11349</v>
      </c>
      <c r="I28">
        <v>9453</v>
      </c>
      <c r="J28">
        <v>1639</v>
      </c>
      <c r="K28">
        <v>1561</v>
      </c>
      <c r="L28">
        <v>4951</v>
      </c>
      <c r="M28">
        <v>4000</v>
      </c>
      <c r="N28">
        <v>16</v>
      </c>
      <c r="O28">
        <v>343</v>
      </c>
      <c r="P28">
        <v>538.4</v>
      </c>
      <c r="Q28">
        <v>9527</v>
      </c>
      <c r="T28" t="s">
        <v>65</v>
      </c>
      <c r="U28">
        <v>3620</v>
      </c>
      <c r="V28">
        <v>105.4</v>
      </c>
      <c r="W28">
        <v>0.29779</v>
      </c>
      <c r="X28">
        <v>804</v>
      </c>
      <c r="Y28">
        <v>9895</v>
      </c>
      <c r="Z28">
        <v>137.4</v>
      </c>
      <c r="AA28">
        <v>174.1</v>
      </c>
      <c r="AB28">
        <v>4923</v>
      </c>
      <c r="AC28">
        <v>114.7</v>
      </c>
      <c r="AD28">
        <v>0.32662999999999998</v>
      </c>
      <c r="AE28">
        <v>1060</v>
      </c>
      <c r="AF28">
        <v>11399</v>
      </c>
      <c r="AG28">
        <v>147.80000000000001</v>
      </c>
      <c r="AH28">
        <v>178.3</v>
      </c>
      <c r="AK28" t="s">
        <v>171</v>
      </c>
      <c r="AV28">
        <v>11100</v>
      </c>
    </row>
    <row r="29" spans="1:48" hidden="1" x14ac:dyDescent="0.2">
      <c r="A29" t="s">
        <v>30</v>
      </c>
      <c r="B29">
        <v>223564</v>
      </c>
      <c r="C29">
        <v>72891</v>
      </c>
      <c r="E29" t="s">
        <v>68</v>
      </c>
      <c r="F29">
        <v>1223</v>
      </c>
      <c r="G29">
        <v>321</v>
      </c>
      <c r="H29">
        <v>2531</v>
      </c>
      <c r="I29">
        <v>1702</v>
      </c>
      <c r="J29">
        <v>669</v>
      </c>
      <c r="K29">
        <v>657</v>
      </c>
      <c r="L29">
        <v>110</v>
      </c>
      <c r="M29">
        <v>85</v>
      </c>
      <c r="N29">
        <v>0</v>
      </c>
      <c r="O29">
        <v>1</v>
      </c>
      <c r="P29">
        <v>352.1</v>
      </c>
      <c r="Q29">
        <v>2139</v>
      </c>
      <c r="T29" t="s">
        <v>66</v>
      </c>
      <c r="U29">
        <v>11647</v>
      </c>
      <c r="V29">
        <v>134.19999999999999</v>
      </c>
      <c r="W29">
        <v>0.41443999999999998</v>
      </c>
      <c r="X29">
        <v>2307</v>
      </c>
      <c r="Y29">
        <v>24389</v>
      </c>
      <c r="Z29">
        <v>196.1</v>
      </c>
      <c r="AA29">
        <v>231</v>
      </c>
      <c r="AB29">
        <v>7615</v>
      </c>
      <c r="AC29">
        <v>111</v>
      </c>
      <c r="AD29">
        <v>0.32357000000000002</v>
      </c>
      <c r="AE29">
        <v>1418</v>
      </c>
      <c r="AF29">
        <v>16414</v>
      </c>
      <c r="AG29">
        <v>172.8</v>
      </c>
      <c r="AH29">
        <v>239.6</v>
      </c>
      <c r="AK29" t="s">
        <v>107</v>
      </c>
      <c r="AV29">
        <v>6236</v>
      </c>
    </row>
    <row r="30" spans="1:48" hidden="1" x14ac:dyDescent="0.2">
      <c r="A30" t="s">
        <v>105</v>
      </c>
      <c r="B30">
        <v>7</v>
      </c>
      <c r="C30">
        <v>1</v>
      </c>
      <c r="E30" t="s">
        <v>79</v>
      </c>
      <c r="F30">
        <v>4644</v>
      </c>
      <c r="G30">
        <v>1893</v>
      </c>
      <c r="H30">
        <v>5533</v>
      </c>
      <c r="I30">
        <v>3998</v>
      </c>
      <c r="J30">
        <v>500</v>
      </c>
      <c r="K30">
        <v>401</v>
      </c>
      <c r="L30">
        <v>1264</v>
      </c>
      <c r="M30">
        <v>1017</v>
      </c>
      <c r="N30">
        <v>1</v>
      </c>
      <c r="O30">
        <v>3</v>
      </c>
      <c r="P30">
        <v>437.4</v>
      </c>
      <c r="Q30">
        <v>4068</v>
      </c>
      <c r="T30" t="s">
        <v>67</v>
      </c>
      <c r="U30">
        <v>7387</v>
      </c>
      <c r="V30">
        <v>178.5</v>
      </c>
      <c r="W30">
        <v>0.51359999999999995</v>
      </c>
      <c r="X30">
        <v>1163</v>
      </c>
      <c r="Y30">
        <v>15047</v>
      </c>
      <c r="Z30">
        <v>214</v>
      </c>
      <c r="AA30">
        <v>228.7</v>
      </c>
      <c r="AB30">
        <v>8136</v>
      </c>
      <c r="AC30">
        <v>180.6</v>
      </c>
      <c r="AD30">
        <v>0.52729000000000004</v>
      </c>
      <c r="AE30">
        <v>1226</v>
      </c>
      <c r="AF30">
        <v>15633</v>
      </c>
      <c r="AG30">
        <v>217.4</v>
      </c>
      <c r="AH30">
        <v>230</v>
      </c>
      <c r="AK30" t="s">
        <v>173</v>
      </c>
      <c r="AV30">
        <v>10300</v>
      </c>
    </row>
    <row r="31" spans="1:48" hidden="1" x14ac:dyDescent="0.2">
      <c r="A31" t="s">
        <v>118</v>
      </c>
      <c r="B31">
        <v>701</v>
      </c>
      <c r="C31">
        <v>624</v>
      </c>
      <c r="E31" t="s">
        <v>81</v>
      </c>
      <c r="F31">
        <v>1968</v>
      </c>
      <c r="G31">
        <v>472</v>
      </c>
      <c r="H31">
        <v>2293</v>
      </c>
      <c r="I31">
        <v>643</v>
      </c>
      <c r="J31">
        <v>664</v>
      </c>
      <c r="K31">
        <v>226</v>
      </c>
      <c r="L31">
        <v>198</v>
      </c>
      <c r="M31">
        <v>145</v>
      </c>
      <c r="N31">
        <v>0</v>
      </c>
      <c r="O31">
        <v>4</v>
      </c>
      <c r="P31">
        <v>134.1</v>
      </c>
      <c r="Q31">
        <v>790</v>
      </c>
      <c r="T31" t="s">
        <v>68</v>
      </c>
      <c r="U31">
        <v>1347</v>
      </c>
      <c r="V31">
        <v>105.3</v>
      </c>
      <c r="W31">
        <v>0.24349999999999999</v>
      </c>
      <c r="X31">
        <v>256</v>
      </c>
      <c r="Y31">
        <v>2865</v>
      </c>
      <c r="Z31">
        <v>158.80000000000001</v>
      </c>
      <c r="AA31">
        <v>182.5</v>
      </c>
      <c r="AB31">
        <v>1554</v>
      </c>
      <c r="AC31">
        <v>125.2</v>
      </c>
      <c r="AD31">
        <v>0.32754</v>
      </c>
      <c r="AE31">
        <v>314</v>
      </c>
      <c r="AF31">
        <v>3461</v>
      </c>
      <c r="AG31">
        <v>177.7</v>
      </c>
      <c r="AH31">
        <v>196.5</v>
      </c>
      <c r="AK31" t="s">
        <v>174</v>
      </c>
      <c r="AV31">
        <v>4278</v>
      </c>
    </row>
    <row r="32" spans="1:48" hidden="1" x14ac:dyDescent="0.2">
      <c r="A32" t="s">
        <v>111</v>
      </c>
      <c r="B32">
        <v>529</v>
      </c>
      <c r="C32">
        <v>411</v>
      </c>
      <c r="E32" t="s">
        <v>96</v>
      </c>
      <c r="F32">
        <v>883</v>
      </c>
      <c r="G32">
        <v>331</v>
      </c>
      <c r="H32">
        <v>630</v>
      </c>
      <c r="I32">
        <v>439</v>
      </c>
      <c r="J32">
        <v>9</v>
      </c>
      <c r="K32">
        <v>7</v>
      </c>
      <c r="L32">
        <v>243</v>
      </c>
      <c r="M32">
        <v>154</v>
      </c>
      <c r="N32">
        <v>0</v>
      </c>
      <c r="O32">
        <v>0</v>
      </c>
      <c r="P32">
        <v>479.1</v>
      </c>
      <c r="Q32">
        <v>551</v>
      </c>
      <c r="T32" t="s">
        <v>69</v>
      </c>
      <c r="U32">
        <v>1125</v>
      </c>
      <c r="V32">
        <v>139.30000000000001</v>
      </c>
      <c r="W32">
        <v>0.42399999999999999</v>
      </c>
      <c r="X32">
        <v>231</v>
      </c>
      <c r="Y32">
        <v>2797</v>
      </c>
      <c r="Z32">
        <v>161.80000000000001</v>
      </c>
      <c r="AA32">
        <v>169.1</v>
      </c>
      <c r="AB32">
        <v>2082</v>
      </c>
      <c r="AC32">
        <v>180.5</v>
      </c>
      <c r="AD32">
        <v>0.60519000000000001</v>
      </c>
      <c r="AE32">
        <v>425</v>
      </c>
      <c r="AF32">
        <v>5360</v>
      </c>
      <c r="AG32">
        <v>201</v>
      </c>
      <c r="AH32">
        <v>216.6</v>
      </c>
      <c r="AK32" t="s">
        <v>177</v>
      </c>
      <c r="AV32">
        <v>4418</v>
      </c>
    </row>
    <row r="33" spans="1:48" hidden="1" x14ac:dyDescent="0.2">
      <c r="A33" t="s">
        <v>134</v>
      </c>
      <c r="B33">
        <v>4362</v>
      </c>
      <c r="C33">
        <v>1382</v>
      </c>
      <c r="E33" t="s">
        <v>62</v>
      </c>
      <c r="F33">
        <v>5370</v>
      </c>
      <c r="G33">
        <v>1943</v>
      </c>
      <c r="H33">
        <v>13790</v>
      </c>
      <c r="I33">
        <v>7840</v>
      </c>
      <c r="J33">
        <v>1111</v>
      </c>
      <c r="K33">
        <v>982</v>
      </c>
      <c r="L33">
        <v>1771</v>
      </c>
      <c r="M33">
        <v>1254</v>
      </c>
      <c r="N33">
        <v>3</v>
      </c>
      <c r="O33">
        <v>205</v>
      </c>
      <c r="P33">
        <v>492</v>
      </c>
      <c r="Q33">
        <v>8476</v>
      </c>
      <c r="T33" t="s">
        <v>242</v>
      </c>
      <c r="U33">
        <v>4145</v>
      </c>
      <c r="V33">
        <v>106.6</v>
      </c>
      <c r="W33">
        <v>0.28275</v>
      </c>
      <c r="X33">
        <v>880</v>
      </c>
      <c r="Y33">
        <v>10739</v>
      </c>
      <c r="Z33">
        <v>132.80000000000001</v>
      </c>
      <c r="AA33">
        <v>160</v>
      </c>
      <c r="AB33">
        <v>5724</v>
      </c>
      <c r="AC33">
        <v>131.69999999999999</v>
      </c>
      <c r="AD33">
        <v>0.38068000000000002</v>
      </c>
      <c r="AE33">
        <v>1254</v>
      </c>
      <c r="AF33">
        <v>13379</v>
      </c>
      <c r="AG33">
        <v>159.80000000000001</v>
      </c>
      <c r="AH33">
        <v>171.3</v>
      </c>
      <c r="AK33" t="s">
        <v>198</v>
      </c>
      <c r="AV33">
        <v>5663</v>
      </c>
    </row>
    <row r="34" spans="1:48" hidden="1" x14ac:dyDescent="0.2">
      <c r="A34" t="s">
        <v>115</v>
      </c>
      <c r="B34">
        <v>16422</v>
      </c>
      <c r="C34">
        <v>3100</v>
      </c>
      <c r="E34" t="s">
        <v>77</v>
      </c>
      <c r="F34">
        <v>11112</v>
      </c>
      <c r="G34">
        <v>4102</v>
      </c>
      <c r="H34">
        <v>8654</v>
      </c>
      <c r="I34">
        <v>5560</v>
      </c>
      <c r="J34">
        <v>1224</v>
      </c>
      <c r="K34">
        <v>399</v>
      </c>
      <c r="L34">
        <v>7306</v>
      </c>
      <c r="M34">
        <v>4622</v>
      </c>
      <c r="N34">
        <v>6382</v>
      </c>
      <c r="O34">
        <v>0</v>
      </c>
      <c r="P34">
        <v>426.7</v>
      </c>
      <c r="Q34">
        <v>5863</v>
      </c>
      <c r="T34" t="s">
        <v>243</v>
      </c>
      <c r="U34">
        <v>4609</v>
      </c>
      <c r="V34">
        <v>54.6</v>
      </c>
      <c r="W34">
        <v>8.1799999999999998E-2</v>
      </c>
      <c r="X34">
        <v>2301</v>
      </c>
      <c r="Y34">
        <v>31231</v>
      </c>
      <c r="Z34">
        <v>51.4</v>
      </c>
      <c r="AA34">
        <v>55.2</v>
      </c>
      <c r="AB34">
        <v>4623</v>
      </c>
      <c r="AC34">
        <v>54.9</v>
      </c>
      <c r="AD34">
        <v>8.3059999999999995E-2</v>
      </c>
      <c r="AE34">
        <v>2309</v>
      </c>
      <c r="AF34">
        <v>31299</v>
      </c>
      <c r="AG34">
        <v>51.7</v>
      </c>
      <c r="AH34">
        <v>55.5</v>
      </c>
      <c r="AK34" t="s">
        <v>416</v>
      </c>
    </row>
    <row r="35" spans="1:48" hidden="1" x14ac:dyDescent="0.2">
      <c r="A35" t="s">
        <v>143</v>
      </c>
      <c r="B35">
        <v>4218</v>
      </c>
      <c r="C35">
        <v>644</v>
      </c>
      <c r="E35" t="s">
        <v>155</v>
      </c>
      <c r="F35">
        <v>410</v>
      </c>
      <c r="G35">
        <v>129</v>
      </c>
      <c r="H35">
        <v>788</v>
      </c>
      <c r="I35">
        <v>494</v>
      </c>
      <c r="J35">
        <v>80</v>
      </c>
      <c r="K35">
        <v>72</v>
      </c>
      <c r="L35">
        <v>110</v>
      </c>
      <c r="M35">
        <v>77</v>
      </c>
      <c r="N35">
        <v>0</v>
      </c>
      <c r="O35">
        <v>1</v>
      </c>
      <c r="P35">
        <v>386.8</v>
      </c>
      <c r="Q35">
        <v>517</v>
      </c>
      <c r="T35" t="s">
        <v>71</v>
      </c>
      <c r="U35">
        <v>8092</v>
      </c>
      <c r="V35">
        <v>127.8</v>
      </c>
      <c r="W35">
        <v>0.39854000000000001</v>
      </c>
      <c r="X35">
        <v>1387</v>
      </c>
      <c r="Y35">
        <v>17706</v>
      </c>
      <c r="Z35">
        <v>212.9</v>
      </c>
      <c r="AA35">
        <v>206.1</v>
      </c>
      <c r="AB35">
        <v>7462</v>
      </c>
      <c r="AC35">
        <v>123.5</v>
      </c>
      <c r="AD35">
        <v>0.36264000000000002</v>
      </c>
      <c r="AE35">
        <v>1254</v>
      </c>
      <c r="AF35">
        <v>17753</v>
      </c>
      <c r="AG35">
        <v>220.9</v>
      </c>
      <c r="AH35">
        <v>207.9</v>
      </c>
      <c r="AK35" t="s">
        <v>415</v>
      </c>
      <c r="AV35">
        <v>108782</v>
      </c>
    </row>
    <row r="36" spans="1:48" hidden="1" x14ac:dyDescent="0.2">
      <c r="A36" t="s">
        <v>132</v>
      </c>
      <c r="B36">
        <v>12489</v>
      </c>
      <c r="C36">
        <v>2065</v>
      </c>
      <c r="E36" t="s">
        <v>149</v>
      </c>
      <c r="F36">
        <v>67366</v>
      </c>
      <c r="G36">
        <v>23627</v>
      </c>
      <c r="H36">
        <v>77610</v>
      </c>
      <c r="I36">
        <v>49609</v>
      </c>
      <c r="J36">
        <v>12112</v>
      </c>
      <c r="K36">
        <v>9440</v>
      </c>
      <c r="L36">
        <v>28063</v>
      </c>
      <c r="M36">
        <v>21295</v>
      </c>
      <c r="N36">
        <v>6437</v>
      </c>
      <c r="O36">
        <v>790</v>
      </c>
      <c r="P36">
        <v>432.7</v>
      </c>
      <c r="Q36">
        <v>53671</v>
      </c>
      <c r="T36" t="s">
        <v>36</v>
      </c>
      <c r="U36">
        <v>7710</v>
      </c>
      <c r="V36">
        <v>102.5</v>
      </c>
      <c r="W36">
        <v>0.28119</v>
      </c>
      <c r="X36">
        <v>1310</v>
      </c>
      <c r="Y36">
        <v>16258</v>
      </c>
      <c r="Z36">
        <v>159.9</v>
      </c>
      <c r="AA36">
        <v>167.1</v>
      </c>
      <c r="AB36">
        <v>10752</v>
      </c>
      <c r="AC36">
        <v>116.3</v>
      </c>
      <c r="AD36">
        <v>0.33343</v>
      </c>
      <c r="AE36">
        <v>2031</v>
      </c>
      <c r="AF36">
        <v>23388</v>
      </c>
      <c r="AG36">
        <v>170.8</v>
      </c>
      <c r="AH36">
        <v>183</v>
      </c>
      <c r="AK36" t="s">
        <v>172</v>
      </c>
      <c r="AV36">
        <v>5679</v>
      </c>
    </row>
    <row r="37" spans="1:48" hidden="1" x14ac:dyDescent="0.2">
      <c r="A37" t="s">
        <v>131</v>
      </c>
      <c r="B37">
        <v>4988</v>
      </c>
      <c r="C37">
        <v>284</v>
      </c>
      <c r="E37" t="s">
        <v>82</v>
      </c>
      <c r="F37">
        <v>4005</v>
      </c>
      <c r="G37">
        <v>1575</v>
      </c>
      <c r="H37">
        <v>4484</v>
      </c>
      <c r="I37">
        <v>3340</v>
      </c>
      <c r="J37">
        <v>376</v>
      </c>
      <c r="K37">
        <v>345</v>
      </c>
      <c r="L37">
        <v>1133</v>
      </c>
      <c r="M37">
        <v>807</v>
      </c>
      <c r="N37">
        <v>1</v>
      </c>
      <c r="O37">
        <v>109</v>
      </c>
      <c r="P37">
        <v>474.7</v>
      </c>
      <c r="Q37">
        <v>3688</v>
      </c>
      <c r="T37" t="s">
        <v>72</v>
      </c>
      <c r="U37">
        <v>9640</v>
      </c>
      <c r="V37">
        <v>104.2</v>
      </c>
      <c r="W37">
        <v>0.28972999999999999</v>
      </c>
      <c r="X37">
        <v>1681</v>
      </c>
      <c r="Y37">
        <v>22465</v>
      </c>
      <c r="Z37">
        <v>146.69999999999999</v>
      </c>
      <c r="AA37">
        <v>156.80000000000001</v>
      </c>
      <c r="AB37">
        <v>10817</v>
      </c>
      <c r="AC37">
        <v>129.9</v>
      </c>
      <c r="AD37">
        <v>0.38134000000000001</v>
      </c>
      <c r="AE37">
        <v>2116</v>
      </c>
      <c r="AF37">
        <v>25861</v>
      </c>
      <c r="AG37">
        <v>174.7</v>
      </c>
      <c r="AH37">
        <v>169.9</v>
      </c>
      <c r="AK37" t="s">
        <v>178</v>
      </c>
      <c r="AV37">
        <v>7352</v>
      </c>
    </row>
    <row r="38" spans="1:48" hidden="1" x14ac:dyDescent="0.2">
      <c r="A38" t="s">
        <v>147</v>
      </c>
      <c r="B38">
        <v>53484</v>
      </c>
      <c r="C38">
        <v>44894</v>
      </c>
      <c r="E38" t="s">
        <v>47</v>
      </c>
      <c r="F38">
        <v>1537</v>
      </c>
      <c r="G38">
        <v>411</v>
      </c>
      <c r="H38">
        <v>897</v>
      </c>
      <c r="I38">
        <v>122</v>
      </c>
      <c r="J38">
        <v>165</v>
      </c>
      <c r="K38">
        <v>86</v>
      </c>
      <c r="L38">
        <v>68</v>
      </c>
      <c r="M38">
        <v>44</v>
      </c>
      <c r="N38">
        <v>0</v>
      </c>
      <c r="O38">
        <v>12</v>
      </c>
      <c r="P38">
        <v>99.7</v>
      </c>
      <c r="Q38">
        <v>469</v>
      </c>
      <c r="T38" t="s">
        <v>73</v>
      </c>
      <c r="U38">
        <v>6143</v>
      </c>
      <c r="V38">
        <v>118.5</v>
      </c>
      <c r="W38">
        <v>0.35015000000000002</v>
      </c>
      <c r="X38">
        <v>1152</v>
      </c>
      <c r="Y38">
        <v>12633</v>
      </c>
      <c r="Z38">
        <v>177.3</v>
      </c>
      <c r="AA38">
        <v>189.2</v>
      </c>
      <c r="AB38">
        <v>4621</v>
      </c>
      <c r="AC38">
        <v>96.8</v>
      </c>
      <c r="AD38">
        <v>0.24367</v>
      </c>
      <c r="AE38">
        <v>841</v>
      </c>
      <c r="AF38">
        <v>9721</v>
      </c>
      <c r="AG38">
        <v>161</v>
      </c>
      <c r="AH38">
        <v>187</v>
      </c>
      <c r="AK38" t="s">
        <v>180</v>
      </c>
      <c r="AV38">
        <v>2837</v>
      </c>
    </row>
    <row r="39" spans="1:48" hidden="1" x14ac:dyDescent="0.2">
      <c r="A39" t="s">
        <v>145</v>
      </c>
      <c r="B39">
        <v>8855</v>
      </c>
      <c r="C39">
        <v>5594</v>
      </c>
      <c r="E39" t="s">
        <v>53</v>
      </c>
      <c r="F39">
        <v>7912</v>
      </c>
      <c r="G39">
        <v>3589</v>
      </c>
      <c r="H39">
        <v>9488</v>
      </c>
      <c r="I39">
        <v>6806</v>
      </c>
      <c r="J39">
        <v>2094</v>
      </c>
      <c r="K39">
        <v>1827</v>
      </c>
      <c r="L39">
        <v>4987</v>
      </c>
      <c r="M39">
        <v>3216</v>
      </c>
      <c r="N39">
        <v>1</v>
      </c>
      <c r="O39">
        <v>54</v>
      </c>
      <c r="P39">
        <v>456</v>
      </c>
      <c r="Q39">
        <v>7275</v>
      </c>
      <c r="T39" t="s">
        <v>74</v>
      </c>
      <c r="U39">
        <v>5063</v>
      </c>
      <c r="V39">
        <v>138.9</v>
      </c>
      <c r="W39">
        <v>0.42346</v>
      </c>
      <c r="X39">
        <v>1263</v>
      </c>
      <c r="Y39">
        <v>12095</v>
      </c>
      <c r="Z39">
        <v>190.1</v>
      </c>
      <c r="AA39">
        <v>211.3</v>
      </c>
      <c r="AB39">
        <v>4270</v>
      </c>
      <c r="AC39">
        <v>113.7</v>
      </c>
      <c r="AD39">
        <v>0.33326</v>
      </c>
      <c r="AE39">
        <v>990</v>
      </c>
      <c r="AF39">
        <v>10222</v>
      </c>
      <c r="AG39">
        <v>164.3</v>
      </c>
      <c r="AH39">
        <v>201</v>
      </c>
      <c r="AK39" t="s">
        <v>181</v>
      </c>
      <c r="AV39">
        <v>6101</v>
      </c>
    </row>
    <row r="40" spans="1:48" hidden="1" x14ac:dyDescent="0.2">
      <c r="A40" t="s">
        <v>119</v>
      </c>
      <c r="B40">
        <v>193</v>
      </c>
      <c r="C40">
        <v>191</v>
      </c>
      <c r="E40" t="s">
        <v>69</v>
      </c>
      <c r="F40">
        <v>1225</v>
      </c>
      <c r="G40">
        <v>505</v>
      </c>
      <c r="H40">
        <v>956</v>
      </c>
      <c r="I40">
        <v>399</v>
      </c>
      <c r="J40">
        <v>204</v>
      </c>
      <c r="K40">
        <v>149</v>
      </c>
      <c r="L40">
        <v>652</v>
      </c>
      <c r="M40">
        <v>428</v>
      </c>
      <c r="N40">
        <v>326</v>
      </c>
      <c r="O40">
        <v>127</v>
      </c>
      <c r="P40">
        <v>170.5</v>
      </c>
      <c r="Q40">
        <v>852</v>
      </c>
      <c r="T40" t="s">
        <v>75</v>
      </c>
      <c r="U40">
        <v>2817</v>
      </c>
      <c r="V40">
        <v>113.4</v>
      </c>
      <c r="W40">
        <v>0.34647</v>
      </c>
      <c r="X40">
        <v>388</v>
      </c>
      <c r="Y40">
        <v>5244</v>
      </c>
      <c r="Z40">
        <v>178.6</v>
      </c>
      <c r="AA40">
        <v>167.6</v>
      </c>
      <c r="AB40">
        <v>2683</v>
      </c>
      <c r="AC40">
        <v>117.4</v>
      </c>
      <c r="AD40">
        <v>0.36713000000000001</v>
      </c>
      <c r="AE40">
        <v>389</v>
      </c>
      <c r="AF40">
        <v>5494</v>
      </c>
      <c r="AG40">
        <v>181.3</v>
      </c>
      <c r="AH40">
        <v>168.7</v>
      </c>
      <c r="AK40" t="s">
        <v>182</v>
      </c>
      <c r="AV40">
        <v>1145</v>
      </c>
    </row>
    <row r="41" spans="1:48" hidden="1" x14ac:dyDescent="0.2">
      <c r="A41" t="s">
        <v>120</v>
      </c>
      <c r="B41">
        <v>16630</v>
      </c>
      <c r="C41">
        <v>12667</v>
      </c>
      <c r="E41" t="s">
        <v>76</v>
      </c>
      <c r="F41">
        <v>12736</v>
      </c>
      <c r="G41">
        <v>4977</v>
      </c>
      <c r="H41">
        <v>12692</v>
      </c>
      <c r="I41">
        <v>9622</v>
      </c>
      <c r="J41">
        <v>1962</v>
      </c>
      <c r="K41">
        <v>1742</v>
      </c>
      <c r="L41">
        <v>6502</v>
      </c>
      <c r="M41">
        <v>5714</v>
      </c>
      <c r="N41">
        <v>0</v>
      </c>
      <c r="O41">
        <v>42</v>
      </c>
      <c r="P41">
        <v>419.9</v>
      </c>
      <c r="Q41">
        <v>9094</v>
      </c>
      <c r="T41" t="s">
        <v>76</v>
      </c>
      <c r="U41">
        <v>13023</v>
      </c>
      <c r="V41">
        <v>137.5</v>
      </c>
      <c r="W41">
        <v>0.40044999999999997</v>
      </c>
      <c r="X41">
        <v>2622</v>
      </c>
      <c r="Y41">
        <v>27053</v>
      </c>
      <c r="Z41">
        <v>213.6</v>
      </c>
      <c r="AA41">
        <v>234.6</v>
      </c>
      <c r="AB41">
        <v>8804</v>
      </c>
      <c r="AC41">
        <v>119.2</v>
      </c>
      <c r="AD41">
        <v>0.31348999999999999</v>
      </c>
      <c r="AE41">
        <v>1319</v>
      </c>
      <c r="AF41">
        <v>16364</v>
      </c>
      <c r="AG41">
        <v>210.3</v>
      </c>
      <c r="AH41">
        <v>244.8</v>
      </c>
      <c r="AK41" t="s">
        <v>183</v>
      </c>
      <c r="AV41">
        <v>1400</v>
      </c>
    </row>
    <row r="42" spans="1:48" hidden="1" x14ac:dyDescent="0.2">
      <c r="A42" t="s">
        <v>136</v>
      </c>
      <c r="B42">
        <v>3740</v>
      </c>
      <c r="C42">
        <v>621</v>
      </c>
      <c r="E42" t="s">
        <v>78</v>
      </c>
      <c r="F42">
        <v>5443</v>
      </c>
      <c r="G42">
        <v>1629</v>
      </c>
      <c r="H42">
        <v>7850</v>
      </c>
      <c r="I42">
        <v>4578</v>
      </c>
      <c r="J42">
        <v>250</v>
      </c>
      <c r="K42">
        <v>202</v>
      </c>
      <c r="L42">
        <v>3028</v>
      </c>
      <c r="M42">
        <v>2553</v>
      </c>
      <c r="N42">
        <v>0</v>
      </c>
      <c r="O42">
        <v>67</v>
      </c>
      <c r="P42">
        <v>282.5</v>
      </c>
      <c r="Q42">
        <v>6663</v>
      </c>
      <c r="T42" t="s">
        <v>9</v>
      </c>
      <c r="U42">
        <v>846</v>
      </c>
      <c r="V42">
        <v>111.8</v>
      </c>
      <c r="W42">
        <v>0.33806000000000003</v>
      </c>
      <c r="X42">
        <v>88</v>
      </c>
      <c r="Y42">
        <v>613</v>
      </c>
      <c r="Z42">
        <v>165.5</v>
      </c>
      <c r="AA42">
        <v>217.9</v>
      </c>
      <c r="AB42">
        <v>124</v>
      </c>
      <c r="AC42">
        <v>67.8</v>
      </c>
      <c r="AD42">
        <v>0.1371</v>
      </c>
      <c r="AE42">
        <v>30</v>
      </c>
      <c r="AF42">
        <v>4896</v>
      </c>
      <c r="AG42">
        <v>176.4</v>
      </c>
      <c r="AH42">
        <v>186.6</v>
      </c>
      <c r="AK42" t="s">
        <v>184</v>
      </c>
      <c r="AV42">
        <v>1788</v>
      </c>
    </row>
    <row r="43" spans="1:48" hidden="1" x14ac:dyDescent="0.2">
      <c r="A43" t="s">
        <v>29</v>
      </c>
      <c r="B43">
        <v>41936</v>
      </c>
      <c r="C43">
        <v>17776</v>
      </c>
      <c r="E43" t="s">
        <v>87</v>
      </c>
      <c r="F43">
        <v>8889</v>
      </c>
      <c r="G43">
        <v>3294</v>
      </c>
      <c r="H43">
        <v>20700</v>
      </c>
      <c r="I43">
        <v>15147</v>
      </c>
      <c r="J43">
        <v>4502</v>
      </c>
      <c r="K43">
        <v>4047</v>
      </c>
      <c r="L43">
        <v>7492</v>
      </c>
      <c r="M43">
        <v>5897</v>
      </c>
      <c r="N43">
        <v>0</v>
      </c>
      <c r="O43">
        <v>144</v>
      </c>
      <c r="P43">
        <v>416.8</v>
      </c>
      <c r="Q43">
        <v>15090</v>
      </c>
      <c r="T43" t="s">
        <v>434</v>
      </c>
      <c r="U43">
        <v>1457</v>
      </c>
      <c r="V43">
        <v>75.599999999999994</v>
      </c>
      <c r="W43">
        <v>0.15168000000000001</v>
      </c>
      <c r="X43">
        <v>181</v>
      </c>
      <c r="Y43">
        <v>1712</v>
      </c>
      <c r="Z43">
        <v>145.19999999999999</v>
      </c>
      <c r="AA43">
        <v>149.4</v>
      </c>
      <c r="AB43">
        <v>637</v>
      </c>
      <c r="AC43">
        <v>94</v>
      </c>
      <c r="AD43">
        <v>0.24018999999999999</v>
      </c>
      <c r="AE43">
        <v>125</v>
      </c>
      <c r="AF43">
        <v>1522</v>
      </c>
      <c r="AG43">
        <v>153</v>
      </c>
      <c r="AH43">
        <v>151.69999999999999</v>
      </c>
      <c r="AK43" t="s">
        <v>194</v>
      </c>
      <c r="AV43">
        <v>18820</v>
      </c>
    </row>
    <row r="44" spans="1:48" hidden="1" x14ac:dyDescent="0.2">
      <c r="A44" t="s">
        <v>117</v>
      </c>
      <c r="B44">
        <v>227508</v>
      </c>
      <c r="C44">
        <v>172409</v>
      </c>
      <c r="E44" t="s">
        <v>49</v>
      </c>
      <c r="F44">
        <v>905</v>
      </c>
      <c r="G44">
        <v>188</v>
      </c>
      <c r="H44">
        <v>861</v>
      </c>
      <c r="I44">
        <v>389</v>
      </c>
      <c r="J44">
        <v>147</v>
      </c>
      <c r="K44">
        <v>107</v>
      </c>
      <c r="L44">
        <v>156</v>
      </c>
      <c r="M44">
        <v>81</v>
      </c>
      <c r="N44">
        <v>25</v>
      </c>
      <c r="O44">
        <v>8</v>
      </c>
      <c r="P44">
        <v>265.7</v>
      </c>
      <c r="Q44">
        <v>526</v>
      </c>
      <c r="T44" t="s">
        <v>433</v>
      </c>
      <c r="U44">
        <v>587</v>
      </c>
      <c r="V44">
        <v>157.19999999999999</v>
      </c>
      <c r="W44">
        <v>0.43270999999999998</v>
      </c>
      <c r="X44">
        <v>256</v>
      </c>
      <c r="Y44">
        <v>4170</v>
      </c>
      <c r="Z44">
        <v>73.900000000000006</v>
      </c>
      <c r="AA44">
        <v>66.900000000000006</v>
      </c>
      <c r="AB44">
        <v>523</v>
      </c>
      <c r="AC44">
        <v>161.30000000000001</v>
      </c>
      <c r="AD44">
        <v>0.44551000000000002</v>
      </c>
      <c r="AE44">
        <v>225</v>
      </c>
      <c r="AF44">
        <v>3946</v>
      </c>
      <c r="AG44">
        <v>63.8</v>
      </c>
      <c r="AH44">
        <v>59.5</v>
      </c>
      <c r="AK44" t="s">
        <v>195</v>
      </c>
      <c r="AV44">
        <v>5046</v>
      </c>
    </row>
    <row r="45" spans="1:48" hidden="1" x14ac:dyDescent="0.2">
      <c r="A45" t="s">
        <v>144</v>
      </c>
      <c r="B45">
        <v>17794</v>
      </c>
      <c r="C45">
        <v>1927</v>
      </c>
      <c r="E45" t="s">
        <v>59</v>
      </c>
      <c r="F45">
        <v>2650</v>
      </c>
      <c r="G45">
        <v>950</v>
      </c>
      <c r="H45">
        <v>2441</v>
      </c>
      <c r="I45">
        <v>1258</v>
      </c>
      <c r="J45">
        <v>456</v>
      </c>
      <c r="K45">
        <v>411</v>
      </c>
      <c r="L45">
        <v>434</v>
      </c>
      <c r="M45">
        <v>284</v>
      </c>
      <c r="N45">
        <v>0</v>
      </c>
      <c r="O45">
        <v>1</v>
      </c>
      <c r="P45">
        <v>221.5</v>
      </c>
      <c r="Q45">
        <v>1883</v>
      </c>
      <c r="T45" s="17" t="s">
        <v>432</v>
      </c>
      <c r="U45">
        <v>2410</v>
      </c>
      <c r="V45">
        <v>63.4</v>
      </c>
      <c r="W45">
        <v>0.10456</v>
      </c>
      <c r="X45">
        <v>227</v>
      </c>
      <c r="Y45">
        <v>2565</v>
      </c>
      <c r="Z45">
        <v>106.5</v>
      </c>
      <c r="AA45">
        <v>126.9</v>
      </c>
      <c r="AB45">
        <v>573</v>
      </c>
      <c r="AC45">
        <v>60.8</v>
      </c>
      <c r="AD45">
        <v>0.12216</v>
      </c>
      <c r="AE45">
        <v>26</v>
      </c>
      <c r="AF45">
        <v>521</v>
      </c>
      <c r="AG45">
        <v>162.69999999999999</v>
      </c>
      <c r="AH45">
        <v>200.3</v>
      </c>
      <c r="AK45" t="s">
        <v>196</v>
      </c>
      <c r="AV45">
        <v>3731</v>
      </c>
    </row>
    <row r="46" spans="1:48" hidden="1" x14ac:dyDescent="0.2">
      <c r="A46" t="s">
        <v>139</v>
      </c>
      <c r="B46">
        <v>754</v>
      </c>
      <c r="C46">
        <v>744</v>
      </c>
      <c r="E46" t="s">
        <v>80</v>
      </c>
      <c r="F46">
        <v>6000</v>
      </c>
      <c r="G46">
        <v>2079</v>
      </c>
      <c r="H46">
        <v>11294</v>
      </c>
      <c r="I46">
        <v>7298</v>
      </c>
      <c r="J46">
        <v>3743</v>
      </c>
      <c r="K46">
        <v>3242</v>
      </c>
      <c r="L46">
        <v>1077</v>
      </c>
      <c r="M46">
        <v>693</v>
      </c>
      <c r="N46">
        <v>0</v>
      </c>
      <c r="O46">
        <v>71</v>
      </c>
      <c r="P46">
        <v>388.8</v>
      </c>
      <c r="Q46">
        <v>9070</v>
      </c>
      <c r="T46" t="s">
        <v>244</v>
      </c>
      <c r="U46">
        <v>8459</v>
      </c>
      <c r="V46">
        <v>143.6</v>
      </c>
      <c r="W46">
        <v>0.42535000000000001</v>
      </c>
      <c r="X46">
        <v>1587</v>
      </c>
      <c r="Y46">
        <v>21849</v>
      </c>
      <c r="Z46">
        <v>211.8</v>
      </c>
      <c r="AA46">
        <v>237.9</v>
      </c>
      <c r="AB46">
        <v>9045</v>
      </c>
      <c r="AC46">
        <v>143.4</v>
      </c>
      <c r="AD46">
        <v>0.44002000000000002</v>
      </c>
      <c r="AE46">
        <v>1707</v>
      </c>
      <c r="AF46">
        <v>22242</v>
      </c>
      <c r="AG46">
        <v>209.5</v>
      </c>
      <c r="AH46">
        <v>236.3</v>
      </c>
      <c r="AK46" t="s">
        <v>417</v>
      </c>
      <c r="AV46">
        <v>29</v>
      </c>
    </row>
    <row r="47" spans="1:48" hidden="1" x14ac:dyDescent="0.2">
      <c r="A47" t="s">
        <v>122</v>
      </c>
      <c r="B47">
        <v>1445</v>
      </c>
      <c r="C47">
        <v>339</v>
      </c>
      <c r="E47" t="s">
        <v>45</v>
      </c>
      <c r="F47">
        <v>897</v>
      </c>
      <c r="G47">
        <v>130</v>
      </c>
      <c r="H47">
        <v>3070</v>
      </c>
      <c r="I47">
        <v>2283</v>
      </c>
      <c r="J47">
        <v>1894</v>
      </c>
      <c r="K47">
        <v>1712</v>
      </c>
      <c r="L47">
        <v>149</v>
      </c>
      <c r="M47">
        <v>121</v>
      </c>
      <c r="N47">
        <v>0</v>
      </c>
      <c r="O47">
        <v>3</v>
      </c>
      <c r="P47">
        <v>513.6</v>
      </c>
      <c r="Q47">
        <v>2493</v>
      </c>
      <c r="T47" t="s">
        <v>245</v>
      </c>
      <c r="U47">
        <v>6106</v>
      </c>
      <c r="V47">
        <v>66.099999999999994</v>
      </c>
      <c r="W47">
        <v>0.11513</v>
      </c>
      <c r="X47">
        <v>2780</v>
      </c>
      <c r="Y47">
        <v>35023</v>
      </c>
      <c r="Z47">
        <v>65.400000000000006</v>
      </c>
      <c r="AA47">
        <v>72.599999999999994</v>
      </c>
      <c r="AB47">
        <v>6135</v>
      </c>
      <c r="AC47">
        <v>66.5</v>
      </c>
      <c r="AD47">
        <v>0.11654</v>
      </c>
      <c r="AE47">
        <v>2788</v>
      </c>
      <c r="AF47">
        <v>35087</v>
      </c>
      <c r="AG47">
        <v>65.599999999999994</v>
      </c>
      <c r="AH47">
        <v>72.8</v>
      </c>
      <c r="AK47" t="s">
        <v>200</v>
      </c>
      <c r="AV47">
        <v>18835</v>
      </c>
    </row>
    <row r="48" spans="1:48" hidden="1" x14ac:dyDescent="0.2">
      <c r="A48" t="s">
        <v>125</v>
      </c>
      <c r="B48">
        <v>25995</v>
      </c>
      <c r="C48">
        <v>11626</v>
      </c>
      <c r="E48" t="s">
        <v>85</v>
      </c>
      <c r="F48">
        <v>12195</v>
      </c>
      <c r="G48">
        <v>2637</v>
      </c>
      <c r="H48">
        <v>15161</v>
      </c>
      <c r="I48">
        <v>7339</v>
      </c>
      <c r="J48">
        <v>1737</v>
      </c>
      <c r="K48">
        <v>1160</v>
      </c>
      <c r="L48">
        <v>1930</v>
      </c>
      <c r="M48">
        <v>1390</v>
      </c>
      <c r="N48">
        <v>0</v>
      </c>
      <c r="O48">
        <v>68</v>
      </c>
      <c r="P48">
        <v>297.89999999999998</v>
      </c>
      <c r="Q48">
        <v>9386</v>
      </c>
      <c r="T48" t="s">
        <v>78</v>
      </c>
      <c r="U48">
        <v>5642</v>
      </c>
      <c r="V48">
        <v>107.7</v>
      </c>
      <c r="W48">
        <v>0.29510999999999998</v>
      </c>
      <c r="X48">
        <v>1149</v>
      </c>
      <c r="Y48">
        <v>14904</v>
      </c>
      <c r="Z48">
        <v>152.69999999999999</v>
      </c>
      <c r="AA48">
        <v>175.7</v>
      </c>
      <c r="AB48">
        <v>8577</v>
      </c>
      <c r="AC48">
        <v>130.4</v>
      </c>
      <c r="AD48">
        <v>0.38730999999999999</v>
      </c>
      <c r="AE48">
        <v>1947</v>
      </c>
      <c r="AF48">
        <v>20885</v>
      </c>
      <c r="AG48">
        <v>172.1</v>
      </c>
      <c r="AH48">
        <v>190.8</v>
      </c>
      <c r="AK48" t="s">
        <v>207</v>
      </c>
      <c r="AV48">
        <v>457</v>
      </c>
    </row>
    <row r="49" spans="1:48" hidden="1" x14ac:dyDescent="0.2">
      <c r="A49" t="s">
        <v>124</v>
      </c>
      <c r="B49">
        <v>6130</v>
      </c>
      <c r="C49">
        <v>4603</v>
      </c>
      <c r="E49" t="s">
        <v>44</v>
      </c>
      <c r="F49">
        <v>3190</v>
      </c>
      <c r="G49">
        <v>1179</v>
      </c>
      <c r="H49">
        <v>2036</v>
      </c>
      <c r="I49">
        <v>835</v>
      </c>
      <c r="J49">
        <v>182</v>
      </c>
      <c r="K49">
        <v>114</v>
      </c>
      <c r="L49">
        <v>413</v>
      </c>
      <c r="M49">
        <v>250</v>
      </c>
      <c r="N49">
        <v>0</v>
      </c>
      <c r="O49">
        <v>17</v>
      </c>
      <c r="P49">
        <v>165.1</v>
      </c>
      <c r="Q49">
        <v>1361</v>
      </c>
      <c r="T49" t="s">
        <v>79</v>
      </c>
      <c r="U49">
        <v>4648</v>
      </c>
      <c r="V49">
        <v>148.4</v>
      </c>
      <c r="W49">
        <v>0.4133</v>
      </c>
      <c r="X49">
        <v>784</v>
      </c>
      <c r="Y49">
        <v>9997</v>
      </c>
      <c r="Z49">
        <v>178.3</v>
      </c>
      <c r="AA49">
        <v>211.7</v>
      </c>
      <c r="AB49">
        <v>4561</v>
      </c>
      <c r="AC49">
        <v>143.19999999999999</v>
      </c>
      <c r="AD49">
        <v>0.39355000000000001</v>
      </c>
      <c r="AE49">
        <v>714</v>
      </c>
      <c r="AF49">
        <v>8658</v>
      </c>
      <c r="AG49">
        <v>169.8</v>
      </c>
      <c r="AH49">
        <v>208.2</v>
      </c>
      <c r="AK49" t="s">
        <v>208</v>
      </c>
      <c r="AV49">
        <v>224</v>
      </c>
    </row>
    <row r="50" spans="1:48" hidden="1" x14ac:dyDescent="0.2">
      <c r="A50" t="s">
        <v>126</v>
      </c>
      <c r="B50">
        <v>100923</v>
      </c>
      <c r="C50">
        <v>72454</v>
      </c>
      <c r="E50" t="s">
        <v>66</v>
      </c>
      <c r="F50">
        <v>11694</v>
      </c>
      <c r="G50">
        <v>4860</v>
      </c>
      <c r="H50">
        <v>8592</v>
      </c>
      <c r="I50">
        <v>6477</v>
      </c>
      <c r="J50">
        <v>1031</v>
      </c>
      <c r="K50">
        <v>928</v>
      </c>
      <c r="L50">
        <v>5591</v>
      </c>
      <c r="M50">
        <v>3585</v>
      </c>
      <c r="N50">
        <v>3</v>
      </c>
      <c r="O50">
        <v>36</v>
      </c>
      <c r="P50">
        <v>439.1</v>
      </c>
      <c r="Q50">
        <v>6986</v>
      </c>
      <c r="T50" t="s">
        <v>80</v>
      </c>
      <c r="U50">
        <v>6290</v>
      </c>
      <c r="V50">
        <v>122.5</v>
      </c>
      <c r="W50">
        <v>0.33561000000000002</v>
      </c>
      <c r="X50">
        <v>992</v>
      </c>
      <c r="Y50">
        <v>12863</v>
      </c>
      <c r="Z50">
        <v>173.9</v>
      </c>
      <c r="AA50">
        <v>198.3</v>
      </c>
      <c r="AB50">
        <v>6096</v>
      </c>
      <c r="AC50">
        <v>125.2</v>
      </c>
      <c r="AD50">
        <v>0.34595999999999999</v>
      </c>
      <c r="AE50">
        <v>1027</v>
      </c>
      <c r="AF50">
        <v>12819</v>
      </c>
      <c r="AG50">
        <v>175.6</v>
      </c>
      <c r="AH50">
        <v>198.4</v>
      </c>
      <c r="AK50" t="s">
        <v>209</v>
      </c>
      <c r="AV50">
        <v>1367</v>
      </c>
    </row>
    <row r="51" spans="1:48" hidden="1" x14ac:dyDescent="0.2">
      <c r="A51" t="s">
        <v>127</v>
      </c>
      <c r="B51">
        <v>551</v>
      </c>
      <c r="C51">
        <v>490</v>
      </c>
      <c r="E51" t="s">
        <v>57</v>
      </c>
      <c r="F51">
        <v>901</v>
      </c>
      <c r="G51">
        <v>142</v>
      </c>
      <c r="H51">
        <v>1432</v>
      </c>
      <c r="I51">
        <v>413</v>
      </c>
      <c r="J51">
        <v>328</v>
      </c>
      <c r="K51">
        <v>187</v>
      </c>
      <c r="L51">
        <v>82</v>
      </c>
      <c r="M51">
        <v>29</v>
      </c>
      <c r="N51">
        <v>0</v>
      </c>
      <c r="O51">
        <v>4</v>
      </c>
      <c r="P51">
        <v>143.1</v>
      </c>
      <c r="Q51">
        <v>1163</v>
      </c>
      <c r="T51" t="s">
        <v>81</v>
      </c>
      <c r="U51">
        <v>2182</v>
      </c>
      <c r="V51">
        <v>86.2</v>
      </c>
      <c r="W51">
        <v>0.21906999999999999</v>
      </c>
      <c r="X51">
        <v>1287</v>
      </c>
      <c r="Y51">
        <v>17646</v>
      </c>
      <c r="Z51">
        <v>43.9</v>
      </c>
      <c r="AA51">
        <v>56.8</v>
      </c>
      <c r="AB51">
        <v>4371</v>
      </c>
      <c r="AC51">
        <v>160.4</v>
      </c>
      <c r="AD51">
        <v>0.55318999999999996</v>
      </c>
      <c r="AE51">
        <v>1696</v>
      </c>
      <c r="AF51">
        <v>21758</v>
      </c>
      <c r="AG51">
        <v>89</v>
      </c>
      <c r="AH51">
        <v>84</v>
      </c>
      <c r="AK51" t="s">
        <v>418</v>
      </c>
      <c r="AV51">
        <v>2063</v>
      </c>
    </row>
    <row r="52" spans="1:48" hidden="1" x14ac:dyDescent="0.2">
      <c r="A52" t="s">
        <v>128</v>
      </c>
      <c r="B52">
        <v>24482</v>
      </c>
      <c r="C52">
        <v>21195</v>
      </c>
      <c r="E52" t="s">
        <v>84</v>
      </c>
      <c r="F52">
        <v>5046</v>
      </c>
      <c r="G52">
        <v>1082</v>
      </c>
      <c r="H52">
        <v>16995</v>
      </c>
      <c r="I52">
        <v>7642</v>
      </c>
      <c r="J52">
        <v>910</v>
      </c>
      <c r="K52">
        <v>531</v>
      </c>
      <c r="L52">
        <v>131</v>
      </c>
      <c r="M52">
        <v>66</v>
      </c>
      <c r="N52">
        <v>0</v>
      </c>
      <c r="O52">
        <v>3</v>
      </c>
      <c r="P52">
        <v>230.6</v>
      </c>
      <c r="Q52">
        <v>9742</v>
      </c>
      <c r="T52" t="s">
        <v>82</v>
      </c>
      <c r="U52">
        <v>4425</v>
      </c>
      <c r="V52">
        <v>148.80000000000001</v>
      </c>
      <c r="W52">
        <v>0.42192000000000002</v>
      </c>
      <c r="X52">
        <v>970</v>
      </c>
      <c r="Y52">
        <v>8776</v>
      </c>
      <c r="Z52">
        <v>220.4</v>
      </c>
      <c r="AA52">
        <v>249.3</v>
      </c>
      <c r="AB52">
        <v>2473</v>
      </c>
      <c r="AC52">
        <v>142.80000000000001</v>
      </c>
      <c r="AD52">
        <v>0.38697999999999999</v>
      </c>
      <c r="AE52">
        <v>412</v>
      </c>
      <c r="AF52">
        <v>4365</v>
      </c>
      <c r="AG52">
        <v>238.5</v>
      </c>
      <c r="AH52">
        <v>283.5</v>
      </c>
      <c r="AK52" t="s">
        <v>419</v>
      </c>
      <c r="AV52">
        <v>1429</v>
      </c>
    </row>
    <row r="53" spans="1:48" hidden="1" x14ac:dyDescent="0.2">
      <c r="A53" t="s">
        <v>129</v>
      </c>
      <c r="B53">
        <v>1338</v>
      </c>
      <c r="C53">
        <v>339</v>
      </c>
      <c r="E53" t="s">
        <v>152</v>
      </c>
      <c r="F53">
        <v>85225</v>
      </c>
      <c r="G53">
        <v>29227</v>
      </c>
      <c r="H53">
        <v>118949</v>
      </c>
      <c r="I53">
        <v>73948</v>
      </c>
      <c r="J53">
        <v>19981</v>
      </c>
      <c r="K53">
        <v>16790</v>
      </c>
      <c r="L53">
        <v>33825</v>
      </c>
      <c r="M53">
        <v>25158</v>
      </c>
      <c r="N53">
        <v>356</v>
      </c>
      <c r="O53">
        <v>766</v>
      </c>
      <c r="P53">
        <v>362.9</v>
      </c>
      <c r="Q53">
        <v>85741</v>
      </c>
      <c r="T53" t="s">
        <v>83</v>
      </c>
      <c r="U53">
        <v>12045</v>
      </c>
      <c r="V53">
        <v>123.2</v>
      </c>
      <c r="W53">
        <v>0.36413000000000001</v>
      </c>
      <c r="X53">
        <v>2238</v>
      </c>
      <c r="Y53">
        <v>28109</v>
      </c>
      <c r="Z53">
        <v>174.5</v>
      </c>
      <c r="AA53">
        <v>217.3</v>
      </c>
      <c r="AB53">
        <v>12594</v>
      </c>
      <c r="AC53">
        <v>117.9</v>
      </c>
      <c r="AD53">
        <v>0.35025000000000001</v>
      </c>
      <c r="AE53">
        <v>2295</v>
      </c>
      <c r="AF53">
        <v>26757</v>
      </c>
      <c r="AG53">
        <v>164.4</v>
      </c>
      <c r="AH53">
        <v>205.9</v>
      </c>
      <c r="AK53" t="s">
        <v>415</v>
      </c>
      <c r="AV53">
        <v>78303</v>
      </c>
    </row>
    <row r="54" spans="1:48" hidden="1" x14ac:dyDescent="0.2">
      <c r="E54" t="s">
        <v>34</v>
      </c>
      <c r="F54">
        <v>17704</v>
      </c>
      <c r="G54">
        <v>5972</v>
      </c>
      <c r="H54">
        <v>17820</v>
      </c>
      <c r="I54">
        <v>12421</v>
      </c>
      <c r="J54">
        <v>4379</v>
      </c>
      <c r="K54">
        <v>3868</v>
      </c>
      <c r="L54">
        <v>11482</v>
      </c>
      <c r="M54">
        <v>8446</v>
      </c>
      <c r="N54">
        <v>56</v>
      </c>
      <c r="O54">
        <v>26</v>
      </c>
      <c r="P54">
        <v>367.4</v>
      </c>
      <c r="Q54">
        <v>13117</v>
      </c>
      <c r="T54" t="s">
        <v>246</v>
      </c>
      <c r="U54">
        <v>1941</v>
      </c>
      <c r="V54">
        <v>98.8</v>
      </c>
      <c r="W54">
        <v>0.24060000000000001</v>
      </c>
      <c r="X54">
        <v>233</v>
      </c>
      <c r="Y54">
        <v>3990</v>
      </c>
      <c r="Z54">
        <v>159.19999999999999</v>
      </c>
      <c r="AA54">
        <v>146.4</v>
      </c>
      <c r="AB54">
        <v>4518</v>
      </c>
      <c r="AC54">
        <v>133.6</v>
      </c>
      <c r="AD54">
        <v>0.34461999999999998</v>
      </c>
      <c r="AE54">
        <v>752</v>
      </c>
      <c r="AF54">
        <v>8314</v>
      </c>
      <c r="AG54">
        <v>204.3</v>
      </c>
      <c r="AH54">
        <v>177.8</v>
      </c>
      <c r="AK54" t="s">
        <v>185</v>
      </c>
      <c r="AV54">
        <v>5483</v>
      </c>
    </row>
    <row r="55" spans="1:48" hidden="1" x14ac:dyDescent="0.2">
      <c r="E55" t="s">
        <v>63</v>
      </c>
      <c r="F55">
        <v>4880</v>
      </c>
      <c r="G55">
        <v>2487</v>
      </c>
      <c r="H55">
        <v>5645</v>
      </c>
      <c r="I55">
        <v>3934</v>
      </c>
      <c r="J55">
        <v>1431</v>
      </c>
      <c r="K55">
        <v>1209</v>
      </c>
      <c r="L55">
        <v>2428</v>
      </c>
      <c r="M55">
        <v>1971</v>
      </c>
      <c r="N55">
        <v>80</v>
      </c>
      <c r="O55">
        <v>166</v>
      </c>
      <c r="P55">
        <v>384.3</v>
      </c>
      <c r="Q55">
        <v>4453</v>
      </c>
      <c r="T55" t="s">
        <v>247</v>
      </c>
      <c r="U55">
        <v>3235</v>
      </c>
      <c r="V55">
        <v>82.3</v>
      </c>
      <c r="W55">
        <v>0.19103999999999999</v>
      </c>
      <c r="X55">
        <v>643</v>
      </c>
      <c r="Y55">
        <v>9952</v>
      </c>
      <c r="Z55">
        <v>149.9</v>
      </c>
      <c r="AA55">
        <v>174.6</v>
      </c>
      <c r="AB55">
        <v>3285</v>
      </c>
      <c r="AC55">
        <v>81.599999999999994</v>
      </c>
      <c r="AD55">
        <v>0.18842999999999999</v>
      </c>
      <c r="AE55">
        <v>647</v>
      </c>
      <c r="AF55">
        <v>9963</v>
      </c>
      <c r="AG55">
        <v>150.19999999999999</v>
      </c>
      <c r="AH55">
        <v>174.6</v>
      </c>
      <c r="AK55" t="s">
        <v>186</v>
      </c>
      <c r="AV55">
        <v>1824</v>
      </c>
    </row>
    <row r="56" spans="1:48" hidden="1" x14ac:dyDescent="0.2">
      <c r="E56" t="s">
        <v>83</v>
      </c>
      <c r="F56">
        <v>11465</v>
      </c>
      <c r="G56">
        <v>4032</v>
      </c>
      <c r="H56">
        <v>18832</v>
      </c>
      <c r="I56">
        <v>13177</v>
      </c>
      <c r="J56">
        <v>2795</v>
      </c>
      <c r="K56">
        <v>2283</v>
      </c>
      <c r="L56">
        <v>5227</v>
      </c>
      <c r="M56">
        <v>4494</v>
      </c>
      <c r="N56">
        <v>6</v>
      </c>
      <c r="O56">
        <v>23</v>
      </c>
      <c r="P56">
        <v>401.3</v>
      </c>
      <c r="Q56">
        <v>15996</v>
      </c>
      <c r="T56" t="s">
        <v>248</v>
      </c>
      <c r="U56">
        <v>10248</v>
      </c>
      <c r="V56">
        <v>93.5</v>
      </c>
      <c r="W56">
        <v>0.22189999999999999</v>
      </c>
      <c r="X56">
        <v>2244</v>
      </c>
      <c r="Y56">
        <v>23832</v>
      </c>
      <c r="Z56">
        <v>131.6</v>
      </c>
      <c r="AA56">
        <v>159.19999999999999</v>
      </c>
      <c r="AB56">
        <v>11491</v>
      </c>
      <c r="AC56">
        <v>115.9</v>
      </c>
      <c r="AD56">
        <v>0.31172</v>
      </c>
      <c r="AE56">
        <v>2621</v>
      </c>
      <c r="AF56">
        <v>29356</v>
      </c>
      <c r="AG56">
        <v>165.5</v>
      </c>
      <c r="AH56">
        <v>174.9</v>
      </c>
      <c r="AK56" t="s">
        <v>187</v>
      </c>
      <c r="AV56">
        <v>459</v>
      </c>
    </row>
    <row r="57" spans="1:48" hidden="1" x14ac:dyDescent="0.2">
      <c r="E57" t="s">
        <v>52</v>
      </c>
      <c r="F57">
        <v>9842</v>
      </c>
      <c r="G57">
        <v>3037</v>
      </c>
      <c r="H57">
        <v>18763</v>
      </c>
      <c r="I57">
        <v>12063</v>
      </c>
      <c r="J57">
        <v>1667</v>
      </c>
      <c r="K57">
        <v>1203</v>
      </c>
      <c r="L57">
        <v>1912</v>
      </c>
      <c r="M57">
        <v>1416</v>
      </c>
      <c r="N57">
        <v>2</v>
      </c>
      <c r="O57">
        <v>56</v>
      </c>
      <c r="P57">
        <v>293.8</v>
      </c>
      <c r="Q57">
        <v>11265</v>
      </c>
      <c r="T57" t="s">
        <v>249</v>
      </c>
      <c r="U57">
        <v>2490</v>
      </c>
      <c r="V57">
        <v>73.599999999999994</v>
      </c>
      <c r="W57">
        <v>0.17549999999999999</v>
      </c>
      <c r="X57">
        <v>595</v>
      </c>
      <c r="Y57">
        <v>7953</v>
      </c>
      <c r="Z57">
        <v>111.6</v>
      </c>
      <c r="AA57">
        <v>120.4</v>
      </c>
      <c r="AB57">
        <v>3350</v>
      </c>
      <c r="AC57">
        <v>70.7</v>
      </c>
      <c r="AD57">
        <v>0.15970000000000001</v>
      </c>
      <c r="AE57">
        <v>739</v>
      </c>
      <c r="AF57">
        <v>9743</v>
      </c>
      <c r="AG57">
        <v>107.1</v>
      </c>
      <c r="AH57">
        <v>117.5</v>
      </c>
      <c r="AK57" t="s">
        <v>188</v>
      </c>
      <c r="AV57">
        <v>8682</v>
      </c>
    </row>
    <row r="58" spans="1:48" hidden="1" x14ac:dyDescent="0.2">
      <c r="E58" t="s">
        <v>86</v>
      </c>
      <c r="F58">
        <v>2888</v>
      </c>
      <c r="G58">
        <v>820</v>
      </c>
      <c r="H58">
        <v>4056</v>
      </c>
      <c r="I58">
        <v>2620</v>
      </c>
      <c r="J58">
        <v>681</v>
      </c>
      <c r="K58">
        <v>639</v>
      </c>
      <c r="L58">
        <v>1498</v>
      </c>
      <c r="M58">
        <v>1247</v>
      </c>
      <c r="N58">
        <v>0</v>
      </c>
      <c r="O58">
        <v>5</v>
      </c>
      <c r="P58">
        <v>303.3</v>
      </c>
      <c r="Q58">
        <v>2462</v>
      </c>
      <c r="T58" t="s">
        <v>86</v>
      </c>
      <c r="U58">
        <v>2903</v>
      </c>
      <c r="V58">
        <v>110.1</v>
      </c>
      <c r="W58">
        <v>0.28281000000000001</v>
      </c>
      <c r="X58">
        <v>539</v>
      </c>
      <c r="Y58">
        <v>6903</v>
      </c>
      <c r="Z58">
        <v>142.1</v>
      </c>
      <c r="AA58">
        <v>167.1</v>
      </c>
      <c r="AB58">
        <v>3671</v>
      </c>
      <c r="AC58">
        <v>133.5</v>
      </c>
      <c r="AD58">
        <v>0.42032000000000003</v>
      </c>
      <c r="AE58">
        <v>710</v>
      </c>
      <c r="AF58">
        <v>8654</v>
      </c>
      <c r="AG58">
        <v>167.3</v>
      </c>
      <c r="AH58">
        <v>173.8</v>
      </c>
      <c r="AK58" t="s">
        <v>189</v>
      </c>
      <c r="AV58">
        <v>4506</v>
      </c>
    </row>
    <row r="59" spans="1:48" hidden="1" x14ac:dyDescent="0.2">
      <c r="E59" t="s">
        <v>72</v>
      </c>
      <c r="F59">
        <v>9105</v>
      </c>
      <c r="G59">
        <v>2800</v>
      </c>
      <c r="H59">
        <v>8174</v>
      </c>
      <c r="I59">
        <v>4170</v>
      </c>
      <c r="J59">
        <v>1544</v>
      </c>
      <c r="K59">
        <v>1371</v>
      </c>
      <c r="L59">
        <v>1586</v>
      </c>
      <c r="M59">
        <v>1342</v>
      </c>
      <c r="N59">
        <v>5</v>
      </c>
      <c r="O59">
        <v>201</v>
      </c>
      <c r="P59">
        <v>228.7</v>
      </c>
      <c r="Q59">
        <v>5362</v>
      </c>
      <c r="T59" t="s">
        <v>87</v>
      </c>
      <c r="U59">
        <v>9324</v>
      </c>
      <c r="V59">
        <v>131</v>
      </c>
      <c r="W59">
        <v>0.36486000000000002</v>
      </c>
      <c r="X59">
        <v>3816</v>
      </c>
      <c r="Y59">
        <v>51770</v>
      </c>
      <c r="Z59">
        <v>110.6</v>
      </c>
      <c r="AA59">
        <v>134.6</v>
      </c>
      <c r="AB59">
        <v>7649</v>
      </c>
      <c r="AC59">
        <v>112.5</v>
      </c>
      <c r="AD59">
        <v>0.30003999999999997</v>
      </c>
      <c r="AE59">
        <v>3533</v>
      </c>
      <c r="AF59">
        <v>46775</v>
      </c>
      <c r="AG59">
        <v>95.2</v>
      </c>
      <c r="AH59">
        <v>119.8</v>
      </c>
      <c r="AK59" t="s">
        <v>190</v>
      </c>
      <c r="AV59">
        <v>6877</v>
      </c>
    </row>
    <row r="60" spans="1:48" hidden="1" x14ac:dyDescent="0.2">
      <c r="E60" t="s">
        <v>61</v>
      </c>
      <c r="F60">
        <v>2642</v>
      </c>
      <c r="G60">
        <v>737</v>
      </c>
      <c r="H60">
        <v>3350</v>
      </c>
      <c r="I60">
        <v>1820</v>
      </c>
      <c r="J60">
        <v>254</v>
      </c>
      <c r="K60">
        <v>230</v>
      </c>
      <c r="L60">
        <v>1089</v>
      </c>
      <c r="M60">
        <v>796</v>
      </c>
      <c r="N60">
        <v>2</v>
      </c>
      <c r="O60">
        <v>17</v>
      </c>
      <c r="P60">
        <v>220.8</v>
      </c>
      <c r="Q60">
        <v>2264</v>
      </c>
      <c r="T60" t="s">
        <v>88</v>
      </c>
      <c r="U60">
        <v>977</v>
      </c>
      <c r="V60">
        <v>94.9</v>
      </c>
      <c r="W60">
        <v>0.25691000000000003</v>
      </c>
      <c r="X60">
        <v>201</v>
      </c>
      <c r="Y60">
        <v>2659</v>
      </c>
      <c r="Z60">
        <v>124.2</v>
      </c>
      <c r="AA60">
        <v>139.19999999999999</v>
      </c>
      <c r="AB60">
        <v>1875</v>
      </c>
      <c r="AC60">
        <v>154.1</v>
      </c>
      <c r="AD60">
        <v>0.50346999999999997</v>
      </c>
      <c r="AE60">
        <v>409</v>
      </c>
      <c r="AF60">
        <v>4650</v>
      </c>
      <c r="AG60">
        <v>181.5</v>
      </c>
      <c r="AH60">
        <v>175.7</v>
      </c>
      <c r="AK60" t="s">
        <v>191</v>
      </c>
      <c r="AV60">
        <v>4282</v>
      </c>
    </row>
    <row r="61" spans="1:48" hidden="1" x14ac:dyDescent="0.2">
      <c r="E61" t="s">
        <v>67</v>
      </c>
      <c r="F61">
        <v>7187</v>
      </c>
      <c r="G61">
        <v>3877</v>
      </c>
      <c r="H61">
        <v>13043</v>
      </c>
      <c r="I61">
        <v>8878</v>
      </c>
      <c r="J61">
        <v>1788</v>
      </c>
      <c r="K61">
        <v>1706</v>
      </c>
      <c r="L61">
        <v>1687</v>
      </c>
      <c r="M61">
        <v>835</v>
      </c>
      <c r="N61">
        <v>79</v>
      </c>
      <c r="O61">
        <v>241</v>
      </c>
      <c r="P61">
        <v>446.9</v>
      </c>
      <c r="Q61">
        <v>9676</v>
      </c>
      <c r="T61" t="s">
        <v>150</v>
      </c>
      <c r="U61">
        <v>121512</v>
      </c>
      <c r="V61">
        <v>128.19999999999999</v>
      </c>
      <c r="W61">
        <v>0.37157000000000001</v>
      </c>
      <c r="X61">
        <v>22021</v>
      </c>
      <c r="Y61">
        <v>272072</v>
      </c>
      <c r="Z61">
        <v>178.8</v>
      </c>
      <c r="AA61">
        <v>207</v>
      </c>
      <c r="AB61">
        <v>113128</v>
      </c>
      <c r="AC61">
        <v>125.4</v>
      </c>
      <c r="AD61">
        <v>0.35947000000000001</v>
      </c>
      <c r="AE61">
        <v>20769</v>
      </c>
      <c r="AF61">
        <v>253052</v>
      </c>
      <c r="AG61">
        <v>178.2</v>
      </c>
      <c r="AH61">
        <v>205.3</v>
      </c>
      <c r="AK61" t="s">
        <v>192</v>
      </c>
      <c r="AV61">
        <v>976</v>
      </c>
    </row>
    <row r="62" spans="1:48" hidden="1" x14ac:dyDescent="0.2">
      <c r="E62" t="s">
        <v>71</v>
      </c>
      <c r="F62">
        <v>8036</v>
      </c>
      <c r="G62">
        <v>3178</v>
      </c>
      <c r="H62">
        <v>13891</v>
      </c>
      <c r="I62">
        <v>10291</v>
      </c>
      <c r="J62">
        <v>4463</v>
      </c>
      <c r="K62">
        <v>4100</v>
      </c>
      <c r="L62">
        <v>2674</v>
      </c>
      <c r="M62">
        <v>2148</v>
      </c>
      <c r="N62">
        <v>2</v>
      </c>
      <c r="O62">
        <v>336</v>
      </c>
      <c r="P62">
        <v>386.9</v>
      </c>
      <c r="Q62">
        <v>12770</v>
      </c>
      <c r="T62" t="s">
        <v>89</v>
      </c>
      <c r="U62">
        <v>5686</v>
      </c>
      <c r="V62">
        <v>109.7</v>
      </c>
      <c r="W62">
        <v>0.31534000000000001</v>
      </c>
      <c r="X62">
        <v>1538</v>
      </c>
      <c r="Y62">
        <v>17196</v>
      </c>
      <c r="Z62">
        <v>153.19999999999999</v>
      </c>
      <c r="AA62">
        <v>184</v>
      </c>
      <c r="AB62">
        <v>5778</v>
      </c>
      <c r="AC62">
        <v>110.7</v>
      </c>
      <c r="AD62">
        <v>0.32242999999999999</v>
      </c>
      <c r="AE62">
        <v>1593</v>
      </c>
      <c r="AF62">
        <v>17966</v>
      </c>
      <c r="AG62">
        <v>155.1</v>
      </c>
      <c r="AH62">
        <v>185.9</v>
      </c>
      <c r="AK62" t="s">
        <v>193</v>
      </c>
      <c r="AV62">
        <v>5259</v>
      </c>
    </row>
    <row r="63" spans="1:48" hidden="1" x14ac:dyDescent="0.2">
      <c r="E63" t="s">
        <v>94</v>
      </c>
      <c r="F63">
        <v>1041</v>
      </c>
      <c r="G63">
        <v>351</v>
      </c>
      <c r="H63">
        <v>47020</v>
      </c>
      <c r="I63">
        <v>42651</v>
      </c>
      <c r="J63">
        <v>120</v>
      </c>
      <c r="K63">
        <v>115</v>
      </c>
      <c r="L63">
        <v>781</v>
      </c>
      <c r="M63">
        <v>745</v>
      </c>
      <c r="N63">
        <v>0</v>
      </c>
      <c r="O63">
        <v>2</v>
      </c>
      <c r="P63">
        <v>404.4</v>
      </c>
      <c r="Q63">
        <v>46442</v>
      </c>
      <c r="T63" t="s">
        <v>250</v>
      </c>
      <c r="U63">
        <v>7687</v>
      </c>
      <c r="V63">
        <v>107.7</v>
      </c>
      <c r="W63">
        <v>0.28021000000000001</v>
      </c>
      <c r="X63">
        <v>1398</v>
      </c>
      <c r="Y63">
        <v>16751</v>
      </c>
      <c r="Z63">
        <v>158.6</v>
      </c>
      <c r="AA63">
        <v>153.69999999999999</v>
      </c>
      <c r="AB63">
        <v>11195</v>
      </c>
      <c r="AC63">
        <v>128.1</v>
      </c>
      <c r="AD63">
        <v>0.37186000000000002</v>
      </c>
      <c r="AE63">
        <v>2183</v>
      </c>
      <c r="AF63">
        <v>25302</v>
      </c>
      <c r="AG63">
        <v>178.2</v>
      </c>
      <c r="AH63">
        <v>179.7</v>
      </c>
      <c r="AK63" t="s">
        <v>197</v>
      </c>
      <c r="AV63">
        <v>2473</v>
      </c>
    </row>
    <row r="64" spans="1:48" hidden="1" x14ac:dyDescent="0.2">
      <c r="E64" t="s">
        <v>97</v>
      </c>
      <c r="F64">
        <v>24718</v>
      </c>
      <c r="G64">
        <v>8555</v>
      </c>
      <c r="H64">
        <v>24613</v>
      </c>
      <c r="I64">
        <v>14185</v>
      </c>
      <c r="J64">
        <v>4784</v>
      </c>
      <c r="K64">
        <v>3825</v>
      </c>
      <c r="L64">
        <v>6642</v>
      </c>
      <c r="M64">
        <v>4142</v>
      </c>
      <c r="N64">
        <v>0</v>
      </c>
      <c r="O64">
        <v>20</v>
      </c>
      <c r="P64">
        <v>329.7</v>
      </c>
      <c r="Q64">
        <v>16754</v>
      </c>
      <c r="T64" t="s">
        <v>251</v>
      </c>
      <c r="U64">
        <v>7683</v>
      </c>
      <c r="V64">
        <v>54.4</v>
      </c>
      <c r="W64">
        <v>6.404E-2</v>
      </c>
      <c r="X64">
        <v>3046</v>
      </c>
      <c r="Y64">
        <v>40458</v>
      </c>
      <c r="Z64">
        <v>66.400000000000006</v>
      </c>
      <c r="AA64">
        <v>64.400000000000006</v>
      </c>
      <c r="AB64">
        <v>7704</v>
      </c>
      <c r="AC64">
        <v>54.5</v>
      </c>
      <c r="AD64">
        <v>6.4119999999999996E-2</v>
      </c>
      <c r="AE64">
        <v>3061</v>
      </c>
      <c r="AF64">
        <v>40551</v>
      </c>
      <c r="AG64">
        <v>66.900000000000006</v>
      </c>
      <c r="AH64">
        <v>64.7</v>
      </c>
      <c r="AK64" t="s">
        <v>199</v>
      </c>
      <c r="AV64">
        <v>1057</v>
      </c>
    </row>
    <row r="65" spans="5:48" hidden="1" x14ac:dyDescent="0.2">
      <c r="E65" t="s">
        <v>91</v>
      </c>
      <c r="F65">
        <v>25243</v>
      </c>
      <c r="G65">
        <v>10153</v>
      </c>
      <c r="H65">
        <v>18748</v>
      </c>
      <c r="I65">
        <v>11343</v>
      </c>
      <c r="J65">
        <v>2298</v>
      </c>
      <c r="K65">
        <v>1562</v>
      </c>
      <c r="L65">
        <v>9758</v>
      </c>
      <c r="M65">
        <v>6526</v>
      </c>
      <c r="N65">
        <v>11</v>
      </c>
      <c r="O65">
        <v>222</v>
      </c>
      <c r="P65">
        <v>306.8</v>
      </c>
      <c r="Q65">
        <v>14951</v>
      </c>
      <c r="T65" t="s">
        <v>91</v>
      </c>
      <c r="U65">
        <v>25951</v>
      </c>
      <c r="V65">
        <v>138.9</v>
      </c>
      <c r="W65">
        <v>0.40731000000000001</v>
      </c>
      <c r="X65">
        <v>4734</v>
      </c>
      <c r="Y65">
        <v>59056</v>
      </c>
      <c r="Z65">
        <v>179.4</v>
      </c>
      <c r="AA65">
        <v>217.8</v>
      </c>
      <c r="AB65">
        <v>20878</v>
      </c>
      <c r="AC65">
        <v>124.6</v>
      </c>
      <c r="AD65">
        <v>0.35639999999999999</v>
      </c>
      <c r="AE65">
        <v>3844</v>
      </c>
      <c r="AF65">
        <v>48094</v>
      </c>
      <c r="AG65">
        <v>170.7</v>
      </c>
      <c r="AH65">
        <v>216.7</v>
      </c>
      <c r="AK65" t="s">
        <v>420</v>
      </c>
      <c r="AV65">
        <v>310</v>
      </c>
    </row>
    <row r="66" spans="5:48" hidden="1" x14ac:dyDescent="0.2">
      <c r="E66" t="s">
        <v>150</v>
      </c>
      <c r="F66">
        <v>124751</v>
      </c>
      <c r="G66">
        <v>45999</v>
      </c>
      <c r="H66">
        <v>193955</v>
      </c>
      <c r="I66">
        <v>137553</v>
      </c>
      <c r="J66">
        <v>26204</v>
      </c>
      <c r="K66">
        <v>22111</v>
      </c>
      <c r="L66">
        <v>46764</v>
      </c>
      <c r="M66">
        <v>34108</v>
      </c>
      <c r="N66">
        <v>243</v>
      </c>
      <c r="O66">
        <v>1315</v>
      </c>
      <c r="P66">
        <v>365.8</v>
      </c>
      <c r="Q66">
        <v>155512</v>
      </c>
      <c r="T66" t="s">
        <v>92</v>
      </c>
      <c r="U66">
        <v>1282</v>
      </c>
      <c r="V66">
        <v>97.6</v>
      </c>
      <c r="W66">
        <v>0.22387000000000001</v>
      </c>
      <c r="X66">
        <v>233</v>
      </c>
      <c r="Y66">
        <v>3223</v>
      </c>
      <c r="Z66">
        <v>167.5</v>
      </c>
      <c r="AA66">
        <v>126.4</v>
      </c>
      <c r="AB66">
        <v>5264</v>
      </c>
      <c r="AC66">
        <v>155.1</v>
      </c>
      <c r="AD66">
        <v>0.44757000000000002</v>
      </c>
      <c r="AE66">
        <v>1183</v>
      </c>
      <c r="AF66">
        <v>14239</v>
      </c>
      <c r="AG66">
        <v>233.8</v>
      </c>
      <c r="AH66">
        <v>214.2</v>
      </c>
      <c r="AK66" t="s">
        <v>202</v>
      </c>
      <c r="AV66">
        <v>3801</v>
      </c>
    </row>
    <row r="67" spans="5:48" hidden="1" x14ac:dyDescent="0.2">
      <c r="E67" t="s">
        <v>278</v>
      </c>
      <c r="F67">
        <v>370253</v>
      </c>
      <c r="G67">
        <v>129379</v>
      </c>
      <c r="H67">
        <v>492886</v>
      </c>
      <c r="I67">
        <v>314646</v>
      </c>
      <c r="J67">
        <v>72565</v>
      </c>
      <c r="K67">
        <v>58825</v>
      </c>
      <c r="L67">
        <v>159419</v>
      </c>
      <c r="M67">
        <v>110707</v>
      </c>
      <c r="N67">
        <v>7253</v>
      </c>
      <c r="O67">
        <v>4359</v>
      </c>
      <c r="P67">
        <v>360.2</v>
      </c>
      <c r="Q67">
        <v>366249</v>
      </c>
      <c r="T67" t="s">
        <v>7</v>
      </c>
      <c r="U67">
        <v>396512</v>
      </c>
      <c r="V67">
        <v>119.7</v>
      </c>
      <c r="W67">
        <v>0.33381</v>
      </c>
      <c r="X67">
        <v>81454</v>
      </c>
      <c r="Y67">
        <v>999645</v>
      </c>
      <c r="Z67">
        <v>161.5</v>
      </c>
      <c r="AA67">
        <v>177.2</v>
      </c>
      <c r="AB67">
        <v>396512</v>
      </c>
      <c r="AC67">
        <v>119.7</v>
      </c>
      <c r="AD67">
        <v>0.33381</v>
      </c>
      <c r="AE67">
        <v>81454</v>
      </c>
      <c r="AF67">
        <v>999645</v>
      </c>
      <c r="AG67">
        <v>161.5</v>
      </c>
      <c r="AH67">
        <v>177.2</v>
      </c>
      <c r="AK67" t="s">
        <v>206</v>
      </c>
      <c r="AV67">
        <v>322</v>
      </c>
    </row>
    <row r="68" spans="5:48" hidden="1" x14ac:dyDescent="0.2">
      <c r="E68" t="s">
        <v>243</v>
      </c>
      <c r="F68">
        <v>5520</v>
      </c>
      <c r="G68">
        <v>429</v>
      </c>
      <c r="H68">
        <v>7888</v>
      </c>
      <c r="I68">
        <v>551</v>
      </c>
      <c r="J68">
        <v>31</v>
      </c>
      <c r="K68">
        <v>30</v>
      </c>
      <c r="L68">
        <v>471</v>
      </c>
      <c r="M68">
        <v>87</v>
      </c>
      <c r="N68">
        <v>3838</v>
      </c>
      <c r="O68">
        <v>452</v>
      </c>
      <c r="P68">
        <v>60.5</v>
      </c>
      <c r="Q68">
        <v>4608</v>
      </c>
      <c r="T68" t="s">
        <v>252</v>
      </c>
      <c r="U68">
        <v>8196</v>
      </c>
      <c r="V68">
        <v>80.3</v>
      </c>
      <c r="W68">
        <v>0.18862999999999999</v>
      </c>
      <c r="X68">
        <v>1519</v>
      </c>
      <c r="Y68">
        <v>18851</v>
      </c>
      <c r="Z68">
        <v>144.9</v>
      </c>
      <c r="AA68">
        <v>154.4</v>
      </c>
      <c r="AB68">
        <v>8196</v>
      </c>
      <c r="AC68">
        <v>80.3</v>
      </c>
      <c r="AD68">
        <v>0.18862999999999999</v>
      </c>
      <c r="AE68">
        <v>1519</v>
      </c>
      <c r="AF68">
        <v>18851</v>
      </c>
      <c r="AG68">
        <v>144.9</v>
      </c>
      <c r="AH68">
        <v>154.4</v>
      </c>
      <c r="AK68" t="s">
        <v>421</v>
      </c>
      <c r="AV68">
        <v>317</v>
      </c>
    </row>
    <row r="69" spans="5:48" hidden="1" x14ac:dyDescent="0.2">
      <c r="E69" t="s">
        <v>279</v>
      </c>
      <c r="F69">
        <v>261</v>
      </c>
      <c r="G69">
        <v>92</v>
      </c>
      <c r="H69">
        <v>1036</v>
      </c>
      <c r="I69">
        <v>850</v>
      </c>
      <c r="J69">
        <v>287</v>
      </c>
      <c r="K69">
        <v>276</v>
      </c>
      <c r="L69">
        <v>301</v>
      </c>
      <c r="M69">
        <v>261</v>
      </c>
      <c r="N69">
        <v>110</v>
      </c>
      <c r="O69">
        <v>0</v>
      </c>
      <c r="Q69">
        <v>0</v>
      </c>
      <c r="T69" t="s">
        <v>253</v>
      </c>
      <c r="U69">
        <v>18985</v>
      </c>
      <c r="V69">
        <v>61.4</v>
      </c>
      <c r="W69">
        <v>9.6180000000000002E-2</v>
      </c>
      <c r="X69">
        <v>8383</v>
      </c>
      <c r="Y69">
        <v>110882</v>
      </c>
      <c r="Z69">
        <v>62.2</v>
      </c>
      <c r="AA69">
        <v>64.5</v>
      </c>
      <c r="AB69">
        <v>18985</v>
      </c>
      <c r="AC69">
        <v>61.4</v>
      </c>
      <c r="AD69">
        <v>9.6180000000000002E-2</v>
      </c>
      <c r="AE69">
        <v>8383</v>
      </c>
      <c r="AF69">
        <v>110883</v>
      </c>
      <c r="AG69">
        <v>62.2</v>
      </c>
      <c r="AH69">
        <v>64.5</v>
      </c>
      <c r="AK69" t="s">
        <v>210</v>
      </c>
      <c r="AV69">
        <v>1145</v>
      </c>
    </row>
    <row r="70" spans="5:48" hidden="1" x14ac:dyDescent="0.2">
      <c r="E70" t="s">
        <v>245</v>
      </c>
      <c r="F70">
        <v>10847</v>
      </c>
      <c r="G70">
        <v>1836</v>
      </c>
      <c r="H70">
        <v>19278</v>
      </c>
      <c r="I70">
        <v>4603</v>
      </c>
      <c r="J70">
        <v>529</v>
      </c>
      <c r="K70">
        <v>525</v>
      </c>
      <c r="L70">
        <v>4435</v>
      </c>
      <c r="M70">
        <v>607</v>
      </c>
      <c r="N70">
        <v>1803</v>
      </c>
      <c r="O70">
        <v>2987</v>
      </c>
      <c r="P70">
        <v>99.6</v>
      </c>
      <c r="Q70">
        <v>12407</v>
      </c>
      <c r="T70" t="s">
        <v>254</v>
      </c>
      <c r="U70">
        <v>7865</v>
      </c>
      <c r="V70">
        <v>76.2</v>
      </c>
      <c r="W70">
        <v>0.18168999999999999</v>
      </c>
      <c r="X70">
        <v>1391</v>
      </c>
      <c r="Y70">
        <v>18820</v>
      </c>
      <c r="Z70">
        <v>126.3</v>
      </c>
      <c r="AA70">
        <v>135.1</v>
      </c>
      <c r="AB70">
        <v>7865</v>
      </c>
      <c r="AC70">
        <v>76.2</v>
      </c>
      <c r="AD70">
        <v>0.18168999999999999</v>
      </c>
      <c r="AE70">
        <v>1391</v>
      </c>
      <c r="AF70">
        <v>18820</v>
      </c>
      <c r="AG70">
        <v>126.3</v>
      </c>
      <c r="AH70">
        <v>135.1</v>
      </c>
      <c r="AK70" t="s">
        <v>415</v>
      </c>
      <c r="AV70">
        <v>47773</v>
      </c>
    </row>
    <row r="71" spans="5:48" hidden="1" x14ac:dyDescent="0.2">
      <c r="E71" t="s">
        <v>251</v>
      </c>
      <c r="F71">
        <v>6733</v>
      </c>
      <c r="G71">
        <v>326</v>
      </c>
      <c r="H71">
        <v>5019</v>
      </c>
      <c r="I71">
        <v>9</v>
      </c>
      <c r="J71">
        <v>13</v>
      </c>
      <c r="K71">
        <v>11</v>
      </c>
      <c r="L71">
        <v>108</v>
      </c>
      <c r="M71">
        <v>28</v>
      </c>
      <c r="N71">
        <v>4790</v>
      </c>
      <c r="O71">
        <v>1057</v>
      </c>
      <c r="P71">
        <v>39.5</v>
      </c>
      <c r="Q71">
        <v>2985</v>
      </c>
      <c r="T71" t="s">
        <v>255</v>
      </c>
      <c r="U71">
        <v>361466</v>
      </c>
      <c r="V71">
        <v>124.7</v>
      </c>
      <c r="W71">
        <v>0.35288999999999998</v>
      </c>
      <c r="X71">
        <v>70161</v>
      </c>
      <c r="Y71">
        <v>851092</v>
      </c>
      <c r="Z71">
        <v>174.4</v>
      </c>
      <c r="AA71">
        <v>193.3</v>
      </c>
      <c r="AB71">
        <v>361466</v>
      </c>
      <c r="AC71">
        <v>124.7</v>
      </c>
      <c r="AD71">
        <v>0.35288999999999998</v>
      </c>
      <c r="AE71">
        <v>70161</v>
      </c>
      <c r="AF71">
        <v>851091</v>
      </c>
      <c r="AG71">
        <v>174.4</v>
      </c>
      <c r="AH71">
        <v>193.3</v>
      </c>
      <c r="AK71" t="s">
        <v>7</v>
      </c>
      <c r="AL71">
        <v>212293</v>
      </c>
      <c r="AM71">
        <v>396.4</v>
      </c>
      <c r="AN71">
        <v>21949</v>
      </c>
      <c r="AO71">
        <v>58052</v>
      </c>
      <c r="AP71">
        <v>617.70000000000005</v>
      </c>
      <c r="AQ71">
        <v>22934</v>
      </c>
      <c r="AR71">
        <v>529.5</v>
      </c>
      <c r="AS71">
        <v>13004</v>
      </c>
      <c r="AT71">
        <v>182.4</v>
      </c>
      <c r="AU71">
        <v>406</v>
      </c>
      <c r="AV71">
        <v>306689</v>
      </c>
    </row>
    <row r="72" spans="5:48" hidden="1" x14ac:dyDescent="0.2">
      <c r="E72" t="s">
        <v>253</v>
      </c>
      <c r="F72">
        <v>23361</v>
      </c>
      <c r="G72">
        <v>2683</v>
      </c>
      <c r="H72">
        <v>33221</v>
      </c>
      <c r="I72">
        <v>6013</v>
      </c>
      <c r="J72">
        <v>860</v>
      </c>
      <c r="K72">
        <v>842</v>
      </c>
      <c r="L72">
        <v>5315</v>
      </c>
      <c r="M72">
        <v>983</v>
      </c>
      <c r="N72">
        <v>10541</v>
      </c>
      <c r="O72">
        <v>4496</v>
      </c>
      <c r="P72">
        <v>81.599999999999994</v>
      </c>
      <c r="Q72">
        <v>20000</v>
      </c>
      <c r="T72" t="s">
        <v>93</v>
      </c>
      <c r="U72">
        <v>19317</v>
      </c>
      <c r="V72">
        <v>125.6</v>
      </c>
      <c r="W72">
        <v>0.35988999999999999</v>
      </c>
      <c r="X72">
        <v>3445</v>
      </c>
      <c r="Y72">
        <v>40873</v>
      </c>
      <c r="Z72">
        <v>174.2</v>
      </c>
      <c r="AA72">
        <v>194.8</v>
      </c>
      <c r="AB72">
        <v>19056</v>
      </c>
      <c r="AC72">
        <v>125.6</v>
      </c>
      <c r="AD72">
        <v>0.35909999999999997</v>
      </c>
      <c r="AE72">
        <v>3415</v>
      </c>
      <c r="AF72">
        <v>40606</v>
      </c>
      <c r="AG72">
        <v>173</v>
      </c>
      <c r="AH72">
        <v>197.5</v>
      </c>
    </row>
    <row r="73" spans="5:48" hidden="1" x14ac:dyDescent="0.2">
      <c r="T73" t="s">
        <v>430</v>
      </c>
      <c r="U73">
        <v>846</v>
      </c>
      <c r="V73">
        <v>111.8</v>
      </c>
      <c r="W73">
        <v>0.33806000000000003</v>
      </c>
      <c r="X73">
        <v>88</v>
      </c>
      <c r="Y73">
        <v>613</v>
      </c>
      <c r="Z73">
        <v>165.5</v>
      </c>
      <c r="AA73">
        <v>217.9</v>
      </c>
      <c r="AB73">
        <v>124</v>
      </c>
      <c r="AC73">
        <v>67.8</v>
      </c>
      <c r="AD73">
        <v>0.1371</v>
      </c>
      <c r="AE73">
        <v>30</v>
      </c>
      <c r="AF73">
        <v>4896</v>
      </c>
      <c r="AG73">
        <v>176.4</v>
      </c>
      <c r="AH73">
        <v>186.6</v>
      </c>
    </row>
    <row r="74" spans="5:48" hidden="1" x14ac:dyDescent="0.2">
      <c r="T74" t="s">
        <v>152</v>
      </c>
      <c r="U74">
        <v>81521</v>
      </c>
      <c r="V74">
        <v>123.4</v>
      </c>
      <c r="W74">
        <v>0.34871000000000002</v>
      </c>
      <c r="X74">
        <v>17700</v>
      </c>
      <c r="Y74">
        <v>208504</v>
      </c>
      <c r="Z74">
        <v>163.69999999999999</v>
      </c>
      <c r="AA74">
        <v>182.8</v>
      </c>
      <c r="AB74">
        <v>77405</v>
      </c>
      <c r="AC74">
        <v>123.5</v>
      </c>
      <c r="AD74">
        <v>0.3463</v>
      </c>
      <c r="AE74">
        <v>16788</v>
      </c>
      <c r="AF74">
        <v>201257</v>
      </c>
      <c r="AG74">
        <v>162.4</v>
      </c>
      <c r="AH74">
        <v>182.1</v>
      </c>
    </row>
    <row r="75" spans="5:48" hidden="1" x14ac:dyDescent="0.2">
      <c r="T75" t="s">
        <v>256</v>
      </c>
      <c r="U75">
        <v>434</v>
      </c>
      <c r="V75">
        <v>110.6</v>
      </c>
      <c r="W75">
        <v>0.29263</v>
      </c>
      <c r="X75">
        <v>84</v>
      </c>
      <c r="Y75">
        <v>1131</v>
      </c>
      <c r="Z75">
        <v>166.2</v>
      </c>
      <c r="AA75">
        <v>174.1</v>
      </c>
      <c r="AB75">
        <v>779</v>
      </c>
      <c r="AC75">
        <v>130</v>
      </c>
      <c r="AD75">
        <v>0.46983000000000003</v>
      </c>
      <c r="AE75">
        <v>135</v>
      </c>
      <c r="AF75">
        <v>1694</v>
      </c>
      <c r="AG75">
        <v>162.9</v>
      </c>
      <c r="AH75">
        <v>196.1</v>
      </c>
    </row>
    <row r="76" spans="5:48" hidden="1" x14ac:dyDescent="0.2">
      <c r="T76" t="s">
        <v>95</v>
      </c>
      <c r="U76">
        <v>2748</v>
      </c>
      <c r="V76">
        <v>103.9</v>
      </c>
      <c r="W76">
        <v>0.27111000000000002</v>
      </c>
      <c r="X76">
        <v>443</v>
      </c>
      <c r="Y76">
        <v>5849</v>
      </c>
      <c r="Z76">
        <v>158.9</v>
      </c>
      <c r="AA76">
        <v>183.4</v>
      </c>
      <c r="AB76">
        <v>2732</v>
      </c>
      <c r="AC76">
        <v>102.5</v>
      </c>
      <c r="AD76">
        <v>0.26536999999999999</v>
      </c>
      <c r="AE76">
        <v>429</v>
      </c>
      <c r="AF76">
        <v>5728</v>
      </c>
      <c r="AG76">
        <v>156.69999999999999</v>
      </c>
      <c r="AH76">
        <v>183.8</v>
      </c>
    </row>
    <row r="77" spans="5:48" hidden="1" x14ac:dyDescent="0.2">
      <c r="P77" s="17"/>
      <c r="Q77" s="17"/>
      <c r="R77" s="17"/>
      <c r="S77" s="17"/>
      <c r="T77" t="s">
        <v>96</v>
      </c>
      <c r="U77">
        <v>895</v>
      </c>
      <c r="V77">
        <v>137</v>
      </c>
      <c r="W77">
        <v>0.37764999999999999</v>
      </c>
      <c r="X77">
        <v>145</v>
      </c>
      <c r="Y77">
        <v>2023</v>
      </c>
      <c r="Z77">
        <v>238.2</v>
      </c>
      <c r="AA77">
        <v>224.4</v>
      </c>
      <c r="AB77">
        <v>724</v>
      </c>
      <c r="AC77">
        <v>128.9</v>
      </c>
      <c r="AD77">
        <v>0.29282000000000002</v>
      </c>
      <c r="AE77">
        <v>97</v>
      </c>
      <c r="AF77">
        <v>1617</v>
      </c>
      <c r="AG77">
        <v>259.10000000000002</v>
      </c>
      <c r="AH77">
        <v>229.2</v>
      </c>
    </row>
    <row r="78" spans="5:48" hidden="1" x14ac:dyDescent="0.2">
      <c r="T78" t="s">
        <v>257</v>
      </c>
      <c r="U78">
        <v>19877</v>
      </c>
      <c r="V78">
        <v>124.3</v>
      </c>
      <c r="W78">
        <v>0.36318</v>
      </c>
      <c r="X78">
        <v>3534</v>
      </c>
      <c r="Y78">
        <v>40809</v>
      </c>
      <c r="Z78">
        <v>183.8</v>
      </c>
      <c r="AA78">
        <v>213</v>
      </c>
      <c r="AB78">
        <v>14606</v>
      </c>
      <c r="AC78">
        <v>110.9</v>
      </c>
      <c r="AD78">
        <v>0.29659000000000002</v>
      </c>
      <c r="AE78">
        <v>2431</v>
      </c>
      <c r="AF78">
        <v>29891</v>
      </c>
      <c r="AG78">
        <v>180.8</v>
      </c>
      <c r="AH78">
        <v>220.1</v>
      </c>
    </row>
    <row r="79" spans="5:48" hidden="1" x14ac:dyDescent="0.2">
      <c r="T79" t="s">
        <v>258</v>
      </c>
      <c r="U79">
        <v>3504</v>
      </c>
      <c r="V79">
        <v>80.400000000000006</v>
      </c>
      <c r="W79">
        <v>0.20177</v>
      </c>
      <c r="X79">
        <v>695</v>
      </c>
      <c r="Y79">
        <v>7187</v>
      </c>
      <c r="Z79">
        <v>140.19999999999999</v>
      </c>
      <c r="AA79">
        <v>127.6</v>
      </c>
      <c r="AB79">
        <v>4274</v>
      </c>
      <c r="AC79">
        <v>77.2</v>
      </c>
      <c r="AD79">
        <v>0.18109</v>
      </c>
      <c r="AE79">
        <v>747</v>
      </c>
      <c r="AF79">
        <v>7366</v>
      </c>
      <c r="AG79">
        <v>139</v>
      </c>
      <c r="AH79">
        <v>127.6</v>
      </c>
    </row>
    <row r="80" spans="5:48" hidden="1" x14ac:dyDescent="0.2">
      <c r="T80" t="s">
        <v>259</v>
      </c>
      <c r="U80">
        <v>2965</v>
      </c>
      <c r="V80">
        <v>88.7</v>
      </c>
      <c r="W80">
        <v>0.24958</v>
      </c>
      <c r="X80">
        <v>569</v>
      </c>
      <c r="Y80">
        <v>8302</v>
      </c>
      <c r="Z80">
        <v>149.5</v>
      </c>
      <c r="AA80">
        <v>151.80000000000001</v>
      </c>
      <c r="AB80">
        <v>3942</v>
      </c>
      <c r="AC80">
        <v>83.1</v>
      </c>
      <c r="AD80">
        <v>0.20902999999999999</v>
      </c>
      <c r="AE80">
        <v>626</v>
      </c>
      <c r="AF80">
        <v>8556</v>
      </c>
      <c r="AG80">
        <v>147.4</v>
      </c>
      <c r="AH80">
        <v>151.19999999999999</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c r="T83" t="s">
        <v>471</v>
      </c>
    </row>
    <row r="115" spans="1:37" x14ac:dyDescent="0.2">
      <c r="A115" s="276" t="s">
        <v>454</v>
      </c>
      <c r="B115" s="277"/>
      <c r="C115" s="277"/>
    </row>
    <row r="116" spans="1:37" ht="13.5" thickBot="1" x14ac:dyDescent="0.25">
      <c r="A116" s="275" t="s">
        <v>449</v>
      </c>
      <c r="B116" s="275" t="s">
        <v>450</v>
      </c>
      <c r="C116" s="275" t="s">
        <v>451</v>
      </c>
      <c r="D116" s="275" t="s">
        <v>452</v>
      </c>
      <c r="E116" s="275" t="s">
        <v>453</v>
      </c>
    </row>
    <row r="117" spans="1:37" ht="13.5" thickBot="1" x14ac:dyDescent="0.25">
      <c r="A117" s="273" t="s">
        <v>264</v>
      </c>
      <c r="B117" s="274"/>
      <c r="C117" s="274"/>
      <c r="D117" s="79"/>
      <c r="E117" s="79"/>
      <c r="F117" s="79"/>
      <c r="G117" s="79"/>
      <c r="H117" s="79"/>
      <c r="I117" s="79"/>
      <c r="J117" s="79"/>
      <c r="K117" s="79"/>
      <c r="L117" s="79"/>
      <c r="M117" s="79"/>
      <c r="N117" s="79"/>
      <c r="O117" s="79"/>
      <c r="P117" s="79"/>
      <c r="Q117" s="79"/>
      <c r="R117" s="79"/>
      <c r="S117" s="79"/>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149</v>
      </c>
      <c r="B118" s="36" t="s">
        <v>46</v>
      </c>
      <c r="C118" s="36" t="s">
        <v>48</v>
      </c>
      <c r="D118" s="36" t="s">
        <v>33</v>
      </c>
      <c r="E118" s="36" t="s">
        <v>51</v>
      </c>
      <c r="F118" s="36" t="s">
        <v>55</v>
      </c>
      <c r="G118" s="36" t="s">
        <v>58</v>
      </c>
      <c r="H118" s="36" t="s">
        <v>62</v>
      </c>
      <c r="I118" s="36" t="s">
        <v>68</v>
      </c>
      <c r="J118" s="36" t="s">
        <v>74</v>
      </c>
      <c r="K118" s="36" t="s">
        <v>75</v>
      </c>
      <c r="L118" s="78" t="s">
        <v>261</v>
      </c>
      <c r="M118" s="36" t="s">
        <v>79</v>
      </c>
      <c r="N118" s="36" t="s">
        <v>81</v>
      </c>
      <c r="O118" s="36" t="s">
        <v>92</v>
      </c>
      <c r="P118" s="36" t="s">
        <v>256</v>
      </c>
      <c r="Q118" s="40" t="s">
        <v>96</v>
      </c>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150</v>
      </c>
      <c r="B119" s="36" t="s">
        <v>34</v>
      </c>
      <c r="C119" s="36" t="s">
        <v>52</v>
      </c>
      <c r="D119" s="36" t="s">
        <v>61</v>
      </c>
      <c r="E119" s="5" t="s">
        <v>63</v>
      </c>
      <c r="F119" s="36" t="s">
        <v>67</v>
      </c>
      <c r="G119" s="36" t="s">
        <v>71</v>
      </c>
      <c r="H119" s="36" t="s">
        <v>72</v>
      </c>
      <c r="I119" s="36" t="s">
        <v>83</v>
      </c>
      <c r="J119" s="36" t="s">
        <v>86</v>
      </c>
      <c r="K119" s="36" t="s">
        <v>91</v>
      </c>
      <c r="L119" s="75" t="s">
        <v>260</v>
      </c>
      <c r="N119" s="36"/>
      <c r="O119" s="36"/>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151</v>
      </c>
      <c r="B120" s="36" t="s">
        <v>50</v>
      </c>
      <c r="C120" s="36" t="s">
        <v>54</v>
      </c>
      <c r="D120" s="36" t="s">
        <v>56</v>
      </c>
      <c r="E120" s="36" t="s">
        <v>60</v>
      </c>
      <c r="F120" s="36" t="s">
        <v>64</v>
      </c>
      <c r="G120" s="36" t="s">
        <v>65</v>
      </c>
      <c r="H120" s="5" t="s">
        <v>265</v>
      </c>
      <c r="I120" s="36" t="s">
        <v>36</v>
      </c>
      <c r="J120" s="36" t="s">
        <v>73</v>
      </c>
      <c r="K120" s="36" t="s">
        <v>88</v>
      </c>
      <c r="L120" s="36" t="s">
        <v>89</v>
      </c>
      <c r="M120" s="74" t="s">
        <v>266</v>
      </c>
      <c r="N120" s="36" t="s">
        <v>93</v>
      </c>
      <c r="O120" s="36" t="s">
        <v>95</v>
      </c>
      <c r="P120" s="36"/>
      <c r="Q120" s="40"/>
      <c r="R120" s="36"/>
      <c r="T120" s="36"/>
      <c r="U120" s="36"/>
      <c r="V120" s="36"/>
      <c r="W120" s="36"/>
      <c r="X120" s="36"/>
      <c r="Y120" s="36"/>
      <c r="Z120" s="36"/>
      <c r="AA120" s="36"/>
      <c r="AB120" s="36"/>
      <c r="AC120" s="36"/>
      <c r="AD120" s="36"/>
      <c r="AE120" s="36"/>
      <c r="AF120" s="36"/>
      <c r="AG120" s="36"/>
      <c r="AH120" s="36"/>
      <c r="AI120" s="36"/>
      <c r="AJ120" s="36"/>
      <c r="AK120" s="36"/>
    </row>
    <row r="121" spans="1:37" x14ac:dyDescent="0.2">
      <c r="A121" s="39" t="s">
        <v>152</v>
      </c>
      <c r="B121" s="36" t="s">
        <v>44</v>
      </c>
      <c r="C121" s="36" t="s">
        <v>45</v>
      </c>
      <c r="D121" s="36" t="s">
        <v>47</v>
      </c>
      <c r="E121" s="5" t="s">
        <v>49</v>
      </c>
      <c r="F121" s="5" t="s">
        <v>53</v>
      </c>
      <c r="G121" s="5" t="s">
        <v>205</v>
      </c>
      <c r="H121" s="36" t="s">
        <v>59</v>
      </c>
      <c r="I121" s="36" t="s">
        <v>66</v>
      </c>
      <c r="J121" s="36" t="s">
        <v>69</v>
      </c>
      <c r="K121" s="36" t="s">
        <v>76</v>
      </c>
      <c r="L121" s="36" t="s">
        <v>78</v>
      </c>
      <c r="M121" s="36" t="s">
        <v>80</v>
      </c>
      <c r="N121" s="36" t="s">
        <v>82</v>
      </c>
      <c r="O121" s="5" t="s">
        <v>263</v>
      </c>
      <c r="P121" s="5" t="s">
        <v>262</v>
      </c>
      <c r="Q121" s="40" t="s">
        <v>87</v>
      </c>
      <c r="R121" s="5"/>
      <c r="T121" s="36"/>
      <c r="U121" s="36"/>
      <c r="V121" s="36"/>
      <c r="W121" s="36"/>
      <c r="X121" s="36"/>
      <c r="Y121" s="36"/>
      <c r="Z121" s="36"/>
      <c r="AA121" s="36"/>
      <c r="AB121" s="36"/>
      <c r="AC121" s="36"/>
      <c r="AD121" s="36"/>
      <c r="AE121" s="36"/>
      <c r="AF121" s="36"/>
      <c r="AG121" s="36"/>
      <c r="AH121" s="36"/>
      <c r="AI121" s="36"/>
      <c r="AJ121" s="36"/>
      <c r="AK121" s="36"/>
    </row>
    <row r="122" spans="1:37" ht="13.5" thickBot="1" x14ac:dyDescent="0.25">
      <c r="A122" s="71" t="s">
        <v>9</v>
      </c>
      <c r="B122" s="72"/>
      <c r="C122" s="77"/>
      <c r="D122" s="77"/>
      <c r="E122" s="77"/>
      <c r="F122" s="77"/>
      <c r="G122" s="77"/>
      <c r="H122" s="77"/>
      <c r="I122" s="77"/>
      <c r="J122" s="77"/>
      <c r="K122" s="77"/>
      <c r="L122" s="77"/>
      <c r="M122" s="77"/>
      <c r="N122" s="77"/>
      <c r="O122" s="77"/>
      <c r="P122" s="77"/>
      <c r="Q122" s="77"/>
      <c r="R122" s="77"/>
      <c r="S122" s="77"/>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590" t="s">
        <v>455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41"/>
      <c r="AC1" s="37"/>
      <c r="AD1" s="566" t="s">
        <v>456</v>
      </c>
      <c r="AE1" s="566"/>
      <c r="AF1" s="566"/>
      <c r="AG1" s="566"/>
      <c r="AH1" s="566"/>
      <c r="AI1" s="566"/>
      <c r="AJ1" s="566"/>
      <c r="AK1" s="566"/>
      <c r="AL1" s="566"/>
      <c r="AM1" s="566"/>
      <c r="AN1" s="566"/>
      <c r="AO1" s="566"/>
      <c r="AP1" s="566"/>
      <c r="AQ1" s="566"/>
    </row>
    <row r="2" spans="1:43" ht="13.5" customHeight="1" thickBot="1" x14ac:dyDescent="0.25">
      <c r="A2" s="37"/>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41"/>
      <c r="AC2" s="37"/>
      <c r="AD2" s="566"/>
      <c r="AE2" s="566"/>
      <c r="AF2" s="566"/>
      <c r="AG2" s="566"/>
      <c r="AH2" s="566"/>
      <c r="AI2" s="566"/>
      <c r="AJ2" s="566"/>
      <c r="AK2" s="566"/>
      <c r="AL2" s="566"/>
      <c r="AM2" s="566"/>
      <c r="AN2" s="566"/>
      <c r="AO2" s="566"/>
      <c r="AP2" s="566"/>
      <c r="AQ2" s="566"/>
    </row>
    <row r="3" spans="1:43" ht="21" thickTop="1" x14ac:dyDescent="0.2">
      <c r="A3" s="37"/>
      <c r="B3" s="588" t="s">
        <v>458</v>
      </c>
      <c r="C3" s="589"/>
      <c r="D3" s="589"/>
      <c r="E3" s="589"/>
      <c r="F3" s="595" t="s">
        <v>436</v>
      </c>
      <c r="G3" s="595"/>
      <c r="H3" s="595"/>
      <c r="I3" s="595"/>
      <c r="J3" s="595"/>
      <c r="K3" s="595"/>
      <c r="L3" s="595"/>
      <c r="M3" s="595"/>
      <c r="N3" s="596"/>
      <c r="O3" s="41"/>
      <c r="P3" s="588" t="s">
        <v>458</v>
      </c>
      <c r="Q3" s="589"/>
      <c r="R3" s="589"/>
      <c r="S3" s="589"/>
      <c r="T3" s="595" t="s">
        <v>437</v>
      </c>
      <c r="U3" s="595"/>
      <c r="V3" s="595"/>
      <c r="W3" s="595"/>
      <c r="X3" s="595"/>
      <c r="Y3" s="595"/>
      <c r="Z3" s="595"/>
      <c r="AA3" s="595"/>
      <c r="AB3" s="596"/>
      <c r="AC3" s="37"/>
      <c r="AF3" s="571" t="s">
        <v>220</v>
      </c>
      <c r="AG3" s="572"/>
      <c r="AH3" s="573"/>
      <c r="AI3" s="571" t="s">
        <v>221</v>
      </c>
      <c r="AJ3" s="572"/>
      <c r="AK3" s="573"/>
      <c r="AL3" s="571" t="s">
        <v>219</v>
      </c>
      <c r="AM3" s="572"/>
      <c r="AN3" s="573"/>
      <c r="AO3" s="571" t="s">
        <v>218</v>
      </c>
      <c r="AP3" s="572"/>
      <c r="AQ3" s="577"/>
    </row>
    <row r="4" spans="1:43" ht="13.5" customHeight="1" thickBot="1" x14ac:dyDescent="0.25">
      <c r="A4" s="37"/>
      <c r="B4" s="296"/>
      <c r="C4" s="580" t="s">
        <v>459</v>
      </c>
      <c r="D4" s="581"/>
      <c r="E4" s="591" t="s">
        <v>439</v>
      </c>
      <c r="F4" s="591"/>
      <c r="G4" s="591"/>
      <c r="H4" s="303"/>
      <c r="I4" s="303"/>
      <c r="J4" s="303"/>
      <c r="K4" s="591" t="s">
        <v>438</v>
      </c>
      <c r="L4" s="591"/>
      <c r="M4" s="592"/>
      <c r="N4" s="297"/>
      <c r="O4" s="41"/>
      <c r="P4" s="296"/>
      <c r="Q4" s="580" t="s">
        <v>459</v>
      </c>
      <c r="R4" s="581"/>
      <c r="S4" s="591" t="s">
        <v>439</v>
      </c>
      <c r="T4" s="591"/>
      <c r="U4" s="591"/>
      <c r="V4" s="303"/>
      <c r="W4" s="303"/>
      <c r="X4" s="303"/>
      <c r="Y4" s="591" t="s">
        <v>217</v>
      </c>
      <c r="Z4" s="591"/>
      <c r="AA4" s="592"/>
      <c r="AB4" s="297"/>
      <c r="AC4" s="37"/>
      <c r="AD4" s="579"/>
      <c r="AE4" s="579"/>
      <c r="AF4" s="574"/>
      <c r="AG4" s="575"/>
      <c r="AH4" s="576"/>
      <c r="AI4" s="574"/>
      <c r="AJ4" s="575"/>
      <c r="AK4" s="576"/>
      <c r="AL4" s="574"/>
      <c r="AM4" s="575"/>
      <c r="AN4" s="576"/>
      <c r="AO4" s="574"/>
      <c r="AP4" s="575"/>
      <c r="AQ4" s="578"/>
    </row>
    <row r="5" spans="1:43" ht="12.75" customHeight="1" thickBot="1" x14ac:dyDescent="0.25">
      <c r="A5" s="37"/>
      <c r="B5" s="293"/>
      <c r="C5" s="584" t="s">
        <v>460</v>
      </c>
      <c r="D5" s="585"/>
      <c r="E5" s="567" t="s">
        <v>221</v>
      </c>
      <c r="F5" s="567"/>
      <c r="G5" s="567"/>
      <c r="H5" s="304"/>
      <c r="I5" s="304"/>
      <c r="J5" s="304"/>
      <c r="K5" s="567" t="s">
        <v>220</v>
      </c>
      <c r="L5" s="567"/>
      <c r="M5" s="569"/>
      <c r="N5" s="289"/>
      <c r="O5" s="37"/>
      <c r="P5" s="293"/>
      <c r="Q5" s="593" t="s">
        <v>460</v>
      </c>
      <c r="R5" s="594"/>
      <c r="S5" s="567" t="s">
        <v>219</v>
      </c>
      <c r="T5" s="567"/>
      <c r="U5" s="567"/>
      <c r="V5" s="304"/>
      <c r="W5" s="304"/>
      <c r="X5" s="304"/>
      <c r="Y5" s="567" t="s">
        <v>218</v>
      </c>
      <c r="Z5" s="567"/>
      <c r="AA5" s="569"/>
      <c r="AB5" s="289"/>
      <c r="AC5" s="37"/>
      <c r="AD5" s="284"/>
      <c r="AE5" s="284"/>
      <c r="AF5" s="351"/>
      <c r="AG5" s="307"/>
      <c r="AH5" s="352"/>
      <c r="AI5" s="307"/>
      <c r="AJ5" s="307"/>
      <c r="AK5" s="307"/>
      <c r="AL5" s="351"/>
      <c r="AM5" s="307"/>
      <c r="AN5" s="352"/>
      <c r="AO5" s="307"/>
      <c r="AP5" s="307"/>
      <c r="AQ5" s="308"/>
    </row>
    <row r="6" spans="1:43" ht="13.5" thickTop="1" x14ac:dyDescent="0.2">
      <c r="A6" s="37"/>
      <c r="B6" s="293"/>
      <c r="C6" s="586"/>
      <c r="D6" s="587"/>
      <c r="E6" s="568"/>
      <c r="F6" s="568"/>
      <c r="G6" s="568"/>
      <c r="H6" s="306"/>
      <c r="I6" s="306"/>
      <c r="J6" s="306"/>
      <c r="K6" s="568"/>
      <c r="L6" s="568"/>
      <c r="M6" s="570"/>
      <c r="N6" s="289"/>
      <c r="O6" s="37"/>
      <c r="P6" s="293"/>
      <c r="Q6" s="305"/>
      <c r="R6" s="306"/>
      <c r="S6" s="568"/>
      <c r="T6" s="568"/>
      <c r="U6" s="568"/>
      <c r="V6" s="306"/>
      <c r="W6" s="306"/>
      <c r="X6" s="306"/>
      <c r="Y6" s="568"/>
      <c r="Z6" s="568"/>
      <c r="AA6" s="570"/>
      <c r="AB6" s="289"/>
      <c r="AC6" s="37"/>
      <c r="AD6" s="318"/>
      <c r="AE6" s="343"/>
      <c r="AF6" s="353" t="s">
        <v>158</v>
      </c>
      <c r="AG6" s="320" t="s">
        <v>156</v>
      </c>
      <c r="AH6" s="354" t="s">
        <v>157</v>
      </c>
      <c r="AI6" s="319" t="s">
        <v>158</v>
      </c>
      <c r="AJ6" s="320" t="s">
        <v>156</v>
      </c>
      <c r="AK6" s="370" t="s">
        <v>157</v>
      </c>
      <c r="AL6" s="353" t="s">
        <v>158</v>
      </c>
      <c r="AM6" s="320" t="s">
        <v>156</v>
      </c>
      <c r="AN6" s="354" t="s">
        <v>157</v>
      </c>
      <c r="AO6" s="319" t="s">
        <v>158</v>
      </c>
      <c r="AP6" s="320" t="s">
        <v>156</v>
      </c>
      <c r="AQ6" s="321" t="s">
        <v>157</v>
      </c>
    </row>
    <row r="7" spans="1:43" ht="13.5" thickBot="1" x14ac:dyDescent="0.25">
      <c r="A7" s="37"/>
      <c r="B7" s="293"/>
      <c r="C7" s="582" t="s">
        <v>461</v>
      </c>
      <c r="D7" s="583"/>
      <c r="E7" s="583"/>
      <c r="F7" s="583"/>
      <c r="G7" s="583"/>
      <c r="H7" s="37"/>
      <c r="I7" s="582" t="s">
        <v>461</v>
      </c>
      <c r="J7" s="583"/>
      <c r="K7" s="583"/>
      <c r="L7" s="583"/>
      <c r="M7" s="583"/>
      <c r="N7" s="289"/>
      <c r="O7" s="37"/>
      <c r="P7" s="293"/>
      <c r="Q7" s="582" t="s">
        <v>461</v>
      </c>
      <c r="R7" s="583"/>
      <c r="S7" s="583"/>
      <c r="T7" s="583"/>
      <c r="U7" s="583"/>
      <c r="V7" s="37"/>
      <c r="W7" s="582" t="s">
        <v>461</v>
      </c>
      <c r="X7" s="583"/>
      <c r="Y7" s="583"/>
      <c r="Z7" s="583"/>
      <c r="AA7" s="583"/>
      <c r="AB7" s="289"/>
      <c r="AC7" s="37"/>
      <c r="AD7" s="322" t="s">
        <v>7</v>
      </c>
      <c r="AE7" s="344" t="s">
        <v>214</v>
      </c>
      <c r="AF7" s="355">
        <v>0.96182586538183501</v>
      </c>
      <c r="AG7" s="257">
        <v>464</v>
      </c>
      <c r="AH7" s="356">
        <v>11002</v>
      </c>
      <c r="AI7" s="281">
        <v>0.90110625575584102</v>
      </c>
      <c r="AJ7" s="257">
        <v>236</v>
      </c>
      <c r="AK7" s="371">
        <v>2262</v>
      </c>
      <c r="AL7" s="355">
        <v>0.90686154524513996</v>
      </c>
      <c r="AM7" s="257">
        <v>1124</v>
      </c>
      <c r="AN7" s="356">
        <v>12252</v>
      </c>
      <c r="AO7" s="281">
        <v>0.91566535234070101</v>
      </c>
      <c r="AP7" s="257">
        <v>962</v>
      </c>
      <c r="AQ7" s="323">
        <v>12201</v>
      </c>
    </row>
    <row r="8" spans="1:43" ht="13.5" thickTop="1" x14ac:dyDescent="0.2">
      <c r="A8" s="37"/>
      <c r="B8" s="293"/>
      <c r="C8" s="384"/>
      <c r="D8" s="385"/>
      <c r="E8" s="386" t="s">
        <v>156</v>
      </c>
      <c r="F8" s="387" t="s">
        <v>157</v>
      </c>
      <c r="G8" s="388" t="s">
        <v>158</v>
      </c>
      <c r="H8" s="37"/>
      <c r="I8" s="397"/>
      <c r="J8" s="398"/>
      <c r="K8" s="399" t="s">
        <v>156</v>
      </c>
      <c r="L8" s="398" t="s">
        <v>157</v>
      </c>
      <c r="M8" s="400" t="s">
        <v>158</v>
      </c>
      <c r="N8" s="290"/>
      <c r="O8" s="37"/>
      <c r="P8" s="293"/>
      <c r="Q8" s="397"/>
      <c r="R8" s="398"/>
      <c r="S8" s="399" t="s">
        <v>156</v>
      </c>
      <c r="T8" s="398" t="s">
        <v>157</v>
      </c>
      <c r="U8" s="400" t="s">
        <v>158</v>
      </c>
      <c r="V8" s="37"/>
      <c r="W8" s="397"/>
      <c r="X8" s="398"/>
      <c r="Y8" s="399" t="s">
        <v>156</v>
      </c>
      <c r="Z8" s="398" t="s">
        <v>157</v>
      </c>
      <c r="AA8" s="400" t="s">
        <v>158</v>
      </c>
      <c r="AB8" s="290"/>
      <c r="AC8" s="37"/>
      <c r="AD8" s="324" t="s">
        <v>19</v>
      </c>
      <c r="AE8" s="259"/>
      <c r="AF8" s="357">
        <v>0.93971977842945587</v>
      </c>
      <c r="AG8" s="260">
        <v>185</v>
      </c>
      <c r="AH8" s="358">
        <v>3069</v>
      </c>
      <c r="AI8" s="345">
        <v>0.8621700879765396</v>
      </c>
      <c r="AJ8" s="260">
        <v>94</v>
      </c>
      <c r="AK8" s="372">
        <v>682</v>
      </c>
      <c r="AL8" s="357">
        <v>0.89067796610169492</v>
      </c>
      <c r="AM8" s="260">
        <v>387</v>
      </c>
      <c r="AN8" s="358">
        <v>3540</v>
      </c>
      <c r="AO8" s="345">
        <v>0.90233362143474505</v>
      </c>
      <c r="AP8" s="260">
        <v>339</v>
      </c>
      <c r="AQ8" s="325">
        <v>3471</v>
      </c>
    </row>
    <row r="9" spans="1:43" x14ac:dyDescent="0.2">
      <c r="A9" s="37"/>
      <c r="B9" s="293"/>
      <c r="C9" s="389" t="s">
        <v>48</v>
      </c>
      <c r="D9" s="390" t="s">
        <v>159</v>
      </c>
      <c r="E9" s="391">
        <v>6</v>
      </c>
      <c r="F9" s="391">
        <v>41</v>
      </c>
      <c r="G9" s="392">
        <v>0.85724912090884497</v>
      </c>
      <c r="H9" s="37"/>
      <c r="I9" s="389" t="s">
        <v>48</v>
      </c>
      <c r="J9" s="390" t="s">
        <v>159</v>
      </c>
      <c r="K9" s="401">
        <v>16</v>
      </c>
      <c r="L9" s="401">
        <v>155</v>
      </c>
      <c r="M9" s="402">
        <v>0.89547703739678597</v>
      </c>
      <c r="N9" s="291"/>
      <c r="O9" s="37"/>
      <c r="P9" s="293"/>
      <c r="Q9" s="389" t="s">
        <v>48</v>
      </c>
      <c r="R9" s="390" t="s">
        <v>159</v>
      </c>
      <c r="S9" s="401">
        <v>23</v>
      </c>
      <c r="T9" s="401">
        <v>218</v>
      </c>
      <c r="U9" s="402">
        <v>0.88080231846990098</v>
      </c>
      <c r="V9" s="37"/>
      <c r="W9" s="389" t="s">
        <v>48</v>
      </c>
      <c r="X9" s="390" t="s">
        <v>159</v>
      </c>
      <c r="Y9" s="401">
        <v>25</v>
      </c>
      <c r="Z9" s="401">
        <v>218</v>
      </c>
      <c r="AA9" s="402">
        <v>0.875619030977979</v>
      </c>
      <c r="AB9" s="291"/>
      <c r="AC9" s="37"/>
      <c r="AD9" s="326" t="s">
        <v>46</v>
      </c>
      <c r="AE9" s="261" t="s">
        <v>166</v>
      </c>
      <c r="AF9" s="359">
        <v>0.93134075670949401</v>
      </c>
      <c r="AG9" s="262">
        <v>17</v>
      </c>
      <c r="AH9" s="360">
        <v>254</v>
      </c>
      <c r="AI9" s="346">
        <v>0.87277920163492295</v>
      </c>
      <c r="AJ9" s="262">
        <v>8</v>
      </c>
      <c r="AK9" s="373">
        <v>66</v>
      </c>
      <c r="AL9" s="359">
        <v>0.83221513545106196</v>
      </c>
      <c r="AM9" s="262">
        <v>44</v>
      </c>
      <c r="AN9" s="360">
        <v>270</v>
      </c>
      <c r="AO9" s="346">
        <v>0.838307117718883</v>
      </c>
      <c r="AP9" s="262">
        <v>40</v>
      </c>
      <c r="AQ9" s="327">
        <v>249</v>
      </c>
    </row>
    <row r="10" spans="1:43" x14ac:dyDescent="0.2">
      <c r="A10" s="37"/>
      <c r="B10" s="293"/>
      <c r="C10" s="389" t="s">
        <v>81</v>
      </c>
      <c r="D10" s="390" t="s">
        <v>160</v>
      </c>
      <c r="E10" s="391">
        <v>8</v>
      </c>
      <c r="F10" s="391">
        <v>31</v>
      </c>
      <c r="G10" s="392">
        <v>0.74662914896060595</v>
      </c>
      <c r="H10" s="37"/>
      <c r="I10" s="389" t="s">
        <v>81</v>
      </c>
      <c r="J10" s="390" t="s">
        <v>160</v>
      </c>
      <c r="K10" s="401">
        <v>13</v>
      </c>
      <c r="L10" s="401">
        <v>297</v>
      </c>
      <c r="M10" s="402">
        <v>0.95877532475481597</v>
      </c>
      <c r="N10" s="291"/>
      <c r="O10" s="37"/>
      <c r="P10" s="293"/>
      <c r="Q10" s="389" t="s">
        <v>81</v>
      </c>
      <c r="R10" s="390" t="s">
        <v>160</v>
      </c>
      <c r="S10" s="401">
        <v>25</v>
      </c>
      <c r="T10" s="401">
        <v>235</v>
      </c>
      <c r="U10" s="402">
        <v>0.87104958417637701</v>
      </c>
      <c r="V10" s="37"/>
      <c r="W10" s="389" t="s">
        <v>81</v>
      </c>
      <c r="X10" s="390" t="s">
        <v>160</v>
      </c>
      <c r="Y10" s="401">
        <v>12</v>
      </c>
      <c r="Z10" s="401">
        <v>232</v>
      </c>
      <c r="AA10" s="402">
        <v>0.94176371022342598</v>
      </c>
      <c r="AB10" s="291"/>
      <c r="AC10" s="37"/>
      <c r="AD10" s="326" t="s">
        <v>48</v>
      </c>
      <c r="AE10" s="261" t="s">
        <v>159</v>
      </c>
      <c r="AF10" s="359">
        <v>0.89547703739678597</v>
      </c>
      <c r="AG10" s="262">
        <v>16</v>
      </c>
      <c r="AH10" s="360">
        <v>155</v>
      </c>
      <c r="AI10" s="346">
        <v>0.85724912090884497</v>
      </c>
      <c r="AJ10" s="262">
        <v>6</v>
      </c>
      <c r="AK10" s="373">
        <v>41</v>
      </c>
      <c r="AL10" s="359">
        <v>0.88080231846990098</v>
      </c>
      <c r="AM10" s="262">
        <v>23</v>
      </c>
      <c r="AN10" s="360">
        <v>218</v>
      </c>
      <c r="AO10" s="346">
        <v>0.875619030977979</v>
      </c>
      <c r="AP10" s="262">
        <v>25</v>
      </c>
      <c r="AQ10" s="327">
        <v>218</v>
      </c>
    </row>
    <row r="11" spans="1:43" x14ac:dyDescent="0.2">
      <c r="A11" s="37"/>
      <c r="B11" s="293"/>
      <c r="C11" s="389" t="s">
        <v>74</v>
      </c>
      <c r="D11" s="390" t="s">
        <v>161</v>
      </c>
      <c r="E11" s="391">
        <v>4</v>
      </c>
      <c r="F11" s="391">
        <v>40</v>
      </c>
      <c r="G11" s="392">
        <v>0.89254704199909696</v>
      </c>
      <c r="H11" s="37"/>
      <c r="I11" s="389" t="s">
        <v>74</v>
      </c>
      <c r="J11" s="390" t="s">
        <v>161</v>
      </c>
      <c r="K11" s="401">
        <v>9</v>
      </c>
      <c r="L11" s="401">
        <v>168</v>
      </c>
      <c r="M11" s="402">
        <v>0.94380649199729905</v>
      </c>
      <c r="N11" s="291"/>
      <c r="O11" s="37"/>
      <c r="P11" s="293"/>
      <c r="Q11" s="389" t="s">
        <v>74</v>
      </c>
      <c r="R11" s="390" t="s">
        <v>161</v>
      </c>
      <c r="S11" s="401">
        <v>20</v>
      </c>
      <c r="T11" s="401">
        <v>211</v>
      </c>
      <c r="U11" s="402">
        <v>0.90507961152224703</v>
      </c>
      <c r="V11" s="37"/>
      <c r="W11" s="389" t="s">
        <v>74</v>
      </c>
      <c r="X11" s="390" t="s">
        <v>161</v>
      </c>
      <c r="Y11" s="401">
        <v>21</v>
      </c>
      <c r="Z11" s="401">
        <v>207</v>
      </c>
      <c r="AA11" s="402">
        <v>0.89503876121664205</v>
      </c>
      <c r="AB11" s="291"/>
      <c r="AC11" s="37"/>
      <c r="AD11" s="326" t="s">
        <v>33</v>
      </c>
      <c r="AE11" s="261" t="s">
        <v>162</v>
      </c>
      <c r="AF11" s="359">
        <v>0.904607622028753</v>
      </c>
      <c r="AG11" s="262">
        <v>13</v>
      </c>
      <c r="AH11" s="360">
        <v>142</v>
      </c>
      <c r="AI11" s="346">
        <v>0.84031885306905896</v>
      </c>
      <c r="AJ11" s="262">
        <v>6</v>
      </c>
      <c r="AK11" s="373">
        <v>39</v>
      </c>
      <c r="AL11" s="359">
        <v>0.90570831544015995</v>
      </c>
      <c r="AM11" s="262">
        <v>19</v>
      </c>
      <c r="AN11" s="360">
        <v>215</v>
      </c>
      <c r="AO11" s="346">
        <v>0.87463737062674496</v>
      </c>
      <c r="AP11" s="262">
        <v>29</v>
      </c>
      <c r="AQ11" s="327">
        <v>220</v>
      </c>
    </row>
    <row r="12" spans="1:43" x14ac:dyDescent="0.2">
      <c r="A12" s="37"/>
      <c r="B12" s="293"/>
      <c r="C12" s="389" t="s">
        <v>33</v>
      </c>
      <c r="D12" s="390" t="s">
        <v>162</v>
      </c>
      <c r="E12" s="391">
        <v>6</v>
      </c>
      <c r="F12" s="391">
        <v>39</v>
      </c>
      <c r="G12" s="392">
        <v>0.84031885306905896</v>
      </c>
      <c r="H12" s="37"/>
      <c r="I12" s="389" t="s">
        <v>33</v>
      </c>
      <c r="J12" s="390" t="s">
        <v>162</v>
      </c>
      <c r="K12" s="401">
        <v>13</v>
      </c>
      <c r="L12" s="401">
        <v>142</v>
      </c>
      <c r="M12" s="402">
        <v>0.904607622028753</v>
      </c>
      <c r="N12" s="291"/>
      <c r="O12" s="37"/>
      <c r="P12" s="293"/>
      <c r="Q12" s="389" t="s">
        <v>33</v>
      </c>
      <c r="R12" s="390" t="s">
        <v>162</v>
      </c>
      <c r="S12" s="401">
        <v>19</v>
      </c>
      <c r="T12" s="401">
        <v>215</v>
      </c>
      <c r="U12" s="402">
        <v>0.90570831544015995</v>
      </c>
      <c r="V12" s="37"/>
      <c r="W12" s="389" t="s">
        <v>33</v>
      </c>
      <c r="X12" s="390" t="s">
        <v>162</v>
      </c>
      <c r="Y12" s="401">
        <v>29</v>
      </c>
      <c r="Z12" s="401">
        <v>220</v>
      </c>
      <c r="AA12" s="402">
        <v>0.87463737062674496</v>
      </c>
      <c r="AB12" s="291"/>
      <c r="AC12" s="37"/>
      <c r="AD12" s="326" t="s">
        <v>51</v>
      </c>
      <c r="AE12" s="261" t="s">
        <v>175</v>
      </c>
      <c r="AF12" s="359">
        <v>0.95128413254602895</v>
      </c>
      <c r="AG12" s="262">
        <v>10</v>
      </c>
      <c r="AH12" s="360">
        <v>204</v>
      </c>
      <c r="AI12" s="346">
        <v>0.95036111596481998</v>
      </c>
      <c r="AJ12" s="262">
        <v>2</v>
      </c>
      <c r="AK12" s="373">
        <v>40</v>
      </c>
      <c r="AL12" s="359">
        <v>0.92818981404552903</v>
      </c>
      <c r="AM12" s="262">
        <v>17</v>
      </c>
      <c r="AN12" s="360">
        <v>213</v>
      </c>
      <c r="AO12" s="346">
        <v>0.88639952847045</v>
      </c>
      <c r="AP12" s="262">
        <v>20</v>
      </c>
      <c r="AQ12" s="327">
        <v>207</v>
      </c>
    </row>
    <row r="13" spans="1:43" x14ac:dyDescent="0.2">
      <c r="A13" s="37"/>
      <c r="B13" s="293"/>
      <c r="C13" s="389" t="s">
        <v>58</v>
      </c>
      <c r="D13" s="390" t="s">
        <v>163</v>
      </c>
      <c r="E13" s="391">
        <v>3</v>
      </c>
      <c r="F13" s="391">
        <v>37</v>
      </c>
      <c r="G13" s="392">
        <v>0.92735426008968602</v>
      </c>
      <c r="H13" s="37"/>
      <c r="I13" s="389" t="s">
        <v>58</v>
      </c>
      <c r="J13" s="390" t="s">
        <v>163</v>
      </c>
      <c r="K13" s="401">
        <v>6</v>
      </c>
      <c r="L13" s="401">
        <v>146</v>
      </c>
      <c r="M13" s="402">
        <v>0.96061599959001698</v>
      </c>
      <c r="N13" s="291"/>
      <c r="O13" s="37"/>
      <c r="P13" s="293"/>
      <c r="Q13" s="389" t="s">
        <v>58</v>
      </c>
      <c r="R13" s="390" t="s">
        <v>163</v>
      </c>
      <c r="S13" s="401">
        <v>13</v>
      </c>
      <c r="T13" s="401">
        <v>207</v>
      </c>
      <c r="U13" s="402">
        <v>0.93565771383262497</v>
      </c>
      <c r="V13" s="37"/>
      <c r="W13" s="389" t="s">
        <v>58</v>
      </c>
      <c r="X13" s="390" t="s">
        <v>163</v>
      </c>
      <c r="Y13" s="401">
        <v>5</v>
      </c>
      <c r="Z13" s="401">
        <v>212</v>
      </c>
      <c r="AA13" s="402">
        <v>0.97464881883896004</v>
      </c>
      <c r="AB13" s="291"/>
      <c r="AC13" s="37"/>
      <c r="AD13" s="326" t="s">
        <v>55</v>
      </c>
      <c r="AE13" s="261" t="s">
        <v>179</v>
      </c>
      <c r="AF13" s="359">
        <v>0.93900624681512201</v>
      </c>
      <c r="AG13" s="262">
        <v>12</v>
      </c>
      <c r="AH13" s="360">
        <v>202</v>
      </c>
      <c r="AI13" s="346">
        <v>0.83530608588831401</v>
      </c>
      <c r="AJ13" s="262">
        <v>7</v>
      </c>
      <c r="AK13" s="373">
        <v>43</v>
      </c>
      <c r="AL13" s="359">
        <v>0.88709976887597497</v>
      </c>
      <c r="AM13" s="262">
        <v>25</v>
      </c>
      <c r="AN13" s="360">
        <v>223</v>
      </c>
      <c r="AO13" s="346">
        <v>0.91730607307707601</v>
      </c>
      <c r="AP13" s="262">
        <v>19</v>
      </c>
      <c r="AQ13" s="327">
        <v>216</v>
      </c>
    </row>
    <row r="14" spans="1:43" x14ac:dyDescent="0.2">
      <c r="A14" s="37"/>
      <c r="B14" s="293"/>
      <c r="C14" s="389" t="s">
        <v>75</v>
      </c>
      <c r="D14" s="390" t="s">
        <v>164</v>
      </c>
      <c r="E14" s="391">
        <v>6</v>
      </c>
      <c r="F14" s="391">
        <v>54</v>
      </c>
      <c r="G14" s="392">
        <v>0.88282261545101404</v>
      </c>
      <c r="H14" s="37"/>
      <c r="I14" s="389" t="s">
        <v>75</v>
      </c>
      <c r="J14" s="390" t="s">
        <v>164</v>
      </c>
      <c r="K14" s="401">
        <v>10</v>
      </c>
      <c r="L14" s="401">
        <v>221</v>
      </c>
      <c r="M14" s="402">
        <v>0.95362548688336601</v>
      </c>
      <c r="N14" s="291"/>
      <c r="O14" s="37"/>
      <c r="P14" s="293"/>
      <c r="Q14" s="389" t="s">
        <v>75</v>
      </c>
      <c r="R14" s="390" t="s">
        <v>164</v>
      </c>
      <c r="S14" s="401">
        <v>31</v>
      </c>
      <c r="T14" s="401">
        <v>235</v>
      </c>
      <c r="U14" s="402">
        <v>0.86581783171170401</v>
      </c>
      <c r="V14" s="37"/>
      <c r="W14" s="389" t="s">
        <v>75</v>
      </c>
      <c r="X14" s="390" t="s">
        <v>164</v>
      </c>
      <c r="Y14" s="401">
        <v>38</v>
      </c>
      <c r="Z14" s="401">
        <v>242</v>
      </c>
      <c r="AA14" s="402">
        <v>0.84286298940536597</v>
      </c>
      <c r="AB14" s="291"/>
      <c r="AC14" s="37"/>
      <c r="AD14" s="326" t="s">
        <v>58</v>
      </c>
      <c r="AE14" s="261" t="s">
        <v>163</v>
      </c>
      <c r="AF14" s="359">
        <v>0.96061599959001698</v>
      </c>
      <c r="AG14" s="262">
        <v>6</v>
      </c>
      <c r="AH14" s="360">
        <v>146</v>
      </c>
      <c r="AI14" s="346">
        <v>0.92735426008968602</v>
      </c>
      <c r="AJ14" s="262">
        <v>3</v>
      </c>
      <c r="AK14" s="373">
        <v>37</v>
      </c>
      <c r="AL14" s="359">
        <v>0.93565771383262497</v>
      </c>
      <c r="AM14" s="262">
        <v>13</v>
      </c>
      <c r="AN14" s="360">
        <v>207</v>
      </c>
      <c r="AO14" s="346">
        <v>0.97464881883896004</v>
      </c>
      <c r="AP14" s="262">
        <v>5</v>
      </c>
      <c r="AQ14" s="327">
        <v>212</v>
      </c>
    </row>
    <row r="15" spans="1:43" x14ac:dyDescent="0.2">
      <c r="A15" s="37"/>
      <c r="B15" s="293"/>
      <c r="C15" s="389" t="s">
        <v>77</v>
      </c>
      <c r="D15" s="390" t="s">
        <v>115</v>
      </c>
      <c r="E15" s="391">
        <v>9</v>
      </c>
      <c r="F15" s="391">
        <v>44</v>
      </c>
      <c r="G15" s="392">
        <v>0.78308141584780699</v>
      </c>
      <c r="H15" s="37"/>
      <c r="I15" s="389" t="s">
        <v>77</v>
      </c>
      <c r="J15" s="390" t="s">
        <v>115</v>
      </c>
      <c r="K15" s="401">
        <v>16</v>
      </c>
      <c r="L15" s="401">
        <v>181</v>
      </c>
      <c r="M15" s="402">
        <v>0.90865213041132797</v>
      </c>
      <c r="N15" s="291"/>
      <c r="O15" s="37"/>
      <c r="P15" s="293"/>
      <c r="Q15" s="389" t="s">
        <v>77</v>
      </c>
      <c r="R15" s="390" t="s">
        <v>115</v>
      </c>
      <c r="S15" s="401">
        <v>27</v>
      </c>
      <c r="T15" s="401">
        <v>221</v>
      </c>
      <c r="U15" s="402">
        <v>0.86450871504688398</v>
      </c>
      <c r="V15" s="37"/>
      <c r="W15" s="389" t="s">
        <v>77</v>
      </c>
      <c r="X15" s="390" t="s">
        <v>115</v>
      </c>
      <c r="Y15" s="401">
        <v>19</v>
      </c>
      <c r="Z15" s="401">
        <v>218</v>
      </c>
      <c r="AA15" s="402">
        <v>0.91848003911697496</v>
      </c>
      <c r="AB15" s="291"/>
      <c r="AC15" s="37"/>
      <c r="AD15" s="326" t="s">
        <v>62</v>
      </c>
      <c r="AE15" s="261" t="s">
        <v>176</v>
      </c>
      <c r="AF15" s="359">
        <v>0.96061473385922902</v>
      </c>
      <c r="AG15" s="262">
        <v>6</v>
      </c>
      <c r="AH15" s="360">
        <v>134</v>
      </c>
      <c r="AI15" s="346">
        <v>0.88733559434196396</v>
      </c>
      <c r="AJ15" s="262">
        <v>5</v>
      </c>
      <c r="AK15" s="373">
        <v>37</v>
      </c>
      <c r="AL15" s="359">
        <v>0.92811139176220103</v>
      </c>
      <c r="AM15" s="262">
        <v>15</v>
      </c>
      <c r="AN15" s="360">
        <v>213</v>
      </c>
      <c r="AO15" s="346">
        <v>0.90957460069352702</v>
      </c>
      <c r="AP15" s="262">
        <v>17</v>
      </c>
      <c r="AQ15" s="327">
        <v>224</v>
      </c>
    </row>
    <row r="16" spans="1:43" x14ac:dyDescent="0.2">
      <c r="A16" s="37"/>
      <c r="B16" s="293"/>
      <c r="C16" s="389" t="s">
        <v>79</v>
      </c>
      <c r="D16" s="390" t="s">
        <v>165</v>
      </c>
      <c r="E16" s="391">
        <v>6</v>
      </c>
      <c r="F16" s="391">
        <v>41</v>
      </c>
      <c r="G16" s="392">
        <v>0.84826126053578099</v>
      </c>
      <c r="H16" s="37"/>
      <c r="I16" s="389" t="s">
        <v>79</v>
      </c>
      <c r="J16" s="390" t="s">
        <v>165</v>
      </c>
      <c r="K16" s="401">
        <v>12</v>
      </c>
      <c r="L16" s="401">
        <v>235</v>
      </c>
      <c r="M16" s="402">
        <v>0.94871407496934101</v>
      </c>
      <c r="N16" s="291"/>
      <c r="O16" s="37"/>
      <c r="P16" s="293"/>
      <c r="Q16" s="389" t="s">
        <v>79</v>
      </c>
      <c r="R16" s="390" t="s">
        <v>165</v>
      </c>
      <c r="S16" s="401">
        <v>22</v>
      </c>
      <c r="T16" s="401">
        <v>215</v>
      </c>
      <c r="U16" s="402">
        <v>0.89220254852439496</v>
      </c>
      <c r="V16" s="37"/>
      <c r="W16" s="389" t="s">
        <v>79</v>
      </c>
      <c r="X16" s="390" t="s">
        <v>165</v>
      </c>
      <c r="Y16" s="401">
        <v>17</v>
      </c>
      <c r="Z16" s="401">
        <v>211</v>
      </c>
      <c r="AA16" s="402">
        <v>0.90551892337998396</v>
      </c>
      <c r="AB16" s="291"/>
      <c r="AC16" s="37"/>
      <c r="AD16" s="326" t="s">
        <v>68</v>
      </c>
      <c r="AE16" s="261" t="s">
        <v>201</v>
      </c>
      <c r="AF16" s="359">
        <v>0.94562122567128104</v>
      </c>
      <c r="AG16" s="262">
        <v>9</v>
      </c>
      <c r="AH16" s="360">
        <v>170</v>
      </c>
      <c r="AI16" s="346">
        <v>0.88989076184198102</v>
      </c>
      <c r="AJ16" s="262">
        <v>5</v>
      </c>
      <c r="AK16" s="373">
        <v>46</v>
      </c>
      <c r="AL16" s="359">
        <v>0.90027656773516795</v>
      </c>
      <c r="AM16" s="262">
        <v>21</v>
      </c>
      <c r="AN16" s="360">
        <v>223</v>
      </c>
      <c r="AO16" s="346">
        <v>0.93063214403375705</v>
      </c>
      <c r="AP16" s="262">
        <v>18</v>
      </c>
      <c r="AQ16" s="327">
        <v>197</v>
      </c>
    </row>
    <row r="17" spans="1:43" x14ac:dyDescent="0.2">
      <c r="A17" s="37"/>
      <c r="B17" s="293"/>
      <c r="C17" s="389" t="s">
        <v>46</v>
      </c>
      <c r="D17" s="390" t="s">
        <v>166</v>
      </c>
      <c r="E17" s="391">
        <v>8</v>
      </c>
      <c r="F17" s="391">
        <v>66</v>
      </c>
      <c r="G17" s="392">
        <v>0.87277920163492295</v>
      </c>
      <c r="H17" s="37"/>
      <c r="I17" s="389" t="s">
        <v>46</v>
      </c>
      <c r="J17" s="390" t="s">
        <v>166</v>
      </c>
      <c r="K17" s="401">
        <v>17</v>
      </c>
      <c r="L17" s="401">
        <v>254</v>
      </c>
      <c r="M17" s="402">
        <v>0.93134075670949401</v>
      </c>
      <c r="N17" s="291"/>
      <c r="O17" s="37"/>
      <c r="P17" s="293"/>
      <c r="Q17" s="389" t="s">
        <v>46</v>
      </c>
      <c r="R17" s="390" t="s">
        <v>166</v>
      </c>
      <c r="S17" s="401">
        <v>44</v>
      </c>
      <c r="T17" s="401">
        <v>270</v>
      </c>
      <c r="U17" s="402">
        <v>0.83221513545106196</v>
      </c>
      <c r="V17" s="37"/>
      <c r="W17" s="389" t="s">
        <v>46</v>
      </c>
      <c r="X17" s="390" t="s">
        <v>166</v>
      </c>
      <c r="Y17" s="401">
        <v>40</v>
      </c>
      <c r="Z17" s="401">
        <v>249</v>
      </c>
      <c r="AA17" s="402">
        <v>0.838307117718883</v>
      </c>
      <c r="AB17" s="291"/>
      <c r="AC17" s="37"/>
      <c r="AD17" s="326" t="s">
        <v>74</v>
      </c>
      <c r="AE17" s="261" t="s">
        <v>161</v>
      </c>
      <c r="AF17" s="359">
        <v>0.94380649199729905</v>
      </c>
      <c r="AG17" s="262">
        <v>9</v>
      </c>
      <c r="AH17" s="360">
        <v>168</v>
      </c>
      <c r="AI17" s="346">
        <v>0.89254704199909696</v>
      </c>
      <c r="AJ17" s="262">
        <v>4</v>
      </c>
      <c r="AK17" s="373">
        <v>40</v>
      </c>
      <c r="AL17" s="359">
        <v>0.90507961152224703</v>
      </c>
      <c r="AM17" s="262">
        <v>20</v>
      </c>
      <c r="AN17" s="360">
        <v>211</v>
      </c>
      <c r="AO17" s="346">
        <v>0.89503876121664205</v>
      </c>
      <c r="AP17" s="262">
        <v>21</v>
      </c>
      <c r="AQ17" s="327">
        <v>207</v>
      </c>
    </row>
    <row r="18" spans="1:43" x14ac:dyDescent="0.2">
      <c r="A18" s="37"/>
      <c r="B18" s="293"/>
      <c r="C18" s="389" t="s">
        <v>83</v>
      </c>
      <c r="D18" s="390" t="s">
        <v>121</v>
      </c>
      <c r="E18" s="391">
        <v>5</v>
      </c>
      <c r="F18" s="391">
        <v>36</v>
      </c>
      <c r="G18" s="392">
        <v>0.85710220464893405</v>
      </c>
      <c r="H18" s="37"/>
      <c r="I18" s="389" t="s">
        <v>83</v>
      </c>
      <c r="J18" s="390" t="s">
        <v>121</v>
      </c>
      <c r="K18" s="401">
        <v>8</v>
      </c>
      <c r="L18" s="401">
        <v>240</v>
      </c>
      <c r="M18" s="402">
        <v>0.96690726900268598</v>
      </c>
      <c r="N18" s="291"/>
      <c r="O18" s="37"/>
      <c r="P18" s="293"/>
      <c r="Q18" s="389" t="s">
        <v>83</v>
      </c>
      <c r="R18" s="390" t="s">
        <v>121</v>
      </c>
      <c r="S18" s="401">
        <v>17</v>
      </c>
      <c r="T18" s="401">
        <v>209</v>
      </c>
      <c r="U18" s="402">
        <v>0.91197422642181003</v>
      </c>
      <c r="V18" s="37"/>
      <c r="W18" s="389" t="s">
        <v>83</v>
      </c>
      <c r="X18" s="390" t="s">
        <v>121</v>
      </c>
      <c r="Y18" s="401">
        <v>12</v>
      </c>
      <c r="Z18" s="401">
        <v>210</v>
      </c>
      <c r="AA18" s="402">
        <v>0.95360792222993196</v>
      </c>
      <c r="AB18" s="291"/>
      <c r="AC18" s="37"/>
      <c r="AD18" s="326" t="s">
        <v>75</v>
      </c>
      <c r="AE18" s="261" t="s">
        <v>164</v>
      </c>
      <c r="AF18" s="359">
        <v>0.95362548688336601</v>
      </c>
      <c r="AG18" s="262">
        <v>10</v>
      </c>
      <c r="AH18" s="360">
        <v>221</v>
      </c>
      <c r="AI18" s="346">
        <v>0.88282261545101404</v>
      </c>
      <c r="AJ18" s="262">
        <v>6</v>
      </c>
      <c r="AK18" s="373">
        <v>54</v>
      </c>
      <c r="AL18" s="359">
        <v>0.86581783171170401</v>
      </c>
      <c r="AM18" s="262">
        <v>31</v>
      </c>
      <c r="AN18" s="360">
        <v>235</v>
      </c>
      <c r="AO18" s="346">
        <v>0.84286298940536597</v>
      </c>
      <c r="AP18" s="262">
        <v>38</v>
      </c>
      <c r="AQ18" s="327">
        <v>242</v>
      </c>
    </row>
    <row r="19" spans="1:43" x14ac:dyDescent="0.2">
      <c r="A19" s="37"/>
      <c r="B19" s="293"/>
      <c r="C19" s="389" t="s">
        <v>61</v>
      </c>
      <c r="D19" s="390" t="s">
        <v>167</v>
      </c>
      <c r="E19" s="391">
        <v>6</v>
      </c>
      <c r="F19" s="391">
        <v>44</v>
      </c>
      <c r="G19" s="392">
        <v>0.85989691242609501</v>
      </c>
      <c r="H19" s="37"/>
      <c r="I19" s="389" t="s">
        <v>61</v>
      </c>
      <c r="J19" s="390" t="s">
        <v>167</v>
      </c>
      <c r="K19" s="401">
        <v>18</v>
      </c>
      <c r="L19" s="401">
        <v>154</v>
      </c>
      <c r="M19" s="402">
        <v>0.88047528089071603</v>
      </c>
      <c r="N19" s="291"/>
      <c r="O19" s="37"/>
      <c r="P19" s="293"/>
      <c r="Q19" s="389" t="s">
        <v>61</v>
      </c>
      <c r="R19" s="390" t="s">
        <v>167</v>
      </c>
      <c r="S19" s="401">
        <v>19</v>
      </c>
      <c r="T19" s="401">
        <v>222</v>
      </c>
      <c r="U19" s="402">
        <v>0.91264354378571799</v>
      </c>
      <c r="V19" s="37"/>
      <c r="W19" s="389" t="s">
        <v>61</v>
      </c>
      <c r="X19" s="390" t="s">
        <v>167</v>
      </c>
      <c r="Y19" s="401">
        <v>13</v>
      </c>
      <c r="Z19" s="401">
        <v>208</v>
      </c>
      <c r="AA19" s="402">
        <v>0.93151672050268197</v>
      </c>
      <c r="AB19" s="291"/>
      <c r="AC19" s="37"/>
      <c r="AD19" s="326" t="s">
        <v>244</v>
      </c>
      <c r="AE19" s="261" t="s">
        <v>115</v>
      </c>
      <c r="AF19" s="359">
        <v>0.90865213041132797</v>
      </c>
      <c r="AG19" s="262">
        <v>16</v>
      </c>
      <c r="AH19" s="360">
        <v>181</v>
      </c>
      <c r="AI19" s="346">
        <v>0.78308141584780699</v>
      </c>
      <c r="AJ19" s="262">
        <v>9</v>
      </c>
      <c r="AK19" s="373">
        <v>44</v>
      </c>
      <c r="AL19" s="359">
        <v>0.86450871504688398</v>
      </c>
      <c r="AM19" s="262">
        <v>27</v>
      </c>
      <c r="AN19" s="360">
        <v>221</v>
      </c>
      <c r="AO19" s="346">
        <v>0.91848003911697496</v>
      </c>
      <c r="AP19" s="262">
        <v>19</v>
      </c>
      <c r="AQ19" s="327">
        <v>218</v>
      </c>
    </row>
    <row r="20" spans="1:43" x14ac:dyDescent="0.2">
      <c r="A20" s="37"/>
      <c r="B20" s="293"/>
      <c r="C20" s="389" t="s">
        <v>34</v>
      </c>
      <c r="D20" s="390" t="s">
        <v>168</v>
      </c>
      <c r="E20" s="391">
        <v>4</v>
      </c>
      <c r="F20" s="391">
        <v>41</v>
      </c>
      <c r="G20" s="392">
        <v>0.90022476608645696</v>
      </c>
      <c r="H20" s="37"/>
      <c r="I20" s="389" t="s">
        <v>34</v>
      </c>
      <c r="J20" s="390" t="s">
        <v>168</v>
      </c>
      <c r="K20" s="403">
        <v>12</v>
      </c>
      <c r="L20" s="403">
        <v>182</v>
      </c>
      <c r="M20" s="404">
        <v>0.93086141098555197</v>
      </c>
      <c r="N20" s="288"/>
      <c r="O20" s="37"/>
      <c r="P20" s="293"/>
      <c r="Q20" s="389" t="s">
        <v>34</v>
      </c>
      <c r="R20" s="390" t="s">
        <v>168</v>
      </c>
      <c r="S20" s="403">
        <v>18</v>
      </c>
      <c r="T20" s="403">
        <v>215</v>
      </c>
      <c r="U20" s="404">
        <v>0.91150324612073297</v>
      </c>
      <c r="V20" s="37"/>
      <c r="W20" s="389" t="s">
        <v>34</v>
      </c>
      <c r="X20" s="390" t="s">
        <v>168</v>
      </c>
      <c r="Y20" s="403">
        <v>38</v>
      </c>
      <c r="Z20" s="403">
        <v>224</v>
      </c>
      <c r="AA20" s="404">
        <v>0.82643402959861501</v>
      </c>
      <c r="AB20" s="288"/>
      <c r="AC20" s="37"/>
      <c r="AD20" s="326" t="s">
        <v>79</v>
      </c>
      <c r="AE20" s="261" t="s">
        <v>165</v>
      </c>
      <c r="AF20" s="359">
        <v>0.94871407496934101</v>
      </c>
      <c r="AG20" s="262">
        <v>12</v>
      </c>
      <c r="AH20" s="360">
        <v>235</v>
      </c>
      <c r="AI20" s="346">
        <v>0.84826126053578099</v>
      </c>
      <c r="AJ20" s="262">
        <v>6</v>
      </c>
      <c r="AK20" s="373">
        <v>41</v>
      </c>
      <c r="AL20" s="359">
        <v>0.89220254852439496</v>
      </c>
      <c r="AM20" s="262">
        <v>22</v>
      </c>
      <c r="AN20" s="360">
        <v>215</v>
      </c>
      <c r="AO20" s="346">
        <v>0.90551892337998396</v>
      </c>
      <c r="AP20" s="262">
        <v>17</v>
      </c>
      <c r="AQ20" s="327">
        <v>211</v>
      </c>
    </row>
    <row r="21" spans="1:43" x14ac:dyDescent="0.2">
      <c r="A21" s="37"/>
      <c r="B21" s="293"/>
      <c r="C21" s="389" t="s">
        <v>91</v>
      </c>
      <c r="D21" s="390" t="s">
        <v>169</v>
      </c>
      <c r="E21" s="391">
        <v>4</v>
      </c>
      <c r="F21" s="391">
        <v>37</v>
      </c>
      <c r="G21" s="392">
        <v>0.88045103441544303</v>
      </c>
      <c r="H21" s="37"/>
      <c r="I21" s="389" t="s">
        <v>91</v>
      </c>
      <c r="J21" s="390" t="s">
        <v>169</v>
      </c>
      <c r="K21" s="401">
        <v>9</v>
      </c>
      <c r="L21" s="401">
        <v>161</v>
      </c>
      <c r="M21" s="402">
        <v>0.93971421142620704</v>
      </c>
      <c r="N21" s="291"/>
      <c r="O21" s="37"/>
      <c r="P21" s="293"/>
      <c r="Q21" s="389" t="s">
        <v>91</v>
      </c>
      <c r="R21" s="390" t="s">
        <v>169</v>
      </c>
      <c r="S21" s="401">
        <v>20</v>
      </c>
      <c r="T21" s="401">
        <v>211</v>
      </c>
      <c r="U21" s="402">
        <v>0.894179462371682</v>
      </c>
      <c r="V21" s="37"/>
      <c r="W21" s="389" t="s">
        <v>91</v>
      </c>
      <c r="X21" s="390" t="s">
        <v>169</v>
      </c>
      <c r="Y21" s="401">
        <v>9</v>
      </c>
      <c r="Z21" s="401">
        <v>213</v>
      </c>
      <c r="AA21" s="402">
        <v>0.95504092002809204</v>
      </c>
      <c r="AB21" s="291"/>
      <c r="AC21" s="37"/>
      <c r="AD21" s="326" t="s">
        <v>81</v>
      </c>
      <c r="AE21" s="261" t="s">
        <v>160</v>
      </c>
      <c r="AF21" s="359">
        <v>0.95877532475481597</v>
      </c>
      <c r="AG21" s="262">
        <v>13</v>
      </c>
      <c r="AH21" s="360">
        <v>297</v>
      </c>
      <c r="AI21" s="346">
        <v>0.74662914896060595</v>
      </c>
      <c r="AJ21" s="262">
        <v>8</v>
      </c>
      <c r="AK21" s="373">
        <v>31</v>
      </c>
      <c r="AL21" s="359">
        <v>0.87104958417637701</v>
      </c>
      <c r="AM21" s="262">
        <v>25</v>
      </c>
      <c r="AN21" s="360">
        <v>235</v>
      </c>
      <c r="AO21" s="346">
        <v>0.94176371022342598</v>
      </c>
      <c r="AP21" s="262">
        <v>12</v>
      </c>
      <c r="AQ21" s="327">
        <v>232</v>
      </c>
    </row>
    <row r="22" spans="1:43" x14ac:dyDescent="0.2">
      <c r="A22" s="37"/>
      <c r="B22" s="293"/>
      <c r="C22" s="389" t="s">
        <v>97</v>
      </c>
      <c r="D22" s="390" t="s">
        <v>170</v>
      </c>
      <c r="E22" s="391">
        <v>10</v>
      </c>
      <c r="F22" s="391">
        <v>49</v>
      </c>
      <c r="G22" s="392">
        <v>0.79939185656733402</v>
      </c>
      <c r="H22" s="37"/>
      <c r="I22" s="389" t="s">
        <v>97</v>
      </c>
      <c r="J22" s="390" t="s">
        <v>170</v>
      </c>
      <c r="K22" s="401">
        <v>26</v>
      </c>
      <c r="L22" s="401">
        <v>619</v>
      </c>
      <c r="M22" s="402">
        <v>0.95892118819625605</v>
      </c>
      <c r="N22" s="291"/>
      <c r="O22" s="37"/>
      <c r="P22" s="293"/>
      <c r="Q22" s="389" t="s">
        <v>97</v>
      </c>
      <c r="R22" s="390" t="s">
        <v>170</v>
      </c>
      <c r="S22" s="401">
        <v>37</v>
      </c>
      <c r="T22" s="401">
        <v>231</v>
      </c>
      <c r="U22" s="402">
        <v>0.83629756840852598</v>
      </c>
      <c r="V22" s="37"/>
      <c r="W22" s="389" t="s">
        <v>97</v>
      </c>
      <c r="X22" s="390" t="s">
        <v>170</v>
      </c>
      <c r="Y22" s="401">
        <v>18</v>
      </c>
      <c r="Z22" s="401">
        <v>216</v>
      </c>
      <c r="AA22" s="402">
        <v>0.93371976313245297</v>
      </c>
      <c r="AB22" s="291"/>
      <c r="AC22" s="37"/>
      <c r="AD22" s="328" t="s">
        <v>92</v>
      </c>
      <c r="AE22" s="261" t="s">
        <v>203</v>
      </c>
      <c r="AF22" s="359">
        <v>0.971368338949122</v>
      </c>
      <c r="AG22" s="262">
        <v>4</v>
      </c>
      <c r="AH22" s="360">
        <v>139</v>
      </c>
      <c r="AI22" s="346">
        <v>0.90754927919976502</v>
      </c>
      <c r="AJ22" s="262">
        <v>3</v>
      </c>
      <c r="AK22" s="373">
        <v>33</v>
      </c>
      <c r="AL22" s="359">
        <v>0.89543861051315898</v>
      </c>
      <c r="AM22" s="262">
        <v>19</v>
      </c>
      <c r="AN22" s="360">
        <v>200</v>
      </c>
      <c r="AO22" s="346">
        <v>0.962087506009905</v>
      </c>
      <c r="AP22" s="262">
        <v>7</v>
      </c>
      <c r="AQ22" s="327">
        <v>203</v>
      </c>
    </row>
    <row r="23" spans="1:43" x14ac:dyDescent="0.2">
      <c r="A23" s="37"/>
      <c r="B23" s="293"/>
      <c r="C23" s="389" t="s">
        <v>52</v>
      </c>
      <c r="D23" s="390" t="s">
        <v>171</v>
      </c>
      <c r="E23" s="391">
        <v>3</v>
      </c>
      <c r="F23" s="391">
        <v>26</v>
      </c>
      <c r="G23" s="392">
        <v>0.877710511832691</v>
      </c>
      <c r="H23" s="37"/>
      <c r="I23" s="389" t="s">
        <v>52</v>
      </c>
      <c r="J23" s="390" t="s">
        <v>171</v>
      </c>
      <c r="K23" s="401">
        <v>4</v>
      </c>
      <c r="L23" s="401">
        <v>145</v>
      </c>
      <c r="M23" s="402">
        <v>0.97162302545143397</v>
      </c>
      <c r="N23" s="291"/>
      <c r="O23" s="37"/>
      <c r="P23" s="293"/>
      <c r="Q23" s="389" t="s">
        <v>52</v>
      </c>
      <c r="R23" s="390" t="s">
        <v>171</v>
      </c>
      <c r="S23" s="401">
        <v>11</v>
      </c>
      <c r="T23" s="401">
        <v>195</v>
      </c>
      <c r="U23" s="402">
        <v>0.92971471226188196</v>
      </c>
      <c r="V23" s="37"/>
      <c r="W23" s="389" t="s">
        <v>52</v>
      </c>
      <c r="X23" s="390" t="s">
        <v>171</v>
      </c>
      <c r="Y23" s="401">
        <v>10</v>
      </c>
      <c r="Z23" s="401">
        <v>203</v>
      </c>
      <c r="AA23" s="402">
        <v>0.94213915947425497</v>
      </c>
      <c r="AB23" s="291"/>
      <c r="AC23" s="37"/>
      <c r="AD23" s="326" t="s">
        <v>256</v>
      </c>
      <c r="AE23" s="261" t="s">
        <v>105</v>
      </c>
      <c r="AF23" s="359">
        <v>0.90407738295156803</v>
      </c>
      <c r="AG23" s="262">
        <v>19</v>
      </c>
      <c r="AH23" s="360">
        <v>206</v>
      </c>
      <c r="AI23" s="346">
        <v>0.78799392097264398</v>
      </c>
      <c r="AJ23" s="262">
        <v>10</v>
      </c>
      <c r="AK23" s="373">
        <v>45</v>
      </c>
      <c r="AL23" s="359">
        <v>0.83558366623763303</v>
      </c>
      <c r="AM23" s="262">
        <v>36</v>
      </c>
      <c r="AN23" s="360">
        <v>220</v>
      </c>
      <c r="AO23" s="346">
        <v>0.86957951296460601</v>
      </c>
      <c r="AP23" s="262">
        <v>32</v>
      </c>
      <c r="AQ23" s="327">
        <v>215</v>
      </c>
    </row>
    <row r="24" spans="1:43" ht="13.5" thickBot="1" x14ac:dyDescent="0.25">
      <c r="A24" s="37"/>
      <c r="B24" s="293"/>
      <c r="C24" s="389" t="s">
        <v>72</v>
      </c>
      <c r="D24" s="390" t="s">
        <v>107</v>
      </c>
      <c r="E24" s="391">
        <v>1</v>
      </c>
      <c r="F24" s="391">
        <v>36</v>
      </c>
      <c r="G24" s="392">
        <v>0.97266445066480101</v>
      </c>
      <c r="H24" s="37"/>
      <c r="I24" s="389" t="s">
        <v>72</v>
      </c>
      <c r="J24" s="390" t="s">
        <v>107</v>
      </c>
      <c r="K24" s="401">
        <v>3</v>
      </c>
      <c r="L24" s="401">
        <v>190</v>
      </c>
      <c r="M24" s="402">
        <v>0.984399644846772</v>
      </c>
      <c r="N24" s="291"/>
      <c r="O24" s="37"/>
      <c r="P24" s="293"/>
      <c r="Q24" s="389" t="s">
        <v>72</v>
      </c>
      <c r="R24" s="390" t="s">
        <v>107</v>
      </c>
      <c r="S24" s="401">
        <v>20</v>
      </c>
      <c r="T24" s="401">
        <v>203</v>
      </c>
      <c r="U24" s="402">
        <v>0.91363053832734697</v>
      </c>
      <c r="V24" s="37"/>
      <c r="W24" s="389" t="s">
        <v>72</v>
      </c>
      <c r="X24" s="390" t="s">
        <v>107</v>
      </c>
      <c r="Y24" s="401">
        <v>7</v>
      </c>
      <c r="Z24" s="401">
        <v>207</v>
      </c>
      <c r="AA24" s="402">
        <v>0.96514766758427095</v>
      </c>
      <c r="AB24" s="291"/>
      <c r="AC24" s="37"/>
      <c r="AD24" s="329" t="s">
        <v>96</v>
      </c>
      <c r="AE24" s="263" t="s">
        <v>212</v>
      </c>
      <c r="AF24" s="361">
        <v>0.941916285454797</v>
      </c>
      <c r="AG24" s="264">
        <v>13</v>
      </c>
      <c r="AH24" s="362">
        <v>215</v>
      </c>
      <c r="AI24" s="347">
        <v>0.87576237391508305</v>
      </c>
      <c r="AJ24" s="264">
        <v>6</v>
      </c>
      <c r="AK24" s="374">
        <v>45</v>
      </c>
      <c r="AL24" s="361">
        <v>0.872788121353545</v>
      </c>
      <c r="AM24" s="264">
        <v>30</v>
      </c>
      <c r="AN24" s="362">
        <v>221</v>
      </c>
      <c r="AO24" s="347">
        <v>0.89020310815742798</v>
      </c>
      <c r="AP24" s="264">
        <v>20</v>
      </c>
      <c r="AQ24" s="330">
        <v>200</v>
      </c>
    </row>
    <row r="25" spans="1:43" x14ac:dyDescent="0.2">
      <c r="A25" s="37"/>
      <c r="B25" s="293"/>
      <c r="C25" s="389" t="s">
        <v>73</v>
      </c>
      <c r="D25" s="390" t="s">
        <v>172</v>
      </c>
      <c r="E25" s="391">
        <v>5</v>
      </c>
      <c r="F25" s="391">
        <v>39</v>
      </c>
      <c r="G25" s="392">
        <v>0.87444247671520403</v>
      </c>
      <c r="H25" s="37"/>
      <c r="I25" s="389" t="s">
        <v>73</v>
      </c>
      <c r="J25" s="390" t="s">
        <v>172</v>
      </c>
      <c r="K25" s="401">
        <v>18</v>
      </c>
      <c r="L25" s="401">
        <v>146</v>
      </c>
      <c r="M25" s="402">
        <v>0.88276247984852896</v>
      </c>
      <c r="N25" s="291"/>
      <c r="O25" s="37"/>
      <c r="P25" s="293"/>
      <c r="Q25" s="389" t="s">
        <v>73</v>
      </c>
      <c r="R25" s="390" t="s">
        <v>172</v>
      </c>
      <c r="S25" s="401">
        <v>20</v>
      </c>
      <c r="T25" s="401">
        <v>211</v>
      </c>
      <c r="U25" s="402">
        <v>0.90516704706721995</v>
      </c>
      <c r="V25" s="37"/>
      <c r="W25" s="389" t="s">
        <v>73</v>
      </c>
      <c r="X25" s="390" t="s">
        <v>172</v>
      </c>
      <c r="Y25" s="401">
        <v>16</v>
      </c>
      <c r="Z25" s="401">
        <v>211</v>
      </c>
      <c r="AA25" s="402">
        <v>0.92045051976334702</v>
      </c>
      <c r="AB25" s="291"/>
      <c r="AC25" s="37"/>
      <c r="AD25" s="324" t="s">
        <v>20</v>
      </c>
      <c r="AE25" s="259"/>
      <c r="AF25" s="357">
        <v>0.95979503350413875</v>
      </c>
      <c r="AG25" s="260">
        <v>102</v>
      </c>
      <c r="AH25" s="358">
        <v>2537</v>
      </c>
      <c r="AI25" s="345">
        <v>0.89777777777777779</v>
      </c>
      <c r="AJ25" s="260">
        <v>46</v>
      </c>
      <c r="AK25" s="372">
        <v>450</v>
      </c>
      <c r="AL25" s="357">
        <v>0.90450147244425749</v>
      </c>
      <c r="AM25" s="260">
        <v>227</v>
      </c>
      <c r="AN25" s="358">
        <v>2377</v>
      </c>
      <c r="AO25" s="345">
        <v>0.91355932203389834</v>
      </c>
      <c r="AP25" s="260">
        <v>204</v>
      </c>
      <c r="AQ25" s="325">
        <v>2360</v>
      </c>
    </row>
    <row r="26" spans="1:43" x14ac:dyDescent="0.2">
      <c r="A26" s="37"/>
      <c r="B26" s="293"/>
      <c r="C26" s="389" t="s">
        <v>71</v>
      </c>
      <c r="D26" s="390" t="s">
        <v>173</v>
      </c>
      <c r="E26" s="391">
        <v>1</v>
      </c>
      <c r="F26" s="391">
        <v>45</v>
      </c>
      <c r="G26" s="392">
        <v>0.97792480020961603</v>
      </c>
      <c r="H26" s="37"/>
      <c r="I26" s="389" t="s">
        <v>71</v>
      </c>
      <c r="J26" s="390" t="s">
        <v>173</v>
      </c>
      <c r="K26" s="401">
        <v>5</v>
      </c>
      <c r="L26" s="401">
        <v>190</v>
      </c>
      <c r="M26" s="402">
        <v>0.97249415862125599</v>
      </c>
      <c r="N26" s="291"/>
      <c r="O26" s="37"/>
      <c r="P26" s="293"/>
      <c r="Q26" s="389" t="s">
        <v>71</v>
      </c>
      <c r="R26" s="390" t="s">
        <v>173</v>
      </c>
      <c r="S26" s="401">
        <v>21</v>
      </c>
      <c r="T26" s="401">
        <v>223</v>
      </c>
      <c r="U26" s="402">
        <v>0.91567312647955501</v>
      </c>
      <c r="V26" s="37"/>
      <c r="W26" s="389" t="s">
        <v>71</v>
      </c>
      <c r="X26" s="390" t="s">
        <v>173</v>
      </c>
      <c r="Y26" s="401">
        <v>19</v>
      </c>
      <c r="Z26" s="401">
        <v>209</v>
      </c>
      <c r="AA26" s="402">
        <v>0.92168894572165405</v>
      </c>
      <c r="AB26" s="291"/>
      <c r="AC26" s="37"/>
      <c r="AD26" s="326" t="s">
        <v>34</v>
      </c>
      <c r="AE26" s="261" t="s">
        <v>168</v>
      </c>
      <c r="AF26" s="359">
        <v>0.93086141098555197</v>
      </c>
      <c r="AG26" s="262">
        <v>12</v>
      </c>
      <c r="AH26" s="360">
        <v>182</v>
      </c>
      <c r="AI26" s="346">
        <v>0.90022476608645696</v>
      </c>
      <c r="AJ26" s="262">
        <v>4</v>
      </c>
      <c r="AK26" s="373">
        <v>41</v>
      </c>
      <c r="AL26" s="359">
        <v>0.91150324612073297</v>
      </c>
      <c r="AM26" s="262">
        <v>18</v>
      </c>
      <c r="AN26" s="360">
        <v>215</v>
      </c>
      <c r="AO26" s="346">
        <v>0.82643402959861501</v>
      </c>
      <c r="AP26" s="262">
        <v>38</v>
      </c>
      <c r="AQ26" s="327">
        <v>224</v>
      </c>
    </row>
    <row r="27" spans="1:43" x14ac:dyDescent="0.2">
      <c r="A27" s="37"/>
      <c r="B27" s="293"/>
      <c r="C27" s="389" t="s">
        <v>63</v>
      </c>
      <c r="D27" s="390" t="s">
        <v>174</v>
      </c>
      <c r="E27" s="391">
        <v>3</v>
      </c>
      <c r="F27" s="391">
        <v>49</v>
      </c>
      <c r="G27" s="392">
        <v>0.939069095756498</v>
      </c>
      <c r="H27" s="37"/>
      <c r="I27" s="389" t="s">
        <v>63</v>
      </c>
      <c r="J27" s="390" t="s">
        <v>174</v>
      </c>
      <c r="K27" s="401">
        <v>4</v>
      </c>
      <c r="L27" s="401">
        <v>233</v>
      </c>
      <c r="M27" s="402">
        <v>0.98301274092926505</v>
      </c>
      <c r="N27" s="291"/>
      <c r="O27" s="37"/>
      <c r="P27" s="293"/>
      <c r="Q27" s="389" t="s">
        <v>63</v>
      </c>
      <c r="R27" s="390" t="s">
        <v>174</v>
      </c>
      <c r="S27" s="401">
        <v>18</v>
      </c>
      <c r="T27" s="401">
        <v>230</v>
      </c>
      <c r="U27" s="402">
        <v>0.93007278804742799</v>
      </c>
      <c r="V27" s="37"/>
      <c r="W27" s="389" t="s">
        <v>63</v>
      </c>
      <c r="X27" s="390" t="s">
        <v>174</v>
      </c>
      <c r="Y27" s="401">
        <v>31</v>
      </c>
      <c r="Z27" s="401">
        <v>219</v>
      </c>
      <c r="AA27" s="402">
        <v>0.85144373541626195</v>
      </c>
      <c r="AB27" s="291"/>
      <c r="AC27" s="37"/>
      <c r="AD27" s="326" t="s">
        <v>52</v>
      </c>
      <c r="AE27" s="261" t="s">
        <v>171</v>
      </c>
      <c r="AF27" s="359">
        <v>0.97162302545143397</v>
      </c>
      <c r="AG27" s="262">
        <v>4</v>
      </c>
      <c r="AH27" s="360">
        <v>145</v>
      </c>
      <c r="AI27" s="346">
        <v>0.877710511832691</v>
      </c>
      <c r="AJ27" s="262">
        <v>3</v>
      </c>
      <c r="AK27" s="373">
        <v>26</v>
      </c>
      <c r="AL27" s="359">
        <v>0.92971471226188196</v>
      </c>
      <c r="AM27" s="262">
        <v>11</v>
      </c>
      <c r="AN27" s="360">
        <v>195</v>
      </c>
      <c r="AO27" s="346">
        <v>0.94213915947425497</v>
      </c>
      <c r="AP27" s="262">
        <v>10</v>
      </c>
      <c r="AQ27" s="327">
        <v>203</v>
      </c>
    </row>
    <row r="28" spans="1:43" x14ac:dyDescent="0.2">
      <c r="A28" s="37"/>
      <c r="B28" s="293"/>
      <c r="C28" s="389" t="s">
        <v>51</v>
      </c>
      <c r="D28" s="390" t="s">
        <v>175</v>
      </c>
      <c r="E28" s="391">
        <v>2</v>
      </c>
      <c r="F28" s="391">
        <v>40</v>
      </c>
      <c r="G28" s="392">
        <v>0.95036111596481998</v>
      </c>
      <c r="H28" s="37"/>
      <c r="I28" s="389" t="s">
        <v>51</v>
      </c>
      <c r="J28" s="390" t="s">
        <v>175</v>
      </c>
      <c r="K28" s="401">
        <v>10</v>
      </c>
      <c r="L28" s="401">
        <v>204</v>
      </c>
      <c r="M28" s="402">
        <v>0.95128413254602895</v>
      </c>
      <c r="N28" s="291"/>
      <c r="O28" s="37"/>
      <c r="P28" s="293"/>
      <c r="Q28" s="389" t="s">
        <v>51</v>
      </c>
      <c r="R28" s="390" t="s">
        <v>175</v>
      </c>
      <c r="S28" s="401">
        <v>17</v>
      </c>
      <c r="T28" s="401">
        <v>213</v>
      </c>
      <c r="U28" s="402">
        <v>0.92818981404552903</v>
      </c>
      <c r="V28" s="37"/>
      <c r="W28" s="389" t="s">
        <v>51</v>
      </c>
      <c r="X28" s="390" t="s">
        <v>175</v>
      </c>
      <c r="Y28" s="401">
        <v>20</v>
      </c>
      <c r="Z28" s="401">
        <v>207</v>
      </c>
      <c r="AA28" s="402">
        <v>0.88639952847045</v>
      </c>
      <c r="AB28" s="291"/>
      <c r="AC28" s="37"/>
      <c r="AD28" s="326" t="s">
        <v>61</v>
      </c>
      <c r="AE28" s="261" t="s">
        <v>167</v>
      </c>
      <c r="AF28" s="359">
        <v>0.88047528089071603</v>
      </c>
      <c r="AG28" s="262">
        <v>18</v>
      </c>
      <c r="AH28" s="360">
        <v>154</v>
      </c>
      <c r="AI28" s="346">
        <v>0.85989691242609501</v>
      </c>
      <c r="AJ28" s="262">
        <v>6</v>
      </c>
      <c r="AK28" s="373">
        <v>44</v>
      </c>
      <c r="AL28" s="359">
        <v>0.91264354378571799</v>
      </c>
      <c r="AM28" s="262">
        <v>19</v>
      </c>
      <c r="AN28" s="360">
        <v>222</v>
      </c>
      <c r="AO28" s="346">
        <v>0.93151672050268197</v>
      </c>
      <c r="AP28" s="262">
        <v>13</v>
      </c>
      <c r="AQ28" s="327">
        <v>208</v>
      </c>
    </row>
    <row r="29" spans="1:43" x14ac:dyDescent="0.2">
      <c r="A29" s="37"/>
      <c r="B29" s="293"/>
      <c r="C29" s="389" t="s">
        <v>62</v>
      </c>
      <c r="D29" s="390" t="s">
        <v>176</v>
      </c>
      <c r="E29" s="391">
        <v>5</v>
      </c>
      <c r="F29" s="391">
        <v>37</v>
      </c>
      <c r="G29" s="392">
        <v>0.88733559434196396</v>
      </c>
      <c r="H29" s="37"/>
      <c r="I29" s="389" t="s">
        <v>62</v>
      </c>
      <c r="J29" s="390" t="s">
        <v>176</v>
      </c>
      <c r="K29" s="401">
        <v>6</v>
      </c>
      <c r="L29" s="401">
        <v>134</v>
      </c>
      <c r="M29" s="402">
        <v>0.96061473385922902</v>
      </c>
      <c r="N29" s="291"/>
      <c r="O29" s="37"/>
      <c r="P29" s="293"/>
      <c r="Q29" s="389" t="s">
        <v>62</v>
      </c>
      <c r="R29" s="390" t="s">
        <v>176</v>
      </c>
      <c r="S29" s="401">
        <v>15</v>
      </c>
      <c r="T29" s="401">
        <v>213</v>
      </c>
      <c r="U29" s="402">
        <v>0.92811139176220103</v>
      </c>
      <c r="V29" s="37"/>
      <c r="W29" s="389" t="s">
        <v>62</v>
      </c>
      <c r="X29" s="390" t="s">
        <v>176</v>
      </c>
      <c r="Y29" s="401">
        <v>17</v>
      </c>
      <c r="Z29" s="401">
        <v>224</v>
      </c>
      <c r="AA29" s="402">
        <v>0.90957460069352702</v>
      </c>
      <c r="AB29" s="291"/>
      <c r="AC29" s="37"/>
      <c r="AD29" s="326" t="s">
        <v>63</v>
      </c>
      <c r="AE29" s="261" t="s">
        <v>174</v>
      </c>
      <c r="AF29" s="359">
        <v>0.98301274092926505</v>
      </c>
      <c r="AG29" s="262">
        <v>4</v>
      </c>
      <c r="AH29" s="360">
        <v>233</v>
      </c>
      <c r="AI29" s="346">
        <v>0.939069095756498</v>
      </c>
      <c r="AJ29" s="262">
        <v>3</v>
      </c>
      <c r="AK29" s="373">
        <v>49</v>
      </c>
      <c r="AL29" s="359">
        <v>0.93007278804742799</v>
      </c>
      <c r="AM29" s="262">
        <v>18</v>
      </c>
      <c r="AN29" s="360">
        <v>230</v>
      </c>
      <c r="AO29" s="346">
        <v>0.85144373541626195</v>
      </c>
      <c r="AP29" s="262">
        <v>31</v>
      </c>
      <c r="AQ29" s="327">
        <v>219</v>
      </c>
    </row>
    <row r="30" spans="1:43" x14ac:dyDescent="0.2">
      <c r="A30" s="37"/>
      <c r="B30" s="293"/>
      <c r="C30" s="389" t="s">
        <v>67</v>
      </c>
      <c r="D30" s="390" t="s">
        <v>177</v>
      </c>
      <c r="E30" s="391">
        <v>2</v>
      </c>
      <c r="F30" s="391">
        <v>40</v>
      </c>
      <c r="G30" s="392">
        <v>0.94532476960915002</v>
      </c>
      <c r="H30" s="37"/>
      <c r="I30" s="389" t="s">
        <v>67</v>
      </c>
      <c r="J30" s="390" t="s">
        <v>177</v>
      </c>
      <c r="K30" s="401">
        <v>3</v>
      </c>
      <c r="L30" s="401">
        <v>148</v>
      </c>
      <c r="M30" s="402">
        <v>0.97766101223568402</v>
      </c>
      <c r="N30" s="291"/>
      <c r="O30" s="37"/>
      <c r="P30" s="293"/>
      <c r="Q30" s="389" t="s">
        <v>67</v>
      </c>
      <c r="R30" s="390" t="s">
        <v>177</v>
      </c>
      <c r="S30" s="401">
        <v>22</v>
      </c>
      <c r="T30" s="401">
        <v>215</v>
      </c>
      <c r="U30" s="402">
        <v>0.89857665958696298</v>
      </c>
      <c r="V30" s="37"/>
      <c r="W30" s="389" t="s">
        <v>67</v>
      </c>
      <c r="X30" s="390" t="s">
        <v>177</v>
      </c>
      <c r="Y30" s="401">
        <v>22</v>
      </c>
      <c r="Z30" s="401">
        <v>230</v>
      </c>
      <c r="AA30" s="402">
        <v>0.90143299053110704</v>
      </c>
      <c r="AB30" s="291"/>
      <c r="AC30" s="37"/>
      <c r="AD30" s="326" t="s">
        <v>67</v>
      </c>
      <c r="AE30" s="261" t="s">
        <v>177</v>
      </c>
      <c r="AF30" s="359">
        <v>0.97766101223568402</v>
      </c>
      <c r="AG30" s="262">
        <v>3</v>
      </c>
      <c r="AH30" s="360">
        <v>148</v>
      </c>
      <c r="AI30" s="346">
        <v>0.94532476960915002</v>
      </c>
      <c r="AJ30" s="262">
        <v>2</v>
      </c>
      <c r="AK30" s="373">
        <v>40</v>
      </c>
      <c r="AL30" s="359">
        <v>0.89857665958696298</v>
      </c>
      <c r="AM30" s="262">
        <v>22</v>
      </c>
      <c r="AN30" s="360">
        <v>215</v>
      </c>
      <c r="AO30" s="346">
        <v>0.90143299053110704</v>
      </c>
      <c r="AP30" s="262">
        <v>22</v>
      </c>
      <c r="AQ30" s="327">
        <v>230</v>
      </c>
    </row>
    <row r="31" spans="1:43" x14ac:dyDescent="0.2">
      <c r="A31" s="37"/>
      <c r="B31" s="293"/>
      <c r="C31" s="389" t="s">
        <v>50</v>
      </c>
      <c r="D31" s="390" t="s">
        <v>178</v>
      </c>
      <c r="E31" s="391">
        <v>6</v>
      </c>
      <c r="F31" s="391">
        <v>41</v>
      </c>
      <c r="G31" s="392">
        <v>0.85867375929702805</v>
      </c>
      <c r="H31" s="37"/>
      <c r="I31" s="389" t="s">
        <v>50</v>
      </c>
      <c r="J31" s="390" t="s">
        <v>178</v>
      </c>
      <c r="K31" s="401">
        <v>16</v>
      </c>
      <c r="L31" s="401">
        <v>176</v>
      </c>
      <c r="M31" s="402">
        <v>0.91195796110794003</v>
      </c>
      <c r="N31" s="291"/>
      <c r="O31" s="37"/>
      <c r="P31" s="293"/>
      <c r="Q31" s="389" t="s">
        <v>50</v>
      </c>
      <c r="R31" s="390" t="s">
        <v>178</v>
      </c>
      <c r="S31" s="401">
        <v>23</v>
      </c>
      <c r="T31" s="401">
        <v>211</v>
      </c>
      <c r="U31" s="402">
        <v>0.89186172878188597</v>
      </c>
      <c r="V31" s="37"/>
      <c r="W31" s="389" t="s">
        <v>50</v>
      </c>
      <c r="X31" s="390" t="s">
        <v>178</v>
      </c>
      <c r="Y31" s="401">
        <v>27</v>
      </c>
      <c r="Z31" s="401">
        <v>216</v>
      </c>
      <c r="AA31" s="402">
        <v>0.86429911431446604</v>
      </c>
      <c r="AB31" s="291"/>
      <c r="AC31" s="37"/>
      <c r="AD31" s="326" t="s">
        <v>71</v>
      </c>
      <c r="AE31" s="261" t="s">
        <v>173</v>
      </c>
      <c r="AF31" s="359">
        <v>0.97249415862125599</v>
      </c>
      <c r="AG31" s="262">
        <v>5</v>
      </c>
      <c r="AH31" s="360">
        <v>190</v>
      </c>
      <c r="AI31" s="346">
        <v>0.97792480020961603</v>
      </c>
      <c r="AJ31" s="262">
        <v>1</v>
      </c>
      <c r="AK31" s="373">
        <v>45</v>
      </c>
      <c r="AL31" s="359">
        <v>0.91567312647955501</v>
      </c>
      <c r="AM31" s="262">
        <v>21</v>
      </c>
      <c r="AN31" s="360">
        <v>223</v>
      </c>
      <c r="AO31" s="346">
        <v>0.92168894572165405</v>
      </c>
      <c r="AP31" s="262">
        <v>19</v>
      </c>
      <c r="AQ31" s="327">
        <v>209</v>
      </c>
    </row>
    <row r="32" spans="1:43" x14ac:dyDescent="0.2">
      <c r="A32" s="37"/>
      <c r="B32" s="293"/>
      <c r="C32" s="389" t="s">
        <v>55</v>
      </c>
      <c r="D32" s="390" t="s">
        <v>179</v>
      </c>
      <c r="E32" s="391">
        <v>7</v>
      </c>
      <c r="F32" s="391">
        <v>43</v>
      </c>
      <c r="G32" s="392">
        <v>0.83530608588831401</v>
      </c>
      <c r="H32" s="37"/>
      <c r="I32" s="389" t="s">
        <v>55</v>
      </c>
      <c r="J32" s="390" t="s">
        <v>179</v>
      </c>
      <c r="K32" s="401">
        <v>12</v>
      </c>
      <c r="L32" s="401">
        <v>202</v>
      </c>
      <c r="M32" s="402">
        <v>0.93900624681512201</v>
      </c>
      <c r="N32" s="291"/>
      <c r="O32" s="37"/>
      <c r="P32" s="293"/>
      <c r="Q32" s="389" t="s">
        <v>55</v>
      </c>
      <c r="R32" s="390" t="s">
        <v>179</v>
      </c>
      <c r="S32" s="401">
        <v>25</v>
      </c>
      <c r="T32" s="401">
        <v>223</v>
      </c>
      <c r="U32" s="402">
        <v>0.88709976887597497</v>
      </c>
      <c r="V32" s="37"/>
      <c r="W32" s="389" t="s">
        <v>55</v>
      </c>
      <c r="X32" s="390" t="s">
        <v>179</v>
      </c>
      <c r="Y32" s="401">
        <v>19</v>
      </c>
      <c r="Z32" s="401">
        <v>216</v>
      </c>
      <c r="AA32" s="402">
        <v>0.91730607307707601</v>
      </c>
      <c r="AB32" s="291"/>
      <c r="AC32" s="37"/>
      <c r="AD32" s="326" t="s">
        <v>72</v>
      </c>
      <c r="AE32" s="261" t="s">
        <v>107</v>
      </c>
      <c r="AF32" s="359">
        <v>0.984399644846772</v>
      </c>
      <c r="AG32" s="262">
        <v>3</v>
      </c>
      <c r="AH32" s="360">
        <v>190</v>
      </c>
      <c r="AI32" s="346">
        <v>0.97266445066480101</v>
      </c>
      <c r="AJ32" s="262">
        <v>1</v>
      </c>
      <c r="AK32" s="373">
        <v>36</v>
      </c>
      <c r="AL32" s="359">
        <v>0.91363053832734697</v>
      </c>
      <c r="AM32" s="262">
        <v>20</v>
      </c>
      <c r="AN32" s="360">
        <v>203</v>
      </c>
      <c r="AO32" s="346">
        <v>0.96514766758427095</v>
      </c>
      <c r="AP32" s="262">
        <v>7</v>
      </c>
      <c r="AQ32" s="327">
        <v>207</v>
      </c>
    </row>
    <row r="33" spans="1:43" x14ac:dyDescent="0.2">
      <c r="A33" s="37"/>
      <c r="B33" s="293"/>
      <c r="C33" s="389" t="s">
        <v>70</v>
      </c>
      <c r="D33" s="390" t="s">
        <v>180</v>
      </c>
      <c r="E33" s="391">
        <v>1</v>
      </c>
      <c r="F33" s="391">
        <v>30</v>
      </c>
      <c r="G33" s="392">
        <v>0.95273713628143997</v>
      </c>
      <c r="H33" s="37"/>
      <c r="I33" s="389" t="s">
        <v>70</v>
      </c>
      <c r="J33" s="390" t="s">
        <v>180</v>
      </c>
      <c r="K33" s="401">
        <v>1</v>
      </c>
      <c r="L33" s="401">
        <v>125</v>
      </c>
      <c r="M33" s="402">
        <v>0.988612598624798</v>
      </c>
      <c r="N33" s="291"/>
      <c r="O33" s="37"/>
      <c r="P33" s="293"/>
      <c r="Q33" s="389" t="s">
        <v>70</v>
      </c>
      <c r="R33" s="390" t="s">
        <v>180</v>
      </c>
      <c r="S33" s="401">
        <v>8</v>
      </c>
      <c r="T33" s="401">
        <v>202</v>
      </c>
      <c r="U33" s="402">
        <v>0.95669990173578801</v>
      </c>
      <c r="V33" s="37"/>
      <c r="W33" s="389" t="s">
        <v>70</v>
      </c>
      <c r="X33" s="390" t="s">
        <v>180</v>
      </c>
      <c r="Y33" s="401">
        <v>13</v>
      </c>
      <c r="Z33" s="401">
        <v>219</v>
      </c>
      <c r="AA33" s="402">
        <v>0.90955461997105103</v>
      </c>
      <c r="AB33" s="291"/>
      <c r="AC33" s="37"/>
      <c r="AD33" s="326" t="s">
        <v>83</v>
      </c>
      <c r="AE33" s="261" t="s">
        <v>121</v>
      </c>
      <c r="AF33" s="359">
        <v>0.96690726900268598</v>
      </c>
      <c r="AG33" s="262">
        <v>8</v>
      </c>
      <c r="AH33" s="360">
        <v>240</v>
      </c>
      <c r="AI33" s="346">
        <v>0.85710220464893405</v>
      </c>
      <c r="AJ33" s="262">
        <v>5</v>
      </c>
      <c r="AK33" s="373">
        <v>36</v>
      </c>
      <c r="AL33" s="359">
        <v>0.91197422642181003</v>
      </c>
      <c r="AM33" s="262">
        <v>17</v>
      </c>
      <c r="AN33" s="360">
        <v>209</v>
      </c>
      <c r="AO33" s="346">
        <v>0.95360792222993196</v>
      </c>
      <c r="AP33" s="262">
        <v>12</v>
      </c>
      <c r="AQ33" s="327">
        <v>210</v>
      </c>
    </row>
    <row r="34" spans="1:43" x14ac:dyDescent="0.2">
      <c r="A34" s="37"/>
      <c r="B34" s="293"/>
      <c r="C34" s="389" t="s">
        <v>89</v>
      </c>
      <c r="D34" s="390" t="s">
        <v>181</v>
      </c>
      <c r="E34" s="391">
        <v>5</v>
      </c>
      <c r="F34" s="391">
        <v>47</v>
      </c>
      <c r="G34" s="392">
        <v>0.893779941749687</v>
      </c>
      <c r="H34" s="37"/>
      <c r="I34" s="389" t="s">
        <v>89</v>
      </c>
      <c r="J34" s="390" t="s">
        <v>181</v>
      </c>
      <c r="K34" s="401">
        <v>7</v>
      </c>
      <c r="L34" s="401">
        <v>191</v>
      </c>
      <c r="M34" s="402">
        <v>0.96302538523158299</v>
      </c>
      <c r="N34" s="291"/>
      <c r="O34" s="37"/>
      <c r="P34" s="293"/>
      <c r="Q34" s="389" t="s">
        <v>89</v>
      </c>
      <c r="R34" s="390" t="s">
        <v>181</v>
      </c>
      <c r="S34" s="401">
        <v>17</v>
      </c>
      <c r="T34" s="401">
        <v>226</v>
      </c>
      <c r="U34" s="402">
        <v>0.92586683539380998</v>
      </c>
      <c r="V34" s="37"/>
      <c r="W34" s="389" t="s">
        <v>89</v>
      </c>
      <c r="X34" s="390" t="s">
        <v>181</v>
      </c>
      <c r="Y34" s="401">
        <v>23</v>
      </c>
      <c r="Z34" s="401">
        <v>213</v>
      </c>
      <c r="AA34" s="402">
        <v>0.89560598917156997</v>
      </c>
      <c r="AB34" s="291"/>
      <c r="AC34" s="37"/>
      <c r="AD34" s="326" t="s">
        <v>86</v>
      </c>
      <c r="AE34" s="261" t="s">
        <v>198</v>
      </c>
      <c r="AF34" s="359">
        <v>0.96170619562587001</v>
      </c>
      <c r="AG34" s="262">
        <v>10</v>
      </c>
      <c r="AH34" s="360">
        <v>275</v>
      </c>
      <c r="AI34" s="346">
        <v>0.838447290005637</v>
      </c>
      <c r="AJ34" s="262">
        <v>7</v>
      </c>
      <c r="AK34" s="373">
        <v>47</v>
      </c>
      <c r="AL34" s="359">
        <v>0.88210046091108496</v>
      </c>
      <c r="AM34" s="262">
        <v>24</v>
      </c>
      <c r="AN34" s="360">
        <v>223</v>
      </c>
      <c r="AO34" s="346">
        <v>0.88432526568786296</v>
      </c>
      <c r="AP34" s="262">
        <v>25</v>
      </c>
      <c r="AQ34" s="327">
        <v>221</v>
      </c>
    </row>
    <row r="35" spans="1:43" x14ac:dyDescent="0.2">
      <c r="A35" s="37"/>
      <c r="B35" s="293"/>
      <c r="C35" s="389" t="s">
        <v>54</v>
      </c>
      <c r="D35" s="390" t="s">
        <v>182</v>
      </c>
      <c r="E35" s="391">
        <v>0</v>
      </c>
      <c r="F35" s="391">
        <v>31</v>
      </c>
      <c r="G35" s="392">
        <v>1</v>
      </c>
      <c r="H35" s="37"/>
      <c r="I35" s="389" t="s">
        <v>54</v>
      </c>
      <c r="J35" s="390" t="s">
        <v>182</v>
      </c>
      <c r="K35" s="401">
        <v>0</v>
      </c>
      <c r="L35" s="401">
        <v>143</v>
      </c>
      <c r="M35" s="402">
        <v>1</v>
      </c>
      <c r="N35" s="291"/>
      <c r="O35" s="37"/>
      <c r="P35" s="293"/>
      <c r="Q35" s="389" t="s">
        <v>54</v>
      </c>
      <c r="R35" s="390" t="s">
        <v>182</v>
      </c>
      <c r="S35" s="401">
        <v>7</v>
      </c>
      <c r="T35" s="401">
        <v>199</v>
      </c>
      <c r="U35" s="402">
        <v>0.97425389608244894</v>
      </c>
      <c r="V35" s="37"/>
      <c r="W35" s="389" t="s">
        <v>54</v>
      </c>
      <c r="X35" s="390" t="s">
        <v>182</v>
      </c>
      <c r="Y35" s="401">
        <v>10</v>
      </c>
      <c r="Z35" s="401">
        <v>214</v>
      </c>
      <c r="AA35" s="402">
        <v>0.95664148712616304</v>
      </c>
      <c r="AB35" s="291"/>
      <c r="AC35" s="37"/>
      <c r="AD35" s="326" t="s">
        <v>91</v>
      </c>
      <c r="AE35" s="261" t="s">
        <v>169</v>
      </c>
      <c r="AF35" s="359">
        <v>0.93971421142620704</v>
      </c>
      <c r="AG35" s="262">
        <v>9</v>
      </c>
      <c r="AH35" s="363">
        <v>161</v>
      </c>
      <c r="AI35" s="346">
        <v>0.88045103441544303</v>
      </c>
      <c r="AJ35" s="262">
        <v>4</v>
      </c>
      <c r="AK35" s="375">
        <v>37</v>
      </c>
      <c r="AL35" s="359">
        <v>0.894179462371682</v>
      </c>
      <c r="AM35" s="262">
        <v>20</v>
      </c>
      <c r="AN35" s="363">
        <v>211</v>
      </c>
      <c r="AO35" s="346">
        <v>0.95504092002809204</v>
      </c>
      <c r="AP35" s="262">
        <v>9</v>
      </c>
      <c r="AQ35" s="331">
        <v>213</v>
      </c>
    </row>
    <row r="36" spans="1:43" x14ac:dyDescent="0.2">
      <c r="A36" s="37"/>
      <c r="B36" s="293"/>
      <c r="C36" s="389" t="s">
        <v>64</v>
      </c>
      <c r="D36" s="390" t="s">
        <v>183</v>
      </c>
      <c r="E36" s="391">
        <v>2</v>
      </c>
      <c r="F36" s="391">
        <v>27</v>
      </c>
      <c r="G36" s="392">
        <v>0.92912796697626399</v>
      </c>
      <c r="H36" s="37"/>
      <c r="I36" s="389" t="s">
        <v>64</v>
      </c>
      <c r="J36" s="390" t="s">
        <v>183</v>
      </c>
      <c r="K36" s="401">
        <v>2</v>
      </c>
      <c r="L36" s="401">
        <v>110</v>
      </c>
      <c r="M36" s="402">
        <v>0.982554484160166</v>
      </c>
      <c r="N36" s="291"/>
      <c r="O36" s="37"/>
      <c r="P36" s="293"/>
      <c r="Q36" s="389" t="s">
        <v>64</v>
      </c>
      <c r="R36" s="390" t="s">
        <v>183</v>
      </c>
      <c r="S36" s="401">
        <v>5</v>
      </c>
      <c r="T36" s="401">
        <v>194</v>
      </c>
      <c r="U36" s="402">
        <v>0.96784292972805996</v>
      </c>
      <c r="V36" s="37"/>
      <c r="W36" s="389" t="s">
        <v>64</v>
      </c>
      <c r="X36" s="390" t="s">
        <v>183</v>
      </c>
      <c r="Y36" s="401">
        <v>4</v>
      </c>
      <c r="Z36" s="401">
        <v>217</v>
      </c>
      <c r="AA36" s="402">
        <v>0.979699929450216</v>
      </c>
      <c r="AB36" s="291"/>
      <c r="AC36" s="37"/>
      <c r="AD36" s="326" t="s">
        <v>94</v>
      </c>
      <c r="AE36" s="261">
        <v>372</v>
      </c>
      <c r="AF36" s="359" t="s">
        <v>31</v>
      </c>
      <c r="AG36" s="262"/>
      <c r="AH36" s="360"/>
      <c r="AI36" s="346" t="s">
        <v>31</v>
      </c>
      <c r="AJ36" s="262"/>
      <c r="AK36" s="373"/>
      <c r="AL36" s="359" t="s">
        <v>31</v>
      </c>
      <c r="AM36" s="262"/>
      <c r="AN36" s="360"/>
      <c r="AO36" s="346" t="s">
        <v>31</v>
      </c>
      <c r="AP36" s="262"/>
      <c r="AQ36" s="327"/>
    </row>
    <row r="37" spans="1:43" ht="13.5" thickBot="1" x14ac:dyDescent="0.25">
      <c r="A37" s="37"/>
      <c r="B37" s="293"/>
      <c r="C37" s="389" t="s">
        <v>90</v>
      </c>
      <c r="D37" s="390" t="s">
        <v>184</v>
      </c>
      <c r="E37" s="391">
        <v>1</v>
      </c>
      <c r="F37" s="391">
        <v>33</v>
      </c>
      <c r="G37" s="392">
        <v>0.97659040009684694</v>
      </c>
      <c r="H37" s="37"/>
      <c r="I37" s="389" t="s">
        <v>90</v>
      </c>
      <c r="J37" s="390" t="s">
        <v>184</v>
      </c>
      <c r="K37" s="401">
        <v>1</v>
      </c>
      <c r="L37" s="401">
        <v>101</v>
      </c>
      <c r="M37" s="402">
        <v>0.99239147648636705</v>
      </c>
      <c r="N37" s="291"/>
      <c r="O37" s="37"/>
      <c r="P37" s="293"/>
      <c r="Q37" s="389" t="s">
        <v>90</v>
      </c>
      <c r="R37" s="390" t="s">
        <v>184</v>
      </c>
      <c r="S37" s="401">
        <v>17</v>
      </c>
      <c r="T37" s="401">
        <v>204</v>
      </c>
      <c r="U37" s="402">
        <v>0.92676736068967402</v>
      </c>
      <c r="V37" s="37"/>
      <c r="W37" s="389" t="s">
        <v>90</v>
      </c>
      <c r="X37" s="390" t="s">
        <v>184</v>
      </c>
      <c r="Y37" s="401">
        <v>19</v>
      </c>
      <c r="Z37" s="401">
        <v>217</v>
      </c>
      <c r="AA37" s="402">
        <v>0.87294754314692802</v>
      </c>
      <c r="AB37" s="291"/>
      <c r="AC37" s="37"/>
      <c r="AD37" s="329" t="s">
        <v>257</v>
      </c>
      <c r="AE37" s="263" t="s">
        <v>170</v>
      </c>
      <c r="AF37" s="361">
        <v>0.95892118819625605</v>
      </c>
      <c r="AG37" s="264">
        <v>26</v>
      </c>
      <c r="AH37" s="362">
        <v>619</v>
      </c>
      <c r="AI37" s="347">
        <v>0.79939185656733402</v>
      </c>
      <c r="AJ37" s="264">
        <v>10</v>
      </c>
      <c r="AK37" s="374">
        <v>49</v>
      </c>
      <c r="AL37" s="361">
        <v>0.83629756840852598</v>
      </c>
      <c r="AM37" s="264">
        <v>37</v>
      </c>
      <c r="AN37" s="362">
        <v>231</v>
      </c>
      <c r="AO37" s="347">
        <v>0.93371976313245297</v>
      </c>
      <c r="AP37" s="264">
        <v>18</v>
      </c>
      <c r="AQ37" s="330">
        <v>216</v>
      </c>
    </row>
    <row r="38" spans="1:43" x14ac:dyDescent="0.2">
      <c r="A38" s="37"/>
      <c r="B38" s="293"/>
      <c r="C38" s="389" t="s">
        <v>53</v>
      </c>
      <c r="D38" s="390" t="s">
        <v>185</v>
      </c>
      <c r="E38" s="391">
        <v>3</v>
      </c>
      <c r="F38" s="391">
        <v>42</v>
      </c>
      <c r="G38" s="392">
        <v>0.92902408111533596</v>
      </c>
      <c r="H38" s="37"/>
      <c r="I38" s="389" t="s">
        <v>53</v>
      </c>
      <c r="J38" s="390" t="s">
        <v>185</v>
      </c>
      <c r="K38" s="401">
        <v>3</v>
      </c>
      <c r="L38" s="401">
        <v>191</v>
      </c>
      <c r="M38" s="402">
        <v>0.98422791732397696</v>
      </c>
      <c r="N38" s="291"/>
      <c r="O38" s="37"/>
      <c r="P38" s="293"/>
      <c r="Q38" s="389" t="s">
        <v>53</v>
      </c>
      <c r="R38" s="390" t="s">
        <v>185</v>
      </c>
      <c r="S38" s="401">
        <v>17</v>
      </c>
      <c r="T38" s="401">
        <v>217</v>
      </c>
      <c r="U38" s="402">
        <v>0.92407774554880096</v>
      </c>
      <c r="V38" s="37"/>
      <c r="W38" s="389" t="s">
        <v>53</v>
      </c>
      <c r="X38" s="390" t="s">
        <v>185</v>
      </c>
      <c r="Y38" s="401">
        <v>17</v>
      </c>
      <c r="Z38" s="401">
        <v>206</v>
      </c>
      <c r="AA38" s="402">
        <v>0.92836879117911097</v>
      </c>
      <c r="AB38" s="291"/>
      <c r="AC38" s="37"/>
      <c r="AD38" s="324" t="s">
        <v>21</v>
      </c>
      <c r="AE38" s="259"/>
      <c r="AF38" s="357">
        <v>0.96090909090909093</v>
      </c>
      <c r="AG38" s="260">
        <v>86</v>
      </c>
      <c r="AH38" s="358">
        <v>2200</v>
      </c>
      <c r="AI38" s="345">
        <v>0.92263056092843332</v>
      </c>
      <c r="AJ38" s="260">
        <v>40</v>
      </c>
      <c r="AK38" s="372">
        <v>517</v>
      </c>
      <c r="AL38" s="357">
        <v>0.93106995884773658</v>
      </c>
      <c r="AM38" s="260">
        <v>201</v>
      </c>
      <c r="AN38" s="358">
        <v>2916</v>
      </c>
      <c r="AO38" s="345">
        <v>0.93279569892473124</v>
      </c>
      <c r="AP38" s="260">
        <v>200</v>
      </c>
      <c r="AQ38" s="325">
        <v>2976</v>
      </c>
    </row>
    <row r="39" spans="1:43" x14ac:dyDescent="0.2">
      <c r="A39" s="37"/>
      <c r="B39" s="293"/>
      <c r="C39" s="389" t="s">
        <v>44</v>
      </c>
      <c r="D39" s="390" t="s">
        <v>186</v>
      </c>
      <c r="E39" s="391">
        <v>4</v>
      </c>
      <c r="F39" s="391">
        <v>35</v>
      </c>
      <c r="G39" s="392">
        <v>0.88816305861501399</v>
      </c>
      <c r="H39" s="37"/>
      <c r="I39" s="389" t="s">
        <v>44</v>
      </c>
      <c r="J39" s="390" t="s">
        <v>186</v>
      </c>
      <c r="K39" s="401">
        <v>6</v>
      </c>
      <c r="L39" s="401">
        <v>130</v>
      </c>
      <c r="M39" s="402">
        <v>0.95546819231945901</v>
      </c>
      <c r="N39" s="291"/>
      <c r="O39" s="37"/>
      <c r="P39" s="293"/>
      <c r="Q39" s="389" t="s">
        <v>44</v>
      </c>
      <c r="R39" s="390" t="s">
        <v>186</v>
      </c>
      <c r="S39" s="401">
        <v>18</v>
      </c>
      <c r="T39" s="401">
        <v>204</v>
      </c>
      <c r="U39" s="402">
        <v>0.90764900295284601</v>
      </c>
      <c r="V39" s="37"/>
      <c r="W39" s="389" t="s">
        <v>44</v>
      </c>
      <c r="X39" s="390" t="s">
        <v>186</v>
      </c>
      <c r="Y39" s="401">
        <v>12</v>
      </c>
      <c r="Z39" s="401">
        <v>226</v>
      </c>
      <c r="AA39" s="402">
        <v>0.94385078548907597</v>
      </c>
      <c r="AB39" s="291"/>
      <c r="AC39" s="37"/>
      <c r="AD39" s="326" t="s">
        <v>50</v>
      </c>
      <c r="AE39" s="261" t="s">
        <v>178</v>
      </c>
      <c r="AF39" s="359">
        <v>0.91195796110794003</v>
      </c>
      <c r="AG39" s="262">
        <v>16</v>
      </c>
      <c r="AH39" s="360">
        <v>176</v>
      </c>
      <c r="AI39" s="346">
        <v>0.85867375929702805</v>
      </c>
      <c r="AJ39" s="262">
        <v>6</v>
      </c>
      <c r="AK39" s="373">
        <v>41</v>
      </c>
      <c r="AL39" s="359">
        <v>0.89186172878188597</v>
      </c>
      <c r="AM39" s="262">
        <v>23</v>
      </c>
      <c r="AN39" s="360">
        <v>211</v>
      </c>
      <c r="AO39" s="346">
        <v>0.86429911431446604</v>
      </c>
      <c r="AP39" s="262">
        <v>27</v>
      </c>
      <c r="AQ39" s="327">
        <v>216</v>
      </c>
    </row>
    <row r="40" spans="1:43" x14ac:dyDescent="0.2">
      <c r="A40" s="37"/>
      <c r="B40" s="293"/>
      <c r="C40" s="389" t="s">
        <v>84</v>
      </c>
      <c r="D40" s="390" t="s">
        <v>187</v>
      </c>
      <c r="E40" s="391">
        <v>0</v>
      </c>
      <c r="F40" s="391">
        <v>42</v>
      </c>
      <c r="G40" s="392">
        <v>1</v>
      </c>
      <c r="H40" s="37"/>
      <c r="I40" s="389" t="s">
        <v>84</v>
      </c>
      <c r="J40" s="390" t="s">
        <v>187</v>
      </c>
      <c r="K40" s="401">
        <v>2</v>
      </c>
      <c r="L40" s="401">
        <v>417</v>
      </c>
      <c r="M40" s="402">
        <v>0.99490722785817798</v>
      </c>
      <c r="N40" s="291"/>
      <c r="O40" s="37"/>
      <c r="P40" s="293"/>
      <c r="Q40" s="389" t="s">
        <v>84</v>
      </c>
      <c r="R40" s="390" t="s">
        <v>187</v>
      </c>
      <c r="S40" s="401">
        <v>29</v>
      </c>
      <c r="T40" s="401">
        <v>217</v>
      </c>
      <c r="U40" s="402">
        <v>0.88781454823299899</v>
      </c>
      <c r="V40" s="37"/>
      <c r="W40" s="389" t="s">
        <v>84</v>
      </c>
      <c r="X40" s="390" t="s">
        <v>187</v>
      </c>
      <c r="Y40" s="401">
        <v>16</v>
      </c>
      <c r="Z40" s="401">
        <v>214</v>
      </c>
      <c r="AA40" s="402">
        <v>0.926663351680583</v>
      </c>
      <c r="AB40" s="291"/>
      <c r="AC40" s="37"/>
      <c r="AD40" s="326" t="s">
        <v>54</v>
      </c>
      <c r="AE40" s="261" t="s">
        <v>182</v>
      </c>
      <c r="AF40" s="359">
        <v>1</v>
      </c>
      <c r="AG40" s="262">
        <v>0</v>
      </c>
      <c r="AH40" s="360">
        <v>143</v>
      </c>
      <c r="AI40" s="346">
        <v>1</v>
      </c>
      <c r="AJ40" s="262">
        <v>0</v>
      </c>
      <c r="AK40" s="373">
        <v>31</v>
      </c>
      <c r="AL40" s="359">
        <v>0.97425389608244894</v>
      </c>
      <c r="AM40" s="262">
        <v>7</v>
      </c>
      <c r="AN40" s="360">
        <v>199</v>
      </c>
      <c r="AO40" s="346">
        <v>0.95664148712616304</v>
      </c>
      <c r="AP40" s="262">
        <v>10</v>
      </c>
      <c r="AQ40" s="327">
        <v>214</v>
      </c>
    </row>
    <row r="41" spans="1:43" x14ac:dyDescent="0.2">
      <c r="A41" s="37"/>
      <c r="B41" s="293"/>
      <c r="C41" s="389" t="s">
        <v>76</v>
      </c>
      <c r="D41" s="390" t="s">
        <v>188</v>
      </c>
      <c r="E41" s="391">
        <v>1</v>
      </c>
      <c r="F41" s="391">
        <v>43</v>
      </c>
      <c r="G41" s="392">
        <v>0.97638257616945401</v>
      </c>
      <c r="H41" s="37"/>
      <c r="I41" s="389" t="s">
        <v>76</v>
      </c>
      <c r="J41" s="390" t="s">
        <v>188</v>
      </c>
      <c r="K41" s="401">
        <v>1</v>
      </c>
      <c r="L41" s="401">
        <v>179</v>
      </c>
      <c r="M41" s="402">
        <v>0.99437622219100796</v>
      </c>
      <c r="N41" s="291"/>
      <c r="O41" s="37"/>
      <c r="P41" s="293"/>
      <c r="Q41" s="389" t="s">
        <v>76</v>
      </c>
      <c r="R41" s="390" t="s">
        <v>188</v>
      </c>
      <c r="S41" s="401">
        <v>17</v>
      </c>
      <c r="T41" s="401">
        <v>222</v>
      </c>
      <c r="U41" s="402">
        <v>0.93169186077843202</v>
      </c>
      <c r="V41" s="37"/>
      <c r="W41" s="389" t="s">
        <v>76</v>
      </c>
      <c r="X41" s="390" t="s">
        <v>188</v>
      </c>
      <c r="Y41" s="401">
        <v>20</v>
      </c>
      <c r="Z41" s="401">
        <v>209</v>
      </c>
      <c r="AA41" s="402">
        <v>0.89602018724641996</v>
      </c>
      <c r="AB41" s="291"/>
      <c r="AC41" s="37"/>
      <c r="AD41" s="326" t="s">
        <v>56</v>
      </c>
      <c r="AE41" s="261" t="s">
        <v>207</v>
      </c>
      <c r="AF41" s="359">
        <v>0.981460197833255</v>
      </c>
      <c r="AG41" s="262">
        <v>2</v>
      </c>
      <c r="AH41" s="360">
        <v>113</v>
      </c>
      <c r="AI41" s="346">
        <v>0.96933433059087504</v>
      </c>
      <c r="AJ41" s="262">
        <v>1</v>
      </c>
      <c r="AK41" s="373">
        <v>37</v>
      </c>
      <c r="AL41" s="359">
        <v>0.96759610821072595</v>
      </c>
      <c r="AM41" s="262">
        <v>8</v>
      </c>
      <c r="AN41" s="360">
        <v>209</v>
      </c>
      <c r="AO41" s="346">
        <v>0.95383650430598799</v>
      </c>
      <c r="AP41" s="262">
        <v>10</v>
      </c>
      <c r="AQ41" s="327">
        <v>206</v>
      </c>
    </row>
    <row r="42" spans="1:43" x14ac:dyDescent="0.2">
      <c r="A42" s="37"/>
      <c r="B42" s="293"/>
      <c r="C42" s="389" t="s">
        <v>66</v>
      </c>
      <c r="D42" s="390" t="s">
        <v>189</v>
      </c>
      <c r="E42" s="391">
        <v>6</v>
      </c>
      <c r="F42" s="391">
        <v>49</v>
      </c>
      <c r="G42" s="392">
        <v>0.88206202019359203</v>
      </c>
      <c r="H42" s="37"/>
      <c r="I42" s="389" t="s">
        <v>66</v>
      </c>
      <c r="J42" s="390" t="s">
        <v>189</v>
      </c>
      <c r="K42" s="401">
        <v>11</v>
      </c>
      <c r="L42" s="401">
        <v>239</v>
      </c>
      <c r="M42" s="402">
        <v>0.95514839538716001</v>
      </c>
      <c r="N42" s="291"/>
      <c r="O42" s="37"/>
      <c r="P42" s="293"/>
      <c r="Q42" s="389" t="s">
        <v>66</v>
      </c>
      <c r="R42" s="390" t="s">
        <v>189</v>
      </c>
      <c r="S42" s="401">
        <v>24</v>
      </c>
      <c r="T42" s="401">
        <v>222</v>
      </c>
      <c r="U42" s="402">
        <v>0.88665367680441798</v>
      </c>
      <c r="V42" s="37"/>
      <c r="W42" s="389" t="s">
        <v>66</v>
      </c>
      <c r="X42" s="390" t="s">
        <v>189</v>
      </c>
      <c r="Y42" s="401">
        <v>21</v>
      </c>
      <c r="Z42" s="401">
        <v>206</v>
      </c>
      <c r="AA42" s="402">
        <v>0.90416469863284099</v>
      </c>
      <c r="AB42" s="291"/>
      <c r="AC42" s="37"/>
      <c r="AD42" s="326" t="s">
        <v>60</v>
      </c>
      <c r="AE42" s="261" t="s">
        <v>200</v>
      </c>
      <c r="AF42" s="359">
        <v>0.91901477555298405</v>
      </c>
      <c r="AG42" s="262">
        <v>18</v>
      </c>
      <c r="AH42" s="360">
        <v>246</v>
      </c>
      <c r="AI42" s="346">
        <v>0.86427381064679398</v>
      </c>
      <c r="AJ42" s="262">
        <v>7</v>
      </c>
      <c r="AK42" s="373">
        <v>51</v>
      </c>
      <c r="AL42" s="359">
        <v>0.88823518996922102</v>
      </c>
      <c r="AM42" s="262">
        <v>25</v>
      </c>
      <c r="AN42" s="360">
        <v>227</v>
      </c>
      <c r="AO42" s="346">
        <v>0.91501734146003599</v>
      </c>
      <c r="AP42" s="262">
        <v>21</v>
      </c>
      <c r="AQ42" s="327">
        <v>213</v>
      </c>
    </row>
    <row r="43" spans="1:43" x14ac:dyDescent="0.2">
      <c r="A43" s="37"/>
      <c r="B43" s="293"/>
      <c r="C43" s="389" t="s">
        <v>78</v>
      </c>
      <c r="D43" s="390" t="s">
        <v>190</v>
      </c>
      <c r="E43" s="391">
        <v>4</v>
      </c>
      <c r="F43" s="391">
        <v>37</v>
      </c>
      <c r="G43" s="392">
        <v>0.892260589853893</v>
      </c>
      <c r="H43" s="37"/>
      <c r="I43" s="389" t="s">
        <v>78</v>
      </c>
      <c r="J43" s="390" t="s">
        <v>190</v>
      </c>
      <c r="K43" s="401">
        <v>12</v>
      </c>
      <c r="L43" s="401">
        <v>130</v>
      </c>
      <c r="M43" s="402">
        <v>0.90530787451486305</v>
      </c>
      <c r="N43" s="291"/>
      <c r="O43" s="37"/>
      <c r="P43" s="293"/>
      <c r="Q43" s="389" t="s">
        <v>78</v>
      </c>
      <c r="R43" s="390" t="s">
        <v>190</v>
      </c>
      <c r="S43" s="401">
        <v>13</v>
      </c>
      <c r="T43" s="401">
        <v>208</v>
      </c>
      <c r="U43" s="402">
        <v>0.93261029633495596</v>
      </c>
      <c r="V43" s="37"/>
      <c r="W43" s="389" t="s">
        <v>78</v>
      </c>
      <c r="X43" s="390" t="s">
        <v>190</v>
      </c>
      <c r="Y43" s="401">
        <v>20</v>
      </c>
      <c r="Z43" s="401">
        <v>224</v>
      </c>
      <c r="AA43" s="402">
        <v>0.91702083026995895</v>
      </c>
      <c r="AB43" s="291"/>
      <c r="AC43" s="37"/>
      <c r="AD43" s="326" t="s">
        <v>64</v>
      </c>
      <c r="AE43" s="261" t="s">
        <v>183</v>
      </c>
      <c r="AF43" s="359">
        <v>0.982554484160166</v>
      </c>
      <c r="AG43" s="262">
        <v>2</v>
      </c>
      <c r="AH43" s="360">
        <v>110</v>
      </c>
      <c r="AI43" s="346">
        <v>0.92912796697626399</v>
      </c>
      <c r="AJ43" s="262">
        <v>2</v>
      </c>
      <c r="AK43" s="373">
        <v>27</v>
      </c>
      <c r="AL43" s="359">
        <v>0.96784292972805996</v>
      </c>
      <c r="AM43" s="262">
        <v>5</v>
      </c>
      <c r="AN43" s="360">
        <v>194</v>
      </c>
      <c r="AO43" s="346">
        <v>0.979699929450216</v>
      </c>
      <c r="AP43" s="262">
        <v>4</v>
      </c>
      <c r="AQ43" s="327">
        <v>217</v>
      </c>
    </row>
    <row r="44" spans="1:43" x14ac:dyDescent="0.2">
      <c r="A44" s="37"/>
      <c r="B44" s="293"/>
      <c r="C44" s="389" t="s">
        <v>87</v>
      </c>
      <c r="D44" s="390" t="s">
        <v>191</v>
      </c>
      <c r="E44" s="391">
        <v>4</v>
      </c>
      <c r="F44" s="391">
        <v>46</v>
      </c>
      <c r="G44" s="392">
        <v>0.90453342218766797</v>
      </c>
      <c r="H44" s="37"/>
      <c r="I44" s="389" t="s">
        <v>87</v>
      </c>
      <c r="J44" s="390" t="s">
        <v>191</v>
      </c>
      <c r="K44" s="401">
        <v>4</v>
      </c>
      <c r="L44" s="401">
        <v>345</v>
      </c>
      <c r="M44" s="402">
        <v>0.98687181680314295</v>
      </c>
      <c r="N44" s="291"/>
      <c r="O44" s="37"/>
      <c r="P44" s="293"/>
      <c r="Q44" s="389" t="s">
        <v>87</v>
      </c>
      <c r="R44" s="390" t="s">
        <v>191</v>
      </c>
      <c r="S44" s="401">
        <v>24</v>
      </c>
      <c r="T44" s="401">
        <v>248</v>
      </c>
      <c r="U44" s="402">
        <v>0.90503444791288401</v>
      </c>
      <c r="V44" s="37"/>
      <c r="W44" s="389" t="s">
        <v>87</v>
      </c>
      <c r="X44" s="390" t="s">
        <v>191</v>
      </c>
      <c r="Y44" s="401">
        <v>13</v>
      </c>
      <c r="Z44" s="401">
        <v>210</v>
      </c>
      <c r="AA44" s="402">
        <v>0.93200818304915001</v>
      </c>
      <c r="AB44" s="291"/>
      <c r="AC44" s="37"/>
      <c r="AD44" s="326" t="s">
        <v>65</v>
      </c>
      <c r="AE44" s="261" t="s">
        <v>195</v>
      </c>
      <c r="AF44" s="359">
        <v>0.95133728404352003</v>
      </c>
      <c r="AG44" s="262">
        <v>7</v>
      </c>
      <c r="AH44" s="360">
        <v>151</v>
      </c>
      <c r="AI44" s="346">
        <v>0.88203681311299198</v>
      </c>
      <c r="AJ44" s="262">
        <v>4</v>
      </c>
      <c r="AK44" s="373">
        <v>35</v>
      </c>
      <c r="AL44" s="359">
        <v>0.89957126455217196</v>
      </c>
      <c r="AM44" s="262">
        <v>21</v>
      </c>
      <c r="AN44" s="360">
        <v>208</v>
      </c>
      <c r="AO44" s="346">
        <v>0.94167017730178904</v>
      </c>
      <c r="AP44" s="262">
        <v>12</v>
      </c>
      <c r="AQ44" s="327">
        <v>214</v>
      </c>
    </row>
    <row r="45" spans="1:43" x14ac:dyDescent="0.2">
      <c r="A45" s="37"/>
      <c r="B45" s="293"/>
      <c r="C45" s="389" t="s">
        <v>47</v>
      </c>
      <c r="D45" s="390" t="s">
        <v>192</v>
      </c>
      <c r="E45" s="391">
        <v>3</v>
      </c>
      <c r="F45" s="391">
        <v>27</v>
      </c>
      <c r="G45" s="392">
        <v>0.89218085106383005</v>
      </c>
      <c r="H45" s="37"/>
      <c r="I45" s="389" t="s">
        <v>47</v>
      </c>
      <c r="J45" s="390" t="s">
        <v>192</v>
      </c>
      <c r="K45" s="401">
        <v>3</v>
      </c>
      <c r="L45" s="401">
        <v>100</v>
      </c>
      <c r="M45" s="402">
        <v>0.969937189935559</v>
      </c>
      <c r="N45" s="291"/>
      <c r="O45" s="37"/>
      <c r="P45" s="293"/>
      <c r="Q45" s="389" t="s">
        <v>47</v>
      </c>
      <c r="R45" s="390" t="s">
        <v>192</v>
      </c>
      <c r="S45" s="401">
        <v>14</v>
      </c>
      <c r="T45" s="401">
        <v>194</v>
      </c>
      <c r="U45" s="402">
        <v>0.93126733582104404</v>
      </c>
      <c r="V45" s="37"/>
      <c r="W45" s="389" t="s">
        <v>47</v>
      </c>
      <c r="X45" s="390" t="s">
        <v>192</v>
      </c>
      <c r="Y45" s="401">
        <v>7</v>
      </c>
      <c r="Z45" s="401">
        <v>220</v>
      </c>
      <c r="AA45" s="402">
        <v>0.96015848430645601</v>
      </c>
      <c r="AB45" s="291"/>
      <c r="AC45" s="37"/>
      <c r="AD45" s="326" t="s">
        <v>242</v>
      </c>
      <c r="AE45" s="261" t="s">
        <v>180</v>
      </c>
      <c r="AF45" s="359">
        <v>0.988612598624798</v>
      </c>
      <c r="AG45" s="262">
        <v>1</v>
      </c>
      <c r="AH45" s="360">
        <v>125</v>
      </c>
      <c r="AI45" s="346">
        <v>0.95273713628143997</v>
      </c>
      <c r="AJ45" s="262">
        <v>1</v>
      </c>
      <c r="AK45" s="373">
        <v>30</v>
      </c>
      <c r="AL45" s="359">
        <v>0.95669990173578801</v>
      </c>
      <c r="AM45" s="262">
        <v>8</v>
      </c>
      <c r="AN45" s="360">
        <v>202</v>
      </c>
      <c r="AO45" s="346">
        <v>0.90955461997105103</v>
      </c>
      <c r="AP45" s="262">
        <v>13</v>
      </c>
      <c r="AQ45" s="327">
        <v>219</v>
      </c>
    </row>
    <row r="46" spans="1:43" x14ac:dyDescent="0.2">
      <c r="A46" s="37"/>
      <c r="B46" s="293"/>
      <c r="C46" s="389" t="s">
        <v>80</v>
      </c>
      <c r="D46" s="390" t="s">
        <v>193</v>
      </c>
      <c r="E46" s="391">
        <v>2</v>
      </c>
      <c r="F46" s="391">
        <v>34</v>
      </c>
      <c r="G46" s="392">
        <v>0.94218877391031697</v>
      </c>
      <c r="H46" s="37"/>
      <c r="I46" s="389" t="s">
        <v>80</v>
      </c>
      <c r="J46" s="390" t="s">
        <v>193</v>
      </c>
      <c r="K46" s="401">
        <v>5</v>
      </c>
      <c r="L46" s="401">
        <v>123</v>
      </c>
      <c r="M46" s="402">
        <v>0.95999475542969503</v>
      </c>
      <c r="N46" s="291"/>
      <c r="O46" s="37"/>
      <c r="P46" s="293"/>
      <c r="Q46" s="389" t="s">
        <v>80</v>
      </c>
      <c r="R46" s="390" t="s">
        <v>193</v>
      </c>
      <c r="S46" s="401">
        <v>9</v>
      </c>
      <c r="T46" s="401">
        <v>204</v>
      </c>
      <c r="U46" s="402">
        <v>0.95737238361413501</v>
      </c>
      <c r="V46" s="37"/>
      <c r="W46" s="389" t="s">
        <v>80</v>
      </c>
      <c r="X46" s="390" t="s">
        <v>193</v>
      </c>
      <c r="Y46" s="401">
        <v>8</v>
      </c>
      <c r="Z46" s="401">
        <v>214</v>
      </c>
      <c r="AA46" s="402">
        <v>0.95900204867596195</v>
      </c>
      <c r="AB46" s="291"/>
      <c r="AC46" s="37"/>
      <c r="AD46" s="326" t="s">
        <v>36</v>
      </c>
      <c r="AE46" s="261" t="s">
        <v>196</v>
      </c>
      <c r="AF46" s="359">
        <v>0.98576296159867405</v>
      </c>
      <c r="AG46" s="262">
        <v>2</v>
      </c>
      <c r="AH46" s="360">
        <v>192</v>
      </c>
      <c r="AI46" s="346">
        <v>0.92780424021668095</v>
      </c>
      <c r="AJ46" s="262">
        <v>2</v>
      </c>
      <c r="AK46" s="373">
        <v>36</v>
      </c>
      <c r="AL46" s="359">
        <v>0.93092666647188504</v>
      </c>
      <c r="AM46" s="262">
        <v>15</v>
      </c>
      <c r="AN46" s="360">
        <v>209</v>
      </c>
      <c r="AO46" s="346">
        <v>0.95046272385975406</v>
      </c>
      <c r="AP46" s="262">
        <v>9</v>
      </c>
      <c r="AQ46" s="327">
        <v>210</v>
      </c>
    </row>
    <row r="47" spans="1:43" x14ac:dyDescent="0.2">
      <c r="A47" s="37"/>
      <c r="B47" s="293"/>
      <c r="C47" s="389" t="s">
        <v>93</v>
      </c>
      <c r="D47" s="390" t="s">
        <v>194</v>
      </c>
      <c r="E47" s="391">
        <v>1</v>
      </c>
      <c r="F47" s="391">
        <v>43</v>
      </c>
      <c r="G47" s="392">
        <v>0.97679116004594202</v>
      </c>
      <c r="H47" s="37"/>
      <c r="I47" s="389" t="s">
        <v>93</v>
      </c>
      <c r="J47" s="390" t="s">
        <v>194</v>
      </c>
      <c r="K47" s="401">
        <v>3</v>
      </c>
      <c r="L47" s="401">
        <v>183</v>
      </c>
      <c r="M47" s="402">
        <v>0.983746267963298</v>
      </c>
      <c r="N47" s="291"/>
      <c r="O47" s="37"/>
      <c r="P47" s="293"/>
      <c r="Q47" s="389" t="s">
        <v>93</v>
      </c>
      <c r="R47" s="390" t="s">
        <v>194</v>
      </c>
      <c r="S47" s="401">
        <v>14</v>
      </c>
      <c r="T47" s="401">
        <v>211</v>
      </c>
      <c r="U47" s="402">
        <v>0.93630478694501995</v>
      </c>
      <c r="V47" s="37"/>
      <c r="W47" s="389" t="s">
        <v>93</v>
      </c>
      <c r="X47" s="390" t="s">
        <v>194</v>
      </c>
      <c r="Y47" s="401">
        <v>19</v>
      </c>
      <c r="Z47" s="401">
        <v>217</v>
      </c>
      <c r="AA47" s="402">
        <v>0.91156987419684199</v>
      </c>
      <c r="AB47" s="291"/>
      <c r="AC47" s="37"/>
      <c r="AD47" s="326" t="s">
        <v>73</v>
      </c>
      <c r="AE47" s="261" t="s">
        <v>172</v>
      </c>
      <c r="AF47" s="359">
        <v>0.88276247984852896</v>
      </c>
      <c r="AG47" s="262">
        <v>18</v>
      </c>
      <c r="AH47" s="360">
        <v>146</v>
      </c>
      <c r="AI47" s="346">
        <v>0.87444247671520403</v>
      </c>
      <c r="AJ47" s="262">
        <v>5</v>
      </c>
      <c r="AK47" s="373">
        <v>39</v>
      </c>
      <c r="AL47" s="359">
        <v>0.90516704706721995</v>
      </c>
      <c r="AM47" s="262">
        <v>20</v>
      </c>
      <c r="AN47" s="360">
        <v>211</v>
      </c>
      <c r="AO47" s="346">
        <v>0.92045051976334702</v>
      </c>
      <c r="AP47" s="262">
        <v>16</v>
      </c>
      <c r="AQ47" s="327">
        <v>211</v>
      </c>
    </row>
    <row r="48" spans="1:43" x14ac:dyDescent="0.2">
      <c r="A48" s="37"/>
      <c r="B48" s="293"/>
      <c r="C48" s="389" t="s">
        <v>65</v>
      </c>
      <c r="D48" s="390" t="s">
        <v>195</v>
      </c>
      <c r="E48" s="391">
        <v>4</v>
      </c>
      <c r="F48" s="391">
        <v>35</v>
      </c>
      <c r="G48" s="392">
        <v>0.88203681311299198</v>
      </c>
      <c r="H48" s="37"/>
      <c r="I48" s="389" t="s">
        <v>65</v>
      </c>
      <c r="J48" s="390" t="s">
        <v>195</v>
      </c>
      <c r="K48" s="401">
        <v>7</v>
      </c>
      <c r="L48" s="401">
        <v>151</v>
      </c>
      <c r="M48" s="402">
        <v>0.95133728404352003</v>
      </c>
      <c r="N48" s="291"/>
      <c r="O48" s="37"/>
      <c r="P48" s="293"/>
      <c r="Q48" s="389" t="s">
        <v>65</v>
      </c>
      <c r="R48" s="390" t="s">
        <v>195</v>
      </c>
      <c r="S48" s="401">
        <v>21</v>
      </c>
      <c r="T48" s="401">
        <v>208</v>
      </c>
      <c r="U48" s="402">
        <v>0.89957126455217196</v>
      </c>
      <c r="V48" s="37"/>
      <c r="W48" s="389" t="s">
        <v>65</v>
      </c>
      <c r="X48" s="390" t="s">
        <v>195</v>
      </c>
      <c r="Y48" s="401">
        <v>12</v>
      </c>
      <c r="Z48" s="401">
        <v>214</v>
      </c>
      <c r="AA48" s="402">
        <v>0.94167017730178904</v>
      </c>
      <c r="AB48" s="291"/>
      <c r="AC48" s="37"/>
      <c r="AD48" s="326" t="s">
        <v>88</v>
      </c>
      <c r="AE48" s="261" t="s">
        <v>208</v>
      </c>
      <c r="AF48" s="359">
        <v>0.97897857431613</v>
      </c>
      <c r="AG48" s="262">
        <v>4</v>
      </c>
      <c r="AH48" s="360">
        <v>195</v>
      </c>
      <c r="AI48" s="346">
        <v>0.96822810590631403</v>
      </c>
      <c r="AJ48" s="262">
        <v>1</v>
      </c>
      <c r="AK48" s="373">
        <v>31</v>
      </c>
      <c r="AL48" s="359">
        <v>0.96501787461892696</v>
      </c>
      <c r="AM48" s="262">
        <v>8</v>
      </c>
      <c r="AN48" s="360">
        <v>198</v>
      </c>
      <c r="AO48" s="346">
        <v>0.95195911161551705</v>
      </c>
      <c r="AP48" s="262">
        <v>9</v>
      </c>
      <c r="AQ48" s="327">
        <v>200</v>
      </c>
    </row>
    <row r="49" spans="1:43" x14ac:dyDescent="0.2">
      <c r="A49" s="37"/>
      <c r="B49" s="293"/>
      <c r="C49" s="389" t="s">
        <v>36</v>
      </c>
      <c r="D49" s="390" t="s">
        <v>196</v>
      </c>
      <c r="E49" s="391">
        <v>2</v>
      </c>
      <c r="F49" s="391">
        <v>36</v>
      </c>
      <c r="G49" s="392">
        <v>0.92780424021668095</v>
      </c>
      <c r="H49" s="37"/>
      <c r="I49" s="389" t="s">
        <v>36</v>
      </c>
      <c r="J49" s="390" t="s">
        <v>196</v>
      </c>
      <c r="K49" s="401">
        <v>2</v>
      </c>
      <c r="L49" s="401">
        <v>192</v>
      </c>
      <c r="M49" s="402">
        <v>0.98576296159867405</v>
      </c>
      <c r="N49" s="291"/>
      <c r="O49" s="37"/>
      <c r="P49" s="293"/>
      <c r="Q49" s="389" t="s">
        <v>36</v>
      </c>
      <c r="R49" s="390" t="s">
        <v>196</v>
      </c>
      <c r="S49" s="401">
        <v>15</v>
      </c>
      <c r="T49" s="401">
        <v>209</v>
      </c>
      <c r="U49" s="402">
        <v>0.93092666647188504</v>
      </c>
      <c r="V49" s="37"/>
      <c r="W49" s="389" t="s">
        <v>36</v>
      </c>
      <c r="X49" s="390" t="s">
        <v>196</v>
      </c>
      <c r="Y49" s="401">
        <v>9</v>
      </c>
      <c r="Z49" s="401">
        <v>210</v>
      </c>
      <c r="AA49" s="402">
        <v>0.95046272385975406</v>
      </c>
      <c r="AB49" s="291"/>
      <c r="AC49" s="37"/>
      <c r="AD49" s="326" t="s">
        <v>89</v>
      </c>
      <c r="AE49" s="261" t="s">
        <v>181</v>
      </c>
      <c r="AF49" s="359">
        <v>0.96302538523158299</v>
      </c>
      <c r="AG49" s="262">
        <v>7</v>
      </c>
      <c r="AH49" s="360">
        <v>191</v>
      </c>
      <c r="AI49" s="346">
        <v>0.893779941749687</v>
      </c>
      <c r="AJ49" s="262">
        <v>5</v>
      </c>
      <c r="AK49" s="373">
        <v>47</v>
      </c>
      <c r="AL49" s="359">
        <v>0.92586683539380998</v>
      </c>
      <c r="AM49" s="262">
        <v>17</v>
      </c>
      <c r="AN49" s="360">
        <v>226</v>
      </c>
      <c r="AO49" s="346">
        <v>0.89560598917156997</v>
      </c>
      <c r="AP49" s="262">
        <v>23</v>
      </c>
      <c r="AQ49" s="327">
        <v>213</v>
      </c>
    </row>
    <row r="50" spans="1:43" x14ac:dyDescent="0.2">
      <c r="A50" s="37"/>
      <c r="B50" s="293"/>
      <c r="C50" s="389" t="s">
        <v>82</v>
      </c>
      <c r="D50" s="390" t="s">
        <v>197</v>
      </c>
      <c r="E50" s="391">
        <v>5</v>
      </c>
      <c r="F50" s="391">
        <v>33</v>
      </c>
      <c r="G50" s="392">
        <v>0.87328093399522</v>
      </c>
      <c r="H50" s="37"/>
      <c r="I50" s="389" t="s">
        <v>82</v>
      </c>
      <c r="J50" s="390" t="s">
        <v>197</v>
      </c>
      <c r="K50" s="401">
        <v>8</v>
      </c>
      <c r="L50" s="401">
        <v>168</v>
      </c>
      <c r="M50" s="402">
        <v>0.95799603265605604</v>
      </c>
      <c r="N50" s="291"/>
      <c r="O50" s="37"/>
      <c r="P50" s="293"/>
      <c r="Q50" s="389" t="s">
        <v>82</v>
      </c>
      <c r="R50" s="390" t="s">
        <v>197</v>
      </c>
      <c r="S50" s="401">
        <v>21</v>
      </c>
      <c r="T50" s="401">
        <v>209</v>
      </c>
      <c r="U50" s="402">
        <v>0.90147063163805896</v>
      </c>
      <c r="V50" s="37"/>
      <c r="W50" s="389" t="s">
        <v>82</v>
      </c>
      <c r="X50" s="390" t="s">
        <v>197</v>
      </c>
      <c r="Y50" s="401">
        <v>18</v>
      </c>
      <c r="Z50" s="401">
        <v>237</v>
      </c>
      <c r="AA50" s="402">
        <v>0.92670929151120196</v>
      </c>
      <c r="AB50" s="291"/>
      <c r="AC50" s="37"/>
      <c r="AD50" s="326" t="s">
        <v>250</v>
      </c>
      <c r="AE50" s="261" t="s">
        <v>184</v>
      </c>
      <c r="AF50" s="359">
        <v>0.99239147648636705</v>
      </c>
      <c r="AG50" s="262">
        <v>1</v>
      </c>
      <c r="AH50" s="360">
        <v>101</v>
      </c>
      <c r="AI50" s="346">
        <v>0.97659040009684694</v>
      </c>
      <c r="AJ50" s="262">
        <v>1</v>
      </c>
      <c r="AK50" s="373">
        <v>33</v>
      </c>
      <c r="AL50" s="359">
        <v>0.92676736068967402</v>
      </c>
      <c r="AM50" s="262">
        <v>17</v>
      </c>
      <c r="AN50" s="360">
        <v>204</v>
      </c>
      <c r="AO50" s="346">
        <v>0.87294754314692802</v>
      </c>
      <c r="AP50" s="262">
        <v>19</v>
      </c>
      <c r="AQ50" s="327">
        <v>217</v>
      </c>
    </row>
    <row r="51" spans="1:43" x14ac:dyDescent="0.2">
      <c r="A51" s="37"/>
      <c r="B51" s="293"/>
      <c r="C51" s="389" t="s">
        <v>86</v>
      </c>
      <c r="D51" s="390" t="s">
        <v>198</v>
      </c>
      <c r="E51" s="391">
        <v>7</v>
      </c>
      <c r="F51" s="391">
        <v>47</v>
      </c>
      <c r="G51" s="392">
        <v>0.838447290005637</v>
      </c>
      <c r="H51" s="37"/>
      <c r="I51" s="389" t="s">
        <v>86</v>
      </c>
      <c r="J51" s="390" t="s">
        <v>198</v>
      </c>
      <c r="K51" s="401">
        <v>10</v>
      </c>
      <c r="L51" s="401">
        <v>275</v>
      </c>
      <c r="M51" s="402">
        <v>0.96170619562587001</v>
      </c>
      <c r="N51" s="291"/>
      <c r="O51" s="37"/>
      <c r="P51" s="293"/>
      <c r="Q51" s="389" t="s">
        <v>86</v>
      </c>
      <c r="R51" s="390" t="s">
        <v>198</v>
      </c>
      <c r="S51" s="401">
        <v>24</v>
      </c>
      <c r="T51" s="401">
        <v>223</v>
      </c>
      <c r="U51" s="402">
        <v>0.88210046091108496</v>
      </c>
      <c r="V51" s="37"/>
      <c r="W51" s="389" t="s">
        <v>86</v>
      </c>
      <c r="X51" s="390" t="s">
        <v>198</v>
      </c>
      <c r="Y51" s="401">
        <v>25</v>
      </c>
      <c r="Z51" s="401">
        <v>221</v>
      </c>
      <c r="AA51" s="402">
        <v>0.88432526568786296</v>
      </c>
      <c r="AB51" s="291"/>
      <c r="AC51" s="37"/>
      <c r="AD51" s="326" t="s">
        <v>93</v>
      </c>
      <c r="AE51" s="261" t="s">
        <v>194</v>
      </c>
      <c r="AF51" s="359">
        <v>0.983746267963298</v>
      </c>
      <c r="AG51" s="262">
        <v>3</v>
      </c>
      <c r="AH51" s="360">
        <v>183</v>
      </c>
      <c r="AI51" s="346">
        <v>0.97679116004594202</v>
      </c>
      <c r="AJ51" s="262">
        <v>1</v>
      </c>
      <c r="AK51" s="373">
        <v>43</v>
      </c>
      <c r="AL51" s="359">
        <v>0.93630478694501995</v>
      </c>
      <c r="AM51" s="262">
        <v>14</v>
      </c>
      <c r="AN51" s="360">
        <v>211</v>
      </c>
      <c r="AO51" s="346">
        <v>0.91156987419684199</v>
      </c>
      <c r="AP51" s="262">
        <v>19</v>
      </c>
      <c r="AQ51" s="327">
        <v>217</v>
      </c>
    </row>
    <row r="52" spans="1:43" ht="13.5" thickBot="1" x14ac:dyDescent="0.25">
      <c r="A52" s="37"/>
      <c r="B52" s="293"/>
      <c r="C52" s="389" t="s">
        <v>69</v>
      </c>
      <c r="D52" s="390" t="s">
        <v>199</v>
      </c>
      <c r="E52" s="391">
        <v>2</v>
      </c>
      <c r="F52" s="391">
        <v>29</v>
      </c>
      <c r="G52" s="392">
        <v>0.93666533386645301</v>
      </c>
      <c r="H52" s="37"/>
      <c r="I52" s="389" t="s">
        <v>69</v>
      </c>
      <c r="J52" s="390" t="s">
        <v>199</v>
      </c>
      <c r="K52" s="401">
        <v>2</v>
      </c>
      <c r="L52" s="401">
        <v>156</v>
      </c>
      <c r="M52" s="402">
        <v>0.988268665338498</v>
      </c>
      <c r="N52" s="291"/>
      <c r="O52" s="37"/>
      <c r="P52" s="293"/>
      <c r="Q52" s="389" t="s">
        <v>69</v>
      </c>
      <c r="R52" s="390" t="s">
        <v>199</v>
      </c>
      <c r="S52" s="401">
        <v>9</v>
      </c>
      <c r="T52" s="401">
        <v>204</v>
      </c>
      <c r="U52" s="402">
        <v>0.95226137271156996</v>
      </c>
      <c r="V52" s="37"/>
      <c r="W52" s="389" t="s">
        <v>69</v>
      </c>
      <c r="X52" s="390" t="s">
        <v>199</v>
      </c>
      <c r="Y52" s="401">
        <v>11</v>
      </c>
      <c r="Z52" s="401">
        <v>199</v>
      </c>
      <c r="AA52" s="402">
        <v>0.95200346247162204</v>
      </c>
      <c r="AB52" s="291"/>
      <c r="AC52" s="37"/>
      <c r="AD52" s="329" t="s">
        <v>95</v>
      </c>
      <c r="AE52" s="263" t="s">
        <v>209</v>
      </c>
      <c r="AF52" s="361">
        <v>0.95962618057635496</v>
      </c>
      <c r="AG52" s="264">
        <v>5</v>
      </c>
      <c r="AH52" s="362">
        <v>128</v>
      </c>
      <c r="AI52" s="347">
        <v>0.884613375130617</v>
      </c>
      <c r="AJ52" s="264">
        <v>4</v>
      </c>
      <c r="AK52" s="374">
        <v>36</v>
      </c>
      <c r="AL52" s="361">
        <v>0.93531052302914097</v>
      </c>
      <c r="AM52" s="264">
        <v>13</v>
      </c>
      <c r="AN52" s="362">
        <v>207</v>
      </c>
      <c r="AO52" s="347">
        <v>0.95461560778867505</v>
      </c>
      <c r="AP52" s="264">
        <v>8</v>
      </c>
      <c r="AQ52" s="330">
        <v>209</v>
      </c>
    </row>
    <row r="53" spans="1:43" x14ac:dyDescent="0.2">
      <c r="A53" s="37"/>
      <c r="B53" s="293"/>
      <c r="C53" s="389" t="s">
        <v>60</v>
      </c>
      <c r="D53" s="390" t="s">
        <v>200</v>
      </c>
      <c r="E53" s="391">
        <v>7</v>
      </c>
      <c r="F53" s="391">
        <v>51</v>
      </c>
      <c r="G53" s="392">
        <v>0.86427381064679398</v>
      </c>
      <c r="H53" s="37"/>
      <c r="I53" s="389" t="s">
        <v>60</v>
      </c>
      <c r="J53" s="390" t="s">
        <v>200</v>
      </c>
      <c r="K53" s="401">
        <v>18</v>
      </c>
      <c r="L53" s="401">
        <v>246</v>
      </c>
      <c r="M53" s="402">
        <v>0.91901477555298405</v>
      </c>
      <c r="N53" s="291"/>
      <c r="O53" s="37"/>
      <c r="P53" s="293"/>
      <c r="Q53" s="389" t="s">
        <v>60</v>
      </c>
      <c r="R53" s="390" t="s">
        <v>200</v>
      </c>
      <c r="S53" s="401">
        <v>25</v>
      </c>
      <c r="T53" s="401">
        <v>227</v>
      </c>
      <c r="U53" s="402">
        <v>0.88823518996922102</v>
      </c>
      <c r="V53" s="37"/>
      <c r="W53" s="389" t="s">
        <v>60</v>
      </c>
      <c r="X53" s="390" t="s">
        <v>200</v>
      </c>
      <c r="Y53" s="401">
        <v>21</v>
      </c>
      <c r="Z53" s="401">
        <v>213</v>
      </c>
      <c r="AA53" s="402">
        <v>0.91501734146003599</v>
      </c>
      <c r="AB53" s="291"/>
      <c r="AC53" s="37"/>
      <c r="AD53" s="324" t="s">
        <v>22</v>
      </c>
      <c r="AE53" s="259"/>
      <c r="AF53" s="357">
        <v>0.97152690863579472</v>
      </c>
      <c r="AG53" s="260">
        <v>91</v>
      </c>
      <c r="AH53" s="358">
        <v>3196</v>
      </c>
      <c r="AI53" s="345">
        <v>0.90864600326264278</v>
      </c>
      <c r="AJ53" s="260">
        <v>56</v>
      </c>
      <c r="AK53" s="372">
        <v>613</v>
      </c>
      <c r="AL53" s="357">
        <v>0.90962269669494</v>
      </c>
      <c r="AM53" s="260">
        <v>309</v>
      </c>
      <c r="AN53" s="358">
        <v>3419</v>
      </c>
      <c r="AO53" s="345">
        <v>0.93547436652916915</v>
      </c>
      <c r="AP53" s="260">
        <v>219</v>
      </c>
      <c r="AQ53" s="325">
        <v>3394</v>
      </c>
    </row>
    <row r="54" spans="1:43" x14ac:dyDescent="0.2">
      <c r="A54" s="37"/>
      <c r="B54" s="293"/>
      <c r="C54" s="389" t="s">
        <v>68</v>
      </c>
      <c r="D54" s="390" t="s">
        <v>201</v>
      </c>
      <c r="E54" s="391">
        <v>5</v>
      </c>
      <c r="F54" s="391">
        <v>46</v>
      </c>
      <c r="G54" s="392">
        <v>0.88989076184198102</v>
      </c>
      <c r="H54" s="37"/>
      <c r="I54" s="389" t="s">
        <v>68</v>
      </c>
      <c r="J54" s="390" t="s">
        <v>201</v>
      </c>
      <c r="K54" s="401">
        <v>9</v>
      </c>
      <c r="L54" s="401">
        <v>170</v>
      </c>
      <c r="M54" s="402">
        <v>0.94562122567128104</v>
      </c>
      <c r="N54" s="291"/>
      <c r="O54" s="37"/>
      <c r="P54" s="293"/>
      <c r="Q54" s="389" t="s">
        <v>68</v>
      </c>
      <c r="R54" s="390" t="s">
        <v>201</v>
      </c>
      <c r="S54" s="401">
        <v>21</v>
      </c>
      <c r="T54" s="401">
        <v>223</v>
      </c>
      <c r="U54" s="402">
        <v>0.90027656773516795</v>
      </c>
      <c r="V54" s="37"/>
      <c r="W54" s="389" t="s">
        <v>68</v>
      </c>
      <c r="X54" s="390" t="s">
        <v>201</v>
      </c>
      <c r="Y54" s="401">
        <v>18</v>
      </c>
      <c r="Z54" s="401">
        <v>197</v>
      </c>
      <c r="AA54" s="402">
        <v>0.93063214403375705</v>
      </c>
      <c r="AB54" s="291"/>
      <c r="AC54" s="37"/>
      <c r="AD54" s="326" t="s">
        <v>44</v>
      </c>
      <c r="AE54" s="261" t="s">
        <v>186</v>
      </c>
      <c r="AF54" s="359">
        <v>0.95546819231945901</v>
      </c>
      <c r="AG54" s="262">
        <v>6</v>
      </c>
      <c r="AH54" s="360">
        <v>130</v>
      </c>
      <c r="AI54" s="346">
        <v>0.88816305861501399</v>
      </c>
      <c r="AJ54" s="262">
        <v>4</v>
      </c>
      <c r="AK54" s="373">
        <v>35</v>
      </c>
      <c r="AL54" s="359">
        <v>0.90764900295284601</v>
      </c>
      <c r="AM54" s="262">
        <v>18</v>
      </c>
      <c r="AN54" s="360">
        <v>204</v>
      </c>
      <c r="AO54" s="346">
        <v>0.94385078548907597</v>
      </c>
      <c r="AP54" s="262">
        <v>12</v>
      </c>
      <c r="AQ54" s="327">
        <v>226</v>
      </c>
    </row>
    <row r="55" spans="1:43" x14ac:dyDescent="0.2">
      <c r="A55" s="37"/>
      <c r="B55" s="293"/>
      <c r="C55" s="389" t="s">
        <v>85</v>
      </c>
      <c r="D55" s="390" t="s">
        <v>202</v>
      </c>
      <c r="E55" s="391">
        <v>3</v>
      </c>
      <c r="F55" s="391">
        <v>50</v>
      </c>
      <c r="G55" s="392">
        <v>0.939018990604776</v>
      </c>
      <c r="H55" s="37"/>
      <c r="I55" s="389" t="s">
        <v>85</v>
      </c>
      <c r="J55" s="390" t="s">
        <v>202</v>
      </c>
      <c r="K55" s="401">
        <v>7</v>
      </c>
      <c r="L55" s="401">
        <v>321</v>
      </c>
      <c r="M55" s="402">
        <v>0.97845686168331503</v>
      </c>
      <c r="N55" s="291"/>
      <c r="O55" s="37"/>
      <c r="P55" s="293"/>
      <c r="Q55" s="389" t="s">
        <v>85</v>
      </c>
      <c r="R55" s="390" t="s">
        <v>202</v>
      </c>
      <c r="S55" s="401">
        <v>32</v>
      </c>
      <c r="T55" s="401">
        <v>233</v>
      </c>
      <c r="U55" s="402">
        <v>0.87081876952714998</v>
      </c>
      <c r="V55" s="37"/>
      <c r="W55" s="389" t="s">
        <v>85</v>
      </c>
      <c r="X55" s="390" t="s">
        <v>202</v>
      </c>
      <c r="Y55" s="401">
        <v>15</v>
      </c>
      <c r="Z55" s="401">
        <v>223</v>
      </c>
      <c r="AA55" s="402">
        <v>0.94065600878825695</v>
      </c>
      <c r="AB55" s="291"/>
      <c r="AC55" s="37"/>
      <c r="AD55" s="326" t="s">
        <v>45</v>
      </c>
      <c r="AE55" s="261" t="s">
        <v>213</v>
      </c>
      <c r="AF55" s="359">
        <v>0.94408417988725402</v>
      </c>
      <c r="AG55" s="262">
        <v>13</v>
      </c>
      <c r="AH55" s="360">
        <v>217</v>
      </c>
      <c r="AI55" s="346">
        <v>0.82203134418324297</v>
      </c>
      <c r="AJ55" s="262">
        <v>8</v>
      </c>
      <c r="AK55" s="373">
        <v>42</v>
      </c>
      <c r="AL55" s="359">
        <v>0.86426318483196996</v>
      </c>
      <c r="AM55" s="262">
        <v>29</v>
      </c>
      <c r="AN55" s="360">
        <v>218</v>
      </c>
      <c r="AO55" s="346">
        <v>0.95809596847760103</v>
      </c>
      <c r="AP55" s="262">
        <v>9</v>
      </c>
      <c r="AQ55" s="327">
        <v>206</v>
      </c>
    </row>
    <row r="56" spans="1:43" x14ac:dyDescent="0.2">
      <c r="A56" s="37"/>
      <c r="B56" s="293"/>
      <c r="C56" s="389" t="s">
        <v>92</v>
      </c>
      <c r="D56" s="390" t="s">
        <v>203</v>
      </c>
      <c r="E56" s="391">
        <v>3</v>
      </c>
      <c r="F56" s="391">
        <v>33</v>
      </c>
      <c r="G56" s="392">
        <v>0.90754927919976502</v>
      </c>
      <c r="H56" s="37"/>
      <c r="I56" s="389" t="s">
        <v>92</v>
      </c>
      <c r="J56" s="390" t="s">
        <v>203</v>
      </c>
      <c r="K56" s="401">
        <v>4</v>
      </c>
      <c r="L56" s="401">
        <v>139</v>
      </c>
      <c r="M56" s="402">
        <v>0.971368338949122</v>
      </c>
      <c r="N56" s="291"/>
      <c r="O56" s="37"/>
      <c r="P56" s="293"/>
      <c r="Q56" s="389" t="s">
        <v>92</v>
      </c>
      <c r="R56" s="390" t="s">
        <v>203</v>
      </c>
      <c r="S56" s="401">
        <v>19</v>
      </c>
      <c r="T56" s="401">
        <v>200</v>
      </c>
      <c r="U56" s="402">
        <v>0.89543861051315898</v>
      </c>
      <c r="V56" s="37"/>
      <c r="W56" s="389" t="s">
        <v>92</v>
      </c>
      <c r="X56" s="390" t="s">
        <v>203</v>
      </c>
      <c r="Y56" s="401">
        <v>7</v>
      </c>
      <c r="Z56" s="401">
        <v>203</v>
      </c>
      <c r="AA56" s="402">
        <v>0.962087506009905</v>
      </c>
      <c r="AB56" s="291"/>
      <c r="AC56" s="37"/>
      <c r="AD56" s="326" t="s">
        <v>47</v>
      </c>
      <c r="AE56" s="261" t="s">
        <v>192</v>
      </c>
      <c r="AF56" s="359">
        <v>0.969937189935559</v>
      </c>
      <c r="AG56" s="262">
        <v>3</v>
      </c>
      <c r="AH56" s="360">
        <v>100</v>
      </c>
      <c r="AI56" s="346">
        <v>0.89218085106383005</v>
      </c>
      <c r="AJ56" s="262">
        <v>3</v>
      </c>
      <c r="AK56" s="373">
        <v>27</v>
      </c>
      <c r="AL56" s="359">
        <v>0.93126733582104404</v>
      </c>
      <c r="AM56" s="262">
        <v>14</v>
      </c>
      <c r="AN56" s="360">
        <v>194</v>
      </c>
      <c r="AO56" s="346">
        <v>0.96015848430645601</v>
      </c>
      <c r="AP56" s="262">
        <v>7</v>
      </c>
      <c r="AQ56" s="327">
        <v>220</v>
      </c>
    </row>
    <row r="57" spans="1:43" x14ac:dyDescent="0.2">
      <c r="A57" s="37"/>
      <c r="B57" s="293"/>
      <c r="C57" s="389" t="s">
        <v>204</v>
      </c>
      <c r="D57" s="390" t="s">
        <v>105</v>
      </c>
      <c r="E57" s="391">
        <v>10</v>
      </c>
      <c r="F57" s="391">
        <v>45</v>
      </c>
      <c r="G57" s="392">
        <v>0.78799392097264398</v>
      </c>
      <c r="H57" s="37"/>
      <c r="I57" s="389" t="s">
        <v>204</v>
      </c>
      <c r="J57" s="390" t="s">
        <v>105</v>
      </c>
      <c r="K57" s="401">
        <v>19</v>
      </c>
      <c r="L57" s="401">
        <v>206</v>
      </c>
      <c r="M57" s="402">
        <v>0.90407738295156803</v>
      </c>
      <c r="N57" s="291"/>
      <c r="O57" s="37"/>
      <c r="P57" s="293"/>
      <c r="Q57" s="389" t="s">
        <v>204</v>
      </c>
      <c r="R57" s="390" t="s">
        <v>105</v>
      </c>
      <c r="S57" s="401">
        <v>36</v>
      </c>
      <c r="T57" s="401">
        <v>220</v>
      </c>
      <c r="U57" s="402">
        <v>0.83558366623763303</v>
      </c>
      <c r="V57" s="37"/>
      <c r="W57" s="389" t="s">
        <v>204</v>
      </c>
      <c r="X57" s="390" t="s">
        <v>105</v>
      </c>
      <c r="Y57" s="401">
        <v>32</v>
      </c>
      <c r="Z57" s="401">
        <v>215</v>
      </c>
      <c r="AA57" s="402">
        <v>0.86957951296460601</v>
      </c>
      <c r="AB57" s="291"/>
      <c r="AC57" s="37"/>
      <c r="AD57" s="326" t="s">
        <v>53</v>
      </c>
      <c r="AE57" s="261" t="s">
        <v>185</v>
      </c>
      <c r="AF57" s="359">
        <v>0.98422791732397696</v>
      </c>
      <c r="AG57" s="262">
        <v>3</v>
      </c>
      <c r="AH57" s="360">
        <v>191</v>
      </c>
      <c r="AI57" s="346">
        <v>0.92902408111533596</v>
      </c>
      <c r="AJ57" s="262">
        <v>3</v>
      </c>
      <c r="AK57" s="373">
        <v>42</v>
      </c>
      <c r="AL57" s="359">
        <v>0.92407774554880096</v>
      </c>
      <c r="AM57" s="262">
        <v>17</v>
      </c>
      <c r="AN57" s="360">
        <v>217</v>
      </c>
      <c r="AO57" s="346">
        <v>0.92836879117911097</v>
      </c>
      <c r="AP57" s="262">
        <v>17</v>
      </c>
      <c r="AQ57" s="327">
        <v>206</v>
      </c>
    </row>
    <row r="58" spans="1:43" x14ac:dyDescent="0.2">
      <c r="A58" s="37"/>
      <c r="B58" s="293"/>
      <c r="C58" s="389" t="s">
        <v>205</v>
      </c>
      <c r="D58" s="390" t="s">
        <v>206</v>
      </c>
      <c r="E58" s="391">
        <v>0</v>
      </c>
      <c r="F58" s="391">
        <v>30</v>
      </c>
      <c r="G58" s="392">
        <v>1</v>
      </c>
      <c r="H58" s="37"/>
      <c r="I58" s="389" t="s">
        <v>205</v>
      </c>
      <c r="J58" s="390" t="s">
        <v>206</v>
      </c>
      <c r="K58" s="401">
        <v>0</v>
      </c>
      <c r="L58" s="401">
        <v>118</v>
      </c>
      <c r="M58" s="402">
        <v>1</v>
      </c>
      <c r="N58" s="291"/>
      <c r="O58" s="37"/>
      <c r="P58" s="293"/>
      <c r="Q58" s="389" t="s">
        <v>205</v>
      </c>
      <c r="R58" s="390" t="s">
        <v>206</v>
      </c>
      <c r="S58" s="401">
        <v>11</v>
      </c>
      <c r="T58" s="401">
        <v>199</v>
      </c>
      <c r="U58" s="402">
        <v>0.94357026346952999</v>
      </c>
      <c r="V58" s="37"/>
      <c r="W58" s="389" t="s">
        <v>205</v>
      </c>
      <c r="X58" s="390" t="s">
        <v>206</v>
      </c>
      <c r="Y58" s="401">
        <v>8</v>
      </c>
      <c r="Z58" s="401">
        <v>210</v>
      </c>
      <c r="AA58" s="402">
        <v>0.96023580391681196</v>
      </c>
      <c r="AB58" s="291"/>
      <c r="AC58" s="37"/>
      <c r="AD58" s="326" t="s">
        <v>49</v>
      </c>
      <c r="AE58" s="261">
        <v>442</v>
      </c>
      <c r="AF58" s="359">
        <v>0.95237827057755597</v>
      </c>
      <c r="AG58" s="262">
        <v>7</v>
      </c>
      <c r="AH58" s="360">
        <v>160</v>
      </c>
      <c r="AI58" s="346">
        <v>0.826221552878179</v>
      </c>
      <c r="AJ58" s="262">
        <v>5</v>
      </c>
      <c r="AK58" s="373">
        <v>32</v>
      </c>
      <c r="AL58" s="359">
        <v>0.88054542555679005</v>
      </c>
      <c r="AM58" s="262">
        <v>22</v>
      </c>
      <c r="AN58" s="360">
        <v>203</v>
      </c>
      <c r="AO58" s="346">
        <v>0.93388679123503404</v>
      </c>
      <c r="AP58" s="262">
        <v>11</v>
      </c>
      <c r="AQ58" s="327">
        <v>178</v>
      </c>
    </row>
    <row r="59" spans="1:43" x14ac:dyDescent="0.2">
      <c r="A59" s="37"/>
      <c r="B59" s="293"/>
      <c r="C59" s="389" t="s">
        <v>56</v>
      </c>
      <c r="D59" s="390" t="s">
        <v>207</v>
      </c>
      <c r="E59" s="391">
        <v>1</v>
      </c>
      <c r="F59" s="391">
        <v>37</v>
      </c>
      <c r="G59" s="392">
        <v>0.96933433059087504</v>
      </c>
      <c r="H59" s="37"/>
      <c r="I59" s="389" t="s">
        <v>56</v>
      </c>
      <c r="J59" s="390" t="s">
        <v>207</v>
      </c>
      <c r="K59" s="401">
        <v>2</v>
      </c>
      <c r="L59" s="401">
        <v>113</v>
      </c>
      <c r="M59" s="402">
        <v>0.981460197833255</v>
      </c>
      <c r="N59" s="291"/>
      <c r="O59" s="37"/>
      <c r="P59" s="293"/>
      <c r="Q59" s="389" t="s">
        <v>56</v>
      </c>
      <c r="R59" s="390" t="s">
        <v>207</v>
      </c>
      <c r="S59" s="401">
        <v>8</v>
      </c>
      <c r="T59" s="401">
        <v>209</v>
      </c>
      <c r="U59" s="402">
        <v>0.96759610821072595</v>
      </c>
      <c r="V59" s="37"/>
      <c r="W59" s="389" t="s">
        <v>56</v>
      </c>
      <c r="X59" s="390" t="s">
        <v>207</v>
      </c>
      <c r="Y59" s="401">
        <v>10</v>
      </c>
      <c r="Z59" s="401">
        <v>206</v>
      </c>
      <c r="AA59" s="402">
        <v>0.95383650430598799</v>
      </c>
      <c r="AB59" s="291"/>
      <c r="AC59" s="37"/>
      <c r="AD59" s="326" t="s">
        <v>205</v>
      </c>
      <c r="AE59" s="261" t="s">
        <v>206</v>
      </c>
      <c r="AF59" s="359">
        <v>1</v>
      </c>
      <c r="AG59" s="262">
        <v>0</v>
      </c>
      <c r="AH59" s="360">
        <v>118</v>
      </c>
      <c r="AI59" s="346">
        <v>1</v>
      </c>
      <c r="AJ59" s="262">
        <v>0</v>
      </c>
      <c r="AK59" s="373">
        <v>30</v>
      </c>
      <c r="AL59" s="359">
        <v>0.94357026346952999</v>
      </c>
      <c r="AM59" s="262">
        <v>11</v>
      </c>
      <c r="AN59" s="360">
        <v>199</v>
      </c>
      <c r="AO59" s="346">
        <v>0.96023580391681196</v>
      </c>
      <c r="AP59" s="262">
        <v>8</v>
      </c>
      <c r="AQ59" s="327">
        <v>210</v>
      </c>
    </row>
    <row r="60" spans="1:43" x14ac:dyDescent="0.2">
      <c r="A60" s="37"/>
      <c r="B60" s="293"/>
      <c r="C60" s="389" t="s">
        <v>88</v>
      </c>
      <c r="D60" s="390" t="s">
        <v>208</v>
      </c>
      <c r="E60" s="391">
        <v>1</v>
      </c>
      <c r="F60" s="391">
        <v>31</v>
      </c>
      <c r="G60" s="392">
        <v>0.96822810590631403</v>
      </c>
      <c r="H60" s="37"/>
      <c r="I60" s="389" t="s">
        <v>88</v>
      </c>
      <c r="J60" s="390" t="s">
        <v>208</v>
      </c>
      <c r="K60" s="401">
        <v>4</v>
      </c>
      <c r="L60" s="401">
        <v>195</v>
      </c>
      <c r="M60" s="402">
        <v>0.97897857431613</v>
      </c>
      <c r="N60" s="291"/>
      <c r="O60" s="37"/>
      <c r="P60" s="293"/>
      <c r="Q60" s="389" t="s">
        <v>88</v>
      </c>
      <c r="R60" s="390" t="s">
        <v>208</v>
      </c>
      <c r="S60" s="401">
        <v>8</v>
      </c>
      <c r="T60" s="401">
        <v>198</v>
      </c>
      <c r="U60" s="402">
        <v>0.96501787461892696</v>
      </c>
      <c r="V60" s="37"/>
      <c r="W60" s="389" t="s">
        <v>88</v>
      </c>
      <c r="X60" s="390" t="s">
        <v>208</v>
      </c>
      <c r="Y60" s="401">
        <v>9</v>
      </c>
      <c r="Z60" s="401">
        <v>200</v>
      </c>
      <c r="AA60" s="402">
        <v>0.95195911161551705</v>
      </c>
      <c r="AB60" s="291"/>
      <c r="AC60" s="37"/>
      <c r="AD60" s="326" t="s">
        <v>59</v>
      </c>
      <c r="AE60" s="261" t="s">
        <v>210</v>
      </c>
      <c r="AF60" s="359">
        <v>0.96745566331094601</v>
      </c>
      <c r="AG60" s="262">
        <v>7</v>
      </c>
      <c r="AH60" s="360">
        <v>202</v>
      </c>
      <c r="AI60" s="346">
        <v>0.86463993397069905</v>
      </c>
      <c r="AJ60" s="262">
        <v>6</v>
      </c>
      <c r="AK60" s="373">
        <v>42</v>
      </c>
      <c r="AL60" s="359">
        <v>0.90382762053172405</v>
      </c>
      <c r="AM60" s="262">
        <v>20</v>
      </c>
      <c r="AN60" s="360">
        <v>217</v>
      </c>
      <c r="AO60" s="346">
        <v>0.94360210308255099</v>
      </c>
      <c r="AP60" s="262">
        <v>13</v>
      </c>
      <c r="AQ60" s="327">
        <v>212</v>
      </c>
    </row>
    <row r="61" spans="1:43" x14ac:dyDescent="0.2">
      <c r="A61" s="37"/>
      <c r="B61" s="293"/>
      <c r="C61" s="389" t="s">
        <v>49</v>
      </c>
      <c r="D61" s="390">
        <v>442</v>
      </c>
      <c r="E61" s="391">
        <v>5</v>
      </c>
      <c r="F61" s="391">
        <v>32</v>
      </c>
      <c r="G61" s="392">
        <v>0.826221552878179</v>
      </c>
      <c r="H61" s="37"/>
      <c r="I61" s="389" t="s">
        <v>49</v>
      </c>
      <c r="J61" s="390">
        <v>442</v>
      </c>
      <c r="K61" s="401">
        <v>7</v>
      </c>
      <c r="L61" s="401">
        <v>160</v>
      </c>
      <c r="M61" s="402">
        <v>0.95237827057755597</v>
      </c>
      <c r="N61" s="291"/>
      <c r="O61" s="37"/>
      <c r="P61" s="293"/>
      <c r="Q61" s="389" t="s">
        <v>49</v>
      </c>
      <c r="R61" s="390">
        <v>442</v>
      </c>
      <c r="S61" s="401">
        <v>22</v>
      </c>
      <c r="T61" s="401">
        <v>203</v>
      </c>
      <c r="U61" s="402">
        <v>0.88054542555679005</v>
      </c>
      <c r="V61" s="37"/>
      <c r="W61" s="389" t="s">
        <v>49</v>
      </c>
      <c r="X61" s="390">
        <v>442</v>
      </c>
      <c r="Y61" s="401">
        <v>11</v>
      </c>
      <c r="Z61" s="401">
        <v>178</v>
      </c>
      <c r="AA61" s="402">
        <v>0.93388679123503404</v>
      </c>
      <c r="AB61" s="291"/>
      <c r="AC61" s="37"/>
      <c r="AD61" s="328" t="s">
        <v>66</v>
      </c>
      <c r="AE61" s="261" t="s">
        <v>189</v>
      </c>
      <c r="AF61" s="359">
        <v>0.95514839538716001</v>
      </c>
      <c r="AG61" s="262">
        <v>11</v>
      </c>
      <c r="AH61" s="360">
        <v>239</v>
      </c>
      <c r="AI61" s="346">
        <v>0.88206202019359203</v>
      </c>
      <c r="AJ61" s="262">
        <v>6</v>
      </c>
      <c r="AK61" s="373">
        <v>49</v>
      </c>
      <c r="AL61" s="359">
        <v>0.88665367680441798</v>
      </c>
      <c r="AM61" s="262">
        <v>24</v>
      </c>
      <c r="AN61" s="360">
        <v>222</v>
      </c>
      <c r="AO61" s="346">
        <v>0.90416469863284099</v>
      </c>
      <c r="AP61" s="262">
        <v>21</v>
      </c>
      <c r="AQ61" s="327">
        <v>206</v>
      </c>
    </row>
    <row r="62" spans="1:43" x14ac:dyDescent="0.2">
      <c r="A62" s="37"/>
      <c r="B62" s="293"/>
      <c r="C62" s="389" t="s">
        <v>95</v>
      </c>
      <c r="D62" s="390" t="s">
        <v>209</v>
      </c>
      <c r="E62" s="391">
        <v>4</v>
      </c>
      <c r="F62" s="391">
        <v>36</v>
      </c>
      <c r="G62" s="392">
        <v>0.884613375130617</v>
      </c>
      <c r="H62" s="37"/>
      <c r="I62" s="389" t="s">
        <v>95</v>
      </c>
      <c r="J62" s="390" t="s">
        <v>209</v>
      </c>
      <c r="K62" s="401">
        <v>5</v>
      </c>
      <c r="L62" s="401">
        <v>128</v>
      </c>
      <c r="M62" s="402">
        <v>0.95962618057635496</v>
      </c>
      <c r="N62" s="291"/>
      <c r="O62" s="37"/>
      <c r="P62" s="293"/>
      <c r="Q62" s="389" t="s">
        <v>95</v>
      </c>
      <c r="R62" s="390" t="s">
        <v>209</v>
      </c>
      <c r="S62" s="401">
        <v>13</v>
      </c>
      <c r="T62" s="401">
        <v>207</v>
      </c>
      <c r="U62" s="402">
        <v>0.93531052302914097</v>
      </c>
      <c r="V62" s="37"/>
      <c r="W62" s="389" t="s">
        <v>95</v>
      </c>
      <c r="X62" s="390" t="s">
        <v>209</v>
      </c>
      <c r="Y62" s="401">
        <v>8</v>
      </c>
      <c r="Z62" s="401">
        <v>209</v>
      </c>
      <c r="AA62" s="402">
        <v>0.95461560778867505</v>
      </c>
      <c r="AB62" s="291"/>
      <c r="AC62" s="37"/>
      <c r="AD62" s="326" t="s">
        <v>69</v>
      </c>
      <c r="AE62" s="261" t="s">
        <v>199</v>
      </c>
      <c r="AF62" s="359">
        <v>0.988268665338498</v>
      </c>
      <c r="AG62" s="262">
        <v>2</v>
      </c>
      <c r="AH62" s="360">
        <v>156</v>
      </c>
      <c r="AI62" s="346">
        <v>0.93666533386645301</v>
      </c>
      <c r="AJ62" s="262">
        <v>2</v>
      </c>
      <c r="AK62" s="373">
        <v>29</v>
      </c>
      <c r="AL62" s="359">
        <v>0.95226137271156996</v>
      </c>
      <c r="AM62" s="262">
        <v>9</v>
      </c>
      <c r="AN62" s="360">
        <v>204</v>
      </c>
      <c r="AO62" s="346">
        <v>0.95200346247162204</v>
      </c>
      <c r="AP62" s="262">
        <v>11</v>
      </c>
      <c r="AQ62" s="327">
        <v>199</v>
      </c>
    </row>
    <row r="63" spans="1:43" x14ac:dyDescent="0.2">
      <c r="A63" s="37"/>
      <c r="B63" s="293"/>
      <c r="C63" s="389" t="s">
        <v>59</v>
      </c>
      <c r="D63" s="390" t="s">
        <v>210</v>
      </c>
      <c r="E63" s="391">
        <v>6</v>
      </c>
      <c r="F63" s="391">
        <v>42</v>
      </c>
      <c r="G63" s="392">
        <v>0.86463993397069905</v>
      </c>
      <c r="H63" s="37"/>
      <c r="I63" s="389" t="s">
        <v>59</v>
      </c>
      <c r="J63" s="390" t="s">
        <v>210</v>
      </c>
      <c r="K63" s="401">
        <v>7</v>
      </c>
      <c r="L63" s="401">
        <v>202</v>
      </c>
      <c r="M63" s="402">
        <v>0.96745566331094601</v>
      </c>
      <c r="N63" s="291"/>
      <c r="O63" s="37"/>
      <c r="P63" s="293"/>
      <c r="Q63" s="389" t="s">
        <v>59</v>
      </c>
      <c r="R63" s="390" t="s">
        <v>210</v>
      </c>
      <c r="S63" s="401">
        <v>20</v>
      </c>
      <c r="T63" s="401">
        <v>217</v>
      </c>
      <c r="U63" s="402">
        <v>0.90382762053172405</v>
      </c>
      <c r="V63" s="37"/>
      <c r="W63" s="389" t="s">
        <v>59</v>
      </c>
      <c r="X63" s="390" t="s">
        <v>210</v>
      </c>
      <c r="Y63" s="401">
        <v>13</v>
      </c>
      <c r="Z63" s="401">
        <v>212</v>
      </c>
      <c r="AA63" s="402">
        <v>0.94360210308255099</v>
      </c>
      <c r="AB63" s="291"/>
      <c r="AC63" s="37"/>
      <c r="AD63" s="326" t="s">
        <v>76</v>
      </c>
      <c r="AE63" s="261" t="s">
        <v>188</v>
      </c>
      <c r="AF63" s="359">
        <v>0.99437622219100796</v>
      </c>
      <c r="AG63" s="262">
        <v>1</v>
      </c>
      <c r="AH63" s="360">
        <v>179</v>
      </c>
      <c r="AI63" s="346">
        <v>0.97638257616945401</v>
      </c>
      <c r="AJ63" s="262">
        <v>1</v>
      </c>
      <c r="AK63" s="373">
        <v>43</v>
      </c>
      <c r="AL63" s="359">
        <v>0.93169186077843202</v>
      </c>
      <c r="AM63" s="262">
        <v>17</v>
      </c>
      <c r="AN63" s="360">
        <v>222</v>
      </c>
      <c r="AO63" s="346">
        <v>0.89602018724641996</v>
      </c>
      <c r="AP63" s="262">
        <v>20</v>
      </c>
      <c r="AQ63" s="327">
        <v>209</v>
      </c>
    </row>
    <row r="64" spans="1:43" x14ac:dyDescent="0.2">
      <c r="A64" s="37"/>
      <c r="B64" s="293"/>
      <c r="C64" s="389" t="s">
        <v>211</v>
      </c>
      <c r="D64" s="390" t="s">
        <v>212</v>
      </c>
      <c r="E64" s="391">
        <v>6</v>
      </c>
      <c r="F64" s="391">
        <v>45</v>
      </c>
      <c r="G64" s="392">
        <v>0.87576237391508305</v>
      </c>
      <c r="H64" s="37"/>
      <c r="I64" s="389" t="s">
        <v>211</v>
      </c>
      <c r="J64" s="390" t="s">
        <v>212</v>
      </c>
      <c r="K64" s="401">
        <v>13</v>
      </c>
      <c r="L64" s="401">
        <v>215</v>
      </c>
      <c r="M64" s="402">
        <v>0.941916285454797</v>
      </c>
      <c r="N64" s="291"/>
      <c r="O64" s="37"/>
      <c r="P64" s="293"/>
      <c r="Q64" s="389" t="s">
        <v>211</v>
      </c>
      <c r="R64" s="390" t="s">
        <v>212</v>
      </c>
      <c r="S64" s="401">
        <v>30</v>
      </c>
      <c r="T64" s="401">
        <v>221</v>
      </c>
      <c r="U64" s="402">
        <v>0.872788121353545</v>
      </c>
      <c r="V64" s="37"/>
      <c r="W64" s="389" t="s">
        <v>211</v>
      </c>
      <c r="X64" s="390" t="s">
        <v>212</v>
      </c>
      <c r="Y64" s="401">
        <v>20</v>
      </c>
      <c r="Z64" s="401">
        <v>200</v>
      </c>
      <c r="AA64" s="402">
        <v>0.89020310815742798</v>
      </c>
      <c r="AB64" s="291"/>
      <c r="AC64" s="37"/>
      <c r="AD64" s="326" t="s">
        <v>78</v>
      </c>
      <c r="AE64" s="261" t="s">
        <v>190</v>
      </c>
      <c r="AF64" s="359">
        <v>0.90530787451486305</v>
      </c>
      <c r="AG64" s="262">
        <v>12</v>
      </c>
      <c r="AH64" s="360">
        <v>130</v>
      </c>
      <c r="AI64" s="346">
        <v>0.892260589853893</v>
      </c>
      <c r="AJ64" s="262">
        <v>4</v>
      </c>
      <c r="AK64" s="373">
        <v>37</v>
      </c>
      <c r="AL64" s="359">
        <v>0.93261029633495596</v>
      </c>
      <c r="AM64" s="262">
        <v>13</v>
      </c>
      <c r="AN64" s="360">
        <v>208</v>
      </c>
      <c r="AO64" s="346">
        <v>0.91702083026995895</v>
      </c>
      <c r="AP64" s="262">
        <v>20</v>
      </c>
      <c r="AQ64" s="327">
        <v>224</v>
      </c>
    </row>
    <row r="65" spans="1:43" x14ac:dyDescent="0.2">
      <c r="A65" s="37"/>
      <c r="B65" s="293"/>
      <c r="C65" s="389" t="s">
        <v>45</v>
      </c>
      <c r="D65" s="390" t="s">
        <v>213</v>
      </c>
      <c r="E65" s="391">
        <v>8</v>
      </c>
      <c r="F65" s="391">
        <v>42</v>
      </c>
      <c r="G65" s="392">
        <v>0.82203134418324297</v>
      </c>
      <c r="H65" s="37"/>
      <c r="I65" s="389" t="s">
        <v>45</v>
      </c>
      <c r="J65" s="390" t="s">
        <v>213</v>
      </c>
      <c r="K65" s="401">
        <v>13</v>
      </c>
      <c r="L65" s="401">
        <v>217</v>
      </c>
      <c r="M65" s="402">
        <v>0.94408417988725402</v>
      </c>
      <c r="N65" s="291"/>
      <c r="O65" s="37"/>
      <c r="P65" s="293"/>
      <c r="Q65" s="389" t="s">
        <v>45</v>
      </c>
      <c r="R65" s="390" t="s">
        <v>213</v>
      </c>
      <c r="S65" s="401">
        <v>29</v>
      </c>
      <c r="T65" s="401">
        <v>218</v>
      </c>
      <c r="U65" s="402">
        <v>0.86426318483196996</v>
      </c>
      <c r="V65" s="37"/>
      <c r="W65" s="389" t="s">
        <v>45</v>
      </c>
      <c r="X65" s="390" t="s">
        <v>213</v>
      </c>
      <c r="Y65" s="401">
        <v>9</v>
      </c>
      <c r="Z65" s="401">
        <v>206</v>
      </c>
      <c r="AA65" s="402">
        <v>0.95809596847760103</v>
      </c>
      <c r="AB65" s="291"/>
      <c r="AC65" s="37"/>
      <c r="AD65" s="326" t="s">
        <v>80</v>
      </c>
      <c r="AE65" s="261" t="s">
        <v>193</v>
      </c>
      <c r="AF65" s="359">
        <v>0.95999475542969503</v>
      </c>
      <c r="AG65" s="262">
        <v>5</v>
      </c>
      <c r="AH65" s="360">
        <v>123</v>
      </c>
      <c r="AI65" s="346">
        <v>0.94218877391031697</v>
      </c>
      <c r="AJ65" s="262">
        <v>2</v>
      </c>
      <c r="AK65" s="373">
        <v>34</v>
      </c>
      <c r="AL65" s="359">
        <v>0.95737238361413501</v>
      </c>
      <c r="AM65" s="262">
        <v>9</v>
      </c>
      <c r="AN65" s="360">
        <v>204</v>
      </c>
      <c r="AO65" s="346">
        <v>0.95900204867596195</v>
      </c>
      <c r="AP65" s="262">
        <v>8</v>
      </c>
      <c r="AQ65" s="327">
        <v>214</v>
      </c>
    </row>
    <row r="66" spans="1:43" ht="13.5" thickBot="1" x14ac:dyDescent="0.25">
      <c r="A66" s="37"/>
      <c r="B66" s="293"/>
      <c r="C66" s="393" t="s">
        <v>214</v>
      </c>
      <c r="D66" s="394"/>
      <c r="E66" s="395">
        <v>238</v>
      </c>
      <c r="F66" s="395">
        <v>2282</v>
      </c>
      <c r="G66" s="396">
        <v>0.90110625575584102</v>
      </c>
      <c r="H66" s="37"/>
      <c r="I66" s="393" t="s">
        <v>214</v>
      </c>
      <c r="J66" s="394"/>
      <c r="K66" s="405">
        <v>465</v>
      </c>
      <c r="L66" s="405">
        <v>11085</v>
      </c>
      <c r="M66" s="406">
        <v>0.96182586538183501</v>
      </c>
      <c r="N66" s="292"/>
      <c r="O66" s="37"/>
      <c r="P66" s="293"/>
      <c r="Q66" s="393" t="s">
        <v>214</v>
      </c>
      <c r="R66" s="394"/>
      <c r="S66" s="405">
        <v>1126</v>
      </c>
      <c r="T66" s="405">
        <v>12272</v>
      </c>
      <c r="U66" s="406">
        <v>0.90686154524513996</v>
      </c>
      <c r="V66" s="37"/>
      <c r="W66" s="393" t="s">
        <v>214</v>
      </c>
      <c r="X66" s="394"/>
      <c r="Y66" s="405">
        <v>1156</v>
      </c>
      <c r="Z66" s="405">
        <v>13217</v>
      </c>
      <c r="AA66" s="406">
        <v>0.91566535234070101</v>
      </c>
      <c r="AB66" s="292"/>
      <c r="AC66" s="37"/>
      <c r="AD66" s="326" t="s">
        <v>82</v>
      </c>
      <c r="AE66" s="261" t="s">
        <v>197</v>
      </c>
      <c r="AF66" s="359">
        <v>0.95799603265605604</v>
      </c>
      <c r="AG66" s="262">
        <v>8</v>
      </c>
      <c r="AH66" s="360">
        <v>168</v>
      </c>
      <c r="AI66" s="346">
        <v>0.87328093399522</v>
      </c>
      <c r="AJ66" s="262">
        <v>5</v>
      </c>
      <c r="AK66" s="373">
        <v>33</v>
      </c>
      <c r="AL66" s="359">
        <v>0.90147063163805896</v>
      </c>
      <c r="AM66" s="262">
        <v>21</v>
      </c>
      <c r="AN66" s="360">
        <v>209</v>
      </c>
      <c r="AO66" s="346">
        <v>0.92670929151120196</v>
      </c>
      <c r="AP66" s="262">
        <v>18</v>
      </c>
      <c r="AQ66" s="327">
        <v>237</v>
      </c>
    </row>
    <row r="67" spans="1:43" ht="14.25" thickTop="1" thickBot="1" x14ac:dyDescent="0.25">
      <c r="A67" s="37"/>
      <c r="B67" s="298"/>
      <c r="C67" s="299"/>
      <c r="D67" s="300"/>
      <c r="E67" s="300"/>
      <c r="F67" s="300"/>
      <c r="G67" s="300"/>
      <c r="H67" s="301"/>
      <c r="I67" s="299"/>
      <c r="J67" s="300"/>
      <c r="K67" s="300"/>
      <c r="L67" s="300"/>
      <c r="M67" s="300"/>
      <c r="N67" s="302"/>
      <c r="O67" s="37"/>
      <c r="P67" s="298"/>
      <c r="Q67" s="299"/>
      <c r="R67" s="300"/>
      <c r="S67" s="300"/>
      <c r="T67" s="300"/>
      <c r="U67" s="300"/>
      <c r="V67" s="301"/>
      <c r="W67" s="299"/>
      <c r="X67" s="300"/>
      <c r="Y67" s="300"/>
      <c r="Z67" s="300"/>
      <c r="AA67" s="300"/>
      <c r="AB67" s="302"/>
      <c r="AC67" s="37"/>
      <c r="AD67" s="326" t="s">
        <v>246</v>
      </c>
      <c r="AE67" s="261" t="s">
        <v>187</v>
      </c>
      <c r="AF67" s="359">
        <v>0.99490722785817798</v>
      </c>
      <c r="AG67" s="262">
        <v>2</v>
      </c>
      <c r="AH67" s="360">
        <v>417</v>
      </c>
      <c r="AI67" s="346">
        <v>1</v>
      </c>
      <c r="AJ67" s="262">
        <v>0</v>
      </c>
      <c r="AK67" s="373">
        <v>42</v>
      </c>
      <c r="AL67" s="359">
        <v>0.88781454823299899</v>
      </c>
      <c r="AM67" s="262">
        <v>29</v>
      </c>
      <c r="AN67" s="360">
        <v>217</v>
      </c>
      <c r="AO67" s="346">
        <v>0.926663351680583</v>
      </c>
      <c r="AP67" s="262">
        <v>16</v>
      </c>
      <c r="AQ67" s="327">
        <v>214</v>
      </c>
    </row>
    <row r="68" spans="1:43" x14ac:dyDescent="0.2">
      <c r="A68" s="37"/>
      <c r="AD68" s="332" t="s">
        <v>248</v>
      </c>
      <c r="AE68" s="261" t="s">
        <v>202</v>
      </c>
      <c r="AF68" s="359">
        <v>0.97845686168331503</v>
      </c>
      <c r="AG68" s="266">
        <v>7</v>
      </c>
      <c r="AH68" s="364">
        <v>321</v>
      </c>
      <c r="AI68" s="346">
        <v>0.939018990604776</v>
      </c>
      <c r="AJ68" s="266">
        <v>3</v>
      </c>
      <c r="AK68" s="265">
        <v>50</v>
      </c>
      <c r="AL68" s="359">
        <v>0.87081876952714998</v>
      </c>
      <c r="AM68" s="266">
        <v>32</v>
      </c>
      <c r="AN68" s="364">
        <v>233</v>
      </c>
      <c r="AO68" s="346">
        <v>0.94065600878825695</v>
      </c>
      <c r="AP68" s="266">
        <v>15</v>
      </c>
      <c r="AQ68" s="333">
        <v>223</v>
      </c>
    </row>
    <row r="69" spans="1:43" ht="13.5" thickBot="1" x14ac:dyDescent="0.25">
      <c r="A69" s="37"/>
      <c r="B69" s="617" t="s">
        <v>457</v>
      </c>
      <c r="C69" s="617"/>
      <c r="D69" s="617"/>
      <c r="E69" s="617"/>
      <c r="F69" s="617"/>
      <c r="G69" s="617"/>
      <c r="H69" s="617"/>
      <c r="I69" s="617"/>
      <c r="J69" s="617"/>
      <c r="K69" s="617"/>
      <c r="L69" s="617"/>
      <c r="M69" s="617"/>
      <c r="N69" s="617"/>
      <c r="O69" s="617"/>
      <c r="P69" s="617"/>
      <c r="Q69" s="617"/>
      <c r="R69" s="617"/>
      <c r="S69" s="617"/>
      <c r="T69" s="617"/>
      <c r="U69" s="617"/>
      <c r="V69" s="617"/>
      <c r="W69" s="617"/>
      <c r="X69" s="617"/>
      <c r="Y69" s="617"/>
      <c r="Z69" s="617"/>
      <c r="AA69" s="617"/>
      <c r="AB69" s="617"/>
      <c r="AD69" s="329" t="s">
        <v>87</v>
      </c>
      <c r="AE69" s="258" t="s">
        <v>191</v>
      </c>
      <c r="AF69" s="359">
        <v>0.98687181680314295</v>
      </c>
      <c r="AG69" s="267">
        <v>4</v>
      </c>
      <c r="AH69" s="365">
        <v>345</v>
      </c>
      <c r="AI69" s="346">
        <v>0.90453342218766797</v>
      </c>
      <c r="AJ69" s="267">
        <v>4</v>
      </c>
      <c r="AK69" s="376">
        <v>46</v>
      </c>
      <c r="AL69" s="359">
        <v>0.90503444791288401</v>
      </c>
      <c r="AM69" s="267">
        <v>24</v>
      </c>
      <c r="AN69" s="365">
        <v>248</v>
      </c>
      <c r="AO69" s="346">
        <v>0.93200818304915001</v>
      </c>
      <c r="AP69" s="267">
        <v>13</v>
      </c>
      <c r="AQ69" s="334">
        <v>210</v>
      </c>
    </row>
    <row r="70" spans="1:43" ht="13.5" customHeight="1" thickBot="1" x14ac:dyDescent="0.25">
      <c r="A70" s="36"/>
      <c r="B70" s="617"/>
      <c r="C70" s="617"/>
      <c r="D70" s="617"/>
      <c r="E70" s="617"/>
      <c r="F70" s="617"/>
      <c r="G70" s="617"/>
      <c r="H70" s="617"/>
      <c r="I70" s="617"/>
      <c r="J70" s="617"/>
      <c r="K70" s="617"/>
      <c r="L70" s="617"/>
      <c r="M70" s="617"/>
      <c r="N70" s="617"/>
      <c r="O70" s="617"/>
      <c r="P70" s="617"/>
      <c r="Q70" s="617"/>
      <c r="R70" s="617"/>
      <c r="S70" s="617"/>
      <c r="T70" s="617"/>
      <c r="U70" s="617"/>
      <c r="V70" s="617"/>
      <c r="W70" s="617"/>
      <c r="X70" s="617"/>
      <c r="Y70" s="617"/>
      <c r="Z70" s="617"/>
      <c r="AA70" s="617"/>
      <c r="AB70" s="617"/>
      <c r="AD70" s="335" t="s">
        <v>267</v>
      </c>
      <c r="AE70" s="259">
        <v>1</v>
      </c>
      <c r="AF70" s="357"/>
      <c r="AG70" s="260"/>
      <c r="AH70" s="358"/>
      <c r="AI70" s="348">
        <v>0.96150000000000002</v>
      </c>
      <c r="AJ70" s="260">
        <v>3</v>
      </c>
      <c r="AK70" s="372">
        <v>78</v>
      </c>
      <c r="AL70" s="379">
        <v>0.98760000000000003</v>
      </c>
      <c r="AM70" s="260">
        <v>8</v>
      </c>
      <c r="AN70" s="358">
        <v>645</v>
      </c>
      <c r="AO70" s="348">
        <v>0.99380000000000002</v>
      </c>
      <c r="AP70" s="260">
        <v>4</v>
      </c>
      <c r="AQ70" s="325">
        <v>644</v>
      </c>
    </row>
    <row r="71" spans="1:43" s="17" customFormat="1" ht="20.25" x14ac:dyDescent="0.2">
      <c r="A71" s="5"/>
      <c r="B71" s="285"/>
      <c r="C71" s="618" t="s">
        <v>458</v>
      </c>
      <c r="D71" s="618"/>
      <c r="E71" s="618"/>
      <c r="F71" s="595" t="s">
        <v>440</v>
      </c>
      <c r="G71" s="595"/>
      <c r="H71" s="595"/>
      <c r="I71" s="595"/>
      <c r="J71" s="595"/>
      <c r="K71" s="595"/>
      <c r="L71" s="595"/>
      <c r="M71" s="595"/>
      <c r="N71" s="295"/>
      <c r="P71" s="285"/>
      <c r="Q71" s="618" t="s">
        <v>458</v>
      </c>
      <c r="R71" s="618"/>
      <c r="S71" s="618"/>
      <c r="T71" s="595" t="s">
        <v>441</v>
      </c>
      <c r="U71" s="595"/>
      <c r="V71" s="595"/>
      <c r="W71" s="595"/>
      <c r="X71" s="595"/>
      <c r="Y71" s="595"/>
      <c r="Z71" s="595"/>
      <c r="AA71" s="595"/>
      <c r="AB71" s="295"/>
      <c r="AC71" s="283"/>
      <c r="AD71" s="336" t="s">
        <v>251</v>
      </c>
      <c r="AE71" s="47">
        <v>110</v>
      </c>
      <c r="AF71" s="366"/>
      <c r="AG71" s="268"/>
      <c r="AH71" s="367"/>
      <c r="AI71" s="349">
        <v>0.96150000000000002</v>
      </c>
      <c r="AJ71" s="282">
        <v>1</v>
      </c>
      <c r="AK71" s="377">
        <v>26</v>
      </c>
      <c r="AL71" s="380">
        <v>0.99080000000000001</v>
      </c>
      <c r="AM71" s="282">
        <v>2</v>
      </c>
      <c r="AN71" s="381">
        <v>217</v>
      </c>
      <c r="AO71" s="349">
        <v>1</v>
      </c>
      <c r="AP71" s="282">
        <v>0</v>
      </c>
      <c r="AQ71" s="337">
        <v>217</v>
      </c>
    </row>
    <row r="72" spans="1:43" ht="13.5" customHeight="1" x14ac:dyDescent="0.2">
      <c r="B72" s="286"/>
      <c r="C72" s="605" t="s">
        <v>459</v>
      </c>
      <c r="D72" s="606"/>
      <c r="E72" s="601" t="s">
        <v>442</v>
      </c>
      <c r="F72" s="601"/>
      <c r="G72" s="601"/>
      <c r="H72" s="316"/>
      <c r="I72" s="311"/>
      <c r="J72" s="311"/>
      <c r="K72" s="614"/>
      <c r="L72" s="614"/>
      <c r="M72" s="615"/>
      <c r="N72" s="297"/>
      <c r="O72" s="17"/>
      <c r="P72" s="286"/>
      <c r="Q72" s="605" t="s">
        <v>459</v>
      </c>
      <c r="R72" s="606"/>
      <c r="S72" s="603" t="s">
        <v>462</v>
      </c>
      <c r="T72" s="603"/>
      <c r="U72" s="603"/>
      <c r="V72" s="316"/>
      <c r="W72" s="304"/>
      <c r="X72" s="304"/>
      <c r="Y72" s="603" t="s">
        <v>443</v>
      </c>
      <c r="Z72" s="603"/>
      <c r="AA72" s="611"/>
      <c r="AB72" s="297"/>
      <c r="AC72" s="283"/>
      <c r="AD72" s="336" t="s">
        <v>243</v>
      </c>
      <c r="AE72" s="261">
        <v>111</v>
      </c>
      <c r="AF72" s="366"/>
      <c r="AG72" s="268"/>
      <c r="AH72" s="367"/>
      <c r="AI72" s="349">
        <v>0.96150000000000002</v>
      </c>
      <c r="AJ72" s="282">
        <v>1</v>
      </c>
      <c r="AK72" s="377">
        <v>26</v>
      </c>
      <c r="AL72" s="380">
        <v>0.98119999999999996</v>
      </c>
      <c r="AM72" s="282">
        <v>4</v>
      </c>
      <c r="AN72" s="381">
        <v>213</v>
      </c>
      <c r="AO72" s="349">
        <v>0.99529999999999996</v>
      </c>
      <c r="AP72" s="282">
        <v>1</v>
      </c>
      <c r="AQ72" s="337">
        <v>215</v>
      </c>
    </row>
    <row r="73" spans="1:43" ht="12.75" customHeight="1" thickBot="1" x14ac:dyDescent="0.25">
      <c r="B73" s="286"/>
      <c r="C73" s="607"/>
      <c r="D73" s="608"/>
      <c r="E73" s="602"/>
      <c r="F73" s="602"/>
      <c r="G73" s="602"/>
      <c r="H73" s="294"/>
      <c r="I73" s="313"/>
      <c r="J73" s="313"/>
      <c r="K73" s="619"/>
      <c r="L73" s="619"/>
      <c r="M73" s="620"/>
      <c r="N73" s="297"/>
      <c r="P73" s="286"/>
      <c r="Q73" s="607"/>
      <c r="R73" s="608"/>
      <c r="S73" s="604"/>
      <c r="T73" s="604"/>
      <c r="U73" s="604"/>
      <c r="V73" s="317"/>
      <c r="W73" s="306"/>
      <c r="X73" s="306"/>
      <c r="Y73" s="604"/>
      <c r="Z73" s="604"/>
      <c r="AA73" s="612"/>
      <c r="AB73" s="297"/>
      <c r="AC73" s="283"/>
      <c r="AD73" s="338" t="s">
        <v>245</v>
      </c>
      <c r="AE73" s="339">
        <v>112</v>
      </c>
      <c r="AF73" s="368"/>
      <c r="AG73" s="340"/>
      <c r="AH73" s="369"/>
      <c r="AI73" s="350">
        <v>0.96150000000000002</v>
      </c>
      <c r="AJ73" s="341">
        <v>1</v>
      </c>
      <c r="AK73" s="378">
        <v>26</v>
      </c>
      <c r="AL73" s="382">
        <v>0.99070000000000003</v>
      </c>
      <c r="AM73" s="341">
        <v>2</v>
      </c>
      <c r="AN73" s="383">
        <v>215</v>
      </c>
      <c r="AO73" s="350">
        <v>0.98580000000000001</v>
      </c>
      <c r="AP73" s="341">
        <v>3</v>
      </c>
      <c r="AQ73" s="342">
        <v>212</v>
      </c>
    </row>
    <row r="74" spans="1:43" ht="12.75" customHeight="1" thickTop="1" x14ac:dyDescent="0.2">
      <c r="B74" s="286"/>
      <c r="C74" s="609"/>
      <c r="D74" s="610"/>
      <c r="E74" s="420"/>
      <c r="F74" s="420"/>
      <c r="G74" s="420"/>
      <c r="H74" s="317"/>
      <c r="I74" s="312"/>
      <c r="J74" s="312"/>
      <c r="K74" s="421"/>
      <c r="L74" s="421"/>
      <c r="M74" s="422"/>
      <c r="N74" s="297"/>
      <c r="P74" s="286"/>
      <c r="Q74" s="609"/>
      <c r="R74" s="610"/>
      <c r="S74" s="613" t="s">
        <v>444</v>
      </c>
      <c r="T74" s="613"/>
      <c r="U74" s="613"/>
      <c r="V74" s="294"/>
      <c r="W74" s="37"/>
      <c r="X74" s="37"/>
      <c r="Y74" s="591" t="s">
        <v>444</v>
      </c>
      <c r="Z74" s="591"/>
      <c r="AA74" s="592"/>
      <c r="AB74" s="297"/>
      <c r="AC74" s="283"/>
      <c r="AD74" s="36"/>
      <c r="AE74" s="416"/>
      <c r="AF74" s="417"/>
      <c r="AG74" s="417"/>
      <c r="AH74" s="417"/>
      <c r="AI74" s="418"/>
      <c r="AJ74" s="419"/>
      <c r="AK74" s="419"/>
      <c r="AL74" s="418"/>
      <c r="AM74" s="419"/>
      <c r="AN74" s="419"/>
      <c r="AO74" s="418"/>
      <c r="AP74" s="419"/>
      <c r="AQ74" s="419"/>
    </row>
    <row r="75" spans="1:43" ht="12.75" customHeight="1" x14ac:dyDescent="0.2">
      <c r="B75" s="286"/>
      <c r="C75" s="584" t="s">
        <v>460</v>
      </c>
      <c r="D75" s="585"/>
      <c r="E75" s="567" t="s">
        <v>221</v>
      </c>
      <c r="F75" s="567"/>
      <c r="G75" s="567"/>
      <c r="H75" s="304"/>
      <c r="I75" s="311"/>
      <c r="J75" s="311"/>
      <c r="K75" s="597"/>
      <c r="L75" s="597"/>
      <c r="M75" s="598"/>
      <c r="N75" s="289"/>
      <c r="P75" s="286"/>
      <c r="Q75" s="584" t="s">
        <v>460</v>
      </c>
      <c r="R75" s="585"/>
      <c r="S75" s="567" t="s">
        <v>219</v>
      </c>
      <c r="T75" s="567"/>
      <c r="U75" s="567"/>
      <c r="V75" s="304"/>
      <c r="W75" s="304"/>
      <c r="X75" s="304"/>
      <c r="Y75" s="567" t="s">
        <v>218</v>
      </c>
      <c r="Z75" s="567"/>
      <c r="AA75" s="569"/>
      <c r="AB75" s="289"/>
      <c r="AC75" s="283"/>
    </row>
    <row r="76" spans="1:43" ht="13.5" customHeight="1" x14ac:dyDescent="0.2">
      <c r="B76" s="286"/>
      <c r="C76" s="586"/>
      <c r="D76" s="587"/>
      <c r="E76" s="568"/>
      <c r="F76" s="568"/>
      <c r="G76" s="568"/>
      <c r="H76" s="306"/>
      <c r="I76" s="312"/>
      <c r="J76" s="312"/>
      <c r="K76" s="599"/>
      <c r="L76" s="599"/>
      <c r="M76" s="600"/>
      <c r="N76" s="289"/>
      <c r="P76" s="286"/>
      <c r="Q76" s="586"/>
      <c r="R76" s="587"/>
      <c r="S76" s="568"/>
      <c r="T76" s="568"/>
      <c r="U76" s="568"/>
      <c r="V76" s="306"/>
      <c r="W76" s="306"/>
      <c r="X76" s="306"/>
      <c r="Y76" s="568"/>
      <c r="Z76" s="568"/>
      <c r="AA76" s="570"/>
      <c r="AB76" s="289"/>
      <c r="AC76" s="283"/>
    </row>
    <row r="77" spans="1:43" ht="13.5" thickBot="1" x14ac:dyDescent="0.25">
      <c r="B77" s="286"/>
      <c r="C77" s="582" t="s">
        <v>461</v>
      </c>
      <c r="D77" s="582"/>
      <c r="E77" s="582"/>
      <c r="F77" s="582"/>
      <c r="G77" s="582"/>
      <c r="H77" s="37"/>
      <c r="I77" s="313"/>
      <c r="J77" s="313"/>
      <c r="K77" s="313"/>
      <c r="L77" s="313"/>
      <c r="M77" s="313"/>
      <c r="N77" s="289"/>
      <c r="P77" s="286"/>
      <c r="Q77" s="582" t="s">
        <v>461</v>
      </c>
      <c r="R77" s="582"/>
      <c r="S77" s="582"/>
      <c r="T77" s="582"/>
      <c r="U77" s="582"/>
      <c r="V77" s="37"/>
      <c r="W77" s="582" t="s">
        <v>461</v>
      </c>
      <c r="X77" s="582"/>
      <c r="Y77" s="582"/>
      <c r="Z77" s="582"/>
      <c r="AA77" s="582"/>
      <c r="AB77" s="289"/>
      <c r="AC77" s="283"/>
      <c r="AD77" s="76"/>
      <c r="AE77" s="76"/>
    </row>
    <row r="78" spans="1:43" ht="12.75" customHeight="1" thickTop="1" x14ac:dyDescent="0.2">
      <c r="B78" s="286"/>
      <c r="C78" s="407"/>
      <c r="D78" s="408"/>
      <c r="E78" s="408" t="s">
        <v>156</v>
      </c>
      <c r="F78" s="408" t="s">
        <v>157</v>
      </c>
      <c r="G78" s="409" t="s">
        <v>158</v>
      </c>
      <c r="H78" s="36"/>
      <c r="I78" s="313"/>
      <c r="J78" s="313"/>
      <c r="K78" s="313"/>
      <c r="L78" s="313"/>
      <c r="M78" s="313"/>
      <c r="N78" s="287"/>
      <c r="P78" s="286"/>
      <c r="Q78" s="407" t="s">
        <v>241</v>
      </c>
      <c r="R78" s="408"/>
      <c r="S78" s="408" t="s">
        <v>156</v>
      </c>
      <c r="T78" s="408" t="s">
        <v>157</v>
      </c>
      <c r="U78" s="409" t="s">
        <v>158</v>
      </c>
      <c r="V78" s="36"/>
      <c r="W78" s="407" t="s">
        <v>241</v>
      </c>
      <c r="X78" s="408"/>
      <c r="Y78" s="408" t="s">
        <v>156</v>
      </c>
      <c r="Z78" s="408" t="s">
        <v>157</v>
      </c>
      <c r="AA78" s="409" t="s">
        <v>158</v>
      </c>
      <c r="AB78" s="289"/>
      <c r="AC78" s="283"/>
    </row>
    <row r="79" spans="1:43" x14ac:dyDescent="0.2">
      <c r="B79" s="286"/>
      <c r="C79" s="410" t="s">
        <v>90</v>
      </c>
      <c r="D79" s="411">
        <v>110</v>
      </c>
      <c r="E79" s="411">
        <v>1</v>
      </c>
      <c r="F79" s="411">
        <v>26</v>
      </c>
      <c r="G79" s="412">
        <v>0.96150000000000002</v>
      </c>
      <c r="H79" s="36"/>
      <c r="I79" s="313"/>
      <c r="J79" s="313"/>
      <c r="K79" s="313"/>
      <c r="L79" s="313"/>
      <c r="M79" s="313"/>
      <c r="N79" s="287"/>
      <c r="P79" s="286"/>
      <c r="Q79" s="410" t="s">
        <v>90</v>
      </c>
      <c r="R79" s="411">
        <v>110</v>
      </c>
      <c r="S79" s="411">
        <v>2</v>
      </c>
      <c r="T79" s="411">
        <v>217</v>
      </c>
      <c r="U79" s="412">
        <v>0.99080000000000001</v>
      </c>
      <c r="V79" s="36"/>
      <c r="W79" s="410" t="s">
        <v>90</v>
      </c>
      <c r="X79" s="411">
        <v>110</v>
      </c>
      <c r="Y79" s="411">
        <v>0</v>
      </c>
      <c r="Z79" s="411">
        <v>217</v>
      </c>
      <c r="AA79" s="412">
        <v>1</v>
      </c>
      <c r="AB79" s="289"/>
      <c r="AC79" s="283"/>
    </row>
    <row r="80" spans="1:43" x14ac:dyDescent="0.2">
      <c r="B80" s="286"/>
      <c r="C80" s="410" t="s">
        <v>70</v>
      </c>
      <c r="D80" s="411">
        <v>111</v>
      </c>
      <c r="E80" s="411">
        <v>1</v>
      </c>
      <c r="F80" s="411">
        <v>26</v>
      </c>
      <c r="G80" s="412">
        <v>0.96150000000000002</v>
      </c>
      <c r="H80" s="36"/>
      <c r="I80" s="313"/>
      <c r="J80" s="313"/>
      <c r="K80" s="313"/>
      <c r="L80" s="313"/>
      <c r="M80" s="313"/>
      <c r="N80" s="287"/>
      <c r="P80" s="286"/>
      <c r="Q80" s="410" t="s">
        <v>70</v>
      </c>
      <c r="R80" s="411">
        <v>111</v>
      </c>
      <c r="S80" s="411">
        <v>4</v>
      </c>
      <c r="T80" s="411">
        <v>213</v>
      </c>
      <c r="U80" s="412">
        <v>0.98119999999999996</v>
      </c>
      <c r="V80" s="36"/>
      <c r="W80" s="410" t="s">
        <v>70</v>
      </c>
      <c r="X80" s="411">
        <v>111</v>
      </c>
      <c r="Y80" s="411">
        <v>1</v>
      </c>
      <c r="Z80" s="411">
        <v>215</v>
      </c>
      <c r="AA80" s="412">
        <v>0.99529999999999996</v>
      </c>
      <c r="AB80" s="289"/>
      <c r="AC80" s="283"/>
    </row>
    <row r="81" spans="2:29" x14ac:dyDescent="0.2">
      <c r="B81" s="286"/>
      <c r="C81" s="410" t="s">
        <v>77</v>
      </c>
      <c r="D81" s="411">
        <v>112</v>
      </c>
      <c r="E81" s="411">
        <v>1</v>
      </c>
      <c r="F81" s="411">
        <v>26</v>
      </c>
      <c r="G81" s="412">
        <v>0.96150000000000002</v>
      </c>
      <c r="H81" s="36"/>
      <c r="I81" s="313"/>
      <c r="J81" s="313"/>
      <c r="K81" s="313"/>
      <c r="L81" s="313"/>
      <c r="M81" s="313"/>
      <c r="N81" s="287"/>
      <c r="P81" s="286"/>
      <c r="Q81" s="410" t="s">
        <v>77</v>
      </c>
      <c r="R81" s="411">
        <v>112</v>
      </c>
      <c r="S81" s="411">
        <v>2</v>
      </c>
      <c r="T81" s="411">
        <v>215</v>
      </c>
      <c r="U81" s="412">
        <v>0.99070000000000003</v>
      </c>
      <c r="V81" s="36"/>
      <c r="W81" s="410" t="s">
        <v>77</v>
      </c>
      <c r="X81" s="411">
        <v>112</v>
      </c>
      <c r="Y81" s="411">
        <v>3</v>
      </c>
      <c r="Z81" s="411">
        <v>212</v>
      </c>
      <c r="AA81" s="412">
        <v>0.98580000000000001</v>
      </c>
      <c r="AB81" s="289"/>
      <c r="AC81" s="283"/>
    </row>
    <row r="82" spans="2:29" ht="13.5" thickBot="1" x14ac:dyDescent="0.25">
      <c r="B82" s="286"/>
      <c r="C82" s="413" t="s">
        <v>214</v>
      </c>
      <c r="D82" s="414">
        <v>1</v>
      </c>
      <c r="E82" s="414">
        <v>3</v>
      </c>
      <c r="F82" s="414">
        <v>78</v>
      </c>
      <c r="G82" s="415">
        <v>0.96150000000000002</v>
      </c>
      <c r="H82" s="36"/>
      <c r="I82" s="313"/>
      <c r="J82" s="313"/>
      <c r="K82" s="313"/>
      <c r="L82" s="313"/>
      <c r="M82" s="313"/>
      <c r="N82" s="287"/>
      <c r="P82" s="286"/>
      <c r="Q82" s="413" t="s">
        <v>214</v>
      </c>
      <c r="R82" s="414">
        <v>1</v>
      </c>
      <c r="S82" s="414">
        <v>8</v>
      </c>
      <c r="T82" s="414">
        <v>645</v>
      </c>
      <c r="U82" s="415">
        <v>0.98760000000000003</v>
      </c>
      <c r="V82" s="36"/>
      <c r="W82" s="413" t="s">
        <v>214</v>
      </c>
      <c r="X82" s="414">
        <v>1</v>
      </c>
      <c r="Y82" s="414">
        <v>4</v>
      </c>
      <c r="Z82" s="414">
        <v>644</v>
      </c>
      <c r="AA82" s="415">
        <v>0.99380000000000002</v>
      </c>
      <c r="AB82" s="289"/>
      <c r="AC82" s="283"/>
    </row>
    <row r="83" spans="2:29" ht="14.25" thickTop="1" thickBot="1" x14ac:dyDescent="0.25">
      <c r="B83" s="309"/>
      <c r="C83" s="299"/>
      <c r="D83" s="299"/>
      <c r="E83" s="299"/>
      <c r="F83" s="299"/>
      <c r="G83" s="299"/>
      <c r="H83" s="299"/>
      <c r="I83" s="299"/>
      <c r="J83" s="299"/>
      <c r="K83" s="299"/>
      <c r="L83" s="299"/>
      <c r="M83" s="299"/>
      <c r="N83" s="310"/>
      <c r="P83" s="309"/>
      <c r="Q83" s="299"/>
      <c r="R83" s="299"/>
      <c r="S83" s="299"/>
      <c r="T83" s="299"/>
      <c r="U83" s="299"/>
      <c r="V83" s="299"/>
      <c r="W83" s="299"/>
      <c r="X83" s="314"/>
      <c r="Y83" s="314"/>
      <c r="Z83" s="314"/>
      <c r="AA83" s="314"/>
      <c r="AB83" s="315"/>
      <c r="AC83" s="283"/>
    </row>
    <row r="84" spans="2:29" x14ac:dyDescent="0.2">
      <c r="Q84" s="283"/>
      <c r="R84" s="283"/>
      <c r="S84" s="283"/>
      <c r="T84" s="283"/>
      <c r="U84" s="283"/>
      <c r="V84" s="283"/>
      <c r="W84" s="283"/>
      <c r="X84" s="283"/>
      <c r="Y84" s="283"/>
      <c r="Z84" s="283"/>
      <c r="AA84" s="283"/>
      <c r="AB84" s="283"/>
      <c r="AC84" s="283"/>
    </row>
    <row r="85" spans="2:29" x14ac:dyDescent="0.2">
      <c r="C85" s="616" t="s">
        <v>470</v>
      </c>
      <c r="D85" s="616"/>
      <c r="E85" s="616"/>
      <c r="F85" s="616"/>
      <c r="G85" s="616"/>
      <c r="Q85" s="616" t="s">
        <v>470</v>
      </c>
      <c r="R85" s="616"/>
      <c r="S85" s="616"/>
      <c r="T85" s="616"/>
      <c r="U85" s="616"/>
      <c r="V85" s="283"/>
      <c r="W85" s="616" t="s">
        <v>470</v>
      </c>
      <c r="X85" s="616"/>
      <c r="Y85" s="616"/>
      <c r="Z85" s="616"/>
      <c r="AA85" s="616"/>
      <c r="AB85" s="283"/>
      <c r="AC85" s="283"/>
    </row>
    <row r="86" spans="2:29" x14ac:dyDescent="0.2">
      <c r="C86" s="616"/>
      <c r="D86" s="616"/>
      <c r="E86" s="616"/>
      <c r="F86" s="616"/>
      <c r="G86" s="616"/>
      <c r="Q86" s="616"/>
      <c r="R86" s="616"/>
      <c r="S86" s="616"/>
      <c r="T86" s="616"/>
      <c r="U86" s="616"/>
      <c r="V86" s="283"/>
      <c r="W86" s="616"/>
      <c r="X86" s="616"/>
      <c r="Y86" s="616"/>
      <c r="Z86" s="616"/>
      <c r="AA86" s="616"/>
      <c r="AB86" s="283"/>
      <c r="AC86" s="283"/>
    </row>
    <row r="87" spans="2:29" x14ac:dyDescent="0.2">
      <c r="C87" s="616"/>
      <c r="D87" s="616"/>
      <c r="E87" s="616"/>
      <c r="F87" s="616"/>
      <c r="G87" s="616"/>
      <c r="Q87" s="616"/>
      <c r="R87" s="616"/>
      <c r="S87" s="616"/>
      <c r="T87" s="616"/>
      <c r="U87" s="616"/>
      <c r="V87" s="283"/>
      <c r="W87" s="616"/>
      <c r="X87" s="616"/>
      <c r="Y87" s="616"/>
      <c r="Z87" s="616"/>
      <c r="AA87" s="616"/>
      <c r="AB87" s="283"/>
    </row>
    <row r="88" spans="2:29" x14ac:dyDescent="0.2">
      <c r="C88" s="616"/>
      <c r="D88" s="616"/>
      <c r="E88" s="616"/>
      <c r="F88" s="616"/>
      <c r="G88" s="616"/>
      <c r="Q88" s="616"/>
      <c r="R88" s="616"/>
      <c r="S88" s="616"/>
      <c r="T88" s="616"/>
      <c r="U88" s="616"/>
      <c r="W88" s="616"/>
      <c r="X88" s="616"/>
      <c r="Y88" s="616"/>
      <c r="Z88" s="616"/>
      <c r="AA88" s="616"/>
    </row>
    <row r="89" spans="2:29" x14ac:dyDescent="0.2">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396512</CP_Inventory>
    <Fiscal_Year xmlns="c9744be7-b815-40bc-84fa-afc9c406d9bc">2015</Fiscal_Year>
    <CP_Backlog xmlns="c9744be7-b815-40bc-84fa-afc9c406d9bc">132360</CP_Backlog>
    <Creation_date xmlns="c9744be7-b815-40bc-84fa-afc9c406d9bc">2015-06-22T00:00:00</Creation_date>
    <Data_date xmlns="c9744be7-b815-40bc-84fa-afc9c406d9bc">2015-06-20T00:00:00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microsoft.com/office/2006/metadata/properties"/>
    <ds:schemaRef ds:uri="c9744be7-b815-40bc-84fa-afc9c406d9bc"/>
    <ds:schemaRef ds:uri="http://schemas.microsoft.com/office/2006/documentManagement/types"/>
    <ds:schemaRef ds:uri="http://schemas.openxmlformats.org/package/2006/metadata/core-properties"/>
    <ds:schemaRef ds:uri="http://purl.org/dc/elements/1.1/"/>
    <ds:schemaRef ds:uri="http://purl.org/dc/terms/"/>
    <ds:schemaRef ds:uri="http://www.w3.org/XML/1998/namespace"/>
    <ds:schemaRef ds:uri="fef9c9dc-374b-4157-9e06-089f148416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22,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2014-03-10T18:13:07Z</cp:lastPrinted>
  <dcterms:created xsi:type="dcterms:W3CDTF">2009-08-25T18:46:26Z</dcterms:created>
  <dcterms:modified xsi:type="dcterms:W3CDTF">2015-06-29T20:27:35Z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