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920" yWindow="-195" windowWidth="15330" windowHeight="9030" tabRatio="898" activeTab="2"/>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O16" i="46" l="1"/>
  <c r="N16" i="46"/>
  <c r="M16" i="46"/>
  <c r="L16" i="46"/>
  <c r="K16" i="46"/>
  <c r="J16" i="46"/>
  <c r="O34" i="46"/>
  <c r="N34" i="46"/>
  <c r="M34" i="46"/>
  <c r="L34" i="46"/>
  <c r="K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H30" i="35" s="1"/>
  <c r="M7" i="35"/>
  <c r="M18" i="35"/>
  <c r="J6" i="7"/>
  <c r="I10" i="7"/>
  <c r="M11" i="35"/>
  <c r="H5" i="7"/>
  <c r="G22" i="35"/>
  <c r="H22" i="35" s="1"/>
  <c r="I5" i="7"/>
  <c r="L11" i="35"/>
  <c r="G7" i="35"/>
  <c r="H7" i="35" l="1"/>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<sst xmlns="http://schemas.openxmlformats.org/spreadsheetml/2006/main" count="4089" uniqueCount="1062">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</sst>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0">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3" fontId="21" fillId="41" borderId="2" xfId="0" applyNumberFormat="1" applyFont="1" applyFill="1" applyBorder="1" applyAlignment="1">
      <alignment horizontal="center" vertical="center" wrapText="1"/>
    </xf>
    <xf numFmtId="10" fontId="21" fillId="41" borderId="23" xfId="0" applyNumberFormat="1" applyFont="1" applyFill="1" applyBorder="1" applyAlignment="1">
      <alignment horizontal="center" vertical="center" wrapText="1"/>
    </xf>
    <xf numFmtId="166" fontId="3" fillId="38" borderId="7" xfId="0" applyNumberFormat="1" applyFont="1" applyFill="1" applyBorder="1"/>
    <xf numFmtId="166" fontId="3" fillId="38" borderId="3" xfId="0" applyNumberFormat="1" applyFont="1" applyFill="1" applyBorder="1"/>
    <xf numFmtId="166" fontId="3" fillId="38" borderId="5" xfId="0" applyNumberFormat="1" applyFont="1" applyFill="1" applyBorder="1"/>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4" fontId="7" fillId="38" borderId="53" xfId="0" applyNumberFormat="1" applyFont="1" applyFill="1" applyBorder="1" applyProtection="1">
      <protection hidden="1"/>
    </xf>
    <xf numFmtId="4" fontId="7" fillId="38" borderId="50" xfId="0" applyNumberFormat="1" applyFont="1" applyFill="1" applyBorder="1" applyProtection="1">
      <protection hidden="1"/>
    </xf>
    <xf numFmtId="4" fontId="7" fillId="38" borderId="51" xfId="0" applyNumberFormat="1" applyFont="1" applyFill="1" applyBorder="1" applyProtection="1">
      <protection hidden="1"/>
    </xf>
    <xf numFmtId="0" fontId="7" fillId="38" borderId="8" xfId="0" applyFont="1" applyFill="1" applyBorder="1" applyProtection="1">
      <protection hidden="1"/>
    </xf>
    <xf numFmtId="0" fontId="7" fillId="38" borderId="0" xfId="0" applyFont="1" applyFill="1" applyBorder="1" applyProtection="1">
      <protection hidden="1"/>
    </xf>
    <xf numFmtId="0" fontId="7" fillId="38" borderId="4" xfId="0" applyFont="1" applyFill="1" applyBorder="1" applyProtection="1">
      <protection hidden="1"/>
    </xf>
    <xf numFmtId="4" fontId="7" fillId="38" borderId="8" xfId="0" applyNumberFormat="1" applyFont="1" applyFill="1" applyBorder="1" applyProtection="1">
      <protection hidden="1"/>
    </xf>
    <xf numFmtId="4" fontId="7" fillId="38" borderId="0" xfId="0" applyNumberFormat="1" applyFont="1" applyFill="1" applyBorder="1" applyProtection="1">
      <protection hidden="1"/>
    </xf>
    <xf numFmtId="4" fontId="7" fillId="38" borderId="4" xfId="0" applyNumberFormat="1" applyFont="1" applyFill="1" applyBorder="1" applyProtection="1">
      <protection hidden="1"/>
    </xf>
    <xf numFmtId="4" fontId="7" fillId="38" borderId="25" xfId="0" applyNumberFormat="1" applyFont="1" applyFill="1" applyBorder="1" applyProtection="1">
      <protection hidden="1"/>
    </xf>
    <xf numFmtId="4" fontId="7" fillId="38" borderId="43" xfId="0" applyNumberFormat="1" applyFont="1" applyFill="1" applyBorder="1" applyProtection="1">
      <protection hidden="1"/>
    </xf>
    <xf numFmtId="4" fontId="7" fillId="38" borderId="36" xfId="0" applyNumberFormat="1" applyFont="1" applyFill="1" applyBorder="1" applyProtection="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0" fontId="16" fillId="2" borderId="107" xfId="0" applyFont="1" applyFill="1" applyBorder="1" applyAlignment="1" applyProtection="1">
      <alignment horizontal="center" vertical="center" wrapText="1"/>
      <protection hidden="1"/>
    </xf>
    <xf numFmtId="0" fontId="16" fillId="2" borderId="45" xfId="0" applyFont="1" applyFill="1" applyBorder="1" applyAlignment="1" applyProtection="1">
      <alignment horizontal="center"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4" fontId="7" fillId="38" borderId="15" xfId="0" applyNumberFormat="1" applyFont="1" applyFill="1" applyBorder="1" applyProtection="1">
      <protection hidden="1"/>
    </xf>
    <xf numFmtId="4" fontId="7" fillId="38" borderId="16" xfId="0" applyNumberFormat="1" applyFont="1" applyFill="1" applyBorder="1" applyProtection="1">
      <protection hidden="1"/>
    </xf>
    <xf numFmtId="4" fontId="7" fillId="38" borderId="29" xfId="0" applyNumberFormat="1" applyFont="1" applyFill="1" applyBorder="1" applyProtection="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13" fillId="38" borderId="18" xfId="0" applyFont="1" applyFill="1" applyBorder="1" applyAlignment="1" applyProtection="1">
      <alignment horizontal="left" vertical="center" wrapText="1"/>
      <protection hidden="1"/>
    </xf>
    <xf numFmtId="0" fontId="13" fillId="38" borderId="4"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3" fillId="38" borderId="29" xfId="0" applyFont="1" applyFill="1" applyBorder="1" applyAlignment="1" applyProtection="1">
      <alignment horizontal="left"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49" fontId="13" fillId="38" borderId="4"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13" fillId="38" borderId="6"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3" fillId="38" borderId="40" xfId="0" applyFont="1" applyFill="1" applyBorder="1" applyAlignment="1" applyProtection="1">
      <alignment horizontal="left"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3" t="s">
        <v>312</v>
      </c>
      <c r="B1" s="274"/>
      <c r="C1" s="274"/>
      <c r="D1" s="274"/>
      <c r="E1" s="274"/>
      <c r="F1" s="274"/>
      <c r="G1" s="274"/>
      <c r="H1" s="274"/>
      <c r="I1" s="274"/>
      <c r="J1" s="274"/>
      <c r="K1" s="274"/>
      <c r="L1" s="274"/>
      <c r="M1" s="274"/>
      <c r="N1" s="274"/>
      <c r="O1" s="274"/>
      <c r="P1" s="275"/>
    </row>
    <row r="2" spans="1:16" ht="29.25" customHeight="1" x14ac:dyDescent="0.2">
      <c r="A2" s="267" t="s">
        <v>314</v>
      </c>
      <c r="B2" s="268"/>
      <c r="C2" s="268"/>
      <c r="D2" s="268"/>
      <c r="E2" s="268"/>
      <c r="F2" s="268"/>
      <c r="G2" s="268"/>
      <c r="H2" s="268"/>
      <c r="I2" s="268"/>
      <c r="J2" s="268"/>
      <c r="K2" s="268"/>
      <c r="L2" s="268"/>
      <c r="M2" s="268"/>
      <c r="N2" s="269"/>
      <c r="O2" s="276"/>
      <c r="P2" s="277"/>
    </row>
    <row r="3" spans="1:16" x14ac:dyDescent="0.2">
      <c r="A3" s="267"/>
      <c r="B3" s="268"/>
      <c r="C3" s="268"/>
      <c r="D3" s="268"/>
      <c r="E3" s="268"/>
      <c r="F3" s="268"/>
      <c r="G3" s="268"/>
      <c r="H3" s="268"/>
      <c r="I3" s="268"/>
      <c r="J3" s="268"/>
      <c r="K3" s="268"/>
      <c r="L3" s="268"/>
      <c r="M3" s="268"/>
      <c r="N3" s="269"/>
      <c r="O3" s="278"/>
      <c r="P3" s="279"/>
    </row>
    <row r="4" spans="1:16" x14ac:dyDescent="0.2">
      <c r="A4" s="267"/>
      <c r="B4" s="268"/>
      <c r="C4" s="268"/>
      <c r="D4" s="268"/>
      <c r="E4" s="268"/>
      <c r="F4" s="268"/>
      <c r="G4" s="268"/>
      <c r="H4" s="268"/>
      <c r="I4" s="268"/>
      <c r="J4" s="268"/>
      <c r="K4" s="268"/>
      <c r="L4" s="268"/>
      <c r="M4" s="268"/>
      <c r="N4" s="269"/>
      <c r="O4" s="278"/>
      <c r="P4" s="279"/>
    </row>
    <row r="5" spans="1:16" x14ac:dyDescent="0.2">
      <c r="A5" s="267"/>
      <c r="B5" s="268"/>
      <c r="C5" s="268"/>
      <c r="D5" s="268"/>
      <c r="E5" s="268"/>
      <c r="F5" s="268"/>
      <c r="G5" s="268"/>
      <c r="H5" s="268"/>
      <c r="I5" s="268"/>
      <c r="J5" s="268"/>
      <c r="K5" s="268"/>
      <c r="L5" s="268"/>
      <c r="M5" s="268"/>
      <c r="N5" s="269"/>
      <c r="O5" s="278"/>
      <c r="P5" s="279"/>
    </row>
    <row r="6" spans="1:16" x14ac:dyDescent="0.2">
      <c r="A6" s="267"/>
      <c r="B6" s="268"/>
      <c r="C6" s="268"/>
      <c r="D6" s="268"/>
      <c r="E6" s="268"/>
      <c r="F6" s="268"/>
      <c r="G6" s="268"/>
      <c r="H6" s="268"/>
      <c r="I6" s="268"/>
      <c r="J6" s="268"/>
      <c r="K6" s="268"/>
      <c r="L6" s="268"/>
      <c r="M6" s="268"/>
      <c r="N6" s="269"/>
      <c r="O6" s="278"/>
      <c r="P6" s="279"/>
    </row>
    <row r="7" spans="1:16" ht="18" customHeight="1" thickBot="1" x14ac:dyDescent="0.25">
      <c r="A7" s="270"/>
      <c r="B7" s="271"/>
      <c r="C7" s="271"/>
      <c r="D7" s="271"/>
      <c r="E7" s="271"/>
      <c r="F7" s="271"/>
      <c r="G7" s="271"/>
      <c r="H7" s="271"/>
      <c r="I7" s="271"/>
      <c r="J7" s="271"/>
      <c r="K7" s="271"/>
      <c r="L7" s="271"/>
      <c r="M7" s="271"/>
      <c r="N7" s="272"/>
      <c r="O7" s="280"/>
      <c r="P7" s="281"/>
    </row>
    <row r="8" spans="1:16" ht="18.75" thickBot="1" x14ac:dyDescent="0.25">
      <c r="A8" s="264" t="s">
        <v>310</v>
      </c>
      <c r="B8" s="265"/>
      <c r="C8" s="265"/>
      <c r="D8" s="265"/>
      <c r="E8" s="265"/>
      <c r="F8" s="265"/>
      <c r="G8" s="266"/>
      <c r="H8" s="264" t="s">
        <v>311</v>
      </c>
      <c r="I8" s="265"/>
      <c r="J8" s="265"/>
      <c r="K8" s="265"/>
      <c r="L8" s="265"/>
      <c r="M8" s="265"/>
      <c r="N8" s="265"/>
      <c r="O8" s="265"/>
      <c r="P8" s="266"/>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55" zoomScaleNormal="55" workbookViewId="0"/>
  </sheetViews>
  <sheetFormatPr defaultRowHeight="12.75" x14ac:dyDescent="0.2"/>
  <cols>
    <col min="2" max="2" width="28.140625" bestFit="1" customWidth="1"/>
    <col min="3" max="3" width="13.42578125" bestFit="1" customWidth="1"/>
    <col min="4" max="4" width="19.5703125" bestFit="1" customWidth="1"/>
    <col min="5" max="5" width="5.28515625" bestFit="1" customWidth="1"/>
    <col min="6" max="6" width="37.5703125" bestFit="1" customWidth="1"/>
    <col min="7" max="7" width="41.42578125" bestFit="1" customWidth="1"/>
    <col min="8" max="8" width="42.42578125" bestFit="1" customWidth="1"/>
    <col min="9" max="9" width="31.28515625" bestFit="1" customWidth="1"/>
    <col min="10" max="10" width="42.42578125" bestFit="1" customWidth="1"/>
    <col min="11" max="11" width="31.28515625" bestFit="1" customWidth="1"/>
    <col min="12" max="12" width="39.5703125" bestFit="1" customWidth="1"/>
    <col min="13" max="13" width="40.7109375" bestFit="1" customWidth="1"/>
    <col min="14" max="14" width="29.7109375" bestFit="1" customWidth="1"/>
    <col min="15" max="15" width="40.7109375" bestFit="1" customWidth="1"/>
    <col min="16" max="16" width="29.7109375" bestFit="1" customWidth="1"/>
    <col min="17" max="19" width="12.7109375" bestFit="1" customWidth="1"/>
  </cols>
  <sheetData>
    <row r="2" spans="2:16" x14ac:dyDescent="0.2">
      <c r="B2" t="s">
        <v>1061</v>
      </c>
      <c r="C2" t="s">
        <v>512</v>
      </c>
      <c r="D2" t="s">
        <v>928</v>
      </c>
      <c r="E2" t="s">
        <v>929</v>
      </c>
      <c r="F2" t="s">
        <v>930</v>
      </c>
      <c r="G2" t="s">
        <v>931</v>
      </c>
      <c r="H2" t="s">
        <v>933</v>
      </c>
      <c r="I2" t="s">
        <v>1055</v>
      </c>
      <c r="J2" t="s">
        <v>934</v>
      </c>
      <c r="K2" t="s">
        <v>935</v>
      </c>
      <c r="L2" t="s">
        <v>932</v>
      </c>
      <c r="M2" t="s">
        <v>939</v>
      </c>
      <c r="N2" t="s">
        <v>940</v>
      </c>
      <c r="O2" t="s">
        <v>941</v>
      </c>
      <c r="P2" t="s">
        <v>942</v>
      </c>
    </row>
    <row r="3" spans="2:16" x14ac:dyDescent="0.2">
      <c r="B3" t="s">
        <v>596</v>
      </c>
      <c r="C3" t="s">
        <v>414</v>
      </c>
      <c r="D3" s="18">
        <v>42221.44363425926</v>
      </c>
      <c r="E3" t="s">
        <v>169</v>
      </c>
      <c r="F3" s="19">
        <v>0.96193235920727249</v>
      </c>
      <c r="G3" s="19">
        <v>0.88254335260115613</v>
      </c>
      <c r="H3" s="19">
        <v>0.90859970121050893</v>
      </c>
      <c r="I3" s="19">
        <v>4.5028003722795515E-2</v>
      </c>
      <c r="J3" s="19">
        <v>0.94502381921841272</v>
      </c>
      <c r="K3" s="19">
        <v>3.2167617205832853E-2</v>
      </c>
      <c r="L3" s="19"/>
      <c r="M3" s="19"/>
      <c r="N3" s="19"/>
      <c r="O3" s="19"/>
      <c r="P3" s="19"/>
    </row>
    <row r="4" spans="2:16" x14ac:dyDescent="0.2">
      <c r="B4" t="s">
        <v>655</v>
      </c>
      <c r="C4" t="s">
        <v>414</v>
      </c>
      <c r="D4" s="18">
        <v>42221.44363425926</v>
      </c>
      <c r="E4" t="s">
        <v>194</v>
      </c>
      <c r="F4" s="19">
        <v>0.93445994870095583</v>
      </c>
      <c r="G4" s="19">
        <v>0.81590611829675908</v>
      </c>
      <c r="H4" s="19">
        <v>0.8665473800270499</v>
      </c>
      <c r="I4" s="19">
        <v>4.5217319865141548E-2</v>
      </c>
      <c r="J4" s="19">
        <v>0.94233969826442621</v>
      </c>
      <c r="K4" s="19">
        <v>3.7263810227565058E-2</v>
      </c>
      <c r="L4" s="19"/>
      <c r="M4" s="19"/>
      <c r="N4" s="19"/>
      <c r="O4" s="19"/>
      <c r="P4" s="19"/>
    </row>
    <row r="5" spans="2:16" x14ac:dyDescent="0.2">
      <c r="B5" t="s">
        <v>549</v>
      </c>
      <c r="C5" t="s">
        <v>390</v>
      </c>
      <c r="D5" s="18">
        <v>42221.44363425926</v>
      </c>
      <c r="E5" t="s">
        <v>151</v>
      </c>
      <c r="F5" s="19">
        <v>0.98262166176012611</v>
      </c>
      <c r="G5" s="19">
        <v>0.93334523809523806</v>
      </c>
      <c r="H5" s="19">
        <v>0.90470155041212019</v>
      </c>
      <c r="I5" s="19">
        <v>4.1552987223811823E-2</v>
      </c>
      <c r="J5" s="19">
        <v>0.82073838061272353</v>
      </c>
      <c r="K5" s="19">
        <v>5.2597418555994861E-2</v>
      </c>
      <c r="L5" s="19"/>
      <c r="M5" s="19"/>
      <c r="N5" s="19"/>
      <c r="O5" s="19"/>
      <c r="P5" s="19"/>
    </row>
    <row r="6" spans="2:16" x14ac:dyDescent="0.2">
      <c r="B6" t="s">
        <v>543</v>
      </c>
      <c r="C6" t="s">
        <v>379</v>
      </c>
      <c r="D6" s="18">
        <v>42221.44363425926</v>
      </c>
      <c r="E6" t="s">
        <v>149</v>
      </c>
      <c r="F6" s="19">
        <v>0.92936049393942566</v>
      </c>
      <c r="G6" s="19">
        <v>0.83377151303980601</v>
      </c>
      <c r="H6" s="19">
        <v>0.83923858014244668</v>
      </c>
      <c r="I6" s="19">
        <v>4.7595848839726999E-2</v>
      </c>
      <c r="J6" s="19">
        <v>0.8504203619470927</v>
      </c>
      <c r="K6" s="19">
        <v>4.8798247370430092E-2</v>
      </c>
      <c r="L6" s="19"/>
      <c r="M6" s="19"/>
      <c r="N6" s="19"/>
      <c r="O6" s="19"/>
      <c r="P6" s="19"/>
    </row>
    <row r="7" spans="2:16" x14ac:dyDescent="0.2">
      <c r="B7" t="s">
        <v>611</v>
      </c>
      <c r="C7" t="s">
        <v>414</v>
      </c>
      <c r="D7" s="18">
        <v>42221.44363425926</v>
      </c>
      <c r="E7" t="s">
        <v>175</v>
      </c>
      <c r="F7" s="19">
        <v>0.98547150297118191</v>
      </c>
      <c r="G7" s="19">
        <v>0.93545405111473623</v>
      </c>
      <c r="H7" s="19">
        <v>0.93526891576828808</v>
      </c>
      <c r="I7" s="19">
        <v>3.8816807307222451E-2</v>
      </c>
      <c r="J7" s="19">
        <v>0.96294188832728866</v>
      </c>
      <c r="K7" s="19">
        <v>2.866496168301964E-2</v>
      </c>
      <c r="L7" s="19"/>
      <c r="M7" s="19"/>
      <c r="N7" s="19"/>
      <c r="O7" s="19"/>
      <c r="P7" s="19"/>
    </row>
    <row r="8" spans="2:16" x14ac:dyDescent="0.2">
      <c r="B8" t="s">
        <v>522</v>
      </c>
      <c r="C8" t="s">
        <v>379</v>
      </c>
      <c r="D8" s="18">
        <v>42221.44363425926</v>
      </c>
      <c r="E8" t="s">
        <v>142</v>
      </c>
      <c r="F8" s="19">
        <v>0.90381092877065328</v>
      </c>
      <c r="G8" s="19">
        <v>0.83782384099014062</v>
      </c>
      <c r="H8" s="19">
        <v>0.86005397383884441</v>
      </c>
      <c r="I8" s="19">
        <v>5.2324569202404664E-2</v>
      </c>
      <c r="J8" s="19">
        <v>0.89082167873121587</v>
      </c>
      <c r="K8" s="19">
        <v>5.7183796914605484E-2</v>
      </c>
      <c r="L8" s="19"/>
      <c r="M8" s="19"/>
      <c r="N8" s="19"/>
      <c r="O8" s="19"/>
      <c r="P8" s="19"/>
    </row>
    <row r="9" spans="2:16" x14ac:dyDescent="0.2">
      <c r="B9" t="s">
        <v>530</v>
      </c>
      <c r="C9" t="s">
        <v>379</v>
      </c>
      <c r="D9" s="18">
        <v>42221.44363425926</v>
      </c>
      <c r="E9" t="s">
        <v>145</v>
      </c>
      <c r="F9" s="19">
        <v>0.87734795648132446</v>
      </c>
      <c r="G9" s="19">
        <v>0.75714542628489212</v>
      </c>
      <c r="H9" s="19">
        <v>0.88892306309662361</v>
      </c>
      <c r="I9" s="19">
        <v>4.627026914270637E-2</v>
      </c>
      <c r="J9" s="19">
        <v>0.87279643222787773</v>
      </c>
      <c r="K9" s="19">
        <v>4.5165519270412416E-2</v>
      </c>
      <c r="L9" s="19"/>
      <c r="M9" s="19"/>
      <c r="N9" s="19"/>
      <c r="O9" s="19"/>
      <c r="P9" s="19"/>
    </row>
    <row r="10" spans="2:16" x14ac:dyDescent="0.2">
      <c r="B10" t="s">
        <v>647</v>
      </c>
      <c r="C10" t="s">
        <v>395</v>
      </c>
      <c r="D10" s="18">
        <v>42221.44363425926</v>
      </c>
      <c r="E10" t="s">
        <v>683</v>
      </c>
      <c r="F10" s="19">
        <v>0.95173809987443503</v>
      </c>
      <c r="G10" s="19">
        <v>0.82863036303630355</v>
      </c>
      <c r="H10" s="19">
        <v>0.8947328127342512</v>
      </c>
      <c r="I10" s="19">
        <v>4.6469066650126865E-2</v>
      </c>
      <c r="J10" s="19">
        <v>0.92658050352773946</v>
      </c>
      <c r="K10" s="19">
        <v>3.8798643989870173E-2</v>
      </c>
      <c r="L10" s="19"/>
      <c r="M10" s="19"/>
      <c r="N10" s="19"/>
      <c r="O10" s="19"/>
      <c r="P10" s="19"/>
    </row>
    <row r="11" spans="2:16" x14ac:dyDescent="0.2">
      <c r="B11" t="s">
        <v>577</v>
      </c>
      <c r="C11" t="s">
        <v>400</v>
      </c>
      <c r="D11" s="18">
        <v>42221.44363425926</v>
      </c>
      <c r="E11" t="s">
        <v>161</v>
      </c>
      <c r="F11" s="19">
        <v>0.87383518573791819</v>
      </c>
      <c r="G11" s="19">
        <v>0.79097623950060469</v>
      </c>
      <c r="H11" s="19">
        <v>0.87064439032764884</v>
      </c>
      <c r="I11" s="19">
        <v>4.5730378293852424E-2</v>
      </c>
      <c r="J11" s="19">
        <v>0.86278652470289241</v>
      </c>
      <c r="K11" s="19">
        <v>5.0599856901025503E-2</v>
      </c>
      <c r="L11" s="255"/>
      <c r="M11" s="255"/>
      <c r="N11" s="255"/>
      <c r="O11" s="255"/>
      <c r="P11" s="255"/>
    </row>
    <row r="12" spans="2:16" x14ac:dyDescent="0.2">
      <c r="B12" t="s">
        <v>569</v>
      </c>
      <c r="C12" t="s">
        <v>400</v>
      </c>
      <c r="D12" s="18">
        <v>42221.44363425926</v>
      </c>
      <c r="E12" t="s">
        <v>158</v>
      </c>
      <c r="F12" s="19">
        <v>0.94556839376278434</v>
      </c>
      <c r="G12" s="19">
        <v>0.92385199867855972</v>
      </c>
      <c r="H12" s="19">
        <v>0.93357735885195647</v>
      </c>
      <c r="I12" s="19">
        <v>3.5088562876714705E-2</v>
      </c>
      <c r="J12" s="19">
        <v>0.89181037584633016</v>
      </c>
      <c r="K12" s="19">
        <v>4.5255899849008685E-2</v>
      </c>
      <c r="L12" s="19"/>
      <c r="M12" s="19"/>
      <c r="N12" s="19"/>
      <c r="O12" s="19"/>
      <c r="P12" s="19"/>
    </row>
    <row r="13" spans="2:16" x14ac:dyDescent="0.2">
      <c r="B13" t="s">
        <v>557</v>
      </c>
      <c r="C13" t="s">
        <v>390</v>
      </c>
      <c r="D13" s="18">
        <v>42221.44363425926</v>
      </c>
      <c r="E13" t="s">
        <v>154</v>
      </c>
      <c r="F13" s="19">
        <v>0.97351321487765308</v>
      </c>
      <c r="G13" s="19">
        <v>0.87926988265971318</v>
      </c>
      <c r="H13" s="19">
        <v>0.92973282869714369</v>
      </c>
      <c r="I13" s="19">
        <v>4.9483950356711118E-2</v>
      </c>
      <c r="J13" s="19">
        <v>0.94719453599399217</v>
      </c>
      <c r="K13" s="19">
        <v>3.5986794844371062E-2</v>
      </c>
      <c r="L13" s="19"/>
      <c r="M13" s="19"/>
      <c r="N13" s="19"/>
      <c r="O13" s="19"/>
      <c r="P13" s="19"/>
    </row>
    <row r="14" spans="2:16" x14ac:dyDescent="0.2">
      <c r="B14" t="s">
        <v>395</v>
      </c>
      <c r="C14" t="s">
        <v>395</v>
      </c>
      <c r="D14" s="18">
        <v>42221.44363425926</v>
      </c>
      <c r="E14" t="s">
        <v>675</v>
      </c>
      <c r="F14" s="19">
        <v>0.9676858182304463</v>
      </c>
      <c r="G14" s="19">
        <v>0.92048292498613493</v>
      </c>
      <c r="H14" s="19">
        <v>0.91483280368037323</v>
      </c>
      <c r="I14" s="19">
        <v>1.4460945756423199E-2</v>
      </c>
      <c r="J14" s="19">
        <v>0.93294733104150596</v>
      </c>
      <c r="K14" s="19">
        <v>1.5487425769818231E-2</v>
      </c>
      <c r="L14" s="19"/>
      <c r="M14" s="19"/>
      <c r="N14" s="19"/>
      <c r="O14" s="19"/>
      <c r="P14" s="19"/>
    </row>
    <row r="15" spans="2:16" x14ac:dyDescent="0.2">
      <c r="B15" t="s">
        <v>594</v>
      </c>
      <c r="C15" t="s">
        <v>395</v>
      </c>
      <c r="D15" s="18">
        <v>42221.44363425926</v>
      </c>
      <c r="E15" t="s">
        <v>168</v>
      </c>
      <c r="F15" s="19">
        <v>0.98305116402621506</v>
      </c>
      <c r="G15" s="19">
        <v>0.92208919627951358</v>
      </c>
      <c r="H15" s="19">
        <v>0.93187055401422692</v>
      </c>
      <c r="I15" s="19">
        <v>3.7022846377173763E-2</v>
      </c>
      <c r="J15" s="19">
        <v>0.92680584144245881</v>
      </c>
      <c r="K15" s="19">
        <v>3.4285176640392406E-2</v>
      </c>
      <c r="L15" s="19"/>
      <c r="M15" s="19"/>
      <c r="N15" s="19"/>
      <c r="O15" s="19"/>
      <c r="P15" s="19"/>
    </row>
    <row r="16" spans="2:16" x14ac:dyDescent="0.2">
      <c r="B16" t="s">
        <v>586</v>
      </c>
      <c r="C16" t="s">
        <v>400</v>
      </c>
      <c r="D16" s="18">
        <v>42221.44363425926</v>
      </c>
      <c r="E16" t="s">
        <v>165</v>
      </c>
      <c r="F16" s="19">
        <v>0.99074230823180021</v>
      </c>
      <c r="G16" s="19">
        <v>1</v>
      </c>
      <c r="H16" s="19">
        <v>0.97774144719245082</v>
      </c>
      <c r="I16" s="19">
        <v>1.8024108204478181E-2</v>
      </c>
      <c r="J16" s="19">
        <v>0.96175025042914952</v>
      </c>
      <c r="K16" s="19">
        <v>2.5415057005570674E-2</v>
      </c>
      <c r="L16" s="255"/>
      <c r="M16" s="255"/>
      <c r="N16" s="255"/>
      <c r="O16" s="255"/>
      <c r="P16" s="255"/>
    </row>
    <row r="17" spans="2:16" x14ac:dyDescent="0.2">
      <c r="B17" t="s">
        <v>579</v>
      </c>
      <c r="C17" t="s">
        <v>400</v>
      </c>
      <c r="D17" s="18">
        <v>42221.44363425926</v>
      </c>
      <c r="E17" t="s">
        <v>162</v>
      </c>
      <c r="F17" s="19">
        <v>0.9493427509723551</v>
      </c>
      <c r="G17" s="19">
        <v>0.85656470896238768</v>
      </c>
      <c r="H17" s="19">
        <v>0.8817949403440738</v>
      </c>
      <c r="I17" s="19">
        <v>4.4278385776803333E-2</v>
      </c>
      <c r="J17" s="19">
        <v>0.9039817543365174</v>
      </c>
      <c r="K17" s="19">
        <v>4.5972627610913579E-2</v>
      </c>
      <c r="L17" s="19"/>
      <c r="M17" s="19"/>
      <c r="N17" s="19"/>
      <c r="O17" s="19"/>
      <c r="P17" s="19"/>
    </row>
    <row r="18" spans="2:16" x14ac:dyDescent="0.2">
      <c r="B18" t="s">
        <v>643</v>
      </c>
      <c r="C18" t="s">
        <v>400</v>
      </c>
      <c r="D18" s="18">
        <v>42221.44363425926</v>
      </c>
      <c r="E18" t="s">
        <v>189</v>
      </c>
      <c r="F18" s="19">
        <v>0.96486057851630935</v>
      </c>
      <c r="G18" s="19">
        <v>0.93630471056347064</v>
      </c>
      <c r="H18" s="19">
        <v>0.96891546627901859</v>
      </c>
      <c r="I18" s="19">
        <v>2.9084147155473233E-2</v>
      </c>
      <c r="J18" s="19">
        <v>0.95593954630549105</v>
      </c>
      <c r="K18" s="19">
        <v>3.1730696051009415E-2</v>
      </c>
      <c r="L18" s="19"/>
      <c r="M18" s="19"/>
      <c r="N18" s="19"/>
      <c r="O18" s="19"/>
      <c r="P18" s="19"/>
    </row>
    <row r="19" spans="2:16" x14ac:dyDescent="0.2">
      <c r="B19" t="s">
        <v>641</v>
      </c>
      <c r="C19" t="s">
        <v>395</v>
      </c>
      <c r="D19" s="18">
        <v>42221.44363425926</v>
      </c>
      <c r="E19" t="s">
        <v>188</v>
      </c>
      <c r="F19" s="19">
        <v>0.99044132601179591</v>
      </c>
      <c r="G19" s="19">
        <v>0.96105644743656138</v>
      </c>
      <c r="H19" s="19">
        <v>0.93824830092854472</v>
      </c>
      <c r="I19" s="19">
        <v>3.8719902567784813E-2</v>
      </c>
      <c r="J19" s="19">
        <v>0.96353174126621954</v>
      </c>
      <c r="K19" s="19">
        <v>2.6171019209206819E-2</v>
      </c>
      <c r="L19" s="19"/>
      <c r="M19" s="19"/>
      <c r="N19" s="19"/>
      <c r="O19" s="19"/>
      <c r="P19" s="19"/>
    </row>
    <row r="20" spans="2:16" x14ac:dyDescent="0.2">
      <c r="B20" t="s">
        <v>532</v>
      </c>
      <c r="C20" t="s">
        <v>379</v>
      </c>
      <c r="D20" s="18">
        <v>42221.44363425926</v>
      </c>
      <c r="E20" t="s">
        <v>146</v>
      </c>
      <c r="F20" s="19">
        <v>0.93911261484293307</v>
      </c>
      <c r="G20" s="19">
        <v>0.89873753447910043</v>
      </c>
      <c r="H20" s="19">
        <v>0.94110408141038837</v>
      </c>
      <c r="I20" s="19">
        <v>3.2423242070776792E-2</v>
      </c>
      <c r="J20" s="19">
        <v>0.98053933467009069</v>
      </c>
      <c r="K20" s="19">
        <v>2.2531084282870709E-2</v>
      </c>
      <c r="L20" s="19"/>
      <c r="M20" s="19"/>
      <c r="N20" s="19"/>
      <c r="O20" s="19"/>
      <c r="P20" s="19"/>
    </row>
    <row r="21" spans="2:16" x14ac:dyDescent="0.2">
      <c r="B21" t="s">
        <v>651</v>
      </c>
      <c r="C21" t="s">
        <v>414</v>
      </c>
      <c r="D21" s="18">
        <v>42221.44363425926</v>
      </c>
      <c r="E21" t="s">
        <v>192</v>
      </c>
      <c r="F21" s="19">
        <v>0.96261564516354758</v>
      </c>
      <c r="G21" s="19">
        <v>0.83210530080835521</v>
      </c>
      <c r="H21" s="19">
        <v>0.90583552250218924</v>
      </c>
      <c r="I21" s="19">
        <v>4.0866701385677898E-2</v>
      </c>
      <c r="J21" s="19">
        <v>0.96384561684402181</v>
      </c>
      <c r="K21" s="19">
        <v>2.6088953144885921E-2</v>
      </c>
      <c r="L21" s="19"/>
      <c r="M21" s="19"/>
      <c r="N21" s="19"/>
      <c r="O21" s="19"/>
      <c r="P21" s="19"/>
    </row>
    <row r="22" spans="2:16" x14ac:dyDescent="0.2">
      <c r="B22" t="s">
        <v>629</v>
      </c>
      <c r="C22" t="s">
        <v>395</v>
      </c>
      <c r="D22" s="18">
        <v>42221.44363425926</v>
      </c>
      <c r="E22" t="s">
        <v>183</v>
      </c>
      <c r="F22" s="19">
        <v>0.93351650141936526</v>
      </c>
      <c r="G22" s="19">
        <v>0.86690337301587295</v>
      </c>
      <c r="H22" s="19">
        <v>0.88298061210234535</v>
      </c>
      <c r="I22" s="19">
        <v>4.2686920109500336E-2</v>
      </c>
      <c r="J22" s="19">
        <v>0.9199456011201057</v>
      </c>
      <c r="K22" s="19">
        <v>4.0087131445952974E-2</v>
      </c>
      <c r="L22" s="19"/>
      <c r="M22" s="19"/>
      <c r="N22" s="19"/>
      <c r="O22" s="19"/>
      <c r="P22" s="19"/>
    </row>
    <row r="23" spans="2:16" x14ac:dyDescent="0.2">
      <c r="B23" t="s">
        <v>547</v>
      </c>
      <c r="C23" t="s">
        <v>379</v>
      </c>
      <c r="D23" s="18">
        <v>42221.44363425926</v>
      </c>
      <c r="E23" t="s">
        <v>150</v>
      </c>
      <c r="F23" s="19">
        <v>0.87205050639997972</v>
      </c>
      <c r="G23" s="19">
        <v>0.83094122550010108</v>
      </c>
      <c r="H23" s="19">
        <v>0.90420802795366262</v>
      </c>
      <c r="I23" s="19">
        <v>4.1903136217502704E-2</v>
      </c>
      <c r="J23" s="19">
        <v>0.9207774298889515</v>
      </c>
      <c r="K23" s="19">
        <v>4.3274949781792173E-2</v>
      </c>
      <c r="L23" s="19"/>
      <c r="M23" s="19"/>
      <c r="N23" s="19"/>
      <c r="O23" s="19"/>
      <c r="P23" s="19"/>
    </row>
    <row r="24" spans="2:16" x14ac:dyDescent="0.2">
      <c r="B24" t="s">
        <v>571</v>
      </c>
      <c r="C24" t="s">
        <v>400</v>
      </c>
      <c r="D24" s="18">
        <v>42221.44363425926</v>
      </c>
      <c r="E24" t="s">
        <v>159</v>
      </c>
      <c r="F24" s="19">
        <v>0.98587919766699794</v>
      </c>
      <c r="G24" s="19">
        <v>0.97241167434715825</v>
      </c>
      <c r="H24" s="19">
        <v>0.92463640781671574</v>
      </c>
      <c r="I24" s="19">
        <v>3.6841931587462753E-2</v>
      </c>
      <c r="J24" s="19">
        <v>0.93695376750893733</v>
      </c>
      <c r="K24" s="19">
        <v>3.3526588639065054E-2</v>
      </c>
      <c r="L24" s="19"/>
      <c r="M24" s="19"/>
      <c r="N24" s="19"/>
      <c r="O24" s="19"/>
      <c r="P24" s="19"/>
    </row>
    <row r="25" spans="2:16" x14ac:dyDescent="0.2">
      <c r="B25" t="s">
        <v>565</v>
      </c>
      <c r="C25" t="s">
        <v>395</v>
      </c>
      <c r="D25" s="18">
        <v>42221.44363425926</v>
      </c>
      <c r="E25" t="s">
        <v>157</v>
      </c>
      <c r="F25" s="19">
        <v>0.94217427684746813</v>
      </c>
      <c r="G25" s="19">
        <v>0.80311314438741344</v>
      </c>
      <c r="H25" s="19">
        <v>0.89291207707599085</v>
      </c>
      <c r="I25" s="19">
        <v>3.9601429016749422E-2</v>
      </c>
      <c r="J25" s="19">
        <v>0.87037816337018681</v>
      </c>
      <c r="K25" s="19">
        <v>4.8866574475186865E-2</v>
      </c>
      <c r="L25" s="19"/>
      <c r="M25" s="19"/>
      <c r="N25" s="19"/>
      <c r="O25" s="19"/>
      <c r="P25" s="19"/>
    </row>
    <row r="26" spans="2:16" x14ac:dyDescent="0.2">
      <c r="B26" t="s">
        <v>588</v>
      </c>
      <c r="C26" t="s">
        <v>400</v>
      </c>
      <c r="D26" s="18">
        <v>42221.44363425926</v>
      </c>
      <c r="E26" t="s">
        <v>166</v>
      </c>
      <c r="F26" s="19">
        <v>0.98526698560487425</v>
      </c>
      <c r="G26" s="19">
        <v>0.92807645313318199</v>
      </c>
      <c r="H26" s="19">
        <v>0.97216320540361212</v>
      </c>
      <c r="I26" s="19">
        <v>2.8835259538940575E-2</v>
      </c>
      <c r="J26" s="19">
        <v>0.98418452634797504</v>
      </c>
      <c r="K26" s="19">
        <v>1.7242462289270007E-2</v>
      </c>
      <c r="L26" s="19"/>
      <c r="M26" s="19"/>
      <c r="N26" s="19"/>
      <c r="O26" s="19"/>
      <c r="P26" s="19"/>
    </row>
    <row r="27" spans="2:16" x14ac:dyDescent="0.2">
      <c r="B27" t="s">
        <v>617</v>
      </c>
      <c r="C27" t="s">
        <v>395</v>
      </c>
      <c r="D27" s="18">
        <v>42221.44363425926</v>
      </c>
      <c r="E27" t="s">
        <v>178</v>
      </c>
      <c r="F27" s="19">
        <v>0.96605902743310468</v>
      </c>
      <c r="G27" s="19">
        <v>0.89805893031699502</v>
      </c>
      <c r="H27" s="19">
        <v>0.89738018877231907</v>
      </c>
      <c r="I27" s="19">
        <v>4.7080686051017437E-2</v>
      </c>
      <c r="J27" s="19">
        <v>0.93490345561873456</v>
      </c>
      <c r="K27" s="19">
        <v>4.1407323005917859E-2</v>
      </c>
      <c r="L27" s="19"/>
      <c r="M27" s="19"/>
      <c r="N27" s="19"/>
      <c r="O27" s="19"/>
      <c r="P27" s="19"/>
    </row>
    <row r="28" spans="2:16" x14ac:dyDescent="0.2">
      <c r="B28" t="s">
        <v>603</v>
      </c>
      <c r="C28" t="s">
        <v>414</v>
      </c>
      <c r="D28" s="18">
        <v>42221.44363425926</v>
      </c>
      <c r="E28" t="s">
        <v>172</v>
      </c>
      <c r="F28" s="19">
        <v>0.88944392116799087</v>
      </c>
      <c r="G28" s="19">
        <v>0.80496442948731617</v>
      </c>
      <c r="H28" s="19">
        <v>0.86616864982632957</v>
      </c>
      <c r="I28" s="19">
        <v>4.830113331610484E-2</v>
      </c>
      <c r="J28" s="19">
        <v>0.92465296451248657</v>
      </c>
      <c r="K28" s="19">
        <v>3.8960375582450336E-2</v>
      </c>
      <c r="L28" s="19"/>
      <c r="M28" s="19"/>
      <c r="N28" s="19"/>
      <c r="O28" s="19"/>
      <c r="P28" s="19"/>
    </row>
    <row r="29" spans="2:16" x14ac:dyDescent="0.2">
      <c r="B29" t="s">
        <v>573</v>
      </c>
      <c r="C29" t="s">
        <v>390</v>
      </c>
      <c r="D29" s="18">
        <v>42221.44363425926</v>
      </c>
      <c r="E29" t="s">
        <v>160</v>
      </c>
      <c r="F29" s="19">
        <v>0.97373592211066873</v>
      </c>
      <c r="G29" s="19">
        <v>0.94524139346364977</v>
      </c>
      <c r="H29" s="19">
        <v>0.92104721692002867</v>
      </c>
      <c r="I29" s="19">
        <v>4.0830179883962786E-2</v>
      </c>
      <c r="J29" s="19">
        <v>0.90860489231362407</v>
      </c>
      <c r="K29" s="19">
        <v>4.2533912398425147E-2</v>
      </c>
      <c r="L29" s="19"/>
      <c r="M29" s="19"/>
      <c r="N29" s="19"/>
      <c r="O29" s="19"/>
      <c r="P29" s="19"/>
    </row>
    <row r="30" spans="2:16" x14ac:dyDescent="0.2">
      <c r="B30" t="s">
        <v>632</v>
      </c>
      <c r="C30" t="s">
        <v>379</v>
      </c>
      <c r="D30" s="18">
        <v>42221.44363425926</v>
      </c>
      <c r="E30" t="s">
        <v>184</v>
      </c>
      <c r="F30" s="19">
        <v>0.96660496162577014</v>
      </c>
      <c r="G30" s="19">
        <v>0.95285760788690477</v>
      </c>
      <c r="H30" s="19">
        <v>0.90467295601057041</v>
      </c>
      <c r="I30" s="19">
        <v>4.1240163515339462E-2</v>
      </c>
      <c r="J30" s="19">
        <v>0.92982255825179905</v>
      </c>
      <c r="K30" s="19">
        <v>3.1229016384149304E-2</v>
      </c>
      <c r="L30" s="19"/>
      <c r="M30" s="19"/>
      <c r="N30" s="19"/>
      <c r="O30" s="19"/>
      <c r="P30" s="19"/>
    </row>
    <row r="31" spans="2:16" x14ac:dyDescent="0.2">
      <c r="B31" t="s">
        <v>625</v>
      </c>
      <c r="C31" t="s">
        <v>414</v>
      </c>
      <c r="D31" s="18">
        <v>42221.44363425926</v>
      </c>
      <c r="E31" t="s">
        <v>182</v>
      </c>
      <c r="F31" s="19">
        <v>0.98678995092695532</v>
      </c>
      <c r="G31" s="19">
        <v>0.93224978614200171</v>
      </c>
      <c r="H31" s="19">
        <v>0.95593970685996932</v>
      </c>
      <c r="I31" s="19">
        <v>3.2752624384157158E-2</v>
      </c>
      <c r="J31" s="19">
        <v>0.95844263661020757</v>
      </c>
      <c r="K31" s="19">
        <v>2.6837226052742053E-2</v>
      </c>
      <c r="L31" s="19"/>
      <c r="M31" s="19"/>
      <c r="N31" s="19"/>
      <c r="O31" s="19"/>
      <c r="P31" s="19"/>
    </row>
    <row r="32" spans="2:16" x14ac:dyDescent="0.2">
      <c r="B32" t="s">
        <v>400</v>
      </c>
      <c r="C32" t="s">
        <v>400</v>
      </c>
      <c r="D32" s="18">
        <v>42221.44363425926</v>
      </c>
      <c r="E32" t="s">
        <v>674</v>
      </c>
      <c r="F32" s="19">
        <v>0.95895781604280261</v>
      </c>
      <c r="G32" s="19">
        <v>0.91596199945939849</v>
      </c>
      <c r="H32" s="19">
        <v>0.92735859548963151</v>
      </c>
      <c r="I32" s="19">
        <v>1.2225266179914058E-2</v>
      </c>
      <c r="J32" s="19">
        <v>0.90959561023632762</v>
      </c>
      <c r="K32" s="19">
        <v>1.9690531667323371E-2</v>
      </c>
      <c r="L32" s="19"/>
      <c r="M32" s="19"/>
      <c r="N32" s="19"/>
      <c r="O32" s="19"/>
      <c r="P32" s="19"/>
    </row>
    <row r="33" spans="2:16" x14ac:dyDescent="0.2">
      <c r="B33" t="s">
        <v>217</v>
      </c>
      <c r="C33" t="s">
        <v>400</v>
      </c>
      <c r="D33" s="18">
        <v>42221.44363425926</v>
      </c>
      <c r="E33" t="s">
        <v>163</v>
      </c>
      <c r="F33" s="19">
        <v>0.98825197571121515</v>
      </c>
      <c r="G33" s="19">
        <v>0.9524557631883579</v>
      </c>
      <c r="H33" s="19">
        <v>0.95801414165275134</v>
      </c>
      <c r="I33" s="19">
        <v>3.4512055934596761E-2</v>
      </c>
      <c r="J33" s="19">
        <v>0.91763274229974523</v>
      </c>
      <c r="K33" s="19">
        <v>4.9661311602864584E-2</v>
      </c>
      <c r="L33" s="19">
        <v>0.90192850757070486</v>
      </c>
      <c r="M33" s="19">
        <v>0.95747124412393836</v>
      </c>
      <c r="N33" s="19">
        <v>3.004611944773096E-2</v>
      </c>
      <c r="O33" s="19">
        <v>0.99668811506434518</v>
      </c>
      <c r="P33" s="19">
        <v>4.9211578466363901E-3</v>
      </c>
    </row>
    <row r="34" spans="2:16" x14ac:dyDescent="0.2">
      <c r="B34" t="s">
        <v>581</v>
      </c>
      <c r="C34" t="s">
        <v>400</v>
      </c>
      <c r="D34" s="18">
        <v>42221.44363425926</v>
      </c>
      <c r="E34" t="s">
        <v>163</v>
      </c>
      <c r="F34" s="19">
        <v>0.98825197571121515</v>
      </c>
      <c r="G34" s="19">
        <v>0.9524557631883579</v>
      </c>
      <c r="H34" s="19">
        <v>0.95801414165275134</v>
      </c>
      <c r="I34" s="19">
        <v>3.4512055934596761E-2</v>
      </c>
      <c r="J34" s="19">
        <v>0.91763274229974523</v>
      </c>
      <c r="K34" s="19">
        <v>4.9661311602864584E-2</v>
      </c>
      <c r="L34" s="19">
        <v>0.90192850757070486</v>
      </c>
      <c r="M34" s="19">
        <v>0.95747124412393836</v>
      </c>
      <c r="N34" s="19">
        <v>3.004611944773096E-2</v>
      </c>
      <c r="O34" s="19">
        <v>0.99668811506434518</v>
      </c>
      <c r="P34" s="19">
        <v>4.9211578466363901E-3</v>
      </c>
    </row>
    <row r="35" spans="2:16" x14ac:dyDescent="0.2">
      <c r="B35" t="s">
        <v>563</v>
      </c>
      <c r="C35" t="s">
        <v>390</v>
      </c>
      <c r="D35" s="18">
        <v>42221.44363425926</v>
      </c>
      <c r="E35" t="s">
        <v>156</v>
      </c>
      <c r="F35" s="19">
        <v>0.9572270129115954</v>
      </c>
      <c r="G35" s="19">
        <v>0.93401435016681833</v>
      </c>
      <c r="H35" s="19">
        <v>0.92334719554424383</v>
      </c>
      <c r="I35" s="19">
        <v>3.5500273171047779E-2</v>
      </c>
      <c r="J35" s="19">
        <v>0.90966866571055893</v>
      </c>
      <c r="K35" s="19">
        <v>4.1545346642950773E-2</v>
      </c>
      <c r="L35" s="19"/>
      <c r="M35" s="19"/>
      <c r="N35" s="19"/>
      <c r="O35" s="19"/>
      <c r="P35" s="19"/>
    </row>
    <row r="36" spans="2:16" x14ac:dyDescent="0.2">
      <c r="B36" t="s">
        <v>619</v>
      </c>
      <c r="C36" t="s">
        <v>395</v>
      </c>
      <c r="D36" s="18">
        <v>42221.44363425926</v>
      </c>
      <c r="E36" t="s">
        <v>179</v>
      </c>
      <c r="F36" s="19">
        <v>0.99393512524936811</v>
      </c>
      <c r="G36" s="19">
        <v>0.96791166444345633</v>
      </c>
      <c r="H36" s="19">
        <v>0.94433711653913688</v>
      </c>
      <c r="I36" s="19">
        <v>3.5922351670546249E-2</v>
      </c>
      <c r="J36" s="19">
        <v>0.96067596036550795</v>
      </c>
      <c r="K36" s="19">
        <v>4.0815062481391988E-2</v>
      </c>
      <c r="L36" s="19"/>
      <c r="M36" s="19"/>
      <c r="N36" s="19"/>
      <c r="O36" s="19"/>
      <c r="P36" s="19"/>
    </row>
    <row r="37" spans="2:16" x14ac:dyDescent="0.2">
      <c r="B37" t="s">
        <v>559</v>
      </c>
      <c r="C37" t="s">
        <v>390</v>
      </c>
      <c r="D37" s="18">
        <v>42221.44363425926</v>
      </c>
      <c r="E37" t="s">
        <v>94</v>
      </c>
      <c r="F37" s="19">
        <v>0.97759631779037159</v>
      </c>
      <c r="G37" s="19">
        <v>0.94497539149888143</v>
      </c>
      <c r="H37" s="19">
        <v>0.91519918529659794</v>
      </c>
      <c r="I37" s="19">
        <v>3.8846644218584317E-2</v>
      </c>
      <c r="J37" s="19">
        <v>0.95985347521869413</v>
      </c>
      <c r="K37" s="19">
        <v>2.8638334428300709E-2</v>
      </c>
      <c r="L37" s="19"/>
      <c r="M37" s="19"/>
      <c r="N37" s="19"/>
      <c r="O37" s="19"/>
      <c r="P37" s="19"/>
    </row>
    <row r="38" spans="2:16" x14ac:dyDescent="0.2">
      <c r="B38" t="s">
        <v>561</v>
      </c>
      <c r="C38" t="s">
        <v>395</v>
      </c>
      <c r="D38" s="18">
        <v>42221.44363425926</v>
      </c>
      <c r="E38" t="s">
        <v>155</v>
      </c>
      <c r="F38" s="19">
        <v>0.92004322527015803</v>
      </c>
      <c r="G38" s="19">
        <v>0.9268083859993016</v>
      </c>
      <c r="H38" s="19">
        <v>0.91338772446206773</v>
      </c>
      <c r="I38" s="19">
        <v>4.1082124992794393E-2</v>
      </c>
      <c r="J38" s="19">
        <v>0.94125690963957354</v>
      </c>
      <c r="K38" s="19">
        <v>3.4482478092852917E-2</v>
      </c>
      <c r="L38" s="19"/>
      <c r="M38" s="19"/>
      <c r="N38" s="19"/>
      <c r="O38" s="19"/>
      <c r="P38" s="19"/>
    </row>
    <row r="39" spans="2:16" x14ac:dyDescent="0.2">
      <c r="B39" t="s">
        <v>528</v>
      </c>
      <c r="C39" t="s">
        <v>379</v>
      </c>
      <c r="D39" s="18">
        <v>42221.44363425926</v>
      </c>
      <c r="E39" t="s">
        <v>144</v>
      </c>
      <c r="F39" s="19">
        <v>0.95086116558754064</v>
      </c>
      <c r="G39" s="19">
        <v>0.92282653061224496</v>
      </c>
      <c r="H39" s="19">
        <v>0.91058106158448249</v>
      </c>
      <c r="I39" s="19">
        <v>4.1128933544364019E-2</v>
      </c>
      <c r="J39" s="19">
        <v>0.90988335662179864</v>
      </c>
      <c r="K39" s="19">
        <v>4.3048441640382296E-2</v>
      </c>
      <c r="L39" s="19"/>
      <c r="M39" s="19"/>
      <c r="N39" s="19"/>
      <c r="O39" s="19"/>
      <c r="P39" s="19"/>
    </row>
    <row r="40" spans="2:16" x14ac:dyDescent="0.2">
      <c r="B40" t="s">
        <v>534</v>
      </c>
      <c r="C40" t="s">
        <v>379</v>
      </c>
      <c r="D40" s="18">
        <v>42221.44363425926</v>
      </c>
      <c r="E40" t="s">
        <v>147</v>
      </c>
      <c r="F40" s="19">
        <v>0.95761026372776736</v>
      </c>
      <c r="G40" s="19">
        <v>0.91685965724872631</v>
      </c>
      <c r="H40" s="19">
        <v>0.88233765098881634</v>
      </c>
      <c r="I40" s="19">
        <v>4.2077353467391561E-2</v>
      </c>
      <c r="J40" s="19">
        <v>0.86012436183152696</v>
      </c>
      <c r="K40" s="19">
        <v>4.2927843739499781E-2</v>
      </c>
      <c r="L40" s="19"/>
      <c r="M40" s="19"/>
      <c r="N40" s="19"/>
      <c r="O40" s="19"/>
      <c r="P40" s="19"/>
    </row>
    <row r="41" spans="2:16" x14ac:dyDescent="0.2">
      <c r="B41" t="s">
        <v>379</v>
      </c>
      <c r="C41" t="s">
        <v>379</v>
      </c>
      <c r="D41" s="18">
        <v>42221.44363425926</v>
      </c>
      <c r="E41" t="s">
        <v>671</v>
      </c>
      <c r="F41" s="19">
        <v>0.94953443223014955</v>
      </c>
      <c r="G41" s="19">
        <v>0.84354850179990626</v>
      </c>
      <c r="H41" s="19">
        <v>0.87896224394403799</v>
      </c>
      <c r="I41" s="19">
        <v>1.5861517644927048E-2</v>
      </c>
      <c r="J41" s="19">
        <v>0.89489946937275677</v>
      </c>
      <c r="K41" s="19">
        <v>1.5941574176147954E-2</v>
      </c>
      <c r="L41" s="19"/>
      <c r="M41" s="19"/>
      <c r="N41" s="19"/>
      <c r="O41" s="19"/>
      <c r="P41" s="19"/>
    </row>
    <row r="42" spans="2:16" x14ac:dyDescent="0.2">
      <c r="B42" t="s">
        <v>601</v>
      </c>
      <c r="C42" t="s">
        <v>414</v>
      </c>
      <c r="D42" s="18">
        <v>42221.44363425926</v>
      </c>
      <c r="E42" t="s">
        <v>171</v>
      </c>
      <c r="F42" s="19">
        <v>0.96487482146634429</v>
      </c>
      <c r="G42" s="19">
        <v>0.92397132775134327</v>
      </c>
      <c r="H42" s="19">
        <v>0.93341555642496143</v>
      </c>
      <c r="I42" s="19">
        <v>3.3044294138028577E-2</v>
      </c>
      <c r="J42" s="19">
        <v>0.89524771374744461</v>
      </c>
      <c r="K42" s="19">
        <v>4.7650137491959302E-2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414</v>
      </c>
      <c r="C44" t="s">
        <v>414</v>
      </c>
      <c r="D44" s="18">
        <v>42221.44363425926</v>
      </c>
      <c r="E44" t="s">
        <v>676</v>
      </c>
      <c r="F44" s="19">
        <v>0.96582068370298313</v>
      </c>
      <c r="G44" s="19">
        <v>0.90259461596013513</v>
      </c>
      <c r="H44" s="19">
        <v>0.90858446979887186</v>
      </c>
      <c r="I44" s="19">
        <v>1.5229702668343137E-2</v>
      </c>
      <c r="J44" s="19">
        <v>0.93834651712060857</v>
      </c>
      <c r="K44" s="19">
        <v>1.2096633361507615E-2</v>
      </c>
      <c r="L44" s="19"/>
      <c r="M44" s="19"/>
      <c r="N44" s="19"/>
      <c r="O44" s="19"/>
      <c r="P44" s="19"/>
    </row>
    <row r="45" spans="2:16" x14ac:dyDescent="0.2">
      <c r="B45" t="s">
        <v>218</v>
      </c>
      <c r="C45" t="s">
        <v>379</v>
      </c>
      <c r="D45" s="18">
        <v>42221.44363425926</v>
      </c>
      <c r="E45" t="s">
        <v>102</v>
      </c>
      <c r="F45" s="19">
        <v>0.94628928765633491</v>
      </c>
      <c r="G45" s="19">
        <v>0.82774042001945825</v>
      </c>
      <c r="H45" s="19">
        <v>0.8712843253537409</v>
      </c>
      <c r="I45" s="19">
        <v>4.8694042394299759E-2</v>
      </c>
      <c r="J45" s="19">
        <v>0.91319607168738093</v>
      </c>
      <c r="K45" s="19">
        <v>4.503919695749637E-2</v>
      </c>
      <c r="L45" s="19">
        <v>0.96852196863841011</v>
      </c>
      <c r="M45" s="19">
        <v>0.9754079830382445</v>
      </c>
      <c r="N45" s="19">
        <v>2.5248775963942621E-2</v>
      </c>
      <c r="O45" s="19">
        <v>0.9566894385139626</v>
      </c>
      <c r="P45" s="19">
        <v>3.7185327167314812E-2</v>
      </c>
    </row>
    <row r="46" spans="2:16" x14ac:dyDescent="0.2">
      <c r="B46" t="s">
        <v>536</v>
      </c>
      <c r="C46" t="s">
        <v>379</v>
      </c>
      <c r="D46" s="18">
        <v>42221.44363425926</v>
      </c>
      <c r="E46" t="s">
        <v>102</v>
      </c>
      <c r="F46" s="19">
        <v>0.94628928765633491</v>
      </c>
      <c r="G46" s="19">
        <v>0.82774042001945825</v>
      </c>
      <c r="H46" s="19">
        <v>0.8712843253537409</v>
      </c>
      <c r="I46" s="19">
        <v>4.8694042394299759E-2</v>
      </c>
      <c r="J46" s="19">
        <v>0.91319607168738093</v>
      </c>
      <c r="K46" s="19">
        <v>4.503919695749637E-2</v>
      </c>
      <c r="L46" s="19">
        <v>0.96852196863841011</v>
      </c>
      <c r="M46" s="19">
        <v>0.9754079830382445</v>
      </c>
      <c r="N46" s="19">
        <v>2.5248775963942621E-2</v>
      </c>
      <c r="O46" s="19">
        <v>0.9566894385139626</v>
      </c>
      <c r="P46" s="19">
        <v>3.7185327167314812E-2</v>
      </c>
    </row>
    <row r="47" spans="2:16" x14ac:dyDescent="0.2">
      <c r="B47" t="s">
        <v>605</v>
      </c>
      <c r="C47" t="s">
        <v>414</v>
      </c>
      <c r="D47" s="18">
        <v>42221.44363425926</v>
      </c>
      <c r="E47" t="s">
        <v>173</v>
      </c>
      <c r="F47" s="19">
        <v>0.94439426855761954</v>
      </c>
      <c r="G47" s="19">
        <v>0.88851272472565956</v>
      </c>
      <c r="H47" s="19">
        <v>0.92157575826803706</v>
      </c>
      <c r="I47" s="19">
        <v>4.1952816812713817E-2</v>
      </c>
      <c r="J47" s="19">
        <v>0.92697041862456242</v>
      </c>
      <c r="K47" s="19">
        <v>3.7845155869553296E-2</v>
      </c>
      <c r="L47" s="19"/>
      <c r="M47" s="19"/>
      <c r="N47" s="19"/>
      <c r="O47" s="19"/>
      <c r="P47" s="19"/>
    </row>
    <row r="48" spans="2:16" x14ac:dyDescent="0.2">
      <c r="B48" t="s">
        <v>539</v>
      </c>
      <c r="C48" t="s">
        <v>379</v>
      </c>
      <c r="D48" s="18">
        <v>42221.44363425926</v>
      </c>
      <c r="E48" t="s">
        <v>148</v>
      </c>
      <c r="F48" s="19">
        <v>0.94803806558419501</v>
      </c>
      <c r="G48" s="19">
        <v>0.86338656308444828</v>
      </c>
      <c r="H48" s="19">
        <v>0.89550239652813057</v>
      </c>
      <c r="I48" s="19">
        <v>4.5175317910539546E-2</v>
      </c>
      <c r="J48" s="19">
        <v>0.92435286039733155</v>
      </c>
      <c r="K48" s="19">
        <v>4.2548885457679833E-2</v>
      </c>
      <c r="L48" s="19"/>
      <c r="M48" s="19"/>
      <c r="N48" s="19"/>
      <c r="O48" s="19"/>
      <c r="P48" s="19"/>
    </row>
    <row r="49" spans="2:16" x14ac:dyDescent="0.2">
      <c r="B49" t="s">
        <v>613</v>
      </c>
      <c r="C49" t="s">
        <v>414</v>
      </c>
      <c r="D49" s="18">
        <v>42221.44363425926</v>
      </c>
      <c r="E49" t="s">
        <v>176</v>
      </c>
      <c r="F49" s="19">
        <v>0.93748761565076899</v>
      </c>
      <c r="G49" s="19">
        <v>0.91102155696283493</v>
      </c>
      <c r="H49" s="19">
        <v>0.94525610629611834</v>
      </c>
      <c r="I49" s="19">
        <v>3.4291034027921795E-2</v>
      </c>
      <c r="J49" s="19">
        <v>0.94848333154870257</v>
      </c>
      <c r="K49" s="19">
        <v>3.5343322404931217E-2</v>
      </c>
      <c r="L49" s="19"/>
      <c r="M49" s="19"/>
      <c r="N49" s="19"/>
      <c r="O49" s="19"/>
      <c r="P49" s="19"/>
    </row>
    <row r="50" spans="2:16" x14ac:dyDescent="0.2">
      <c r="B50" t="s">
        <v>524</v>
      </c>
      <c r="C50" t="s">
        <v>379</v>
      </c>
      <c r="D50" s="18">
        <v>42221.44363425926</v>
      </c>
      <c r="E50" t="s">
        <v>143</v>
      </c>
      <c r="F50" s="19">
        <v>0.95341295265472181</v>
      </c>
      <c r="G50" s="19">
        <v>0.78866387058118614</v>
      </c>
      <c r="H50" s="19">
        <v>0.88092124402872896</v>
      </c>
      <c r="I50" s="19">
        <v>5.214490262104917E-2</v>
      </c>
      <c r="J50" s="19">
        <v>0.96349295505564314</v>
      </c>
      <c r="K50" s="19">
        <v>2.5590023792576629E-2</v>
      </c>
      <c r="L50" s="19"/>
      <c r="M50" s="19"/>
      <c r="N50" s="19"/>
      <c r="O50" s="19"/>
      <c r="P50" s="19"/>
    </row>
    <row r="51" spans="2:16" x14ac:dyDescent="0.2">
      <c r="B51" t="s">
        <v>621</v>
      </c>
      <c r="C51" t="s">
        <v>414</v>
      </c>
      <c r="D51" s="18">
        <v>42221.44363425926</v>
      </c>
      <c r="E51" t="s">
        <v>180</v>
      </c>
      <c r="F51" s="19">
        <v>0.96100057760252411</v>
      </c>
      <c r="G51" s="19">
        <v>0.92482700537193852</v>
      </c>
      <c r="H51" s="19">
        <v>0.92405672009546658</v>
      </c>
      <c r="I51" s="19">
        <v>3.9068677102235584E-2</v>
      </c>
      <c r="J51" s="19">
        <v>0.92668230105874372</v>
      </c>
      <c r="K51" s="19">
        <v>3.6706432586057505E-2</v>
      </c>
      <c r="L51" s="19"/>
      <c r="M51" s="19"/>
      <c r="N51" s="19"/>
      <c r="O51" s="19"/>
      <c r="P51" s="19"/>
    </row>
    <row r="52" spans="2:16" x14ac:dyDescent="0.2">
      <c r="B52" t="s">
        <v>545</v>
      </c>
      <c r="C52" t="s">
        <v>379</v>
      </c>
      <c r="D52" s="18">
        <v>42221.44363425926</v>
      </c>
      <c r="E52" t="s">
        <v>108</v>
      </c>
      <c r="F52" s="19">
        <v>0.95706500287707519</v>
      </c>
      <c r="G52" s="19">
        <v>0.83333333333333315</v>
      </c>
      <c r="H52" s="19">
        <v>0.90173408695268098</v>
      </c>
      <c r="I52" s="19">
        <v>4.8383219623272994E-2</v>
      </c>
      <c r="J52" s="19">
        <v>0.93563748517447076</v>
      </c>
      <c r="K52" s="19">
        <v>3.8650239486295777E-2</v>
      </c>
      <c r="L52" s="19"/>
      <c r="M52" s="19"/>
      <c r="N52" s="19"/>
      <c r="O52" s="19"/>
      <c r="P52" s="19"/>
    </row>
    <row r="53" spans="2:16" x14ac:dyDescent="0.2">
      <c r="B53" t="s">
        <v>598</v>
      </c>
      <c r="C53" t="s">
        <v>395</v>
      </c>
      <c r="D53" s="18">
        <v>42221.44363425926</v>
      </c>
      <c r="E53" t="s">
        <v>170</v>
      </c>
      <c r="F53" s="19">
        <v>0.97138124240953549</v>
      </c>
      <c r="G53" s="19">
        <v>0.9319142784865021</v>
      </c>
      <c r="H53" s="19">
        <v>0.88378534051345614</v>
      </c>
      <c r="I53" s="19">
        <v>4.1432577871709314E-2</v>
      </c>
      <c r="J53" s="19">
        <v>0.9350093271243558</v>
      </c>
      <c r="K53" s="19">
        <v>3.9998628365365295E-2</v>
      </c>
      <c r="L53" s="255"/>
      <c r="M53" s="255"/>
      <c r="N53" s="255"/>
      <c r="O53" s="255"/>
      <c r="P53" s="255"/>
    </row>
    <row r="54" spans="2:16" x14ac:dyDescent="0.2">
      <c r="B54" t="s">
        <v>634</v>
      </c>
      <c r="C54" t="s">
        <v>414</v>
      </c>
      <c r="D54" s="18">
        <v>42221.44363425926</v>
      </c>
      <c r="E54" t="s">
        <v>185</v>
      </c>
      <c r="F54" s="19">
        <v>0.98394157533923832</v>
      </c>
      <c r="G54" s="19">
        <v>0.95987470276875964</v>
      </c>
      <c r="H54" s="19">
        <v>0.89386187179495602</v>
      </c>
      <c r="I54" s="19">
        <v>3.9099403586200128E-2</v>
      </c>
      <c r="J54" s="19">
        <v>0.95138133774274702</v>
      </c>
      <c r="K54" s="19">
        <v>2.795481525131727E-2</v>
      </c>
      <c r="L54" s="19"/>
      <c r="M54" s="19"/>
      <c r="N54" s="19"/>
      <c r="O54" s="19"/>
      <c r="P54" s="19"/>
    </row>
    <row r="55" spans="2:16" x14ac:dyDescent="0.2">
      <c r="B55" t="s">
        <v>623</v>
      </c>
      <c r="C55" t="s">
        <v>390</v>
      </c>
      <c r="D55" s="18">
        <v>42221.44363425926</v>
      </c>
      <c r="E55" t="s">
        <v>181</v>
      </c>
      <c r="F55" s="19">
        <v>0.94543949428055374</v>
      </c>
      <c r="G55" s="19">
        <v>0.78125</v>
      </c>
      <c r="H55" s="19">
        <v>0.88401164227532003</v>
      </c>
      <c r="I55" s="19">
        <v>4.4952422172792481E-2</v>
      </c>
      <c r="J55" s="19">
        <v>0.88652224446291195</v>
      </c>
      <c r="K55" s="19">
        <v>4.7862976678068561E-2</v>
      </c>
      <c r="L55" s="19"/>
      <c r="M55" s="19"/>
      <c r="N55" s="19"/>
      <c r="O55" s="19"/>
      <c r="P55" s="19"/>
    </row>
    <row r="56" spans="2:16" x14ac:dyDescent="0.2">
      <c r="B56" t="s">
        <v>607</v>
      </c>
      <c r="C56" t="s">
        <v>414</v>
      </c>
      <c r="D56" s="18">
        <v>42221.44363425926</v>
      </c>
      <c r="E56" t="s">
        <v>174</v>
      </c>
      <c r="F56" s="19">
        <v>0.97903164998999015</v>
      </c>
      <c r="G56" s="19">
        <v>0.89261677376250281</v>
      </c>
      <c r="H56" s="19">
        <v>0.90170214082721889</v>
      </c>
      <c r="I56" s="19">
        <v>4.031626249466292E-2</v>
      </c>
      <c r="J56" s="19">
        <v>0.9416769269502443</v>
      </c>
      <c r="K56" s="19">
        <v>3.8009187152336352E-2</v>
      </c>
      <c r="L56" s="19"/>
      <c r="M56" s="19"/>
      <c r="N56" s="19"/>
      <c r="O56" s="19"/>
      <c r="P56" s="19"/>
    </row>
    <row r="57" spans="2:16" x14ac:dyDescent="0.2">
      <c r="B57" t="s">
        <v>645</v>
      </c>
      <c r="C57" t="s">
        <v>400</v>
      </c>
      <c r="D57" s="18">
        <v>42221.44363425926</v>
      </c>
      <c r="E57" t="s">
        <v>190</v>
      </c>
      <c r="F57" s="19">
        <v>0.97808834890090612</v>
      </c>
      <c r="G57" s="19">
        <v>0.96738107684265562</v>
      </c>
      <c r="H57" s="19">
        <v>0.96915288989034887</v>
      </c>
      <c r="I57" s="19">
        <v>2.4184707955225305E-2</v>
      </c>
      <c r="J57" s="19">
        <v>0.95071273498895958</v>
      </c>
      <c r="K57" s="19">
        <v>2.89051842721787E-2</v>
      </c>
      <c r="L57" s="19"/>
      <c r="M57" s="19"/>
      <c r="N57" s="19"/>
      <c r="O57" s="19"/>
      <c r="P57" s="19"/>
    </row>
    <row r="58" spans="2:16" x14ac:dyDescent="0.2">
      <c r="B58" t="s">
        <v>390</v>
      </c>
      <c r="C58" t="s">
        <v>390</v>
      </c>
      <c r="D58" s="18">
        <v>42221.44363425926</v>
      </c>
      <c r="E58" t="s">
        <v>673</v>
      </c>
      <c r="F58" s="19">
        <v>0.95686101778576593</v>
      </c>
      <c r="G58" s="19">
        <v>0.9145301320746746</v>
      </c>
      <c r="H58" s="19">
        <v>0.90911781724398977</v>
      </c>
      <c r="I58" s="19">
        <v>1.8648982183871253E-2</v>
      </c>
      <c r="J58" s="19">
        <v>0.90291528030988144</v>
      </c>
      <c r="K58" s="19">
        <v>2.4954269677062369E-2</v>
      </c>
      <c r="L58" s="19"/>
      <c r="M58" s="19"/>
      <c r="N58" s="19"/>
      <c r="O58" s="19"/>
      <c r="P58" s="19"/>
    </row>
    <row r="59" spans="2:16" x14ac:dyDescent="0.2">
      <c r="B59" t="s">
        <v>584</v>
      </c>
      <c r="C59" t="s">
        <v>400</v>
      </c>
      <c r="D59" s="18">
        <v>42221.44363425926</v>
      </c>
      <c r="E59" t="s">
        <v>164</v>
      </c>
      <c r="F59" s="19">
        <v>0.95148147343543088</v>
      </c>
      <c r="G59" s="19">
        <v>0.88612281656395397</v>
      </c>
      <c r="H59" s="19">
        <v>0.91322885060351178</v>
      </c>
      <c r="I59" s="19">
        <v>4.0305410267331823E-2</v>
      </c>
      <c r="J59" s="19">
        <v>0.89554296622433038</v>
      </c>
      <c r="K59" s="19">
        <v>4.1644658032841092E-2</v>
      </c>
      <c r="L59" s="19"/>
      <c r="M59" s="19"/>
      <c r="N59" s="19"/>
      <c r="O59" s="19"/>
      <c r="P59" s="19"/>
    </row>
    <row r="60" spans="2:16" x14ac:dyDescent="0.2">
      <c r="B60" t="s">
        <v>220</v>
      </c>
      <c r="C60" t="s">
        <v>400</v>
      </c>
      <c r="D60" s="18">
        <v>42221.44363425926</v>
      </c>
      <c r="E60" t="s">
        <v>167</v>
      </c>
      <c r="F60" s="19">
        <v>0.97646825985029839</v>
      </c>
      <c r="G60" s="19">
        <v>0.94684726048362411</v>
      </c>
      <c r="H60" s="19">
        <v>0.92339095554510242</v>
      </c>
      <c r="I60" s="19">
        <v>3.6601074814970005E-2</v>
      </c>
      <c r="J60" s="19">
        <v>0.86767243345127643</v>
      </c>
      <c r="K60" s="19">
        <v>6.7206623321384593E-2</v>
      </c>
      <c r="L60" s="19">
        <v>1</v>
      </c>
      <c r="M60" s="19">
        <v>0.99212161283251832</v>
      </c>
      <c r="N60" s="19">
        <v>9.4382046064796291E-3</v>
      </c>
      <c r="O60" s="19">
        <v>0.97234764428631693</v>
      </c>
      <c r="P60" s="19">
        <v>2.9837777990515946E-2</v>
      </c>
    </row>
    <row r="61" spans="2:16" x14ac:dyDescent="0.2">
      <c r="B61" t="s">
        <v>590</v>
      </c>
      <c r="C61" t="s">
        <v>400</v>
      </c>
      <c r="D61" s="18">
        <v>42221.44363425926</v>
      </c>
      <c r="E61" t="s">
        <v>167</v>
      </c>
      <c r="F61" s="19">
        <v>0.97646825985029839</v>
      </c>
      <c r="G61" s="19">
        <v>0.94684726048362411</v>
      </c>
      <c r="H61" s="19">
        <v>0.92339095554510242</v>
      </c>
      <c r="I61" s="19">
        <v>3.6601074814970005E-2</v>
      </c>
      <c r="J61" s="19">
        <v>0.86767243345127643</v>
      </c>
      <c r="K61" s="19">
        <v>6.7206623321384593E-2</v>
      </c>
      <c r="L61" s="19">
        <v>1</v>
      </c>
      <c r="M61" s="19">
        <v>0.99212161283251832</v>
      </c>
      <c r="N61" s="19">
        <v>9.4382046064796291E-3</v>
      </c>
      <c r="O61" s="19">
        <v>0.97234764428631693</v>
      </c>
      <c r="P61" s="19">
        <v>2.9837777990515946E-2</v>
      </c>
    </row>
    <row r="62" spans="2:16" x14ac:dyDescent="0.2">
      <c r="B62" t="s">
        <v>551</v>
      </c>
      <c r="C62" t="s">
        <v>390</v>
      </c>
      <c r="D62" s="18">
        <v>42221.44363425926</v>
      </c>
      <c r="E62" t="s">
        <v>152</v>
      </c>
      <c r="F62" s="19">
        <v>0.91329305842186603</v>
      </c>
      <c r="G62" s="19">
        <v>0.91044855292924565</v>
      </c>
      <c r="H62" s="19">
        <v>0.89523298731911827</v>
      </c>
      <c r="I62" s="19">
        <v>4.7988685695407512E-2</v>
      </c>
      <c r="J62" s="19">
        <v>0.9050179446639055</v>
      </c>
      <c r="K62" s="19">
        <v>5.6835978010555406E-2</v>
      </c>
      <c r="L62" s="19"/>
      <c r="M62" s="19"/>
      <c r="N62" s="19"/>
      <c r="O62" s="19"/>
      <c r="P62" s="19"/>
    </row>
    <row r="63" spans="2:16" x14ac:dyDescent="0.2">
      <c r="B63" t="s">
        <v>637</v>
      </c>
      <c r="C63" t="s">
        <v>379</v>
      </c>
      <c r="D63" s="18">
        <v>42221.44363425926</v>
      </c>
      <c r="E63" t="s">
        <v>186</v>
      </c>
      <c r="F63" s="19">
        <v>0.96959475177964916</v>
      </c>
      <c r="G63" s="19">
        <v>0.84096854657175901</v>
      </c>
      <c r="H63" s="19">
        <v>0.88173082897755384</v>
      </c>
      <c r="I63" s="19">
        <v>5.5731553011673755E-2</v>
      </c>
      <c r="J63" s="19">
        <v>0.9615270104581185</v>
      </c>
      <c r="K63" s="19">
        <v>3.2589519702030077E-2</v>
      </c>
      <c r="L63" s="19"/>
      <c r="M63" s="19"/>
      <c r="N63" s="19"/>
      <c r="O63" s="19"/>
      <c r="P63" s="19"/>
    </row>
    <row r="64" spans="2:16" x14ac:dyDescent="0.2">
      <c r="B64" t="s">
        <v>706</v>
      </c>
      <c r="C64" t="s">
        <v>6</v>
      </c>
      <c r="D64" s="18">
        <v>42221.44363425926</v>
      </c>
      <c r="E64" t="s">
        <v>447</v>
      </c>
      <c r="F64" s="19"/>
      <c r="G64" s="19"/>
      <c r="H64" s="19"/>
      <c r="I64" s="19"/>
      <c r="J64" s="19"/>
      <c r="K64" s="19"/>
      <c r="L64" s="19">
        <v>0.9624697336561745</v>
      </c>
      <c r="M64" s="19">
        <v>0.97658781620973134</v>
      </c>
      <c r="N64" s="19">
        <v>1.277466109831785E-2</v>
      </c>
      <c r="O64" s="19">
        <v>0.97488248744699846</v>
      </c>
      <c r="P64" s="19">
        <v>1.6660629265482216E-2</v>
      </c>
    </row>
    <row r="65" spans="2:16" x14ac:dyDescent="0.2">
      <c r="B65" t="s">
        <v>708</v>
      </c>
      <c r="C65" t="s">
        <v>6</v>
      </c>
      <c r="D65" s="18">
        <v>42221.44363425926</v>
      </c>
      <c r="E65" t="s">
        <v>447</v>
      </c>
      <c r="F65" s="19">
        <v>0.9589796382625706</v>
      </c>
      <c r="G65" s="19">
        <v>0.897467827285514</v>
      </c>
      <c r="H65" s="19">
        <v>0.90668772526305508</v>
      </c>
      <c r="I65" s="19">
        <v>6.9664625362507596E-3</v>
      </c>
      <c r="J65" s="19">
        <v>0.91370326291272552</v>
      </c>
      <c r="K65" s="19">
        <v>8.3456158222571016E-3</v>
      </c>
      <c r="L65" s="19">
        <v>0.9624697336561745</v>
      </c>
      <c r="M65" s="19">
        <v>0.97658781620973134</v>
      </c>
      <c r="N65" s="19">
        <v>1.277466109831785E-2</v>
      </c>
      <c r="O65" s="19">
        <v>0.97488248744699846</v>
      </c>
      <c r="P65" s="19">
        <v>1.6660629265482216E-2</v>
      </c>
    </row>
    <row r="66" spans="2:16" x14ac:dyDescent="0.2">
      <c r="B66" t="s">
        <v>615</v>
      </c>
      <c r="C66" t="s">
        <v>395</v>
      </c>
      <c r="D66" s="18">
        <v>42221.44363425926</v>
      </c>
      <c r="E66" t="s">
        <v>177</v>
      </c>
      <c r="F66" s="19">
        <v>0.97554703405940302</v>
      </c>
      <c r="G66" s="19">
        <v>0.95018023994692724</v>
      </c>
      <c r="H66" s="19">
        <v>0.93393726954612499</v>
      </c>
      <c r="I66" s="19">
        <v>3.4609983087082338E-2</v>
      </c>
      <c r="J66" s="19">
        <v>0.92648179264248398</v>
      </c>
      <c r="K66" s="19">
        <v>4.044116324915336E-2</v>
      </c>
      <c r="L66" s="19"/>
      <c r="M66" s="19"/>
      <c r="N66" s="19"/>
      <c r="O66" s="19"/>
      <c r="P66" s="19"/>
    </row>
    <row r="67" spans="2:16" x14ac:dyDescent="0.2">
      <c r="B67" t="s">
        <v>680</v>
      </c>
      <c r="C67" t="s">
        <v>379</v>
      </c>
      <c r="D67" s="18">
        <v>42221.44363425926</v>
      </c>
      <c r="E67" t="s">
        <v>679</v>
      </c>
      <c r="F67" s="153">
        <v>0.98677941365841093</v>
      </c>
      <c r="G67" s="153">
        <v>0.95075757575757569</v>
      </c>
      <c r="H67" s="153">
        <v>0.95075757575757569</v>
      </c>
      <c r="I67" s="153">
        <v>5.6452397469193796E-2</v>
      </c>
      <c r="J67" s="153">
        <v>0.82527296302573616</v>
      </c>
      <c r="K67" s="153">
        <v>4.0527047678476931E-2</v>
      </c>
      <c r="L67" s="153"/>
      <c r="M67" s="153"/>
      <c r="N67" s="153"/>
      <c r="O67" s="153"/>
      <c r="P67" s="153"/>
    </row>
    <row r="68" spans="2:16" x14ac:dyDescent="0.2">
      <c r="B68" t="s">
        <v>639</v>
      </c>
      <c r="C68" t="s">
        <v>379</v>
      </c>
      <c r="D68" s="18">
        <v>42221.44363425926</v>
      </c>
      <c r="E68" t="s">
        <v>92</v>
      </c>
      <c r="F68" s="153">
        <v>0.93755384401099828</v>
      </c>
      <c r="G68" s="153">
        <v>0.82877846790890275</v>
      </c>
      <c r="H68" s="153">
        <v>0.83949702003670812</v>
      </c>
      <c r="I68" s="153">
        <v>4.9906216048295773E-2</v>
      </c>
      <c r="J68" s="153">
        <v>0.8928955751884573</v>
      </c>
      <c r="K68" s="153">
        <v>3.2232538908183984E-2</v>
      </c>
      <c r="L68" s="153"/>
      <c r="M68" s="153"/>
      <c r="N68" s="153"/>
      <c r="O68" s="153"/>
      <c r="P68" s="153"/>
    </row>
    <row r="69" spans="2:16" x14ac:dyDescent="0.2">
      <c r="B69" t="s">
        <v>649</v>
      </c>
      <c r="C69" t="s">
        <v>400</v>
      </c>
      <c r="D69" s="18">
        <v>42221.44363425926</v>
      </c>
      <c r="E69" t="s">
        <v>191</v>
      </c>
      <c r="F69" s="153">
        <v>0.91368893291290187</v>
      </c>
      <c r="G69" s="153">
        <v>0.83712047941438616</v>
      </c>
      <c r="H69" s="153">
        <v>0.92765682140100514</v>
      </c>
      <c r="I69" s="153">
        <v>3.8325795784992282E-2</v>
      </c>
      <c r="J69" s="153">
        <v>0.95123990930949054</v>
      </c>
      <c r="K69" s="153">
        <v>3.8833233805101702E-2</v>
      </c>
      <c r="L69" s="153"/>
      <c r="M69" s="153"/>
      <c r="N69" s="153"/>
      <c r="O69" s="153"/>
      <c r="P69" s="153"/>
    </row>
    <row r="70" spans="2:16" x14ac:dyDescent="0.2">
      <c r="B70" t="s">
        <v>653</v>
      </c>
      <c r="C70" t="s">
        <v>379</v>
      </c>
      <c r="D70" s="18">
        <v>42221.44363425926</v>
      </c>
      <c r="E70" t="s">
        <v>193</v>
      </c>
      <c r="F70" s="153">
        <v>0.9243096783944843</v>
      </c>
      <c r="G70" s="153">
        <v>0.84487433862433869</v>
      </c>
      <c r="H70" s="153">
        <v>0.86370302482726158</v>
      </c>
      <c r="I70" s="153">
        <v>4.3118014461848798E-2</v>
      </c>
      <c r="J70" s="153">
        <v>0.89722275589710743</v>
      </c>
      <c r="K70" s="153">
        <v>4.5648220485394832E-2</v>
      </c>
      <c r="L70" s="153"/>
      <c r="M70" s="153"/>
      <c r="N70" s="153"/>
      <c r="O70" s="153"/>
      <c r="P70" s="153"/>
    </row>
    <row r="71" spans="2:16" x14ac:dyDescent="0.2">
      <c r="B71" t="s">
        <v>553</v>
      </c>
      <c r="C71" t="s">
        <v>379</v>
      </c>
      <c r="D71" s="18">
        <v>42221.44363425926</v>
      </c>
      <c r="E71" t="s">
        <v>153</v>
      </c>
      <c r="F71" s="153">
        <v>0.96043481050047719</v>
      </c>
      <c r="G71" s="153">
        <v>0.85054916317991636</v>
      </c>
      <c r="H71" s="153">
        <v>0.84129142700616744</v>
      </c>
      <c r="I71" s="153">
        <v>4.9977757114760164E-2</v>
      </c>
      <c r="J71" s="153">
        <v>0.90512951061835123</v>
      </c>
      <c r="K71" s="153">
        <v>4.5801313568160112E-2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70" zoomScaleNormal="70" workbookViewId="0"/>
  </sheetViews>
  <sheetFormatPr defaultRowHeight="12.75" x14ac:dyDescent="0.2"/>
  <cols>
    <col min="2" max="2" width="64.42578125" customWidth="1"/>
    <col min="3" max="3" width="14.85546875" customWidth="1"/>
    <col min="4" max="4" width="12.5703125" customWidth="1"/>
    <col min="6" max="6" width="20.28515625" bestFit="1" customWidth="1"/>
    <col min="7" max="7" width="27.28515625" bestFit="1" customWidth="1"/>
    <col min="8" max="8" width="21.140625" bestFit="1" customWidth="1"/>
    <col min="9" max="9" width="12.85546875" bestFit="1" customWidth="1"/>
    <col min="10" max="10" width="21" bestFit="1" customWidth="1"/>
    <col min="11" max="11" width="12.5703125" bestFit="1" customWidth="1"/>
    <col min="12" max="12" width="24.42578125" bestFit="1" customWidth="1"/>
    <col min="13" max="13" width="16" bestFit="1" customWidth="1"/>
    <col min="14" max="14" width="32.5703125" bestFit="1" customWidth="1"/>
    <col min="15" max="15" width="24.28515625" bestFit="1" customWidth="1"/>
    <col min="16" max="16" width="34.5703125" bestFit="1" customWidth="1"/>
    <col min="17" max="17" width="26.28515625" bestFit="1" customWidth="1"/>
    <col min="18" max="18" width="37.28515625" bestFit="1" customWidth="1"/>
    <col min="19" max="19" width="28.85546875" bestFit="1" customWidth="1"/>
    <col min="20" max="20" width="11.28515625" bestFit="1" customWidth="1"/>
    <col min="22" max="22" width="33.140625" customWidth="1"/>
    <col min="23" max="23" width="27.28515625" customWidth="1"/>
    <col min="24" max="24" width="21.140625" customWidth="1"/>
    <col min="25" max="25" width="12.85546875" customWidth="1"/>
    <col min="26" max="26" width="21" customWidth="1"/>
    <col min="27" max="27" width="12.5703125" customWidth="1"/>
    <col min="28" max="28" width="24.42578125" customWidth="1"/>
    <col min="29" max="29" width="16" customWidth="1"/>
    <col min="30" max="30" width="32.5703125" customWidth="1"/>
    <col min="31" max="31" width="24.28515625" customWidth="1"/>
    <col min="32" max="32" width="34.5703125" customWidth="1"/>
    <col min="33" max="33" width="26.28515625" customWidth="1"/>
    <col min="34" max="34" width="37.28515625" customWidth="1"/>
    <col min="35" max="35" width="28.85546875" customWidth="1"/>
    <col min="36" max="37" width="11.28515625" customWidth="1"/>
    <col min="38" max="38" width="30.7109375" customWidth="1"/>
    <col min="39" max="39" width="27.28515625" customWidth="1"/>
    <col min="40" max="40" width="21.140625" customWidth="1"/>
    <col min="41" max="41" width="12.85546875" customWidth="1"/>
    <col min="42" max="42" width="21" customWidth="1"/>
    <col min="43" max="43" width="12.5703125" customWidth="1"/>
    <col min="44" max="44" width="24.42578125" customWidth="1"/>
    <col min="45" max="45" width="16" customWidth="1"/>
    <col min="46" max="46" width="32.5703125" customWidth="1"/>
    <col min="47" max="47" width="24.28515625" customWidth="1"/>
    <col min="48" max="48" width="34.5703125" customWidth="1"/>
    <col min="49" max="49" width="26.28515625" customWidth="1"/>
    <col min="50" max="50" width="37.28515625" customWidth="1"/>
    <col min="51" max="51" width="28.85546875" customWidth="1"/>
  </cols>
  <sheetData>
    <row r="2" spans="2:51" x14ac:dyDescent="0.2">
      <c r="B2" t="s">
        <v>962</v>
      </c>
      <c r="C2" t="s">
        <v>963</v>
      </c>
      <c r="D2" t="s">
        <v>139</v>
      </c>
      <c r="F2" t="s">
        <v>957</v>
      </c>
      <c r="G2" t="s">
        <v>944</v>
      </c>
      <c r="H2" t="s">
        <v>945</v>
      </c>
      <c r="I2" t="s">
        <v>946</v>
      </c>
      <c r="J2" t="s">
        <v>947</v>
      </c>
      <c r="K2" t="s">
        <v>948</v>
      </c>
      <c r="L2" t="s">
        <v>949</v>
      </c>
      <c r="M2" t="s">
        <v>950</v>
      </c>
      <c r="N2" t="s">
        <v>951</v>
      </c>
      <c r="O2" t="s">
        <v>952</v>
      </c>
      <c r="P2" t="s">
        <v>953</v>
      </c>
      <c r="Q2" t="s">
        <v>954</v>
      </c>
      <c r="R2" t="s">
        <v>955</v>
      </c>
      <c r="S2" t="s">
        <v>956</v>
      </c>
      <c r="V2" t="s">
        <v>958</v>
      </c>
      <c r="W2" t="s">
        <v>944</v>
      </c>
      <c r="X2" t="s">
        <v>945</v>
      </c>
      <c r="Y2" t="s">
        <v>946</v>
      </c>
      <c r="Z2" t="s">
        <v>947</v>
      </c>
      <c r="AA2" t="s">
        <v>948</v>
      </c>
      <c r="AB2" t="s">
        <v>949</v>
      </c>
      <c r="AC2" t="s">
        <v>950</v>
      </c>
      <c r="AD2" t="s">
        <v>951</v>
      </c>
      <c r="AE2" t="s">
        <v>952</v>
      </c>
      <c r="AF2" t="s">
        <v>953</v>
      </c>
      <c r="AG2" t="s">
        <v>954</v>
      </c>
      <c r="AH2" t="s">
        <v>955</v>
      </c>
      <c r="AI2" t="s">
        <v>956</v>
      </c>
      <c r="AL2" t="s">
        <v>959</v>
      </c>
      <c r="AM2" t="s">
        <v>944</v>
      </c>
      <c r="AN2" t="s">
        <v>945</v>
      </c>
      <c r="AO2" t="s">
        <v>946</v>
      </c>
      <c r="AP2" t="s">
        <v>947</v>
      </c>
      <c r="AQ2" t="s">
        <v>948</v>
      </c>
      <c r="AR2" t="s">
        <v>949</v>
      </c>
      <c r="AS2" t="s">
        <v>950</v>
      </c>
      <c r="AT2" t="s">
        <v>951</v>
      </c>
      <c r="AU2" t="s">
        <v>952</v>
      </c>
      <c r="AV2" t="s">
        <v>953</v>
      </c>
      <c r="AW2" t="s">
        <v>954</v>
      </c>
      <c r="AX2" t="s">
        <v>955</v>
      </c>
      <c r="AY2" t="s">
        <v>956</v>
      </c>
    </row>
    <row r="3" spans="2:51" x14ac:dyDescent="0.2">
      <c r="B3" t="s">
        <v>965</v>
      </c>
      <c r="C3">
        <v>372995</v>
      </c>
      <c r="D3">
        <v>403.76507694819998</v>
      </c>
      <c r="F3" t="s">
        <v>8</v>
      </c>
      <c r="G3">
        <v>12953</v>
      </c>
      <c r="P3">
        <v>12953</v>
      </c>
      <c r="Q3">
        <v>181.0614529453</v>
      </c>
      <c r="V3" t="s">
        <v>318</v>
      </c>
      <c r="W3">
        <v>367</v>
      </c>
      <c r="X3">
        <v>235</v>
      </c>
      <c r="Y3">
        <v>400.07234042549999</v>
      </c>
      <c r="Z3">
        <v>24</v>
      </c>
      <c r="AA3">
        <v>533.33333333329995</v>
      </c>
      <c r="AB3">
        <v>75</v>
      </c>
      <c r="AC3">
        <v>502.01333333330001</v>
      </c>
      <c r="AD3">
        <v>31</v>
      </c>
      <c r="AE3">
        <v>703.38709677420002</v>
      </c>
      <c r="AF3">
        <v>25</v>
      </c>
      <c r="AG3">
        <v>228.76</v>
      </c>
      <c r="AH3">
        <v>1</v>
      </c>
      <c r="AI3">
        <v>149</v>
      </c>
      <c r="AL3" t="s">
        <v>318</v>
      </c>
      <c r="AM3">
        <v>3</v>
      </c>
      <c r="AP3">
        <v>2</v>
      </c>
      <c r="AQ3">
        <v>419</v>
      </c>
      <c r="AR3">
        <v>2</v>
      </c>
      <c r="AS3">
        <v>100.5</v>
      </c>
      <c r="AT3">
        <v>1</v>
      </c>
      <c r="AU3">
        <v>82</v>
      </c>
    </row>
    <row r="4" spans="2:51" x14ac:dyDescent="0.2">
      <c r="B4" t="s">
        <v>964</v>
      </c>
      <c r="C4">
        <v>36778</v>
      </c>
      <c r="D4">
        <v>403.76507694819998</v>
      </c>
      <c r="F4" t="s">
        <v>8</v>
      </c>
      <c r="G4">
        <v>12953</v>
      </c>
      <c r="P4">
        <v>12953</v>
      </c>
      <c r="Q4">
        <v>181.0614529453</v>
      </c>
      <c r="V4" t="s">
        <v>8</v>
      </c>
      <c r="W4">
        <v>4950</v>
      </c>
      <c r="X4">
        <v>3619</v>
      </c>
      <c r="Y4">
        <v>410.27327991160001</v>
      </c>
      <c r="Z4">
        <v>394</v>
      </c>
      <c r="AA4">
        <v>439.89847715740001</v>
      </c>
      <c r="AB4">
        <v>584</v>
      </c>
      <c r="AC4">
        <v>518.87157534250002</v>
      </c>
      <c r="AD4">
        <v>691</v>
      </c>
      <c r="AE4">
        <v>828.31693198259995</v>
      </c>
      <c r="AF4">
        <v>54</v>
      </c>
      <c r="AG4">
        <v>206.05555555559999</v>
      </c>
      <c r="AH4">
        <v>2</v>
      </c>
      <c r="AI4">
        <v>654</v>
      </c>
      <c r="AL4" t="s">
        <v>8</v>
      </c>
      <c r="AM4">
        <v>38</v>
      </c>
      <c r="AN4">
        <v>29</v>
      </c>
      <c r="AO4">
        <v>218.5862068966</v>
      </c>
      <c r="AP4">
        <v>14</v>
      </c>
      <c r="AQ4">
        <v>428.14285714290003</v>
      </c>
      <c r="AR4">
        <v>9</v>
      </c>
      <c r="AS4">
        <v>213.6666666667</v>
      </c>
    </row>
    <row r="5" spans="2:51" x14ac:dyDescent="0.2">
      <c r="B5" t="s">
        <v>976</v>
      </c>
      <c r="C5">
        <v>21691</v>
      </c>
      <c r="D5">
        <v>570.38956249140006</v>
      </c>
      <c r="F5" t="s">
        <v>46</v>
      </c>
      <c r="G5">
        <v>478</v>
      </c>
      <c r="H5">
        <v>377</v>
      </c>
      <c r="I5">
        <v>220.21220159149999</v>
      </c>
      <c r="J5">
        <v>53</v>
      </c>
      <c r="K5">
        <v>486.81132075469998</v>
      </c>
      <c r="L5">
        <v>80</v>
      </c>
      <c r="M5">
        <v>121.4375</v>
      </c>
      <c r="N5">
        <v>21</v>
      </c>
      <c r="O5">
        <v>211.1428571429</v>
      </c>
      <c r="V5" t="s">
        <v>8</v>
      </c>
      <c r="W5">
        <v>5317</v>
      </c>
      <c r="X5">
        <v>3854</v>
      </c>
      <c r="Y5">
        <v>409.6512714063</v>
      </c>
      <c r="Z5">
        <v>418</v>
      </c>
      <c r="AA5">
        <v>445.26315789469999</v>
      </c>
      <c r="AB5">
        <v>659</v>
      </c>
      <c r="AC5">
        <v>516.95295902880002</v>
      </c>
      <c r="AD5">
        <v>722</v>
      </c>
      <c r="AE5">
        <v>822.95290858730004</v>
      </c>
      <c r="AF5">
        <v>79</v>
      </c>
      <c r="AG5">
        <v>213.24050632909999</v>
      </c>
      <c r="AH5">
        <v>3</v>
      </c>
      <c r="AI5">
        <v>485.6666666667</v>
      </c>
      <c r="AL5" t="s">
        <v>8</v>
      </c>
      <c r="AM5">
        <v>41</v>
      </c>
      <c r="AN5">
        <v>29</v>
      </c>
      <c r="AO5">
        <v>218.5862068966</v>
      </c>
      <c r="AP5">
        <v>16</v>
      </c>
      <c r="AQ5">
        <v>427</v>
      </c>
      <c r="AR5">
        <v>11</v>
      </c>
      <c r="AS5">
        <v>193.0909090909</v>
      </c>
      <c r="AT5">
        <v>1</v>
      </c>
      <c r="AU5">
        <v>82</v>
      </c>
    </row>
    <row r="6" spans="2:51" x14ac:dyDescent="0.2">
      <c r="B6" t="s">
        <v>249</v>
      </c>
      <c r="C6">
        <v>57826</v>
      </c>
      <c r="D6">
        <v>614.54027600040001</v>
      </c>
      <c r="F6" t="s">
        <v>40</v>
      </c>
      <c r="G6">
        <v>7417</v>
      </c>
      <c r="H6">
        <v>5345</v>
      </c>
      <c r="I6">
        <v>454.18391019640001</v>
      </c>
      <c r="J6">
        <v>280</v>
      </c>
      <c r="K6">
        <v>952.91071428570001</v>
      </c>
      <c r="L6">
        <v>1449</v>
      </c>
      <c r="M6">
        <v>560.90338164249999</v>
      </c>
      <c r="N6">
        <v>614</v>
      </c>
      <c r="O6">
        <v>661.89576547230001</v>
      </c>
      <c r="R6">
        <v>9</v>
      </c>
      <c r="S6">
        <v>836</v>
      </c>
      <c r="V6" t="s">
        <v>409</v>
      </c>
      <c r="W6">
        <v>1252</v>
      </c>
      <c r="X6">
        <v>610</v>
      </c>
      <c r="Y6">
        <v>169.65737704919999</v>
      </c>
      <c r="Z6">
        <v>232</v>
      </c>
      <c r="AA6">
        <v>296.6637931034</v>
      </c>
      <c r="AB6">
        <v>389</v>
      </c>
      <c r="AC6">
        <v>276.04370179950001</v>
      </c>
      <c r="AD6">
        <v>122</v>
      </c>
      <c r="AE6">
        <v>223.9754098361</v>
      </c>
      <c r="AF6">
        <v>128</v>
      </c>
      <c r="AG6">
        <v>164.4140625</v>
      </c>
      <c r="AH6">
        <v>3</v>
      </c>
      <c r="AI6">
        <v>130</v>
      </c>
      <c r="AL6" t="s">
        <v>409</v>
      </c>
      <c r="AM6">
        <v>35</v>
      </c>
      <c r="AN6">
        <v>19</v>
      </c>
      <c r="AO6">
        <v>95.052631578900005</v>
      </c>
      <c r="AP6">
        <v>19</v>
      </c>
      <c r="AQ6">
        <v>282.57894736840001</v>
      </c>
      <c r="AR6">
        <v>13</v>
      </c>
      <c r="AS6">
        <v>303.15384615379998</v>
      </c>
      <c r="AT6">
        <v>3</v>
      </c>
      <c r="AU6">
        <v>48</v>
      </c>
    </row>
    <row r="7" spans="2:51" x14ac:dyDescent="0.2">
      <c r="B7" t="s">
        <v>248</v>
      </c>
      <c r="C7">
        <v>215578</v>
      </c>
      <c r="D7">
        <v>397.60932469919999</v>
      </c>
      <c r="F7" t="s">
        <v>45</v>
      </c>
      <c r="G7">
        <v>6100</v>
      </c>
      <c r="H7">
        <v>4284</v>
      </c>
      <c r="I7">
        <v>388.86694677870003</v>
      </c>
      <c r="J7">
        <v>565</v>
      </c>
      <c r="K7">
        <v>454.12566371679998</v>
      </c>
      <c r="L7">
        <v>1256</v>
      </c>
      <c r="M7">
        <v>616.89888535030002</v>
      </c>
      <c r="N7">
        <v>558</v>
      </c>
      <c r="O7">
        <v>459.94086021509997</v>
      </c>
      <c r="R7">
        <v>2</v>
      </c>
      <c r="S7">
        <v>1448</v>
      </c>
      <c r="V7" t="s">
        <v>401</v>
      </c>
      <c r="W7">
        <v>13792</v>
      </c>
      <c r="X7">
        <v>9951</v>
      </c>
      <c r="Y7">
        <v>612.54808561949994</v>
      </c>
      <c r="Z7">
        <v>208</v>
      </c>
      <c r="AA7">
        <v>810.50961538460001</v>
      </c>
      <c r="AB7">
        <v>2745</v>
      </c>
      <c r="AC7">
        <v>1284.749726776</v>
      </c>
      <c r="AD7">
        <v>841</v>
      </c>
      <c r="AE7">
        <v>807.02853745540006</v>
      </c>
      <c r="AF7">
        <v>245</v>
      </c>
      <c r="AG7">
        <v>238.5836734694</v>
      </c>
      <c r="AH7">
        <v>10</v>
      </c>
      <c r="AI7">
        <v>618.70000000000005</v>
      </c>
      <c r="AL7" t="s">
        <v>401</v>
      </c>
      <c r="AM7">
        <v>222</v>
      </c>
      <c r="AN7">
        <v>198</v>
      </c>
      <c r="AO7">
        <v>330.24242424239998</v>
      </c>
      <c r="AP7">
        <v>34</v>
      </c>
      <c r="AQ7">
        <v>728.6764705882</v>
      </c>
      <c r="AR7">
        <v>21</v>
      </c>
      <c r="AS7">
        <v>92.857142857100001</v>
      </c>
      <c r="AT7">
        <v>2</v>
      </c>
      <c r="AU7">
        <v>85.5</v>
      </c>
      <c r="AV7">
        <v>1</v>
      </c>
      <c r="AW7">
        <v>37</v>
      </c>
    </row>
    <row r="8" spans="2:51" x14ac:dyDescent="0.2">
      <c r="B8" t="s">
        <v>250</v>
      </c>
      <c r="C8">
        <v>23418</v>
      </c>
      <c r="D8">
        <v>525.86151678199997</v>
      </c>
      <c r="F8" t="s">
        <v>53</v>
      </c>
      <c r="G8">
        <v>1367</v>
      </c>
      <c r="H8">
        <v>446</v>
      </c>
      <c r="I8">
        <v>105.9820627803</v>
      </c>
      <c r="J8">
        <v>347</v>
      </c>
      <c r="K8">
        <v>229.0172910663</v>
      </c>
      <c r="L8">
        <v>690</v>
      </c>
      <c r="M8">
        <v>262.87826086960001</v>
      </c>
      <c r="N8">
        <v>224</v>
      </c>
      <c r="O8">
        <v>228.79017857139999</v>
      </c>
      <c r="R8">
        <v>7</v>
      </c>
      <c r="S8">
        <v>127</v>
      </c>
      <c r="V8" t="s">
        <v>432</v>
      </c>
      <c r="W8">
        <v>1455</v>
      </c>
      <c r="X8">
        <v>969</v>
      </c>
      <c r="Y8">
        <v>251.69246646030001</v>
      </c>
      <c r="Z8">
        <v>224</v>
      </c>
      <c r="AA8">
        <v>410.86607142859998</v>
      </c>
      <c r="AB8">
        <v>159</v>
      </c>
      <c r="AC8">
        <v>291.50943396230002</v>
      </c>
      <c r="AD8">
        <v>197</v>
      </c>
      <c r="AE8">
        <v>370.72588832489998</v>
      </c>
      <c r="AF8">
        <v>129</v>
      </c>
      <c r="AG8">
        <v>169.27906976739999</v>
      </c>
      <c r="AH8">
        <v>1</v>
      </c>
      <c r="AI8">
        <v>396</v>
      </c>
      <c r="AL8" t="s">
        <v>432</v>
      </c>
      <c r="AM8">
        <v>24</v>
      </c>
      <c r="AN8">
        <v>19</v>
      </c>
      <c r="AO8">
        <v>151.73684210530001</v>
      </c>
      <c r="AP8">
        <v>15</v>
      </c>
      <c r="AQ8">
        <v>247</v>
      </c>
      <c r="AR8">
        <v>4</v>
      </c>
      <c r="AS8">
        <v>411.25</v>
      </c>
      <c r="AT8">
        <v>1</v>
      </c>
      <c r="AU8">
        <v>65</v>
      </c>
    </row>
    <row r="9" spans="2:51" x14ac:dyDescent="0.2">
      <c r="B9" t="s">
        <v>251</v>
      </c>
      <c r="C9">
        <v>12953</v>
      </c>
      <c r="D9">
        <v>181.0614529453</v>
      </c>
      <c r="F9" t="s">
        <v>84</v>
      </c>
      <c r="G9">
        <v>1341</v>
      </c>
      <c r="H9">
        <v>981</v>
      </c>
      <c r="I9">
        <v>249.3068297655</v>
      </c>
      <c r="J9">
        <v>238</v>
      </c>
      <c r="K9">
        <v>430.80672268910001</v>
      </c>
      <c r="L9">
        <v>151</v>
      </c>
      <c r="M9">
        <v>228.10596026490001</v>
      </c>
      <c r="N9">
        <v>207</v>
      </c>
      <c r="O9">
        <v>355.15458937199998</v>
      </c>
      <c r="R9">
        <v>2</v>
      </c>
      <c r="S9">
        <v>421</v>
      </c>
      <c r="V9" t="s">
        <v>402</v>
      </c>
      <c r="W9">
        <v>8031</v>
      </c>
      <c r="X9">
        <v>5866</v>
      </c>
      <c r="Y9">
        <v>468.239686328</v>
      </c>
      <c r="Z9">
        <v>267</v>
      </c>
      <c r="AA9">
        <v>742.75280898879998</v>
      </c>
      <c r="AB9">
        <v>1579</v>
      </c>
      <c r="AC9">
        <v>865.65991133629996</v>
      </c>
      <c r="AD9">
        <v>413</v>
      </c>
      <c r="AE9">
        <v>624.4624697337</v>
      </c>
      <c r="AF9">
        <v>173</v>
      </c>
      <c r="AG9">
        <v>172.53757225429999</v>
      </c>
      <c r="AL9" t="s">
        <v>402</v>
      </c>
      <c r="AM9">
        <v>118</v>
      </c>
      <c r="AN9">
        <v>105</v>
      </c>
      <c r="AO9">
        <v>312.70476190480002</v>
      </c>
      <c r="AP9">
        <v>20</v>
      </c>
      <c r="AQ9">
        <v>594.85</v>
      </c>
      <c r="AR9">
        <v>12</v>
      </c>
      <c r="AS9">
        <v>369.3333333333</v>
      </c>
      <c r="AT9">
        <v>1</v>
      </c>
      <c r="AU9">
        <v>44</v>
      </c>
    </row>
    <row r="10" spans="2:51" x14ac:dyDescent="0.2">
      <c r="B10" t="s">
        <v>960</v>
      </c>
      <c r="C10">
        <v>407</v>
      </c>
      <c r="D10">
        <v>466.23587223589999</v>
      </c>
      <c r="F10" t="s">
        <v>79</v>
      </c>
      <c r="G10">
        <v>1763</v>
      </c>
      <c r="H10">
        <v>901</v>
      </c>
      <c r="I10">
        <v>119.4916759156</v>
      </c>
      <c r="J10">
        <v>452</v>
      </c>
      <c r="K10">
        <v>228.98893805309999</v>
      </c>
      <c r="L10">
        <v>784</v>
      </c>
      <c r="M10">
        <v>305.6581632653</v>
      </c>
      <c r="N10">
        <v>78</v>
      </c>
      <c r="O10">
        <v>107.69230769230001</v>
      </c>
      <c r="V10" t="s">
        <v>404</v>
      </c>
      <c r="W10">
        <v>7637</v>
      </c>
      <c r="X10">
        <v>5264</v>
      </c>
      <c r="Y10">
        <v>451.00626899700001</v>
      </c>
      <c r="Z10">
        <v>283</v>
      </c>
      <c r="AA10">
        <v>936.17314487629994</v>
      </c>
      <c r="AB10">
        <v>1453</v>
      </c>
      <c r="AC10">
        <v>566.44046799720002</v>
      </c>
      <c r="AD10">
        <v>610</v>
      </c>
      <c r="AE10">
        <v>650.73114754100004</v>
      </c>
      <c r="AF10">
        <v>301</v>
      </c>
      <c r="AG10">
        <v>210.8405315615</v>
      </c>
      <c r="AH10">
        <v>9</v>
      </c>
      <c r="AI10">
        <v>836</v>
      </c>
      <c r="AL10" t="s">
        <v>404</v>
      </c>
      <c r="AM10">
        <v>320</v>
      </c>
      <c r="AN10">
        <v>237</v>
      </c>
      <c r="AO10">
        <v>315.57383966240002</v>
      </c>
      <c r="AP10">
        <v>43</v>
      </c>
      <c r="AQ10">
        <v>613.25581395350002</v>
      </c>
      <c r="AR10">
        <v>75</v>
      </c>
      <c r="AS10">
        <v>458.46666666670001</v>
      </c>
      <c r="AT10">
        <v>6</v>
      </c>
      <c r="AU10">
        <v>47.166666666700003</v>
      </c>
      <c r="AV10">
        <v>2</v>
      </c>
      <c r="AW10">
        <v>227</v>
      </c>
    </row>
    <row r="11" spans="2:51" x14ac:dyDescent="0.2">
      <c r="F11" t="s">
        <v>41</v>
      </c>
      <c r="G11">
        <v>13680</v>
      </c>
      <c r="H11">
        <v>10058</v>
      </c>
      <c r="I11">
        <v>617.9981109565</v>
      </c>
      <c r="J11">
        <v>194</v>
      </c>
      <c r="K11">
        <v>902.3350515464</v>
      </c>
      <c r="L11">
        <v>2789</v>
      </c>
      <c r="M11">
        <v>1297.1520258157</v>
      </c>
      <c r="N11">
        <v>823</v>
      </c>
      <c r="O11">
        <v>823.75455650059996</v>
      </c>
      <c r="R11">
        <v>10</v>
      </c>
      <c r="S11">
        <v>618.70000000000005</v>
      </c>
      <c r="V11" t="s">
        <v>405</v>
      </c>
      <c r="W11">
        <v>6376</v>
      </c>
      <c r="X11">
        <v>4192</v>
      </c>
      <c r="Y11">
        <v>392.78387404580002</v>
      </c>
      <c r="Z11">
        <v>568</v>
      </c>
      <c r="AA11">
        <v>459.95422535210002</v>
      </c>
      <c r="AB11">
        <v>1263</v>
      </c>
      <c r="AC11">
        <v>624.28978622329998</v>
      </c>
      <c r="AD11">
        <v>552</v>
      </c>
      <c r="AE11">
        <v>473.5</v>
      </c>
      <c r="AF11">
        <v>367</v>
      </c>
      <c r="AG11">
        <v>166.87465940050001</v>
      </c>
      <c r="AH11">
        <v>2</v>
      </c>
      <c r="AI11">
        <v>1448</v>
      </c>
      <c r="AL11" t="s">
        <v>405</v>
      </c>
      <c r="AM11">
        <v>221</v>
      </c>
      <c r="AN11">
        <v>199</v>
      </c>
      <c r="AO11">
        <v>273.41708542710001</v>
      </c>
      <c r="AP11">
        <v>23</v>
      </c>
      <c r="AQ11">
        <v>550.26086956519998</v>
      </c>
      <c r="AR11">
        <v>18</v>
      </c>
      <c r="AS11">
        <v>383.94444444440001</v>
      </c>
      <c r="AT11">
        <v>3</v>
      </c>
      <c r="AU11">
        <v>250.6666666667</v>
      </c>
      <c r="AV11">
        <v>1</v>
      </c>
      <c r="AW11">
        <v>82</v>
      </c>
    </row>
    <row r="12" spans="2:51" x14ac:dyDescent="0.2">
      <c r="F12" t="s">
        <v>59</v>
      </c>
      <c r="G12">
        <v>2977</v>
      </c>
      <c r="H12">
        <v>2404</v>
      </c>
      <c r="I12">
        <v>284.69841930119998</v>
      </c>
      <c r="J12">
        <v>209</v>
      </c>
      <c r="K12">
        <v>578.014354067</v>
      </c>
      <c r="L12">
        <v>517</v>
      </c>
      <c r="M12">
        <v>310.96711798839999</v>
      </c>
      <c r="N12">
        <v>56</v>
      </c>
      <c r="O12">
        <v>130.0178571429</v>
      </c>
      <c r="V12" t="s">
        <v>407</v>
      </c>
      <c r="W12">
        <v>6798</v>
      </c>
      <c r="X12">
        <v>5395</v>
      </c>
      <c r="Y12">
        <v>283.66061167750001</v>
      </c>
      <c r="Z12">
        <v>475</v>
      </c>
      <c r="AA12">
        <v>518.05263157889999</v>
      </c>
      <c r="AB12">
        <v>488</v>
      </c>
      <c r="AC12">
        <v>227.26229508200001</v>
      </c>
      <c r="AD12">
        <v>503</v>
      </c>
      <c r="AE12">
        <v>345.68190854869999</v>
      </c>
      <c r="AF12">
        <v>403</v>
      </c>
      <c r="AG12">
        <v>162.3895781638</v>
      </c>
      <c r="AH12">
        <v>9</v>
      </c>
      <c r="AI12">
        <v>257.7777777778</v>
      </c>
      <c r="AL12" t="s">
        <v>407</v>
      </c>
      <c r="AM12">
        <v>188</v>
      </c>
      <c r="AN12">
        <v>166</v>
      </c>
      <c r="AO12">
        <v>302.40361445780002</v>
      </c>
      <c r="AP12">
        <v>17</v>
      </c>
      <c r="AQ12">
        <v>557.0588235294</v>
      </c>
      <c r="AR12">
        <v>21</v>
      </c>
      <c r="AS12">
        <v>306.23809523810002</v>
      </c>
      <c r="AT12">
        <v>1</v>
      </c>
      <c r="AU12">
        <v>87</v>
      </c>
    </row>
    <row r="13" spans="2:51" x14ac:dyDescent="0.2">
      <c r="F13" t="s">
        <v>78</v>
      </c>
      <c r="G13">
        <v>6260</v>
      </c>
      <c r="H13">
        <v>5300</v>
      </c>
      <c r="I13">
        <v>278.7366037736</v>
      </c>
      <c r="J13">
        <v>460</v>
      </c>
      <c r="K13">
        <v>517.77826086959999</v>
      </c>
      <c r="L13">
        <v>464</v>
      </c>
      <c r="M13">
        <v>190.62068965520001</v>
      </c>
      <c r="N13">
        <v>490</v>
      </c>
      <c r="O13">
        <v>348.0285714286</v>
      </c>
      <c r="R13">
        <v>6</v>
      </c>
      <c r="S13">
        <v>338.3333333333</v>
      </c>
      <c r="V13" t="s">
        <v>410</v>
      </c>
      <c r="W13">
        <v>1568</v>
      </c>
      <c r="X13">
        <v>461</v>
      </c>
      <c r="Y13">
        <v>126.989154013</v>
      </c>
      <c r="Z13">
        <v>339</v>
      </c>
      <c r="AA13">
        <v>229.28318584070001</v>
      </c>
      <c r="AB13">
        <v>676</v>
      </c>
      <c r="AC13">
        <v>259.2381656805</v>
      </c>
      <c r="AD13">
        <v>218</v>
      </c>
      <c r="AE13">
        <v>233.41284403669999</v>
      </c>
      <c r="AF13">
        <v>207</v>
      </c>
      <c r="AG13">
        <v>182.92270531400001</v>
      </c>
      <c r="AH13">
        <v>6</v>
      </c>
      <c r="AI13">
        <v>189.6666666667</v>
      </c>
      <c r="AL13" t="s">
        <v>410</v>
      </c>
      <c r="AM13">
        <v>32</v>
      </c>
      <c r="AN13">
        <v>22</v>
      </c>
      <c r="AO13">
        <v>113</v>
      </c>
      <c r="AP13">
        <v>12</v>
      </c>
      <c r="AQ13">
        <v>188.1666666667</v>
      </c>
      <c r="AR13">
        <v>8</v>
      </c>
      <c r="AS13">
        <v>180.875</v>
      </c>
      <c r="AT13">
        <v>1</v>
      </c>
      <c r="AU13">
        <v>130</v>
      </c>
      <c r="AV13">
        <v>1</v>
      </c>
      <c r="AW13">
        <v>428</v>
      </c>
    </row>
    <row r="14" spans="2:51" x14ac:dyDescent="0.2">
      <c r="F14" t="s">
        <v>44</v>
      </c>
      <c r="G14">
        <v>1114</v>
      </c>
      <c r="H14">
        <v>603</v>
      </c>
      <c r="I14">
        <v>153.4029850746</v>
      </c>
      <c r="J14">
        <v>228</v>
      </c>
      <c r="K14">
        <v>293.69736842110001</v>
      </c>
      <c r="L14">
        <v>384</v>
      </c>
      <c r="M14">
        <v>266.8984375</v>
      </c>
      <c r="N14">
        <v>125</v>
      </c>
      <c r="O14">
        <v>234.024</v>
      </c>
      <c r="R14">
        <v>2</v>
      </c>
      <c r="S14">
        <v>133.5</v>
      </c>
      <c r="V14" t="s">
        <v>411</v>
      </c>
      <c r="W14">
        <v>2225</v>
      </c>
      <c r="X14">
        <v>1075</v>
      </c>
      <c r="Y14">
        <v>149.6148837209</v>
      </c>
      <c r="Z14">
        <v>472</v>
      </c>
      <c r="AA14">
        <v>240.70550847460001</v>
      </c>
      <c r="AB14">
        <v>830</v>
      </c>
      <c r="AC14">
        <v>323.06746987949998</v>
      </c>
      <c r="AD14">
        <v>93</v>
      </c>
      <c r="AE14">
        <v>163.21505376339999</v>
      </c>
      <c r="AF14">
        <v>227</v>
      </c>
      <c r="AG14">
        <v>164.82819383259999</v>
      </c>
      <c r="AL14" t="s">
        <v>411</v>
      </c>
      <c r="AM14">
        <v>34</v>
      </c>
      <c r="AN14">
        <v>18</v>
      </c>
      <c r="AO14">
        <v>73.222222222200003</v>
      </c>
      <c r="AP14">
        <v>22</v>
      </c>
      <c r="AQ14">
        <v>198.5909090909</v>
      </c>
      <c r="AR14">
        <v>9</v>
      </c>
      <c r="AS14">
        <v>225</v>
      </c>
      <c r="AT14">
        <v>7</v>
      </c>
      <c r="AU14">
        <v>139.28571428570001</v>
      </c>
    </row>
    <row r="15" spans="2:51" x14ac:dyDescent="0.2">
      <c r="F15" t="s">
        <v>77</v>
      </c>
      <c r="G15">
        <v>228</v>
      </c>
      <c r="H15">
        <v>89</v>
      </c>
      <c r="I15">
        <v>103.84269662920001</v>
      </c>
      <c r="J15">
        <v>88</v>
      </c>
      <c r="K15">
        <v>186.01136363640001</v>
      </c>
      <c r="L15">
        <v>89</v>
      </c>
      <c r="M15">
        <v>188.84269662919999</v>
      </c>
      <c r="N15">
        <v>48</v>
      </c>
      <c r="O15">
        <v>247.0208333333</v>
      </c>
      <c r="R15">
        <v>2</v>
      </c>
      <c r="S15">
        <v>233.5</v>
      </c>
      <c r="V15" t="s">
        <v>406</v>
      </c>
      <c r="W15">
        <v>3136</v>
      </c>
      <c r="X15">
        <v>2425</v>
      </c>
      <c r="Y15">
        <v>293.89855670100002</v>
      </c>
      <c r="Z15">
        <v>211</v>
      </c>
      <c r="AA15">
        <v>578.40758293839997</v>
      </c>
      <c r="AB15">
        <v>509</v>
      </c>
      <c r="AC15">
        <v>316.03732809429999</v>
      </c>
      <c r="AD15">
        <v>75</v>
      </c>
      <c r="AE15">
        <v>204.18666666670001</v>
      </c>
      <c r="AF15">
        <v>127</v>
      </c>
      <c r="AG15">
        <v>116.4251968504</v>
      </c>
      <c r="AL15" t="s">
        <v>406</v>
      </c>
      <c r="AM15">
        <v>73</v>
      </c>
      <c r="AN15">
        <v>56</v>
      </c>
      <c r="AO15">
        <v>214.16071428570001</v>
      </c>
      <c r="AP15">
        <v>8</v>
      </c>
      <c r="AQ15">
        <v>288.375</v>
      </c>
      <c r="AR15">
        <v>13</v>
      </c>
      <c r="AS15">
        <v>227.4615384615</v>
      </c>
      <c r="AT15">
        <v>3</v>
      </c>
      <c r="AU15">
        <v>102.3333333333</v>
      </c>
      <c r="AV15">
        <v>1</v>
      </c>
      <c r="AW15">
        <v>30</v>
      </c>
    </row>
    <row r="16" spans="2:51" x14ac:dyDescent="0.2">
      <c r="F16" t="s">
        <v>51</v>
      </c>
      <c r="G16">
        <v>8105</v>
      </c>
      <c r="H16">
        <v>6096</v>
      </c>
      <c r="I16">
        <v>467.96325459320002</v>
      </c>
      <c r="J16">
        <v>269</v>
      </c>
      <c r="K16">
        <v>738.94052044609998</v>
      </c>
      <c r="L16">
        <v>1608</v>
      </c>
      <c r="M16">
        <v>872.19713930349997</v>
      </c>
      <c r="N16">
        <v>401</v>
      </c>
      <c r="O16">
        <v>633.75311720699995</v>
      </c>
      <c r="V16" t="s">
        <v>429</v>
      </c>
      <c r="W16">
        <v>375</v>
      </c>
      <c r="X16">
        <v>271</v>
      </c>
      <c r="Y16">
        <v>233.32841328410001</v>
      </c>
      <c r="Z16">
        <v>35</v>
      </c>
      <c r="AA16">
        <v>485.85714285709997</v>
      </c>
      <c r="AB16">
        <v>64</v>
      </c>
      <c r="AC16">
        <v>191.203125</v>
      </c>
      <c r="AD16">
        <v>10</v>
      </c>
      <c r="AE16">
        <v>241.3</v>
      </c>
      <c r="AF16">
        <v>30</v>
      </c>
      <c r="AG16">
        <v>136.5666666667</v>
      </c>
      <c r="AL16" t="s">
        <v>429</v>
      </c>
      <c r="AM16">
        <v>5</v>
      </c>
      <c r="AN16">
        <v>4</v>
      </c>
      <c r="AO16">
        <v>28.25</v>
      </c>
      <c r="AP16">
        <v>4</v>
      </c>
      <c r="AQ16">
        <v>320</v>
      </c>
      <c r="AT16">
        <v>1</v>
      </c>
      <c r="AU16">
        <v>79</v>
      </c>
    </row>
    <row r="17" spans="6:49" x14ac:dyDescent="0.2">
      <c r="F17" t="s">
        <v>400</v>
      </c>
      <c r="G17">
        <v>50830</v>
      </c>
      <c r="H17">
        <v>36884</v>
      </c>
      <c r="I17">
        <v>431.29896432060002</v>
      </c>
      <c r="J17">
        <v>3383</v>
      </c>
      <c r="K17">
        <v>487.9822642625</v>
      </c>
      <c r="L17">
        <v>10261</v>
      </c>
      <c r="M17">
        <v>725.22356495470001</v>
      </c>
      <c r="N17">
        <v>3645</v>
      </c>
      <c r="O17">
        <v>535.43511659809997</v>
      </c>
      <c r="R17">
        <v>40</v>
      </c>
      <c r="S17">
        <v>527.54999999999995</v>
      </c>
      <c r="V17" t="s">
        <v>430</v>
      </c>
      <c r="W17">
        <v>199</v>
      </c>
      <c r="X17">
        <v>38</v>
      </c>
      <c r="Y17">
        <v>355.07894736840001</v>
      </c>
      <c r="Z17">
        <v>21</v>
      </c>
      <c r="AA17">
        <v>292.47619047619997</v>
      </c>
      <c r="AB17">
        <v>60</v>
      </c>
      <c r="AC17">
        <v>311.98333333329998</v>
      </c>
      <c r="AD17">
        <v>47</v>
      </c>
      <c r="AE17">
        <v>249.55319148940001</v>
      </c>
      <c r="AF17">
        <v>52</v>
      </c>
      <c r="AG17">
        <v>159.4038461538</v>
      </c>
      <c r="AH17">
        <v>2</v>
      </c>
      <c r="AI17">
        <v>233.5</v>
      </c>
      <c r="AL17" t="s">
        <v>430</v>
      </c>
      <c r="AM17">
        <v>9</v>
      </c>
      <c r="AN17">
        <v>6</v>
      </c>
      <c r="AO17">
        <v>110.8333333333</v>
      </c>
      <c r="AP17">
        <v>6</v>
      </c>
      <c r="AQ17">
        <v>195.1666666667</v>
      </c>
      <c r="AR17">
        <v>2</v>
      </c>
      <c r="AS17">
        <v>81</v>
      </c>
      <c r="AT17">
        <v>1</v>
      </c>
      <c r="AU17">
        <v>117</v>
      </c>
    </row>
    <row r="18" spans="6:49" x14ac:dyDescent="0.2">
      <c r="F18" t="s">
        <v>71</v>
      </c>
      <c r="G18">
        <v>2590</v>
      </c>
      <c r="H18">
        <v>2077</v>
      </c>
      <c r="I18">
        <v>258.25084256140002</v>
      </c>
      <c r="J18">
        <v>179</v>
      </c>
      <c r="K18">
        <v>658.98324022350005</v>
      </c>
      <c r="L18">
        <v>300</v>
      </c>
      <c r="M18">
        <v>257.12666666669998</v>
      </c>
      <c r="N18">
        <v>208</v>
      </c>
      <c r="O18">
        <v>496.01923076920002</v>
      </c>
      <c r="R18">
        <v>5</v>
      </c>
      <c r="S18">
        <v>667.8</v>
      </c>
      <c r="V18" t="s">
        <v>400</v>
      </c>
      <c r="W18">
        <v>52844</v>
      </c>
      <c r="X18">
        <v>36517</v>
      </c>
      <c r="Y18">
        <v>431.28800284800002</v>
      </c>
      <c r="Z18">
        <v>3335</v>
      </c>
      <c r="AA18">
        <v>490.72203898049997</v>
      </c>
      <c r="AB18">
        <v>10215</v>
      </c>
      <c r="AC18">
        <v>724.90220264319998</v>
      </c>
      <c r="AD18">
        <v>3681</v>
      </c>
      <c r="AE18">
        <v>533.73729964680001</v>
      </c>
      <c r="AF18">
        <v>2389</v>
      </c>
      <c r="AG18">
        <v>177.39053997490001</v>
      </c>
      <c r="AH18">
        <v>42</v>
      </c>
      <c r="AI18">
        <v>507.57142857140002</v>
      </c>
      <c r="AL18" t="s">
        <v>400</v>
      </c>
      <c r="AM18">
        <v>1281</v>
      </c>
      <c r="AN18">
        <v>1049</v>
      </c>
      <c r="AO18">
        <v>284.9246901811</v>
      </c>
      <c r="AP18">
        <v>223</v>
      </c>
      <c r="AQ18">
        <v>473.66367713</v>
      </c>
      <c r="AR18">
        <v>196</v>
      </c>
      <c r="AS18">
        <v>338.19387755100001</v>
      </c>
      <c r="AT18">
        <v>30</v>
      </c>
      <c r="AU18">
        <v>105.1333333333</v>
      </c>
      <c r="AV18">
        <v>6</v>
      </c>
      <c r="AW18">
        <v>171.8333333333</v>
      </c>
    </row>
    <row r="19" spans="6:49" x14ac:dyDescent="0.2">
      <c r="F19" t="s">
        <v>37</v>
      </c>
      <c r="G19">
        <v>972</v>
      </c>
      <c r="H19">
        <v>543</v>
      </c>
      <c r="I19">
        <v>251.57458563540001</v>
      </c>
      <c r="J19">
        <v>132</v>
      </c>
      <c r="K19">
        <v>389.93939393940002</v>
      </c>
      <c r="L19">
        <v>249</v>
      </c>
      <c r="M19">
        <v>232.39759036140001</v>
      </c>
      <c r="N19">
        <v>174</v>
      </c>
      <c r="O19">
        <v>505.82183908050001</v>
      </c>
      <c r="R19">
        <v>6</v>
      </c>
      <c r="S19">
        <v>270.6666666667</v>
      </c>
      <c r="V19" t="s">
        <v>418</v>
      </c>
      <c r="W19">
        <v>1049</v>
      </c>
      <c r="X19">
        <v>566</v>
      </c>
      <c r="Y19">
        <v>267.19964664309998</v>
      </c>
      <c r="Z19">
        <v>137</v>
      </c>
      <c r="AA19">
        <v>406.45255474449999</v>
      </c>
      <c r="AB19">
        <v>241</v>
      </c>
      <c r="AC19">
        <v>245.71784232370001</v>
      </c>
      <c r="AD19">
        <v>163</v>
      </c>
      <c r="AE19">
        <v>507.11656441719998</v>
      </c>
      <c r="AF19">
        <v>75</v>
      </c>
      <c r="AG19">
        <v>202.5066666667</v>
      </c>
      <c r="AH19">
        <v>4</v>
      </c>
      <c r="AI19">
        <v>310.25</v>
      </c>
      <c r="AL19" t="s">
        <v>418</v>
      </c>
      <c r="AM19">
        <v>12</v>
      </c>
      <c r="AN19">
        <v>9</v>
      </c>
      <c r="AO19">
        <v>159.3333333333</v>
      </c>
      <c r="AP19">
        <v>12</v>
      </c>
      <c r="AQ19">
        <v>234.4166666667</v>
      </c>
      <c r="AR19">
        <v>3</v>
      </c>
      <c r="AS19">
        <v>186.6666666667</v>
      </c>
    </row>
    <row r="20" spans="6:49" x14ac:dyDescent="0.2">
      <c r="F20" t="s">
        <v>58</v>
      </c>
      <c r="G20">
        <v>1035</v>
      </c>
      <c r="H20">
        <v>417</v>
      </c>
      <c r="I20">
        <v>174.31175059949999</v>
      </c>
      <c r="J20">
        <v>179</v>
      </c>
      <c r="K20">
        <v>318.10614525139999</v>
      </c>
      <c r="L20">
        <v>265</v>
      </c>
      <c r="M20">
        <v>311.9660377358</v>
      </c>
      <c r="N20">
        <v>351</v>
      </c>
      <c r="O20">
        <v>533.33333333329995</v>
      </c>
      <c r="R20">
        <v>2</v>
      </c>
      <c r="S20">
        <v>654</v>
      </c>
      <c r="V20" t="s">
        <v>434</v>
      </c>
      <c r="W20">
        <v>341</v>
      </c>
      <c r="X20">
        <v>208</v>
      </c>
      <c r="Y20">
        <v>190.95673076919999</v>
      </c>
      <c r="Z20">
        <v>71</v>
      </c>
      <c r="AA20">
        <v>348.35211267609998</v>
      </c>
      <c r="AB20">
        <v>43</v>
      </c>
      <c r="AC20">
        <v>382.3023255814</v>
      </c>
      <c r="AD20">
        <v>48</v>
      </c>
      <c r="AE20">
        <v>549.6875</v>
      </c>
      <c r="AF20">
        <v>40</v>
      </c>
      <c r="AG20">
        <v>98.625</v>
      </c>
      <c r="AH20">
        <v>2</v>
      </c>
      <c r="AI20">
        <v>537</v>
      </c>
      <c r="AL20" t="s">
        <v>434</v>
      </c>
      <c r="AM20">
        <v>5</v>
      </c>
      <c r="AN20">
        <v>5</v>
      </c>
      <c r="AO20">
        <v>126.8</v>
      </c>
      <c r="AP20">
        <v>1</v>
      </c>
      <c r="AQ20">
        <v>288</v>
      </c>
    </row>
    <row r="21" spans="6:49" x14ac:dyDescent="0.2">
      <c r="F21" t="s">
        <v>65</v>
      </c>
      <c r="G21">
        <v>8639</v>
      </c>
      <c r="H21">
        <v>6787</v>
      </c>
      <c r="I21">
        <v>396.8361573597</v>
      </c>
      <c r="J21">
        <v>550</v>
      </c>
      <c r="K21">
        <v>719.88181818179999</v>
      </c>
      <c r="L21">
        <v>1442</v>
      </c>
      <c r="M21">
        <v>715.86338418859998</v>
      </c>
      <c r="N21">
        <v>398</v>
      </c>
      <c r="O21">
        <v>690.0854271357</v>
      </c>
      <c r="R21">
        <v>12</v>
      </c>
      <c r="S21">
        <v>555.66666666670005</v>
      </c>
      <c r="V21" t="s">
        <v>438</v>
      </c>
      <c r="W21">
        <v>1010</v>
      </c>
      <c r="X21">
        <v>754</v>
      </c>
      <c r="Y21">
        <v>301.97214854110001</v>
      </c>
      <c r="Z21">
        <v>64</v>
      </c>
      <c r="AA21">
        <v>579.5</v>
      </c>
      <c r="AB21">
        <v>138</v>
      </c>
      <c r="AC21">
        <v>355.34782608699999</v>
      </c>
      <c r="AD21">
        <v>53</v>
      </c>
      <c r="AE21">
        <v>470.96226415090001</v>
      </c>
      <c r="AF21">
        <v>62</v>
      </c>
      <c r="AG21">
        <v>147.29032258059999</v>
      </c>
      <c r="AH21">
        <v>3</v>
      </c>
      <c r="AI21">
        <v>195.6666666667</v>
      </c>
      <c r="AL21" t="s">
        <v>438</v>
      </c>
      <c r="AM21">
        <v>13</v>
      </c>
      <c r="AN21">
        <v>8</v>
      </c>
      <c r="AO21">
        <v>251.625</v>
      </c>
      <c r="AP21">
        <v>2</v>
      </c>
      <c r="AQ21">
        <v>235.5</v>
      </c>
      <c r="AR21">
        <v>4</v>
      </c>
      <c r="AS21">
        <v>291</v>
      </c>
      <c r="AT21">
        <v>1</v>
      </c>
      <c r="AU21">
        <v>81</v>
      </c>
    </row>
    <row r="22" spans="6:49" x14ac:dyDescent="0.2">
      <c r="F22" t="s">
        <v>67</v>
      </c>
      <c r="G22">
        <v>6954</v>
      </c>
      <c r="H22">
        <v>4842</v>
      </c>
      <c r="I22">
        <v>345.24638579100002</v>
      </c>
      <c r="J22">
        <v>402</v>
      </c>
      <c r="K22">
        <v>682.93283582089998</v>
      </c>
      <c r="L22">
        <v>1758</v>
      </c>
      <c r="M22">
        <v>702.94937428900005</v>
      </c>
      <c r="N22">
        <v>337</v>
      </c>
      <c r="O22">
        <v>628.36795252230002</v>
      </c>
      <c r="R22">
        <v>17</v>
      </c>
      <c r="S22">
        <v>719.8823529412</v>
      </c>
      <c r="V22" t="s">
        <v>423</v>
      </c>
      <c r="W22">
        <v>2701</v>
      </c>
      <c r="X22">
        <v>2040</v>
      </c>
      <c r="Y22">
        <v>261.23921568629999</v>
      </c>
      <c r="Z22">
        <v>169</v>
      </c>
      <c r="AA22">
        <v>618.02366863910004</v>
      </c>
      <c r="AB22">
        <v>307</v>
      </c>
      <c r="AC22">
        <v>293.32247556999999</v>
      </c>
      <c r="AD22">
        <v>213</v>
      </c>
      <c r="AE22">
        <v>471.99061032859998</v>
      </c>
      <c r="AF22">
        <v>136</v>
      </c>
      <c r="AG22">
        <v>215.2573529412</v>
      </c>
      <c r="AH22">
        <v>5</v>
      </c>
      <c r="AI22">
        <v>667.8</v>
      </c>
      <c r="AL22" t="s">
        <v>423</v>
      </c>
      <c r="AM22">
        <v>56</v>
      </c>
      <c r="AN22">
        <v>37</v>
      </c>
      <c r="AO22">
        <v>149.54054054049999</v>
      </c>
      <c r="AP22">
        <v>25</v>
      </c>
      <c r="AQ22">
        <v>256.8</v>
      </c>
      <c r="AR22">
        <v>13</v>
      </c>
      <c r="AS22">
        <v>189.07692307689999</v>
      </c>
      <c r="AT22">
        <v>5</v>
      </c>
      <c r="AU22">
        <v>119.2</v>
      </c>
      <c r="AV22">
        <v>1</v>
      </c>
      <c r="AW22">
        <v>3</v>
      </c>
    </row>
    <row r="23" spans="6:49" x14ac:dyDescent="0.2">
      <c r="F23" t="s">
        <v>76</v>
      </c>
      <c r="G23">
        <v>4562</v>
      </c>
      <c r="H23">
        <v>3526</v>
      </c>
      <c r="I23">
        <v>274.41775382869997</v>
      </c>
      <c r="J23">
        <v>284</v>
      </c>
      <c r="K23">
        <v>616.15492957749996</v>
      </c>
      <c r="L23">
        <v>787</v>
      </c>
      <c r="M23">
        <v>431.83862770010001</v>
      </c>
      <c r="N23">
        <v>241</v>
      </c>
      <c r="O23">
        <v>539.84647302899998</v>
      </c>
      <c r="R23">
        <v>8</v>
      </c>
      <c r="S23">
        <v>391.25</v>
      </c>
      <c r="V23" t="s">
        <v>419</v>
      </c>
      <c r="W23">
        <v>5354</v>
      </c>
      <c r="X23">
        <v>3433</v>
      </c>
      <c r="Y23">
        <v>372.06117098750002</v>
      </c>
      <c r="Z23">
        <v>308</v>
      </c>
      <c r="AA23">
        <v>627.50649350649996</v>
      </c>
      <c r="AB23">
        <v>1565</v>
      </c>
      <c r="AC23">
        <v>522.96166134190003</v>
      </c>
      <c r="AD23">
        <v>195</v>
      </c>
      <c r="AE23">
        <v>494.75897435899998</v>
      </c>
      <c r="AF23">
        <v>153</v>
      </c>
      <c r="AG23">
        <v>188.4248366013</v>
      </c>
      <c r="AH23">
        <v>8</v>
      </c>
      <c r="AI23">
        <v>278.5</v>
      </c>
      <c r="AL23" t="s">
        <v>419</v>
      </c>
      <c r="AM23">
        <v>35</v>
      </c>
      <c r="AN23">
        <v>24</v>
      </c>
      <c r="AO23">
        <v>115.5833333333</v>
      </c>
      <c r="AP23">
        <v>31</v>
      </c>
      <c r="AQ23">
        <v>303.8387096774</v>
      </c>
      <c r="AR23">
        <v>11</v>
      </c>
      <c r="AS23">
        <v>260.72727272729998</v>
      </c>
    </row>
    <row r="24" spans="6:49" x14ac:dyDescent="0.2">
      <c r="F24" t="s">
        <v>48</v>
      </c>
      <c r="G24">
        <v>1182</v>
      </c>
      <c r="H24">
        <v>919</v>
      </c>
      <c r="I24">
        <v>301.83460282919998</v>
      </c>
      <c r="J24">
        <v>81</v>
      </c>
      <c r="K24">
        <v>553.44444444440001</v>
      </c>
      <c r="L24">
        <v>197</v>
      </c>
      <c r="M24">
        <v>408.20812182740002</v>
      </c>
      <c r="N24">
        <v>62</v>
      </c>
      <c r="O24">
        <v>475.80645161289999</v>
      </c>
      <c r="R24">
        <v>4</v>
      </c>
      <c r="S24">
        <v>184</v>
      </c>
      <c r="V24" t="s">
        <v>436</v>
      </c>
      <c r="W24">
        <v>7007</v>
      </c>
      <c r="X24">
        <v>4811</v>
      </c>
      <c r="Y24">
        <v>346.25753481599997</v>
      </c>
      <c r="Z24">
        <v>402</v>
      </c>
      <c r="AA24">
        <v>675.90049751239997</v>
      </c>
      <c r="AB24">
        <v>1694</v>
      </c>
      <c r="AC24">
        <v>682.08913813460003</v>
      </c>
      <c r="AD24">
        <v>336</v>
      </c>
      <c r="AE24">
        <v>602.21428571429999</v>
      </c>
      <c r="AF24">
        <v>148</v>
      </c>
      <c r="AG24">
        <v>232.87837837839999</v>
      </c>
      <c r="AH24">
        <v>18</v>
      </c>
      <c r="AI24">
        <v>712.2777777778</v>
      </c>
      <c r="AL24" t="s">
        <v>436</v>
      </c>
      <c r="AM24">
        <v>76</v>
      </c>
      <c r="AN24">
        <v>57</v>
      </c>
      <c r="AO24">
        <v>148.47368421050001</v>
      </c>
      <c r="AP24">
        <v>31</v>
      </c>
      <c r="AQ24">
        <v>241</v>
      </c>
      <c r="AR24">
        <v>18</v>
      </c>
      <c r="AS24">
        <v>255.94444444440001</v>
      </c>
      <c r="AT24">
        <v>1</v>
      </c>
      <c r="AU24">
        <v>89</v>
      </c>
    </row>
    <row r="25" spans="6:49" x14ac:dyDescent="0.2">
      <c r="F25" t="s">
        <v>69</v>
      </c>
      <c r="G25">
        <v>5272</v>
      </c>
      <c r="H25">
        <v>3467</v>
      </c>
      <c r="I25">
        <v>374.89039515429999</v>
      </c>
      <c r="J25">
        <v>315</v>
      </c>
      <c r="K25">
        <v>633.91111111110001</v>
      </c>
      <c r="L25">
        <v>1606</v>
      </c>
      <c r="M25">
        <v>530.15877957659995</v>
      </c>
      <c r="N25">
        <v>192</v>
      </c>
      <c r="O25">
        <v>505.3489583333</v>
      </c>
      <c r="R25">
        <v>7</v>
      </c>
      <c r="S25">
        <v>248.71428571429999</v>
      </c>
      <c r="V25" t="s">
        <v>417</v>
      </c>
      <c r="W25">
        <v>17894</v>
      </c>
      <c r="X25">
        <v>13544</v>
      </c>
      <c r="Y25">
        <v>337.60277613699998</v>
      </c>
      <c r="Z25">
        <v>1854</v>
      </c>
      <c r="AA25">
        <v>539.02912621359997</v>
      </c>
      <c r="AB25">
        <v>2795</v>
      </c>
      <c r="AC25">
        <v>500.1602862254</v>
      </c>
      <c r="AD25">
        <v>857</v>
      </c>
      <c r="AE25">
        <v>504.83780630109999</v>
      </c>
      <c r="AF25">
        <v>672</v>
      </c>
      <c r="AG25">
        <v>181.47470238099999</v>
      </c>
      <c r="AH25">
        <v>26</v>
      </c>
      <c r="AI25">
        <v>486.38461538460001</v>
      </c>
      <c r="AL25" t="s">
        <v>417</v>
      </c>
      <c r="AM25">
        <v>324</v>
      </c>
      <c r="AN25">
        <v>231</v>
      </c>
      <c r="AO25">
        <v>146.48051948049999</v>
      </c>
      <c r="AP25">
        <v>164</v>
      </c>
      <c r="AQ25">
        <v>248.05487804879999</v>
      </c>
      <c r="AR25">
        <v>75</v>
      </c>
      <c r="AS25">
        <v>189.38666666669999</v>
      </c>
      <c r="AT25">
        <v>12</v>
      </c>
      <c r="AU25">
        <v>107.25</v>
      </c>
      <c r="AV25">
        <v>6</v>
      </c>
      <c r="AW25">
        <v>2</v>
      </c>
    </row>
    <row r="26" spans="6:49" x14ac:dyDescent="0.2">
      <c r="F26" t="s">
        <v>35</v>
      </c>
      <c r="G26">
        <v>264</v>
      </c>
      <c r="H26">
        <v>173</v>
      </c>
      <c r="I26">
        <v>147.15606936419999</v>
      </c>
      <c r="J26">
        <v>71</v>
      </c>
      <c r="K26">
        <v>316.69014084510002</v>
      </c>
      <c r="L26">
        <v>36</v>
      </c>
      <c r="M26">
        <v>288.3333333333</v>
      </c>
      <c r="N26">
        <v>53</v>
      </c>
      <c r="O26">
        <v>523.50943396230002</v>
      </c>
      <c r="R26">
        <v>2</v>
      </c>
      <c r="S26">
        <v>537</v>
      </c>
      <c r="V26" t="s">
        <v>415</v>
      </c>
      <c r="W26">
        <v>1928</v>
      </c>
      <c r="X26">
        <v>1454</v>
      </c>
      <c r="Y26">
        <v>313.10797799170001</v>
      </c>
      <c r="Z26">
        <v>279</v>
      </c>
      <c r="AA26">
        <v>532.52688172039996</v>
      </c>
      <c r="AB26">
        <v>272</v>
      </c>
      <c r="AC26">
        <v>315.6470588235</v>
      </c>
      <c r="AD26">
        <v>114</v>
      </c>
      <c r="AE26">
        <v>389</v>
      </c>
      <c r="AF26">
        <v>88</v>
      </c>
      <c r="AG26">
        <v>127.9659090909</v>
      </c>
      <c r="AL26" t="s">
        <v>415</v>
      </c>
      <c r="AM26">
        <v>25</v>
      </c>
      <c r="AN26">
        <v>18</v>
      </c>
      <c r="AO26">
        <v>186.3333333333</v>
      </c>
      <c r="AP26">
        <v>20</v>
      </c>
      <c r="AQ26">
        <v>207.55</v>
      </c>
      <c r="AR26">
        <v>7</v>
      </c>
      <c r="AS26">
        <v>162.28571428570001</v>
      </c>
    </row>
    <row r="27" spans="6:49" x14ac:dyDescent="0.2">
      <c r="F27" t="s">
        <v>74</v>
      </c>
      <c r="G27">
        <v>4021</v>
      </c>
      <c r="H27">
        <v>3291</v>
      </c>
      <c r="I27">
        <v>196.0835612276</v>
      </c>
      <c r="J27">
        <v>777</v>
      </c>
      <c r="K27">
        <v>339.81724581719999</v>
      </c>
      <c r="L27">
        <v>561</v>
      </c>
      <c r="M27">
        <v>149.38324420679999</v>
      </c>
      <c r="N27">
        <v>158</v>
      </c>
      <c r="O27">
        <v>198.61392405059999</v>
      </c>
      <c r="R27">
        <v>11</v>
      </c>
      <c r="S27">
        <v>283.8181818182</v>
      </c>
      <c r="V27" t="s">
        <v>83</v>
      </c>
      <c r="W27">
        <v>4789</v>
      </c>
      <c r="X27">
        <v>3535</v>
      </c>
      <c r="Y27">
        <v>278.95134370580001</v>
      </c>
      <c r="Z27">
        <v>283</v>
      </c>
      <c r="AA27">
        <v>595.91519434630004</v>
      </c>
      <c r="AB27">
        <v>811</v>
      </c>
      <c r="AC27">
        <v>459.43403205919998</v>
      </c>
      <c r="AD27">
        <v>246</v>
      </c>
      <c r="AE27">
        <v>529.89430894309999</v>
      </c>
      <c r="AF27">
        <v>191</v>
      </c>
      <c r="AG27">
        <v>155.54450261779999</v>
      </c>
      <c r="AH27">
        <v>6</v>
      </c>
      <c r="AI27">
        <v>295.5</v>
      </c>
      <c r="AL27" t="s">
        <v>83</v>
      </c>
      <c r="AM27">
        <v>78</v>
      </c>
      <c r="AN27">
        <v>57</v>
      </c>
      <c r="AO27">
        <v>90.859649122799993</v>
      </c>
      <c r="AP27">
        <v>39</v>
      </c>
      <c r="AQ27">
        <v>265.56410256409998</v>
      </c>
      <c r="AR27">
        <v>19</v>
      </c>
      <c r="AS27">
        <v>189.84210526320001</v>
      </c>
      <c r="AT27">
        <v>1</v>
      </c>
      <c r="AU27">
        <v>130</v>
      </c>
      <c r="AV27">
        <v>1</v>
      </c>
      <c r="AW27">
        <v>53</v>
      </c>
    </row>
    <row r="28" spans="6:49" x14ac:dyDescent="0.2">
      <c r="F28" t="s">
        <v>34</v>
      </c>
      <c r="G28">
        <v>1798</v>
      </c>
      <c r="H28">
        <v>1415</v>
      </c>
      <c r="I28">
        <v>316.9703180212</v>
      </c>
      <c r="J28">
        <v>285</v>
      </c>
      <c r="K28">
        <v>540.77543859649995</v>
      </c>
      <c r="L28">
        <v>274</v>
      </c>
      <c r="M28">
        <v>312.01824817519997</v>
      </c>
      <c r="N28">
        <v>109</v>
      </c>
      <c r="O28">
        <v>360.36697247709998</v>
      </c>
      <c r="V28" t="s">
        <v>414</v>
      </c>
      <c r="W28">
        <v>42073</v>
      </c>
      <c r="X28">
        <v>30345</v>
      </c>
      <c r="Y28">
        <v>326.52970835389999</v>
      </c>
      <c r="Z28">
        <v>3567</v>
      </c>
      <c r="AA28">
        <v>561.68040370059998</v>
      </c>
      <c r="AB28">
        <v>7866</v>
      </c>
      <c r="AC28">
        <v>514.24408848209998</v>
      </c>
      <c r="AD28">
        <v>2225</v>
      </c>
      <c r="AE28">
        <v>512.67775280900003</v>
      </c>
      <c r="AF28">
        <v>1565</v>
      </c>
      <c r="AG28">
        <v>181.3137380192</v>
      </c>
      <c r="AH28">
        <v>72</v>
      </c>
      <c r="AI28">
        <v>495.9583333333</v>
      </c>
      <c r="AL28" t="s">
        <v>414</v>
      </c>
      <c r="AM28">
        <v>624</v>
      </c>
      <c r="AN28">
        <v>446</v>
      </c>
      <c r="AO28">
        <v>141.75112107620001</v>
      </c>
      <c r="AP28">
        <v>325</v>
      </c>
      <c r="AQ28">
        <v>252.5261538462</v>
      </c>
      <c r="AR28">
        <v>150</v>
      </c>
      <c r="AS28">
        <v>204.02666666670001</v>
      </c>
      <c r="AT28">
        <v>20</v>
      </c>
      <c r="AU28">
        <v>109.15</v>
      </c>
      <c r="AV28">
        <v>8</v>
      </c>
      <c r="AW28">
        <v>8.5</v>
      </c>
    </row>
    <row r="29" spans="6:49" x14ac:dyDescent="0.2">
      <c r="F29" t="s">
        <v>55</v>
      </c>
      <c r="G29">
        <v>4521</v>
      </c>
      <c r="H29">
        <v>3525</v>
      </c>
      <c r="I29">
        <v>344.80992907799998</v>
      </c>
      <c r="J29">
        <v>541</v>
      </c>
      <c r="K29">
        <v>646.57670979670002</v>
      </c>
      <c r="L29">
        <v>766</v>
      </c>
      <c r="M29">
        <v>347.68929503919998</v>
      </c>
      <c r="N29">
        <v>227</v>
      </c>
      <c r="O29">
        <v>352.36123348019999</v>
      </c>
      <c r="R29">
        <v>3</v>
      </c>
      <c r="S29">
        <v>846.66666666670005</v>
      </c>
      <c r="V29" t="s">
        <v>398</v>
      </c>
      <c r="W29">
        <v>10806</v>
      </c>
      <c r="X29">
        <v>5456</v>
      </c>
      <c r="Y29">
        <v>310.61620234600002</v>
      </c>
      <c r="Z29">
        <v>764</v>
      </c>
      <c r="AA29">
        <v>664.55759162300001</v>
      </c>
      <c r="AB29">
        <v>3715</v>
      </c>
      <c r="AC29">
        <v>859.61049798119996</v>
      </c>
      <c r="AD29">
        <v>1107</v>
      </c>
      <c r="AE29">
        <v>544.10569105690001</v>
      </c>
      <c r="AF29">
        <v>508</v>
      </c>
      <c r="AG29">
        <v>199.3523622047</v>
      </c>
      <c r="AH29">
        <v>20</v>
      </c>
      <c r="AI29">
        <v>452.65</v>
      </c>
      <c r="AL29" t="s">
        <v>398</v>
      </c>
      <c r="AM29">
        <v>182</v>
      </c>
      <c r="AN29">
        <v>140</v>
      </c>
      <c r="AO29">
        <v>271.37142857139997</v>
      </c>
      <c r="AP29">
        <v>10</v>
      </c>
      <c r="AQ29">
        <v>427</v>
      </c>
      <c r="AR29">
        <v>37</v>
      </c>
      <c r="AS29">
        <v>393.40540540540002</v>
      </c>
      <c r="AT29">
        <v>5</v>
      </c>
      <c r="AU29">
        <v>50.2</v>
      </c>
    </row>
    <row r="30" spans="6:49" x14ac:dyDescent="0.2">
      <c r="F30" t="s">
        <v>414</v>
      </c>
      <c r="G30">
        <v>41810</v>
      </c>
      <c r="H30">
        <v>30982</v>
      </c>
      <c r="I30">
        <v>322.45029371890001</v>
      </c>
      <c r="J30">
        <v>3796</v>
      </c>
      <c r="K30">
        <v>555.00158061119998</v>
      </c>
      <c r="L30">
        <v>8241</v>
      </c>
      <c r="M30">
        <v>510.06576871739998</v>
      </c>
      <c r="N30">
        <v>2510</v>
      </c>
      <c r="O30">
        <v>517.85737051789999</v>
      </c>
      <c r="R30">
        <v>77</v>
      </c>
      <c r="S30">
        <v>487.27272727270002</v>
      </c>
      <c r="V30" t="s">
        <v>435</v>
      </c>
      <c r="W30">
        <v>28142</v>
      </c>
      <c r="X30">
        <v>23580</v>
      </c>
      <c r="Y30">
        <v>452.7422815946</v>
      </c>
      <c r="Z30">
        <v>1500</v>
      </c>
      <c r="AA30">
        <v>801.77733333330002</v>
      </c>
      <c r="AB30">
        <v>1665</v>
      </c>
      <c r="AC30">
        <v>366.17537537539999</v>
      </c>
      <c r="AD30">
        <v>1798</v>
      </c>
      <c r="AE30">
        <v>340.89766407119998</v>
      </c>
      <c r="AF30">
        <v>1091</v>
      </c>
      <c r="AG30">
        <v>172.106324473</v>
      </c>
      <c r="AH30">
        <v>8</v>
      </c>
      <c r="AI30">
        <v>371.375</v>
      </c>
      <c r="AL30" t="s">
        <v>435</v>
      </c>
      <c r="AM30">
        <v>496</v>
      </c>
      <c r="AN30">
        <v>420</v>
      </c>
      <c r="AO30">
        <v>262.19285714289998</v>
      </c>
      <c r="AP30">
        <v>84</v>
      </c>
      <c r="AQ30">
        <v>350.38095238099999</v>
      </c>
      <c r="AR30">
        <v>63</v>
      </c>
      <c r="AS30">
        <v>210.53968253970001</v>
      </c>
      <c r="AT30">
        <v>12</v>
      </c>
      <c r="AU30">
        <v>175</v>
      </c>
      <c r="AV30">
        <v>1</v>
      </c>
      <c r="AW30">
        <v>106</v>
      </c>
    </row>
    <row r="31" spans="6:49" x14ac:dyDescent="0.2">
      <c r="F31" t="s">
        <v>25</v>
      </c>
      <c r="G31">
        <v>15733</v>
      </c>
      <c r="H31">
        <v>12798</v>
      </c>
      <c r="I31">
        <v>565.38310673540002</v>
      </c>
      <c r="J31">
        <v>676</v>
      </c>
      <c r="K31">
        <v>935.41272189350002</v>
      </c>
      <c r="L31">
        <v>2175</v>
      </c>
      <c r="M31">
        <v>510.95770114940001</v>
      </c>
      <c r="N31">
        <v>748</v>
      </c>
      <c r="O31">
        <v>391.24465240640001</v>
      </c>
      <c r="R31">
        <v>12</v>
      </c>
      <c r="S31">
        <v>382.25</v>
      </c>
      <c r="V31" t="s">
        <v>391</v>
      </c>
      <c r="W31">
        <v>16303</v>
      </c>
      <c r="X31">
        <v>12717</v>
      </c>
      <c r="Y31">
        <v>561.7860344421</v>
      </c>
      <c r="Z31">
        <v>699</v>
      </c>
      <c r="AA31">
        <v>914.40057224609996</v>
      </c>
      <c r="AB31">
        <v>2247</v>
      </c>
      <c r="AC31">
        <v>527.8682688028</v>
      </c>
      <c r="AD31">
        <v>789</v>
      </c>
      <c r="AE31">
        <v>397.81495564009998</v>
      </c>
      <c r="AF31">
        <v>539</v>
      </c>
      <c r="AG31">
        <v>164.02782931350001</v>
      </c>
      <c r="AH31">
        <v>11</v>
      </c>
      <c r="AI31">
        <v>406.72727272729998</v>
      </c>
      <c r="AL31" t="s">
        <v>391</v>
      </c>
      <c r="AM31">
        <v>344</v>
      </c>
      <c r="AN31">
        <v>293</v>
      </c>
      <c r="AO31">
        <v>273.74061433449998</v>
      </c>
      <c r="AP31">
        <v>69</v>
      </c>
      <c r="AQ31">
        <v>453.4347826087</v>
      </c>
      <c r="AR31">
        <v>41</v>
      </c>
      <c r="AS31">
        <v>238.9756097561</v>
      </c>
      <c r="AT31">
        <v>9</v>
      </c>
      <c r="AU31">
        <v>144.44444444440001</v>
      </c>
      <c r="AV31">
        <v>1</v>
      </c>
      <c r="AW31">
        <v>25</v>
      </c>
    </row>
    <row r="32" spans="6:49" x14ac:dyDescent="0.2">
      <c r="F32" t="s">
        <v>42</v>
      </c>
      <c r="G32">
        <v>11383</v>
      </c>
      <c r="H32">
        <v>8579</v>
      </c>
      <c r="I32">
        <v>326.89089637490002</v>
      </c>
      <c r="J32">
        <v>303</v>
      </c>
      <c r="K32">
        <v>745.83168316829995</v>
      </c>
      <c r="L32">
        <v>1976</v>
      </c>
      <c r="M32">
        <v>553.95293522270003</v>
      </c>
      <c r="N32">
        <v>802</v>
      </c>
      <c r="O32">
        <v>574.21695760600005</v>
      </c>
      <c r="R32">
        <v>26</v>
      </c>
      <c r="S32">
        <v>677.76923076920002</v>
      </c>
      <c r="V32" t="s">
        <v>403</v>
      </c>
      <c r="W32">
        <v>3331</v>
      </c>
      <c r="X32">
        <v>2205</v>
      </c>
      <c r="Y32">
        <v>472.41043083900001</v>
      </c>
      <c r="Z32">
        <v>296</v>
      </c>
      <c r="AA32">
        <v>442.13513513509997</v>
      </c>
      <c r="AB32">
        <v>484</v>
      </c>
      <c r="AC32">
        <v>653.95041322309999</v>
      </c>
      <c r="AD32">
        <v>451</v>
      </c>
      <c r="AE32">
        <v>523.81596452329995</v>
      </c>
      <c r="AF32">
        <v>186</v>
      </c>
      <c r="AG32">
        <v>173.4838709677</v>
      </c>
      <c r="AH32">
        <v>5</v>
      </c>
      <c r="AI32">
        <v>559.6</v>
      </c>
      <c r="AL32" t="s">
        <v>403</v>
      </c>
      <c r="AM32">
        <v>122</v>
      </c>
      <c r="AN32">
        <v>103</v>
      </c>
      <c r="AO32">
        <v>420.27184466019997</v>
      </c>
      <c r="AP32">
        <v>6</v>
      </c>
      <c r="AQ32">
        <v>334.5</v>
      </c>
      <c r="AR32">
        <v>16</v>
      </c>
      <c r="AS32">
        <v>398.375</v>
      </c>
      <c r="AT32">
        <v>2</v>
      </c>
      <c r="AU32">
        <v>75</v>
      </c>
      <c r="AV32">
        <v>1</v>
      </c>
      <c r="AW32">
        <v>458</v>
      </c>
    </row>
    <row r="33" spans="6:49" x14ac:dyDescent="0.2">
      <c r="F33" t="s">
        <v>75</v>
      </c>
      <c r="G33">
        <v>5916</v>
      </c>
      <c r="H33">
        <v>2656</v>
      </c>
      <c r="I33">
        <v>393.58621987949999</v>
      </c>
      <c r="J33">
        <v>264</v>
      </c>
      <c r="K33">
        <v>398.53030303029999</v>
      </c>
      <c r="L33">
        <v>2284</v>
      </c>
      <c r="M33">
        <v>661.99255691769997</v>
      </c>
      <c r="N33">
        <v>975</v>
      </c>
      <c r="O33">
        <v>938.62666666669998</v>
      </c>
      <c r="R33">
        <v>1</v>
      </c>
      <c r="S33">
        <v>326</v>
      </c>
      <c r="V33" t="s">
        <v>394</v>
      </c>
      <c r="W33">
        <v>7000</v>
      </c>
      <c r="X33">
        <v>4170</v>
      </c>
      <c r="Y33">
        <v>279.60503597119998</v>
      </c>
      <c r="Z33">
        <v>544</v>
      </c>
      <c r="AA33">
        <v>597.6599264706</v>
      </c>
      <c r="AB33">
        <v>1516</v>
      </c>
      <c r="AC33">
        <v>391.99142480210003</v>
      </c>
      <c r="AD33">
        <v>804</v>
      </c>
      <c r="AE33">
        <v>463.20895522389998</v>
      </c>
      <c r="AF33">
        <v>497</v>
      </c>
      <c r="AG33">
        <v>185.2112676056</v>
      </c>
      <c r="AH33">
        <v>13</v>
      </c>
      <c r="AI33">
        <v>425</v>
      </c>
      <c r="AL33" t="s">
        <v>394</v>
      </c>
      <c r="AM33">
        <v>223</v>
      </c>
      <c r="AN33">
        <v>184</v>
      </c>
      <c r="AO33">
        <v>251.6902173913</v>
      </c>
      <c r="AP33">
        <v>22</v>
      </c>
      <c r="AQ33">
        <v>394.8181818182</v>
      </c>
      <c r="AR33">
        <v>36</v>
      </c>
      <c r="AS33">
        <v>348.19444444440001</v>
      </c>
      <c r="AT33">
        <v>2</v>
      </c>
      <c r="AU33">
        <v>338</v>
      </c>
      <c r="AV33">
        <v>1</v>
      </c>
      <c r="AW33">
        <v>2</v>
      </c>
    </row>
    <row r="34" spans="6:49" x14ac:dyDescent="0.2">
      <c r="F34" t="s">
        <v>61</v>
      </c>
      <c r="G34">
        <v>6360</v>
      </c>
      <c r="H34">
        <v>4068</v>
      </c>
      <c r="I34">
        <v>262.79891838740002</v>
      </c>
      <c r="J34">
        <v>519</v>
      </c>
      <c r="K34">
        <v>583.93834296720001</v>
      </c>
      <c r="L34">
        <v>1471</v>
      </c>
      <c r="M34">
        <v>366.21549966010002</v>
      </c>
      <c r="N34">
        <v>807</v>
      </c>
      <c r="O34">
        <v>450.87856257739998</v>
      </c>
      <c r="R34">
        <v>14</v>
      </c>
      <c r="S34">
        <v>400.35714285709997</v>
      </c>
      <c r="V34" t="s">
        <v>437</v>
      </c>
      <c r="W34">
        <v>5995</v>
      </c>
      <c r="X34">
        <v>2580</v>
      </c>
      <c r="Y34">
        <v>392.92596899220001</v>
      </c>
      <c r="Z34">
        <v>264</v>
      </c>
      <c r="AA34">
        <v>398.65530303029999</v>
      </c>
      <c r="AB34">
        <v>2223</v>
      </c>
      <c r="AC34">
        <v>661.54295996400003</v>
      </c>
      <c r="AD34">
        <v>954</v>
      </c>
      <c r="AE34">
        <v>934.17819706499995</v>
      </c>
      <c r="AF34">
        <v>237</v>
      </c>
      <c r="AG34">
        <v>203.53586497890001</v>
      </c>
      <c r="AH34">
        <v>1</v>
      </c>
      <c r="AI34">
        <v>326</v>
      </c>
      <c r="AL34" t="s">
        <v>437</v>
      </c>
      <c r="AM34">
        <v>115</v>
      </c>
      <c r="AN34">
        <v>87</v>
      </c>
      <c r="AO34">
        <v>228.32183908050001</v>
      </c>
      <c r="AP34">
        <v>13</v>
      </c>
      <c r="AQ34">
        <v>328.30769230769999</v>
      </c>
      <c r="AR34">
        <v>17</v>
      </c>
      <c r="AS34">
        <v>244.23529411760001</v>
      </c>
      <c r="AT34">
        <v>10</v>
      </c>
      <c r="AU34">
        <v>87.7</v>
      </c>
      <c r="AV34">
        <v>1</v>
      </c>
      <c r="AW34">
        <v>94</v>
      </c>
    </row>
    <row r="35" spans="6:49" x14ac:dyDescent="0.2">
      <c r="F35" t="s">
        <v>56</v>
      </c>
      <c r="G35">
        <v>4504</v>
      </c>
      <c r="H35">
        <v>3134</v>
      </c>
      <c r="I35">
        <v>492.84301212510002</v>
      </c>
      <c r="J35">
        <v>494</v>
      </c>
      <c r="K35">
        <v>440.06882591089999</v>
      </c>
      <c r="L35">
        <v>736</v>
      </c>
      <c r="M35">
        <v>645.26494565220003</v>
      </c>
      <c r="N35">
        <v>629</v>
      </c>
      <c r="O35">
        <v>557.79491255959999</v>
      </c>
      <c r="R35">
        <v>5</v>
      </c>
      <c r="S35">
        <v>559.6</v>
      </c>
      <c r="V35" t="s">
        <v>393</v>
      </c>
      <c r="W35">
        <v>11721</v>
      </c>
      <c r="X35">
        <v>8486</v>
      </c>
      <c r="Y35">
        <v>332.06198444500001</v>
      </c>
      <c r="Z35">
        <v>307</v>
      </c>
      <c r="AA35">
        <v>739.65798045600002</v>
      </c>
      <c r="AB35">
        <v>1970</v>
      </c>
      <c r="AC35">
        <v>551.85583756350002</v>
      </c>
      <c r="AD35">
        <v>799</v>
      </c>
      <c r="AE35">
        <v>569.29286608259997</v>
      </c>
      <c r="AF35">
        <v>440</v>
      </c>
      <c r="AG35">
        <v>173.40681818179999</v>
      </c>
      <c r="AH35">
        <v>26</v>
      </c>
      <c r="AI35">
        <v>677.76923076920002</v>
      </c>
      <c r="AL35" t="s">
        <v>393</v>
      </c>
      <c r="AM35">
        <v>153</v>
      </c>
      <c r="AN35">
        <v>128</v>
      </c>
      <c r="AO35">
        <v>226.8203125</v>
      </c>
      <c r="AP35">
        <v>30</v>
      </c>
      <c r="AQ35">
        <v>309.8</v>
      </c>
      <c r="AR35">
        <v>18</v>
      </c>
      <c r="AS35">
        <v>227.44444444440001</v>
      </c>
      <c r="AT35">
        <v>5</v>
      </c>
      <c r="AU35">
        <v>119.2</v>
      </c>
      <c r="AV35">
        <v>2</v>
      </c>
      <c r="AW35">
        <v>435</v>
      </c>
    </row>
    <row r="36" spans="6:49" x14ac:dyDescent="0.2">
      <c r="F36" t="s">
        <v>60</v>
      </c>
      <c r="G36">
        <v>10367</v>
      </c>
      <c r="H36">
        <v>5456</v>
      </c>
      <c r="I36">
        <v>304.0887096774</v>
      </c>
      <c r="J36">
        <v>788</v>
      </c>
      <c r="K36">
        <v>667.0609137056</v>
      </c>
      <c r="L36">
        <v>3778</v>
      </c>
      <c r="M36">
        <v>862.69984118579998</v>
      </c>
      <c r="N36">
        <v>1113</v>
      </c>
      <c r="O36">
        <v>537.58580413300001</v>
      </c>
      <c r="R36">
        <v>20</v>
      </c>
      <c r="S36">
        <v>452.65</v>
      </c>
      <c r="V36" t="s">
        <v>390</v>
      </c>
      <c r="W36">
        <v>83298</v>
      </c>
      <c r="X36">
        <v>59194</v>
      </c>
      <c r="Y36">
        <v>431.69684427480001</v>
      </c>
      <c r="Z36">
        <v>4374</v>
      </c>
      <c r="AA36">
        <v>717.39208962049997</v>
      </c>
      <c r="AB36">
        <v>13820</v>
      </c>
      <c r="AC36">
        <v>611.99652677280005</v>
      </c>
      <c r="AD36">
        <v>6702</v>
      </c>
      <c r="AE36">
        <v>519.82497761859997</v>
      </c>
      <c r="AF36">
        <v>3498</v>
      </c>
      <c r="AG36">
        <v>179.04659805599999</v>
      </c>
      <c r="AH36">
        <v>84</v>
      </c>
      <c r="AI36">
        <v>509.15476190480001</v>
      </c>
      <c r="AL36" t="s">
        <v>390</v>
      </c>
      <c r="AM36">
        <v>1635</v>
      </c>
      <c r="AN36">
        <v>1355</v>
      </c>
      <c r="AO36">
        <v>270.71217712179998</v>
      </c>
      <c r="AP36">
        <v>234</v>
      </c>
      <c r="AQ36">
        <v>381.38461538460001</v>
      </c>
      <c r="AR36">
        <v>228</v>
      </c>
      <c r="AS36">
        <v>284.09210526319998</v>
      </c>
      <c r="AT36">
        <v>45</v>
      </c>
      <c r="AU36">
        <v>132.2222222222</v>
      </c>
      <c r="AV36">
        <v>7</v>
      </c>
      <c r="AW36">
        <v>222.1428571429</v>
      </c>
    </row>
    <row r="37" spans="6:49" x14ac:dyDescent="0.2">
      <c r="F37" t="s">
        <v>80</v>
      </c>
      <c r="G37">
        <v>27142</v>
      </c>
      <c r="H37">
        <v>23918</v>
      </c>
      <c r="I37">
        <v>451.63124007020002</v>
      </c>
      <c r="J37">
        <v>1472</v>
      </c>
      <c r="K37">
        <v>796.84035326089997</v>
      </c>
      <c r="L37">
        <v>1500</v>
      </c>
      <c r="M37">
        <v>319.4046666667</v>
      </c>
      <c r="N37">
        <v>1719</v>
      </c>
      <c r="O37">
        <v>320.57591623040003</v>
      </c>
      <c r="R37">
        <v>5</v>
      </c>
      <c r="S37">
        <v>472.2</v>
      </c>
      <c r="V37" t="s">
        <v>416</v>
      </c>
      <c r="W37">
        <v>520</v>
      </c>
      <c r="X37">
        <v>252</v>
      </c>
      <c r="Y37">
        <v>172.03174603170001</v>
      </c>
      <c r="Z37">
        <v>254</v>
      </c>
      <c r="AA37">
        <v>232.03543307090001</v>
      </c>
      <c r="AB37">
        <v>85</v>
      </c>
      <c r="AC37">
        <v>215.54117647059999</v>
      </c>
      <c r="AD37">
        <v>107</v>
      </c>
      <c r="AE37">
        <v>230.43925233639999</v>
      </c>
      <c r="AF37">
        <v>64</v>
      </c>
      <c r="AG37">
        <v>167.03125</v>
      </c>
      <c r="AH37">
        <v>12</v>
      </c>
      <c r="AI37">
        <v>290.5</v>
      </c>
      <c r="AL37" t="s">
        <v>416</v>
      </c>
      <c r="AM37">
        <v>20</v>
      </c>
      <c r="AN37">
        <v>14</v>
      </c>
      <c r="AO37">
        <v>80.071428571400006</v>
      </c>
      <c r="AP37">
        <v>14</v>
      </c>
      <c r="AQ37">
        <v>240.6428571429</v>
      </c>
      <c r="AR37">
        <v>5</v>
      </c>
      <c r="AS37">
        <v>75.400000000000006</v>
      </c>
      <c r="AT37">
        <v>1</v>
      </c>
      <c r="AU37">
        <v>74</v>
      </c>
    </row>
    <row r="38" spans="6:49" x14ac:dyDescent="0.2">
      <c r="F38" t="s">
        <v>390</v>
      </c>
      <c r="G38">
        <v>81405</v>
      </c>
      <c r="H38">
        <v>60609</v>
      </c>
      <c r="I38">
        <v>431.6255836592</v>
      </c>
      <c r="J38">
        <v>4516</v>
      </c>
      <c r="K38">
        <v>704.73627103629997</v>
      </c>
      <c r="L38">
        <v>13920</v>
      </c>
      <c r="M38">
        <v>608.4727011494</v>
      </c>
      <c r="N38">
        <v>6793</v>
      </c>
      <c r="O38">
        <v>520.01310172240005</v>
      </c>
      <c r="R38">
        <v>83</v>
      </c>
      <c r="S38">
        <v>510.26506024100001</v>
      </c>
      <c r="V38" t="s">
        <v>420</v>
      </c>
      <c r="W38">
        <v>39313</v>
      </c>
      <c r="X38">
        <v>27411</v>
      </c>
      <c r="Y38">
        <v>458.64361022949998</v>
      </c>
      <c r="Z38">
        <v>1992</v>
      </c>
      <c r="AA38">
        <v>669.97791164659998</v>
      </c>
      <c r="AB38">
        <v>8165</v>
      </c>
      <c r="AC38">
        <v>755.4464176363</v>
      </c>
      <c r="AD38">
        <v>2352</v>
      </c>
      <c r="AE38">
        <v>587.41581632650002</v>
      </c>
      <c r="AF38">
        <v>1335</v>
      </c>
      <c r="AG38">
        <v>203.2764044944</v>
      </c>
      <c r="AH38">
        <v>50</v>
      </c>
      <c r="AI38">
        <v>473.22</v>
      </c>
      <c r="AL38" t="s">
        <v>420</v>
      </c>
      <c r="AM38">
        <v>331</v>
      </c>
      <c r="AN38">
        <v>242</v>
      </c>
      <c r="AO38">
        <v>174.76859504129999</v>
      </c>
      <c r="AP38">
        <v>215</v>
      </c>
      <c r="AQ38">
        <v>278.0511627907</v>
      </c>
      <c r="AR38">
        <v>76</v>
      </c>
      <c r="AS38">
        <v>256.17105263159999</v>
      </c>
      <c r="AT38">
        <v>12</v>
      </c>
      <c r="AU38">
        <v>85.5</v>
      </c>
      <c r="AV38">
        <v>1</v>
      </c>
      <c r="AW38">
        <v>2110</v>
      </c>
    </row>
    <row r="39" spans="6:49" x14ac:dyDescent="0.2">
      <c r="F39" t="s">
        <v>82</v>
      </c>
      <c r="G39">
        <v>19060</v>
      </c>
      <c r="H39">
        <v>13995</v>
      </c>
      <c r="I39">
        <v>404.06580921760002</v>
      </c>
      <c r="J39">
        <v>1086</v>
      </c>
      <c r="K39">
        <v>680.29558011050005</v>
      </c>
      <c r="L39">
        <v>3776</v>
      </c>
      <c r="M39">
        <v>825.62314618640005</v>
      </c>
      <c r="N39">
        <v>1256</v>
      </c>
      <c r="O39">
        <v>619.49840764329997</v>
      </c>
      <c r="R39">
        <v>33</v>
      </c>
      <c r="S39">
        <v>554.57575757580003</v>
      </c>
      <c r="V39" t="s">
        <v>428</v>
      </c>
      <c r="W39">
        <v>331</v>
      </c>
      <c r="X39">
        <v>147</v>
      </c>
      <c r="Y39">
        <v>213.4421768707</v>
      </c>
      <c r="Z39">
        <v>129</v>
      </c>
      <c r="AA39">
        <v>276.64341085270001</v>
      </c>
      <c r="AB39">
        <v>87</v>
      </c>
      <c r="AC39">
        <v>343</v>
      </c>
      <c r="AD39">
        <v>66</v>
      </c>
      <c r="AE39">
        <v>362.43939393940002</v>
      </c>
      <c r="AF39">
        <v>30</v>
      </c>
      <c r="AG39">
        <v>207.0666666667</v>
      </c>
      <c r="AH39">
        <v>1</v>
      </c>
      <c r="AI39">
        <v>774</v>
      </c>
      <c r="AL39" t="s">
        <v>428</v>
      </c>
      <c r="AM39">
        <v>4</v>
      </c>
      <c r="AN39">
        <v>4</v>
      </c>
      <c r="AO39">
        <v>151.5</v>
      </c>
      <c r="AP39">
        <v>5</v>
      </c>
      <c r="AQ39">
        <v>181.6</v>
      </c>
    </row>
    <row r="40" spans="6:49" x14ac:dyDescent="0.2">
      <c r="F40" t="s">
        <v>43</v>
      </c>
      <c r="G40">
        <v>5650</v>
      </c>
      <c r="H40">
        <v>2891</v>
      </c>
      <c r="I40">
        <v>237.71117260459999</v>
      </c>
      <c r="J40">
        <v>239</v>
      </c>
      <c r="K40">
        <v>534.08786610879997</v>
      </c>
      <c r="L40">
        <v>2393</v>
      </c>
      <c r="M40">
        <v>676.13915587129998</v>
      </c>
      <c r="N40">
        <v>356</v>
      </c>
      <c r="O40">
        <v>398.16292134830002</v>
      </c>
      <c r="R40">
        <v>10</v>
      </c>
      <c r="S40">
        <v>215.3</v>
      </c>
      <c r="V40" t="s">
        <v>431</v>
      </c>
      <c r="W40">
        <v>364</v>
      </c>
      <c r="X40">
        <v>250</v>
      </c>
      <c r="Y40">
        <v>283.32400000000001</v>
      </c>
      <c r="Z40">
        <v>26</v>
      </c>
      <c r="AA40">
        <v>551.23076923079998</v>
      </c>
      <c r="AB40">
        <v>29</v>
      </c>
      <c r="AC40">
        <v>465.89655172409999</v>
      </c>
      <c r="AD40">
        <v>40</v>
      </c>
      <c r="AE40">
        <v>350.75</v>
      </c>
      <c r="AF40">
        <v>44</v>
      </c>
      <c r="AG40">
        <v>176.5227272727</v>
      </c>
      <c r="AH40">
        <v>1</v>
      </c>
      <c r="AI40">
        <v>290</v>
      </c>
      <c r="AL40" t="s">
        <v>431</v>
      </c>
      <c r="AM40">
        <v>7</v>
      </c>
      <c r="AN40">
        <v>6</v>
      </c>
      <c r="AO40">
        <v>175</v>
      </c>
      <c r="AP40">
        <v>1</v>
      </c>
      <c r="AQ40">
        <v>323</v>
      </c>
      <c r="AR40">
        <v>1</v>
      </c>
      <c r="AS40">
        <v>68</v>
      </c>
    </row>
    <row r="41" spans="6:49" x14ac:dyDescent="0.2">
      <c r="F41" t="s">
        <v>49</v>
      </c>
      <c r="G41">
        <v>19120</v>
      </c>
      <c r="H41">
        <v>13617</v>
      </c>
      <c r="I41">
        <v>516.747815231</v>
      </c>
      <c r="J41">
        <v>891</v>
      </c>
      <c r="K41">
        <v>661.16386083049997</v>
      </c>
      <c r="L41">
        <v>4407</v>
      </c>
      <c r="M41">
        <v>699.23144996600001</v>
      </c>
      <c r="N41">
        <v>1077</v>
      </c>
      <c r="O41">
        <v>563.22469823580002</v>
      </c>
      <c r="R41">
        <v>19</v>
      </c>
      <c r="S41">
        <v>391.36842105260001</v>
      </c>
      <c r="V41" t="s">
        <v>421</v>
      </c>
      <c r="W41">
        <v>5298</v>
      </c>
      <c r="X41">
        <v>3972</v>
      </c>
      <c r="Y41">
        <v>482.31445115809998</v>
      </c>
      <c r="Z41">
        <v>158</v>
      </c>
      <c r="AA41">
        <v>929.06962025320001</v>
      </c>
      <c r="AB41">
        <v>568</v>
      </c>
      <c r="AC41">
        <v>327.60211267609998</v>
      </c>
      <c r="AD41">
        <v>463</v>
      </c>
      <c r="AE41">
        <v>633.66306695460003</v>
      </c>
      <c r="AF41">
        <v>285</v>
      </c>
      <c r="AG41">
        <v>170.5684210526</v>
      </c>
      <c r="AH41">
        <v>10</v>
      </c>
      <c r="AI41">
        <v>599.4</v>
      </c>
      <c r="AL41" t="s">
        <v>421</v>
      </c>
      <c r="AM41">
        <v>116</v>
      </c>
      <c r="AN41">
        <v>99</v>
      </c>
      <c r="AO41">
        <v>257.17171717169998</v>
      </c>
      <c r="AP41">
        <v>13</v>
      </c>
      <c r="AQ41">
        <v>543</v>
      </c>
      <c r="AR41">
        <v>16</v>
      </c>
      <c r="AS41">
        <v>299.6875</v>
      </c>
      <c r="AT41">
        <v>1</v>
      </c>
      <c r="AU41">
        <v>33</v>
      </c>
    </row>
    <row r="42" spans="6:49" x14ac:dyDescent="0.2">
      <c r="F42" t="s">
        <v>52</v>
      </c>
      <c r="G42">
        <v>4248</v>
      </c>
      <c r="H42">
        <v>2662</v>
      </c>
      <c r="I42">
        <v>314.62847483100001</v>
      </c>
      <c r="J42">
        <v>281</v>
      </c>
      <c r="K42">
        <v>605.58718861210002</v>
      </c>
      <c r="L42">
        <v>1030</v>
      </c>
      <c r="M42">
        <v>404.64951456310001</v>
      </c>
      <c r="N42">
        <v>547</v>
      </c>
      <c r="O42">
        <v>627.10603290680001</v>
      </c>
      <c r="R42">
        <v>9</v>
      </c>
      <c r="S42">
        <v>835.11111111109994</v>
      </c>
      <c r="V42" t="s">
        <v>413</v>
      </c>
      <c r="W42">
        <v>5862</v>
      </c>
      <c r="X42">
        <v>2904</v>
      </c>
      <c r="Y42">
        <v>245.68560606060001</v>
      </c>
      <c r="Z42">
        <v>228</v>
      </c>
      <c r="AA42">
        <v>549.74122807020001</v>
      </c>
      <c r="AB42">
        <v>2299</v>
      </c>
      <c r="AC42">
        <v>670.60461070029999</v>
      </c>
      <c r="AD42">
        <v>356</v>
      </c>
      <c r="AE42">
        <v>414.6516853933</v>
      </c>
      <c r="AF42">
        <v>293</v>
      </c>
      <c r="AG42">
        <v>169.4266211604</v>
      </c>
      <c r="AH42">
        <v>10</v>
      </c>
      <c r="AI42">
        <v>215.3</v>
      </c>
      <c r="AL42" t="s">
        <v>413</v>
      </c>
      <c r="AM42">
        <v>51</v>
      </c>
      <c r="AN42">
        <v>36</v>
      </c>
      <c r="AO42">
        <v>98.916666666699996</v>
      </c>
      <c r="AP42">
        <v>18</v>
      </c>
      <c r="AQ42">
        <v>269.6666666667</v>
      </c>
      <c r="AR42">
        <v>11</v>
      </c>
      <c r="AS42">
        <v>238.9090909091</v>
      </c>
      <c r="AT42">
        <v>4</v>
      </c>
      <c r="AU42">
        <v>149.75</v>
      </c>
    </row>
    <row r="43" spans="6:49" x14ac:dyDescent="0.2">
      <c r="F43" t="s">
        <v>39</v>
      </c>
      <c r="G43">
        <v>320</v>
      </c>
      <c r="H43">
        <v>256</v>
      </c>
      <c r="I43">
        <v>279.80859375</v>
      </c>
      <c r="J43">
        <v>25</v>
      </c>
      <c r="K43">
        <v>528.24</v>
      </c>
      <c r="L43">
        <v>22</v>
      </c>
      <c r="M43">
        <v>422.27272727270002</v>
      </c>
      <c r="N43">
        <v>42</v>
      </c>
      <c r="O43">
        <v>341.69047619050002</v>
      </c>
      <c r="V43" t="s">
        <v>422</v>
      </c>
      <c r="W43">
        <v>4235</v>
      </c>
      <c r="X43">
        <v>2206</v>
      </c>
      <c r="Y43">
        <v>187.57660924749999</v>
      </c>
      <c r="Z43">
        <v>659</v>
      </c>
      <c r="AA43">
        <v>298.6358118361</v>
      </c>
      <c r="AB43">
        <v>1106</v>
      </c>
      <c r="AC43">
        <v>289.95207956600001</v>
      </c>
      <c r="AD43">
        <v>545</v>
      </c>
      <c r="AE43">
        <v>273.69724770639999</v>
      </c>
      <c r="AF43">
        <v>368</v>
      </c>
      <c r="AG43">
        <v>180.17663043479999</v>
      </c>
      <c r="AH43">
        <v>10</v>
      </c>
      <c r="AI43">
        <v>232.9</v>
      </c>
      <c r="AL43" t="s">
        <v>422</v>
      </c>
      <c r="AM43">
        <v>71</v>
      </c>
      <c r="AN43">
        <v>59</v>
      </c>
      <c r="AO43">
        <v>154.16949152539999</v>
      </c>
      <c r="AP43">
        <v>52</v>
      </c>
      <c r="AQ43">
        <v>248.0384615385</v>
      </c>
      <c r="AR43">
        <v>11</v>
      </c>
      <c r="AS43">
        <v>122.54545454549999</v>
      </c>
      <c r="AT43">
        <v>1</v>
      </c>
      <c r="AU43">
        <v>26</v>
      </c>
    </row>
    <row r="44" spans="6:49" x14ac:dyDescent="0.2">
      <c r="F44" t="s">
        <v>27</v>
      </c>
      <c r="G44">
        <v>3824</v>
      </c>
      <c r="H44">
        <v>2142</v>
      </c>
      <c r="I44">
        <v>176.2605042017</v>
      </c>
      <c r="J44">
        <v>656</v>
      </c>
      <c r="K44">
        <v>286.5762195122</v>
      </c>
      <c r="L44">
        <v>1113</v>
      </c>
      <c r="M44">
        <v>287.17520215629997</v>
      </c>
      <c r="N44">
        <v>559</v>
      </c>
      <c r="O44">
        <v>267.2075134168</v>
      </c>
      <c r="R44">
        <v>10</v>
      </c>
      <c r="S44">
        <v>232.9</v>
      </c>
      <c r="V44" t="s">
        <v>397</v>
      </c>
      <c r="W44">
        <v>5970</v>
      </c>
      <c r="X44">
        <v>4783</v>
      </c>
      <c r="Y44">
        <v>429.53251097639998</v>
      </c>
      <c r="Z44">
        <v>322</v>
      </c>
      <c r="AA44">
        <v>774.84782608700004</v>
      </c>
      <c r="AB44">
        <v>573</v>
      </c>
      <c r="AC44">
        <v>495.30017452009997</v>
      </c>
      <c r="AD44">
        <v>354</v>
      </c>
      <c r="AE44">
        <v>424.85875706209998</v>
      </c>
      <c r="AF44">
        <v>246</v>
      </c>
      <c r="AG44">
        <v>167.69918699190001</v>
      </c>
      <c r="AH44">
        <v>14</v>
      </c>
      <c r="AI44">
        <v>396.92857142859998</v>
      </c>
      <c r="AL44" t="s">
        <v>397</v>
      </c>
      <c r="AM44">
        <v>156</v>
      </c>
      <c r="AN44">
        <v>135</v>
      </c>
      <c r="AO44">
        <v>365.20740740740001</v>
      </c>
      <c r="AP44">
        <v>22</v>
      </c>
      <c r="AQ44">
        <v>640.36363636359999</v>
      </c>
      <c r="AR44">
        <v>21</v>
      </c>
      <c r="AS44">
        <v>254.95238095240001</v>
      </c>
    </row>
    <row r="45" spans="6:49" x14ac:dyDescent="0.2">
      <c r="F45" t="s">
        <v>54</v>
      </c>
      <c r="G45">
        <v>5147</v>
      </c>
      <c r="H45">
        <v>4092</v>
      </c>
      <c r="I45">
        <v>481.70478983380002</v>
      </c>
      <c r="J45">
        <v>156</v>
      </c>
      <c r="K45">
        <v>938.85256410260001</v>
      </c>
      <c r="L45">
        <v>570</v>
      </c>
      <c r="M45">
        <v>317.61403508770002</v>
      </c>
      <c r="N45">
        <v>474</v>
      </c>
      <c r="O45">
        <v>652.61603375530001</v>
      </c>
      <c r="R45">
        <v>11</v>
      </c>
      <c r="S45">
        <v>589.18181818180005</v>
      </c>
      <c r="V45" t="s">
        <v>399</v>
      </c>
      <c r="W45">
        <v>4528</v>
      </c>
      <c r="X45">
        <v>2727</v>
      </c>
      <c r="Y45">
        <v>322.3281994866</v>
      </c>
      <c r="Z45">
        <v>290</v>
      </c>
      <c r="AA45">
        <v>613.47586206899996</v>
      </c>
      <c r="AB45">
        <v>1032</v>
      </c>
      <c r="AC45">
        <v>416.5</v>
      </c>
      <c r="AD45">
        <v>551</v>
      </c>
      <c r="AE45">
        <v>627.00907441020001</v>
      </c>
      <c r="AF45">
        <v>209</v>
      </c>
      <c r="AG45">
        <v>176.985645933</v>
      </c>
      <c r="AH45">
        <v>9</v>
      </c>
      <c r="AI45">
        <v>835.11111111109994</v>
      </c>
      <c r="AL45" t="s">
        <v>399</v>
      </c>
      <c r="AM45">
        <v>114</v>
      </c>
      <c r="AN45">
        <v>95</v>
      </c>
      <c r="AO45">
        <v>270.24210526320002</v>
      </c>
      <c r="AP45">
        <v>17</v>
      </c>
      <c r="AQ45">
        <v>466.29411764709999</v>
      </c>
      <c r="AR45">
        <v>18</v>
      </c>
      <c r="AS45">
        <v>356.6111111111</v>
      </c>
      <c r="AT45">
        <v>1</v>
      </c>
      <c r="AU45">
        <v>351</v>
      </c>
    </row>
    <row r="46" spans="6:49" x14ac:dyDescent="0.2">
      <c r="F46" t="s">
        <v>62</v>
      </c>
      <c r="G46">
        <v>5753</v>
      </c>
      <c r="H46">
        <v>4815</v>
      </c>
      <c r="I46">
        <v>429.7946002077</v>
      </c>
      <c r="J46">
        <v>325</v>
      </c>
      <c r="K46">
        <v>783.96615384619997</v>
      </c>
      <c r="L46">
        <v>561</v>
      </c>
      <c r="M46">
        <v>478.00534759359999</v>
      </c>
      <c r="N46">
        <v>365</v>
      </c>
      <c r="O46">
        <v>424.98356164379999</v>
      </c>
      <c r="R46">
        <v>12</v>
      </c>
      <c r="S46">
        <v>290.0833333333</v>
      </c>
      <c r="V46" t="s">
        <v>395</v>
      </c>
      <c r="W46">
        <v>66421</v>
      </c>
      <c r="X46">
        <v>44652</v>
      </c>
      <c r="Y46">
        <v>418.6576189196</v>
      </c>
      <c r="Z46">
        <v>4058</v>
      </c>
      <c r="AA46">
        <v>576.61310990640004</v>
      </c>
      <c r="AB46">
        <v>13944</v>
      </c>
      <c r="AC46">
        <v>644.86610728630001</v>
      </c>
      <c r="AD46">
        <v>4834</v>
      </c>
      <c r="AE46">
        <v>523.42966487379999</v>
      </c>
      <c r="AF46">
        <v>2874</v>
      </c>
      <c r="AG46">
        <v>187.48990953379999</v>
      </c>
      <c r="AH46">
        <v>117</v>
      </c>
      <c r="AI46">
        <v>442.39316239319999</v>
      </c>
      <c r="AL46" t="s">
        <v>395</v>
      </c>
      <c r="AM46">
        <v>870</v>
      </c>
      <c r="AN46">
        <v>690</v>
      </c>
      <c r="AO46">
        <v>229.22318840579999</v>
      </c>
      <c r="AP46">
        <v>357</v>
      </c>
      <c r="AQ46">
        <v>311.50420168070002</v>
      </c>
      <c r="AR46">
        <v>159</v>
      </c>
      <c r="AS46">
        <v>254.45283018870001</v>
      </c>
      <c r="AT46">
        <v>20</v>
      </c>
      <c r="AU46">
        <v>105.45</v>
      </c>
      <c r="AV46">
        <v>1</v>
      </c>
      <c r="AW46">
        <v>2110</v>
      </c>
    </row>
    <row r="47" spans="6:49" x14ac:dyDescent="0.2">
      <c r="F47" t="s">
        <v>187</v>
      </c>
      <c r="G47">
        <v>258</v>
      </c>
      <c r="H47">
        <v>118</v>
      </c>
      <c r="I47">
        <v>159.99152542370001</v>
      </c>
      <c r="J47">
        <v>125</v>
      </c>
      <c r="K47">
        <v>244.976</v>
      </c>
      <c r="L47">
        <v>79</v>
      </c>
      <c r="M47">
        <v>337.74683544300001</v>
      </c>
      <c r="N47">
        <v>61</v>
      </c>
      <c r="O47">
        <v>354.06557377050001</v>
      </c>
      <c r="V47" t="s">
        <v>426</v>
      </c>
      <c r="W47">
        <v>446</v>
      </c>
      <c r="X47">
        <v>278</v>
      </c>
      <c r="Y47">
        <v>298.65107913669999</v>
      </c>
      <c r="Z47">
        <v>39</v>
      </c>
      <c r="AA47">
        <v>394.20512820509998</v>
      </c>
      <c r="AB47">
        <v>66</v>
      </c>
      <c r="AC47">
        <v>475.95454545450002</v>
      </c>
      <c r="AD47">
        <v>68</v>
      </c>
      <c r="AE47">
        <v>319.9117647059</v>
      </c>
      <c r="AF47">
        <v>34</v>
      </c>
      <c r="AG47">
        <v>241.5882352941</v>
      </c>
      <c r="AL47" t="s">
        <v>426</v>
      </c>
      <c r="AM47">
        <v>26</v>
      </c>
      <c r="AN47">
        <v>23</v>
      </c>
      <c r="AO47">
        <v>197.17391304349999</v>
      </c>
      <c r="AP47">
        <v>7</v>
      </c>
      <c r="AQ47">
        <v>311.85714285709997</v>
      </c>
      <c r="AR47">
        <v>1</v>
      </c>
      <c r="AS47">
        <v>52</v>
      </c>
      <c r="AT47">
        <v>2</v>
      </c>
      <c r="AU47">
        <v>118</v>
      </c>
    </row>
    <row r="48" spans="6:49" x14ac:dyDescent="0.2">
      <c r="F48" t="s">
        <v>73</v>
      </c>
      <c r="G48">
        <v>413</v>
      </c>
      <c r="H48">
        <v>225</v>
      </c>
      <c r="I48">
        <v>123.84</v>
      </c>
      <c r="J48">
        <v>252</v>
      </c>
      <c r="K48">
        <v>216.45238095240001</v>
      </c>
      <c r="L48">
        <v>75</v>
      </c>
      <c r="M48">
        <v>145.70666666669999</v>
      </c>
      <c r="N48">
        <v>102</v>
      </c>
      <c r="O48">
        <v>173.7254901961</v>
      </c>
      <c r="R48">
        <v>11</v>
      </c>
      <c r="S48">
        <v>263.63636363640001</v>
      </c>
      <c r="V48" t="s">
        <v>427</v>
      </c>
      <c r="W48">
        <v>189</v>
      </c>
      <c r="X48">
        <v>111</v>
      </c>
      <c r="Y48">
        <v>215.34234234229999</v>
      </c>
      <c r="Z48">
        <v>20</v>
      </c>
      <c r="AA48">
        <v>261.10000000000002</v>
      </c>
      <c r="AB48">
        <v>24</v>
      </c>
      <c r="AC48">
        <v>345.3333333333</v>
      </c>
      <c r="AD48">
        <v>29</v>
      </c>
      <c r="AE48">
        <v>400.72413793099997</v>
      </c>
      <c r="AF48">
        <v>25</v>
      </c>
      <c r="AG48">
        <v>147.47999999999999</v>
      </c>
      <c r="AL48" t="s">
        <v>427</v>
      </c>
      <c r="AM48">
        <v>5</v>
      </c>
      <c r="AN48">
        <v>4</v>
      </c>
      <c r="AO48">
        <v>194</v>
      </c>
      <c r="AT48">
        <v>1</v>
      </c>
      <c r="AU48">
        <v>415</v>
      </c>
    </row>
    <row r="49" spans="6:51" x14ac:dyDescent="0.2">
      <c r="F49" t="s">
        <v>395</v>
      </c>
      <c r="G49">
        <v>63793</v>
      </c>
      <c r="H49">
        <v>44813</v>
      </c>
      <c r="I49">
        <v>418.46653872759998</v>
      </c>
      <c r="J49">
        <v>4036</v>
      </c>
      <c r="K49">
        <v>573.17467789889997</v>
      </c>
      <c r="L49">
        <v>14026</v>
      </c>
      <c r="M49">
        <v>645.20055611010002</v>
      </c>
      <c r="N49">
        <v>4839</v>
      </c>
      <c r="O49">
        <v>524.27216367020003</v>
      </c>
      <c r="R49">
        <v>115</v>
      </c>
      <c r="S49">
        <v>439.97391304349998</v>
      </c>
      <c r="V49" t="s">
        <v>433</v>
      </c>
      <c r="W49">
        <v>489</v>
      </c>
      <c r="X49">
        <v>292</v>
      </c>
      <c r="Y49">
        <v>391.73287671230003</v>
      </c>
      <c r="Z49">
        <v>54</v>
      </c>
      <c r="AA49">
        <v>586.11111111109994</v>
      </c>
      <c r="AB49">
        <v>112</v>
      </c>
      <c r="AC49">
        <v>449.97321428570001</v>
      </c>
      <c r="AD49">
        <v>59</v>
      </c>
      <c r="AE49">
        <v>590.45762711860004</v>
      </c>
      <c r="AF49">
        <v>24</v>
      </c>
      <c r="AG49">
        <v>138.5416666667</v>
      </c>
      <c r="AH49">
        <v>2</v>
      </c>
      <c r="AI49">
        <v>141</v>
      </c>
      <c r="AL49" t="s">
        <v>433</v>
      </c>
      <c r="AM49">
        <v>18</v>
      </c>
      <c r="AN49">
        <v>14</v>
      </c>
      <c r="AO49">
        <v>224.6428571429</v>
      </c>
      <c r="AP49">
        <v>3</v>
      </c>
      <c r="AQ49">
        <v>253</v>
      </c>
      <c r="AR49">
        <v>1</v>
      </c>
      <c r="AS49">
        <v>107</v>
      </c>
      <c r="AT49">
        <v>3</v>
      </c>
      <c r="AU49">
        <v>341.6666666667</v>
      </c>
    </row>
    <row r="50" spans="6:51" x14ac:dyDescent="0.2">
      <c r="F50" t="s">
        <v>220</v>
      </c>
      <c r="G50">
        <v>1248</v>
      </c>
      <c r="H50">
        <v>897</v>
      </c>
      <c r="I50">
        <v>143.6622073579</v>
      </c>
      <c r="J50">
        <v>727</v>
      </c>
      <c r="K50">
        <v>257.98211829439998</v>
      </c>
      <c r="L50">
        <v>295</v>
      </c>
      <c r="M50">
        <v>221.993220339</v>
      </c>
      <c r="N50">
        <v>56</v>
      </c>
      <c r="O50">
        <v>108.55357142859999</v>
      </c>
      <c r="V50" t="s">
        <v>386</v>
      </c>
      <c r="W50">
        <v>5211</v>
      </c>
      <c r="X50">
        <v>3896</v>
      </c>
      <c r="Y50">
        <v>554.09958932239999</v>
      </c>
      <c r="Z50">
        <v>299</v>
      </c>
      <c r="AA50">
        <v>1047.6889632107</v>
      </c>
      <c r="AB50">
        <v>993</v>
      </c>
      <c r="AC50">
        <v>863.80664652569999</v>
      </c>
      <c r="AD50">
        <v>230</v>
      </c>
      <c r="AE50">
        <v>620.31739130430003</v>
      </c>
      <c r="AF50">
        <v>88</v>
      </c>
      <c r="AG50">
        <v>174.3181818182</v>
      </c>
      <c r="AH50">
        <v>4</v>
      </c>
      <c r="AI50">
        <v>474.5</v>
      </c>
      <c r="AL50" t="s">
        <v>386</v>
      </c>
      <c r="AM50">
        <v>78</v>
      </c>
      <c r="AN50">
        <v>61</v>
      </c>
      <c r="AO50">
        <v>191.90163934430001</v>
      </c>
      <c r="AP50">
        <v>17</v>
      </c>
      <c r="AQ50">
        <v>459.4117647059</v>
      </c>
      <c r="AR50">
        <v>15</v>
      </c>
      <c r="AS50">
        <v>306</v>
      </c>
      <c r="AT50">
        <v>2</v>
      </c>
      <c r="AU50">
        <v>158.5</v>
      </c>
    </row>
    <row r="51" spans="6:51" x14ac:dyDescent="0.2">
      <c r="F51" t="s">
        <v>217</v>
      </c>
      <c r="G51">
        <v>2052</v>
      </c>
      <c r="H51">
        <v>1716</v>
      </c>
      <c r="I51">
        <v>303.52097902100002</v>
      </c>
      <c r="J51">
        <v>223</v>
      </c>
      <c r="K51">
        <v>582.668161435</v>
      </c>
      <c r="L51">
        <v>310</v>
      </c>
      <c r="M51">
        <v>354.14838709679998</v>
      </c>
      <c r="N51">
        <v>26</v>
      </c>
      <c r="O51">
        <v>119.8846153846</v>
      </c>
      <c r="V51" t="s">
        <v>63</v>
      </c>
      <c r="W51">
        <v>5347</v>
      </c>
      <c r="X51">
        <v>3523</v>
      </c>
      <c r="Y51">
        <v>292.86914561449998</v>
      </c>
      <c r="Z51">
        <v>733</v>
      </c>
      <c r="AA51">
        <v>478.4665757162</v>
      </c>
      <c r="AB51">
        <v>913</v>
      </c>
      <c r="AC51">
        <v>334.62650602410002</v>
      </c>
      <c r="AD51">
        <v>588</v>
      </c>
      <c r="AE51">
        <v>597.26020408160002</v>
      </c>
      <c r="AF51">
        <v>288</v>
      </c>
      <c r="AG51">
        <v>194.59375</v>
      </c>
      <c r="AH51">
        <v>35</v>
      </c>
      <c r="AI51">
        <v>558.54285714289995</v>
      </c>
      <c r="AL51" t="s">
        <v>63</v>
      </c>
      <c r="AM51">
        <v>263</v>
      </c>
      <c r="AN51">
        <v>214</v>
      </c>
      <c r="AO51">
        <v>263.61214953270002</v>
      </c>
      <c r="AP51">
        <v>41</v>
      </c>
      <c r="AQ51">
        <v>280.0975609756</v>
      </c>
      <c r="AR51">
        <v>42</v>
      </c>
      <c r="AS51">
        <v>227.61904761900001</v>
      </c>
      <c r="AT51">
        <v>5</v>
      </c>
      <c r="AU51">
        <v>136</v>
      </c>
      <c r="AV51">
        <v>1</v>
      </c>
      <c r="AW51">
        <v>1629</v>
      </c>
      <c r="AX51">
        <v>1</v>
      </c>
      <c r="AY51">
        <v>859</v>
      </c>
    </row>
    <row r="52" spans="6:51" x14ac:dyDescent="0.2">
      <c r="F52" t="s">
        <v>218</v>
      </c>
      <c r="G52">
        <v>2649</v>
      </c>
      <c r="H52">
        <v>2217</v>
      </c>
      <c r="I52">
        <v>242.02435723950001</v>
      </c>
      <c r="J52">
        <v>435</v>
      </c>
      <c r="K52">
        <v>352.64597701150001</v>
      </c>
      <c r="L52">
        <v>337</v>
      </c>
      <c r="M52">
        <v>217.4955489614</v>
      </c>
      <c r="N52">
        <v>94</v>
      </c>
      <c r="O52">
        <v>158.08510638300001</v>
      </c>
      <c r="R52">
        <v>1</v>
      </c>
      <c r="S52">
        <v>859</v>
      </c>
      <c r="V52" t="s">
        <v>388</v>
      </c>
      <c r="W52">
        <v>13599</v>
      </c>
      <c r="X52">
        <v>8695</v>
      </c>
      <c r="Y52">
        <v>347.36204715349999</v>
      </c>
      <c r="Z52">
        <v>552</v>
      </c>
      <c r="AA52">
        <v>767.68659420289998</v>
      </c>
      <c r="AB52">
        <v>3857</v>
      </c>
      <c r="AC52">
        <v>775.34923515690002</v>
      </c>
      <c r="AD52">
        <v>704</v>
      </c>
      <c r="AE52">
        <v>519.18892045450002</v>
      </c>
      <c r="AF52">
        <v>339</v>
      </c>
      <c r="AG52">
        <v>164.74041297939999</v>
      </c>
      <c r="AH52">
        <v>4</v>
      </c>
      <c r="AI52">
        <v>128.75</v>
      </c>
      <c r="AL52" t="s">
        <v>388</v>
      </c>
      <c r="AM52">
        <v>169</v>
      </c>
      <c r="AN52">
        <v>136</v>
      </c>
      <c r="AO52">
        <v>231.5588235294</v>
      </c>
      <c r="AP52">
        <v>25</v>
      </c>
      <c r="AQ52">
        <v>249.56</v>
      </c>
      <c r="AR52">
        <v>24</v>
      </c>
      <c r="AS52">
        <v>255.5416666667</v>
      </c>
      <c r="AT52">
        <v>8</v>
      </c>
      <c r="AU52">
        <v>141.375</v>
      </c>
      <c r="AV52">
        <v>1</v>
      </c>
      <c r="AW52">
        <v>200</v>
      </c>
    </row>
    <row r="53" spans="6:51" x14ac:dyDescent="0.2">
      <c r="F53" t="s">
        <v>472</v>
      </c>
      <c r="G53">
        <v>5949</v>
      </c>
      <c r="H53">
        <v>4830</v>
      </c>
      <c r="I53">
        <v>245.60559006209999</v>
      </c>
      <c r="J53">
        <v>1385</v>
      </c>
      <c r="K53">
        <v>339.99205776169998</v>
      </c>
      <c r="L53">
        <v>942</v>
      </c>
      <c r="M53">
        <v>263.87473460720003</v>
      </c>
      <c r="N53">
        <v>176</v>
      </c>
      <c r="O53">
        <v>136.6818181818</v>
      </c>
      <c r="R53">
        <v>1</v>
      </c>
      <c r="S53">
        <v>859</v>
      </c>
      <c r="V53" t="s">
        <v>384</v>
      </c>
      <c r="W53">
        <v>4061</v>
      </c>
      <c r="X53">
        <v>2792</v>
      </c>
      <c r="Y53">
        <v>348.7392550143</v>
      </c>
      <c r="Z53">
        <v>325</v>
      </c>
      <c r="AA53">
        <v>478.2584615385</v>
      </c>
      <c r="AB53">
        <v>555</v>
      </c>
      <c r="AC53">
        <v>333.64864864859999</v>
      </c>
      <c r="AD53">
        <v>495</v>
      </c>
      <c r="AE53">
        <v>443.69292929289998</v>
      </c>
      <c r="AF53">
        <v>213</v>
      </c>
      <c r="AG53">
        <v>190.16901408449999</v>
      </c>
      <c r="AH53">
        <v>6</v>
      </c>
      <c r="AI53">
        <v>300.6666666667</v>
      </c>
      <c r="AL53" t="s">
        <v>384</v>
      </c>
      <c r="AM53">
        <v>183</v>
      </c>
      <c r="AN53">
        <v>146</v>
      </c>
      <c r="AO53">
        <v>224.34246575340001</v>
      </c>
      <c r="AP53">
        <v>23</v>
      </c>
      <c r="AQ53">
        <v>224.3913043478</v>
      </c>
      <c r="AR53">
        <v>27</v>
      </c>
      <c r="AS53">
        <v>173.74074074070001</v>
      </c>
      <c r="AT53">
        <v>8</v>
      </c>
      <c r="AU53">
        <v>224.625</v>
      </c>
      <c r="AV53">
        <v>2</v>
      </c>
      <c r="AW53">
        <v>965.5</v>
      </c>
    </row>
    <row r="54" spans="6:51" x14ac:dyDescent="0.2">
      <c r="F54" t="s">
        <v>81</v>
      </c>
      <c r="G54">
        <v>352</v>
      </c>
      <c r="H54">
        <v>243</v>
      </c>
      <c r="I54">
        <v>253.65020576129999</v>
      </c>
      <c r="J54">
        <v>41</v>
      </c>
      <c r="K54">
        <v>415.68292682930002</v>
      </c>
      <c r="L54">
        <v>48</v>
      </c>
      <c r="M54">
        <v>404.6041666667</v>
      </c>
      <c r="N54">
        <v>61</v>
      </c>
      <c r="O54">
        <v>264.26229508199998</v>
      </c>
      <c r="V54" t="s">
        <v>383</v>
      </c>
      <c r="W54">
        <v>1014</v>
      </c>
      <c r="X54">
        <v>523</v>
      </c>
      <c r="Y54">
        <v>220.29445506690001</v>
      </c>
      <c r="Z54">
        <v>204</v>
      </c>
      <c r="AA54">
        <v>310.9754901961</v>
      </c>
      <c r="AB54">
        <v>228</v>
      </c>
      <c r="AC54">
        <v>241.3377192982</v>
      </c>
      <c r="AD54">
        <v>136</v>
      </c>
      <c r="AE54">
        <v>282.5955882353</v>
      </c>
      <c r="AF54">
        <v>126</v>
      </c>
      <c r="AG54">
        <v>182.98412698409999</v>
      </c>
      <c r="AH54">
        <v>1</v>
      </c>
      <c r="AI54">
        <v>57</v>
      </c>
      <c r="AL54" t="s">
        <v>383</v>
      </c>
      <c r="AM54">
        <v>55</v>
      </c>
      <c r="AN54">
        <v>51</v>
      </c>
      <c r="AO54">
        <v>204.9607843137</v>
      </c>
      <c r="AP54">
        <v>4</v>
      </c>
      <c r="AQ54">
        <v>656.5</v>
      </c>
      <c r="AR54">
        <v>4</v>
      </c>
      <c r="AS54">
        <v>125.25</v>
      </c>
    </row>
    <row r="55" spans="6:51" x14ac:dyDescent="0.2">
      <c r="F55" t="s">
        <v>38</v>
      </c>
      <c r="G55">
        <v>3446</v>
      </c>
      <c r="H55">
        <v>2341</v>
      </c>
      <c r="I55">
        <v>492.4468175993</v>
      </c>
      <c r="J55">
        <v>270</v>
      </c>
      <c r="K55">
        <v>815.42222222220005</v>
      </c>
      <c r="L55">
        <v>796</v>
      </c>
      <c r="M55">
        <v>699.45728643220002</v>
      </c>
      <c r="N55">
        <v>309</v>
      </c>
      <c r="O55">
        <v>676.39158576049999</v>
      </c>
      <c r="V55" t="s">
        <v>385</v>
      </c>
      <c r="W55">
        <v>6420</v>
      </c>
      <c r="X55">
        <v>4226</v>
      </c>
      <c r="Y55">
        <v>380.27070515849999</v>
      </c>
      <c r="Z55">
        <v>428</v>
      </c>
      <c r="AA55">
        <v>550.17289719630003</v>
      </c>
      <c r="AB55">
        <v>940</v>
      </c>
      <c r="AC55">
        <v>541.15744680850003</v>
      </c>
      <c r="AD55">
        <v>904</v>
      </c>
      <c r="AE55">
        <v>632.25331858410004</v>
      </c>
      <c r="AF55">
        <v>344</v>
      </c>
      <c r="AG55">
        <v>174.2441860465</v>
      </c>
      <c r="AH55">
        <v>6</v>
      </c>
      <c r="AI55">
        <v>520.5</v>
      </c>
      <c r="AL55" t="s">
        <v>385</v>
      </c>
      <c r="AM55">
        <v>283</v>
      </c>
      <c r="AN55">
        <v>235</v>
      </c>
      <c r="AO55">
        <v>231.1021276596</v>
      </c>
      <c r="AP55">
        <v>44</v>
      </c>
      <c r="AQ55">
        <v>335.8181818182</v>
      </c>
      <c r="AR55">
        <v>33</v>
      </c>
      <c r="AS55">
        <v>262.84848484849999</v>
      </c>
      <c r="AT55">
        <v>12</v>
      </c>
      <c r="AU55">
        <v>164.25</v>
      </c>
      <c r="AV55">
        <v>3</v>
      </c>
      <c r="AW55">
        <v>200.3333333333</v>
      </c>
    </row>
    <row r="56" spans="6:51" x14ac:dyDescent="0.2">
      <c r="F56" t="s">
        <v>64</v>
      </c>
      <c r="G56">
        <v>2706</v>
      </c>
      <c r="H56">
        <v>2104</v>
      </c>
      <c r="I56">
        <v>368.31701520910002</v>
      </c>
      <c r="J56">
        <v>180</v>
      </c>
      <c r="K56">
        <v>543.54444444440003</v>
      </c>
      <c r="L56">
        <v>256</v>
      </c>
      <c r="M56">
        <v>112.34765625</v>
      </c>
      <c r="N56">
        <v>344</v>
      </c>
      <c r="O56">
        <v>366.375</v>
      </c>
      <c r="R56">
        <v>2</v>
      </c>
      <c r="S56">
        <v>410</v>
      </c>
      <c r="V56" t="s">
        <v>382</v>
      </c>
      <c r="W56">
        <v>315</v>
      </c>
      <c r="X56">
        <v>125</v>
      </c>
      <c r="Y56">
        <v>141.976</v>
      </c>
      <c r="Z56">
        <v>96</v>
      </c>
      <c r="AA56">
        <v>235.21875</v>
      </c>
      <c r="AB56">
        <v>82</v>
      </c>
      <c r="AC56">
        <v>141.65853658539999</v>
      </c>
      <c r="AD56">
        <v>43</v>
      </c>
      <c r="AE56">
        <v>200.9534883721</v>
      </c>
      <c r="AF56">
        <v>61</v>
      </c>
      <c r="AG56">
        <v>137.77049180329999</v>
      </c>
      <c r="AH56">
        <v>4</v>
      </c>
      <c r="AI56">
        <v>126.5</v>
      </c>
      <c r="AL56" t="s">
        <v>382</v>
      </c>
      <c r="AM56">
        <v>23</v>
      </c>
      <c r="AN56">
        <v>17</v>
      </c>
      <c r="AO56">
        <v>232.4705882353</v>
      </c>
      <c r="AP56">
        <v>1</v>
      </c>
      <c r="AQ56">
        <v>124</v>
      </c>
      <c r="AR56">
        <v>4</v>
      </c>
      <c r="AS56">
        <v>248.5</v>
      </c>
      <c r="AT56">
        <v>2</v>
      </c>
      <c r="AU56">
        <v>34.5</v>
      </c>
    </row>
    <row r="57" spans="6:51" x14ac:dyDescent="0.2">
      <c r="F57" t="s">
        <v>24</v>
      </c>
      <c r="G57">
        <v>1745</v>
      </c>
      <c r="H57">
        <v>1056</v>
      </c>
      <c r="I57">
        <v>231.29356060609999</v>
      </c>
      <c r="J57">
        <v>352</v>
      </c>
      <c r="K57">
        <v>281.05397727270002</v>
      </c>
      <c r="L57">
        <v>491</v>
      </c>
      <c r="M57">
        <v>326.03665987779999</v>
      </c>
      <c r="N57">
        <v>187</v>
      </c>
      <c r="O57">
        <v>499.89304812829999</v>
      </c>
      <c r="R57">
        <v>11</v>
      </c>
      <c r="S57">
        <v>579</v>
      </c>
      <c r="V57" t="s">
        <v>381</v>
      </c>
      <c r="W57">
        <v>3523</v>
      </c>
      <c r="X57">
        <v>2181</v>
      </c>
      <c r="Y57">
        <v>490.69417698299998</v>
      </c>
      <c r="Z57">
        <v>360</v>
      </c>
      <c r="AA57">
        <v>647.94166666670003</v>
      </c>
      <c r="AB57">
        <v>847</v>
      </c>
      <c r="AC57">
        <v>611.81700118059996</v>
      </c>
      <c r="AD57">
        <v>346</v>
      </c>
      <c r="AE57">
        <v>615.1502890173</v>
      </c>
      <c r="AF57">
        <v>149</v>
      </c>
      <c r="AG57">
        <v>209.23489932890001</v>
      </c>
      <c r="AL57" t="s">
        <v>381</v>
      </c>
      <c r="AM57">
        <v>116</v>
      </c>
      <c r="AN57">
        <v>97</v>
      </c>
      <c r="AO57">
        <v>277.10309278350002</v>
      </c>
      <c r="AP57">
        <v>21</v>
      </c>
      <c r="AQ57">
        <v>475.57142857140002</v>
      </c>
      <c r="AR57">
        <v>14</v>
      </c>
      <c r="AS57">
        <v>247.6428571429</v>
      </c>
      <c r="AT57">
        <v>5</v>
      </c>
      <c r="AU57">
        <v>153</v>
      </c>
    </row>
    <row r="58" spans="6:51" x14ac:dyDescent="0.2">
      <c r="F58" t="s">
        <v>72</v>
      </c>
      <c r="G58">
        <v>13661</v>
      </c>
      <c r="H58">
        <v>8856</v>
      </c>
      <c r="I58">
        <v>339.52901987349998</v>
      </c>
      <c r="J58">
        <v>562</v>
      </c>
      <c r="K58">
        <v>779.32918149470004</v>
      </c>
      <c r="L58">
        <v>4100</v>
      </c>
      <c r="M58">
        <v>785.96780487800004</v>
      </c>
      <c r="N58">
        <v>701</v>
      </c>
      <c r="O58">
        <v>518.33380884450003</v>
      </c>
      <c r="R58">
        <v>4</v>
      </c>
      <c r="S58">
        <v>128.75</v>
      </c>
      <c r="V58" t="s">
        <v>425</v>
      </c>
      <c r="W58">
        <v>725</v>
      </c>
      <c r="X58">
        <v>591</v>
      </c>
      <c r="Y58">
        <v>360.07106598979999</v>
      </c>
      <c r="Z58">
        <v>108</v>
      </c>
      <c r="AA58">
        <v>748.75</v>
      </c>
      <c r="AB58">
        <v>41</v>
      </c>
      <c r="AC58">
        <v>276.29268292680001</v>
      </c>
      <c r="AD58">
        <v>48</v>
      </c>
      <c r="AE58">
        <v>313.8958333333</v>
      </c>
      <c r="AF58">
        <v>45</v>
      </c>
      <c r="AG58">
        <v>281.02222222220001</v>
      </c>
      <c r="AL58" t="s">
        <v>425</v>
      </c>
      <c r="AM58">
        <v>22</v>
      </c>
      <c r="AN58">
        <v>20</v>
      </c>
      <c r="AO58">
        <v>247.45</v>
      </c>
      <c r="AP58">
        <v>1</v>
      </c>
      <c r="AQ58">
        <v>197</v>
      </c>
      <c r="AR58">
        <v>2</v>
      </c>
      <c r="AS58">
        <v>141.5</v>
      </c>
    </row>
    <row r="59" spans="6:51" x14ac:dyDescent="0.2">
      <c r="F59" t="s">
        <v>47</v>
      </c>
      <c r="G59">
        <v>823</v>
      </c>
      <c r="H59">
        <v>487</v>
      </c>
      <c r="I59">
        <v>199.5523613963</v>
      </c>
      <c r="J59">
        <v>195</v>
      </c>
      <c r="K59">
        <v>302.76410256410003</v>
      </c>
      <c r="L59">
        <v>213</v>
      </c>
      <c r="M59">
        <v>205.48356807510001</v>
      </c>
      <c r="N59">
        <v>122</v>
      </c>
      <c r="O59">
        <v>242.5245901639</v>
      </c>
      <c r="R59">
        <v>1</v>
      </c>
      <c r="S59">
        <v>57</v>
      </c>
      <c r="V59" t="s">
        <v>389</v>
      </c>
      <c r="W59">
        <v>2327</v>
      </c>
      <c r="X59">
        <v>1477</v>
      </c>
      <c r="Y59">
        <v>371.7271496276</v>
      </c>
      <c r="Z59">
        <v>421</v>
      </c>
      <c r="AA59">
        <v>470.30403800480002</v>
      </c>
      <c r="AB59">
        <v>210</v>
      </c>
      <c r="AC59">
        <v>256.9380952381</v>
      </c>
      <c r="AD59">
        <v>473</v>
      </c>
      <c r="AE59">
        <v>442.78224101479998</v>
      </c>
      <c r="AF59">
        <v>164</v>
      </c>
      <c r="AG59">
        <v>166.60975609760001</v>
      </c>
      <c r="AH59">
        <v>3</v>
      </c>
      <c r="AI59">
        <v>483.6666666667</v>
      </c>
      <c r="AL59" t="s">
        <v>389</v>
      </c>
      <c r="AM59">
        <v>47</v>
      </c>
      <c r="AN59">
        <v>34</v>
      </c>
      <c r="AO59">
        <v>233.79411764709999</v>
      </c>
      <c r="AP59">
        <v>10</v>
      </c>
      <c r="AQ59">
        <v>289.7</v>
      </c>
      <c r="AR59">
        <v>10</v>
      </c>
      <c r="AS59">
        <v>133.9</v>
      </c>
      <c r="AT59">
        <v>3</v>
      </c>
      <c r="AU59">
        <v>90</v>
      </c>
    </row>
    <row r="60" spans="6:51" x14ac:dyDescent="0.2">
      <c r="F60" t="s">
        <v>63</v>
      </c>
      <c r="G60">
        <v>3272</v>
      </c>
      <c r="H60">
        <v>2419</v>
      </c>
      <c r="I60">
        <v>308.9140140554</v>
      </c>
      <c r="J60">
        <v>392</v>
      </c>
      <c r="K60">
        <v>665.3443877551</v>
      </c>
      <c r="L60">
        <v>404</v>
      </c>
      <c r="M60">
        <v>313.45049504949998</v>
      </c>
      <c r="N60">
        <v>424</v>
      </c>
      <c r="O60">
        <v>637.77594339619998</v>
      </c>
      <c r="R60">
        <v>25</v>
      </c>
      <c r="S60">
        <v>543.88</v>
      </c>
      <c r="V60" t="s">
        <v>392</v>
      </c>
      <c r="W60">
        <v>10040</v>
      </c>
      <c r="X60">
        <v>7154</v>
      </c>
      <c r="Y60">
        <v>273.30206877270001</v>
      </c>
      <c r="Z60">
        <v>888</v>
      </c>
      <c r="AA60">
        <v>494.42229729730002</v>
      </c>
      <c r="AB60">
        <v>1340</v>
      </c>
      <c r="AC60">
        <v>231.02910447759999</v>
      </c>
      <c r="AD60">
        <v>922</v>
      </c>
      <c r="AE60">
        <v>386.22234273319998</v>
      </c>
      <c r="AF60">
        <v>601</v>
      </c>
      <c r="AG60">
        <v>163.17803660569999</v>
      </c>
      <c r="AH60">
        <v>23</v>
      </c>
      <c r="AI60">
        <v>291.34782608699999</v>
      </c>
      <c r="AL60" t="s">
        <v>392</v>
      </c>
      <c r="AM60">
        <v>231</v>
      </c>
      <c r="AN60">
        <v>198</v>
      </c>
      <c r="AO60">
        <v>212.13636363640001</v>
      </c>
      <c r="AP60">
        <v>32</v>
      </c>
      <c r="AQ60">
        <v>360.28125</v>
      </c>
      <c r="AR60">
        <v>21</v>
      </c>
      <c r="AS60">
        <v>187.3333333333</v>
      </c>
      <c r="AT60">
        <v>9</v>
      </c>
      <c r="AU60">
        <v>211.3333333333</v>
      </c>
      <c r="AV60">
        <v>3</v>
      </c>
      <c r="AW60">
        <v>212</v>
      </c>
    </row>
    <row r="61" spans="6:51" x14ac:dyDescent="0.2">
      <c r="F61" t="s">
        <v>36</v>
      </c>
      <c r="G61">
        <v>5361</v>
      </c>
      <c r="H61">
        <v>4070</v>
      </c>
      <c r="I61">
        <v>570.99066339069998</v>
      </c>
      <c r="J61">
        <v>306</v>
      </c>
      <c r="K61">
        <v>1086.8464052288</v>
      </c>
      <c r="L61">
        <v>1039</v>
      </c>
      <c r="M61">
        <v>874.01251203080005</v>
      </c>
      <c r="N61">
        <v>248</v>
      </c>
      <c r="O61">
        <v>654.40322580650002</v>
      </c>
      <c r="R61">
        <v>4</v>
      </c>
      <c r="S61">
        <v>574.75</v>
      </c>
      <c r="V61" t="s">
        <v>424</v>
      </c>
      <c r="W61">
        <v>542</v>
      </c>
      <c r="X61">
        <v>322</v>
      </c>
      <c r="Y61">
        <v>347.85403726710001</v>
      </c>
      <c r="Z61">
        <v>27</v>
      </c>
      <c r="AA61">
        <v>1088.4814814814999</v>
      </c>
      <c r="AB61">
        <v>172</v>
      </c>
      <c r="AC61">
        <v>871.90697674420005</v>
      </c>
      <c r="AD61">
        <v>33</v>
      </c>
      <c r="AE61">
        <v>533.09090909090003</v>
      </c>
      <c r="AF61">
        <v>15</v>
      </c>
      <c r="AG61">
        <v>160.73333333330001</v>
      </c>
      <c r="AL61" t="s">
        <v>424</v>
      </c>
      <c r="AM61">
        <v>11</v>
      </c>
      <c r="AN61">
        <v>11</v>
      </c>
      <c r="AO61">
        <v>139.54545454550001</v>
      </c>
      <c r="AP61">
        <v>1</v>
      </c>
      <c r="AQ61">
        <v>136</v>
      </c>
    </row>
    <row r="62" spans="6:51" x14ac:dyDescent="0.2">
      <c r="F62" t="s">
        <v>50</v>
      </c>
      <c r="G62">
        <v>1949</v>
      </c>
      <c r="H62">
        <v>1323</v>
      </c>
      <c r="I62">
        <v>351.80574452000002</v>
      </c>
      <c r="J62">
        <v>427</v>
      </c>
      <c r="K62">
        <v>489.45433255270001</v>
      </c>
      <c r="L62">
        <v>175</v>
      </c>
      <c r="M62">
        <v>150.45142857139999</v>
      </c>
      <c r="N62">
        <v>448</v>
      </c>
      <c r="O62">
        <v>410.30357142859998</v>
      </c>
      <c r="R62">
        <v>3</v>
      </c>
      <c r="S62">
        <v>483.6666666667</v>
      </c>
      <c r="V62" t="s">
        <v>379</v>
      </c>
      <c r="W62">
        <v>54248</v>
      </c>
      <c r="X62">
        <v>36186</v>
      </c>
      <c r="Y62">
        <v>360.5013264799</v>
      </c>
      <c r="Z62">
        <v>4554</v>
      </c>
      <c r="AA62">
        <v>570.37110232760006</v>
      </c>
      <c r="AB62">
        <v>10380</v>
      </c>
      <c r="AC62">
        <v>582.60491329479999</v>
      </c>
      <c r="AD62">
        <v>5078</v>
      </c>
      <c r="AE62">
        <v>507.45884206379998</v>
      </c>
      <c r="AF62">
        <v>2516</v>
      </c>
      <c r="AG62">
        <v>177.26112877579999</v>
      </c>
      <c r="AH62">
        <v>88</v>
      </c>
      <c r="AI62">
        <v>407.79545454549998</v>
      </c>
      <c r="AL62" t="s">
        <v>379</v>
      </c>
      <c r="AM62">
        <v>1530</v>
      </c>
      <c r="AN62">
        <v>1261</v>
      </c>
      <c r="AO62">
        <v>232.23632038069999</v>
      </c>
      <c r="AP62">
        <v>230</v>
      </c>
      <c r="AQ62">
        <v>330.03478260870003</v>
      </c>
      <c r="AR62">
        <v>198</v>
      </c>
      <c r="AS62">
        <v>223.86363636359999</v>
      </c>
      <c r="AT62">
        <v>60</v>
      </c>
      <c r="AU62">
        <v>176.3</v>
      </c>
      <c r="AV62">
        <v>10</v>
      </c>
      <c r="AW62">
        <v>499.7</v>
      </c>
      <c r="AX62">
        <v>1</v>
      </c>
      <c r="AY62">
        <v>859</v>
      </c>
    </row>
    <row r="63" spans="6:51" x14ac:dyDescent="0.2">
      <c r="F63" t="s">
        <v>57</v>
      </c>
      <c r="G63">
        <v>653</v>
      </c>
      <c r="H63">
        <v>566</v>
      </c>
      <c r="I63">
        <v>355.03533568900002</v>
      </c>
      <c r="J63">
        <v>106</v>
      </c>
      <c r="K63">
        <v>768.5188679245</v>
      </c>
      <c r="L63">
        <v>35</v>
      </c>
      <c r="M63">
        <v>107.5142857143</v>
      </c>
      <c r="N63">
        <v>52</v>
      </c>
      <c r="O63">
        <v>281.05769230769999</v>
      </c>
      <c r="V63" t="s">
        <v>708</v>
      </c>
      <c r="W63">
        <v>304201</v>
      </c>
      <c r="X63">
        <v>210748</v>
      </c>
      <c r="Y63">
        <v>401.09300206879999</v>
      </c>
      <c r="Z63">
        <v>20306</v>
      </c>
      <c r="AA63">
        <v>586.104156407</v>
      </c>
      <c r="AB63">
        <v>56884</v>
      </c>
      <c r="AC63">
        <v>620.34730328390003</v>
      </c>
      <c r="AD63">
        <v>23242</v>
      </c>
      <c r="AE63">
        <v>528.80857929609999</v>
      </c>
      <c r="AF63">
        <v>12921</v>
      </c>
      <c r="AG63">
        <v>180.7544307716</v>
      </c>
      <c r="AH63">
        <v>406</v>
      </c>
      <c r="AI63">
        <v>465.26847290640001</v>
      </c>
      <c r="AL63" t="s">
        <v>708</v>
      </c>
      <c r="AM63">
        <v>5981</v>
      </c>
      <c r="AN63">
        <v>4830</v>
      </c>
      <c r="AO63">
        <v>245.60559006209999</v>
      </c>
      <c r="AP63">
        <v>1385</v>
      </c>
      <c r="AQ63">
        <v>339.99205776169998</v>
      </c>
      <c r="AR63">
        <v>942</v>
      </c>
      <c r="AS63">
        <v>263.87473460720003</v>
      </c>
      <c r="AT63">
        <v>176</v>
      </c>
      <c r="AU63">
        <v>136.6818181818</v>
      </c>
      <c r="AV63">
        <v>32</v>
      </c>
      <c r="AW63">
        <v>305.03125</v>
      </c>
      <c r="AX63">
        <v>1</v>
      </c>
      <c r="AY63">
        <v>859</v>
      </c>
    </row>
    <row r="64" spans="6:51" x14ac:dyDescent="0.2">
      <c r="F64" t="s">
        <v>68</v>
      </c>
      <c r="G64">
        <v>4736</v>
      </c>
      <c r="H64">
        <v>3588</v>
      </c>
      <c r="I64">
        <v>542.92084726869996</v>
      </c>
      <c r="J64">
        <v>128</v>
      </c>
      <c r="K64">
        <v>968.0390625</v>
      </c>
      <c r="L64">
        <v>282</v>
      </c>
      <c r="M64">
        <v>641.86170212770003</v>
      </c>
      <c r="N64">
        <v>863</v>
      </c>
      <c r="O64">
        <v>858.71031286209995</v>
      </c>
      <c r="R64">
        <v>3</v>
      </c>
      <c r="S64">
        <v>586.66666666670005</v>
      </c>
    </row>
    <row r="65" spans="6:19" x14ac:dyDescent="0.2">
      <c r="F65" t="s">
        <v>70</v>
      </c>
      <c r="G65">
        <v>473</v>
      </c>
      <c r="H65">
        <v>227</v>
      </c>
      <c r="I65">
        <v>110.82378854629999</v>
      </c>
      <c r="J65">
        <v>186</v>
      </c>
      <c r="K65">
        <v>208.8548387097</v>
      </c>
      <c r="L65">
        <v>163</v>
      </c>
      <c r="M65">
        <v>114.65644171780001</v>
      </c>
      <c r="N65">
        <v>79</v>
      </c>
      <c r="O65">
        <v>191.69620253159999</v>
      </c>
      <c r="R65">
        <v>4</v>
      </c>
      <c r="S65">
        <v>126.5</v>
      </c>
    </row>
    <row r="66" spans="6:19" x14ac:dyDescent="0.2">
      <c r="F66" t="s">
        <v>85</v>
      </c>
      <c r="G66">
        <v>196</v>
      </c>
      <c r="H66">
        <v>69</v>
      </c>
      <c r="I66">
        <v>932</v>
      </c>
      <c r="J66">
        <v>20</v>
      </c>
      <c r="K66">
        <v>1015.15</v>
      </c>
      <c r="L66">
        <v>71</v>
      </c>
      <c r="M66">
        <v>573.83098591550004</v>
      </c>
      <c r="N66">
        <v>55</v>
      </c>
      <c r="O66">
        <v>625.54545454549998</v>
      </c>
      <c r="R66">
        <v>1</v>
      </c>
      <c r="S66">
        <v>229</v>
      </c>
    </row>
    <row r="67" spans="6:19" x14ac:dyDescent="0.2">
      <c r="F67" t="s">
        <v>66</v>
      </c>
      <c r="G67">
        <v>4721</v>
      </c>
      <c r="H67">
        <v>3040</v>
      </c>
      <c r="I67">
        <v>246.875</v>
      </c>
      <c r="J67">
        <v>515</v>
      </c>
      <c r="K67">
        <v>415.99611650489999</v>
      </c>
      <c r="L67">
        <v>1064</v>
      </c>
      <c r="M67">
        <v>498.67575187969999</v>
      </c>
      <c r="N67">
        <v>608</v>
      </c>
      <c r="O67">
        <v>573.33388157889999</v>
      </c>
      <c r="R67">
        <v>9</v>
      </c>
      <c r="S67">
        <v>315.44444444440001</v>
      </c>
    </row>
    <row r="68" spans="6:19" x14ac:dyDescent="0.2">
      <c r="F68" t="s">
        <v>440</v>
      </c>
      <c r="G68">
        <v>4</v>
      </c>
      <c r="H68">
        <v>2</v>
      </c>
      <c r="I68">
        <v>444</v>
      </c>
      <c r="N68">
        <v>1</v>
      </c>
      <c r="O68">
        <v>66</v>
      </c>
      <c r="R68">
        <v>1</v>
      </c>
      <c r="S68">
        <v>185</v>
      </c>
    </row>
    <row r="69" spans="6:19" x14ac:dyDescent="0.2">
      <c r="F69" t="s">
        <v>86</v>
      </c>
      <c r="G69">
        <v>9155</v>
      </c>
      <c r="H69">
        <v>6963</v>
      </c>
      <c r="I69">
        <v>263.20336062040002</v>
      </c>
      <c r="J69">
        <v>874</v>
      </c>
      <c r="K69">
        <v>492.26315789469999</v>
      </c>
      <c r="L69">
        <v>1261</v>
      </c>
      <c r="M69">
        <v>187.4583663759</v>
      </c>
      <c r="N69">
        <v>908</v>
      </c>
      <c r="O69">
        <v>373.3072687225</v>
      </c>
      <c r="R69">
        <v>23</v>
      </c>
      <c r="S69">
        <v>291.34782608699999</v>
      </c>
    </row>
    <row r="70" spans="6:19" x14ac:dyDescent="0.2">
      <c r="F70" t="s">
        <v>141</v>
      </c>
      <c r="G70">
        <v>189</v>
      </c>
      <c r="H70">
        <v>106</v>
      </c>
      <c r="I70">
        <v>202.00943396229999</v>
      </c>
      <c r="J70">
        <v>21</v>
      </c>
      <c r="K70">
        <v>261.71428571429999</v>
      </c>
      <c r="L70">
        <v>38</v>
      </c>
      <c r="M70">
        <v>521.97368421049998</v>
      </c>
      <c r="N70">
        <v>45</v>
      </c>
      <c r="O70">
        <v>505.2</v>
      </c>
    </row>
    <row r="71" spans="6:19" x14ac:dyDescent="0.2">
      <c r="F71" t="s">
        <v>379</v>
      </c>
      <c r="G71">
        <v>53442</v>
      </c>
      <c r="H71">
        <v>37460</v>
      </c>
      <c r="I71">
        <v>366.20998398289998</v>
      </c>
      <c r="J71">
        <v>4575</v>
      </c>
      <c r="K71">
        <v>578.77136612020001</v>
      </c>
      <c r="L71">
        <v>10436</v>
      </c>
      <c r="M71">
        <v>586.75182062090005</v>
      </c>
      <c r="N71">
        <v>5455</v>
      </c>
      <c r="O71">
        <v>544.39670027499994</v>
      </c>
      <c r="R71">
        <v>91</v>
      </c>
      <c r="S71">
        <v>410.1978021978</v>
      </c>
    </row>
    <row r="72" spans="6:19" x14ac:dyDescent="0.2">
      <c r="F72" t="s">
        <v>708</v>
      </c>
      <c r="G72">
        <v>310182</v>
      </c>
      <c r="H72">
        <v>215578</v>
      </c>
      <c r="I72">
        <v>397.60932469919999</v>
      </c>
      <c r="J72">
        <v>21691</v>
      </c>
      <c r="K72">
        <v>570.38956249140006</v>
      </c>
      <c r="L72">
        <v>57826</v>
      </c>
      <c r="M72">
        <v>614.54027600040001</v>
      </c>
      <c r="N72">
        <v>23418</v>
      </c>
      <c r="O72">
        <v>525.86151678199997</v>
      </c>
      <c r="P72">
        <v>12953</v>
      </c>
      <c r="Q72">
        <v>181.0614529453</v>
      </c>
      <c r="R72">
        <v>407</v>
      </c>
      <c r="S72">
        <v>466.23587223589999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688</v>
      </c>
    </row>
    <row r="2" spans="1:18" x14ac:dyDescent="0.2">
      <c r="A2">
        <v>1</v>
      </c>
      <c r="B2">
        <v>-99</v>
      </c>
      <c r="C2" t="s">
        <v>447</v>
      </c>
      <c r="D2" t="s">
        <v>6</v>
      </c>
      <c r="E2" t="s">
        <v>447</v>
      </c>
      <c r="F2" t="s">
        <v>708</v>
      </c>
      <c r="G2" t="s">
        <v>447</v>
      </c>
      <c r="H2" t="s">
        <v>6</v>
      </c>
      <c r="I2">
        <v>-99</v>
      </c>
      <c r="J2">
        <v>1</v>
      </c>
      <c r="K2" t="s">
        <v>6</v>
      </c>
      <c r="L2">
        <v>-99</v>
      </c>
      <c r="M2" t="s">
        <v>664</v>
      </c>
      <c r="N2" t="s">
        <v>664</v>
      </c>
      <c r="O2">
        <v>-99</v>
      </c>
      <c r="P2">
        <v>-99</v>
      </c>
      <c r="Q2">
        <v>1</v>
      </c>
      <c r="R2" t="s">
        <v>664</v>
      </c>
    </row>
    <row r="3" spans="1:18" x14ac:dyDescent="0.2">
      <c r="A3">
        <v>2</v>
      </c>
      <c r="B3">
        <v>-99</v>
      </c>
      <c r="C3" t="s">
        <v>448</v>
      </c>
      <c r="D3" t="s">
        <v>6</v>
      </c>
      <c r="E3" t="s">
        <v>448</v>
      </c>
      <c r="F3" t="s">
        <v>1048</v>
      </c>
      <c r="G3" t="s">
        <v>447</v>
      </c>
      <c r="H3" t="s">
        <v>6</v>
      </c>
      <c r="I3">
        <v>-99</v>
      </c>
      <c r="J3">
        <v>1</v>
      </c>
      <c r="K3" t="s">
        <v>6</v>
      </c>
      <c r="L3">
        <v>-99</v>
      </c>
      <c r="M3" t="s">
        <v>664</v>
      </c>
      <c r="N3" t="s">
        <v>664</v>
      </c>
      <c r="O3">
        <v>-99</v>
      </c>
      <c r="P3">
        <v>-99</v>
      </c>
      <c r="Q3">
        <v>1</v>
      </c>
      <c r="R3" t="s">
        <v>664</v>
      </c>
    </row>
    <row r="4" spans="1:18" x14ac:dyDescent="0.2">
      <c r="A4">
        <v>3</v>
      </c>
      <c r="B4">
        <v>-99</v>
      </c>
      <c r="C4" t="s">
        <v>665</v>
      </c>
      <c r="D4" t="s">
        <v>6</v>
      </c>
      <c r="E4" t="s">
        <v>665</v>
      </c>
      <c r="F4" t="s">
        <v>1050</v>
      </c>
      <c r="G4" t="s">
        <v>447</v>
      </c>
      <c r="H4" t="s">
        <v>6</v>
      </c>
      <c r="I4">
        <v>-99</v>
      </c>
      <c r="J4">
        <v>1</v>
      </c>
      <c r="K4" t="s">
        <v>6</v>
      </c>
      <c r="L4">
        <v>-99</v>
      </c>
      <c r="M4" t="s">
        <v>664</v>
      </c>
      <c r="N4" t="s">
        <v>664</v>
      </c>
      <c r="O4">
        <v>-99</v>
      </c>
      <c r="P4">
        <v>-99</v>
      </c>
      <c r="Q4">
        <v>1</v>
      </c>
      <c r="R4" t="s">
        <v>216</v>
      </c>
    </row>
    <row r="5" spans="1:18" x14ac:dyDescent="0.2">
      <c r="A5">
        <v>4</v>
      </c>
      <c r="B5">
        <v>-99</v>
      </c>
      <c r="C5" t="s">
        <v>449</v>
      </c>
      <c r="D5" t="s">
        <v>6</v>
      </c>
      <c r="E5" t="s">
        <v>449</v>
      </c>
      <c r="F5" t="s">
        <v>1056</v>
      </c>
      <c r="G5" t="s">
        <v>447</v>
      </c>
      <c r="H5" t="s">
        <v>6</v>
      </c>
      <c r="I5">
        <v>-99</v>
      </c>
      <c r="J5">
        <v>1</v>
      </c>
      <c r="K5" t="s">
        <v>6</v>
      </c>
      <c r="L5">
        <v>-99</v>
      </c>
      <c r="M5" t="s">
        <v>664</v>
      </c>
      <c r="N5" t="s">
        <v>664</v>
      </c>
      <c r="O5">
        <v>-99</v>
      </c>
      <c r="P5">
        <v>-99</v>
      </c>
      <c r="Q5">
        <v>1</v>
      </c>
      <c r="R5" t="s">
        <v>693</v>
      </c>
    </row>
    <row r="6" spans="1:18" x14ac:dyDescent="0.2">
      <c r="A6">
        <v>5</v>
      </c>
      <c r="B6">
        <v>-99</v>
      </c>
      <c r="C6" t="s">
        <v>450</v>
      </c>
      <c r="D6" t="s">
        <v>6</v>
      </c>
      <c r="E6" t="s">
        <v>450</v>
      </c>
      <c r="F6" t="s">
        <v>705</v>
      </c>
      <c r="G6" t="s">
        <v>447</v>
      </c>
      <c r="H6" t="s">
        <v>6</v>
      </c>
      <c r="I6">
        <v>-99</v>
      </c>
      <c r="J6">
        <v>1</v>
      </c>
      <c r="K6" t="s">
        <v>6</v>
      </c>
      <c r="L6">
        <v>-99</v>
      </c>
      <c r="M6" t="s">
        <v>664</v>
      </c>
      <c r="N6" t="s">
        <v>664</v>
      </c>
      <c r="O6">
        <v>-99</v>
      </c>
      <c r="P6">
        <v>-99</v>
      </c>
      <c r="Q6">
        <v>1</v>
      </c>
      <c r="R6" t="s">
        <v>689</v>
      </c>
    </row>
    <row r="7" spans="1:18" x14ac:dyDescent="0.2">
      <c r="A7">
        <v>6</v>
      </c>
      <c r="B7">
        <v>-99</v>
      </c>
      <c r="C7" t="s">
        <v>451</v>
      </c>
      <c r="D7" t="s">
        <v>6</v>
      </c>
      <c r="E7" t="s">
        <v>451</v>
      </c>
      <c r="F7" t="s">
        <v>1051</v>
      </c>
      <c r="G7" t="s">
        <v>447</v>
      </c>
      <c r="H7" t="s">
        <v>6</v>
      </c>
      <c r="I7">
        <v>-99</v>
      </c>
      <c r="J7">
        <v>1</v>
      </c>
      <c r="K7" t="s">
        <v>6</v>
      </c>
      <c r="L7">
        <v>-99</v>
      </c>
      <c r="M7" t="s">
        <v>664</v>
      </c>
      <c r="N7" t="s">
        <v>664</v>
      </c>
      <c r="O7">
        <v>-99</v>
      </c>
      <c r="P7">
        <v>-99</v>
      </c>
      <c r="Q7">
        <v>1</v>
      </c>
      <c r="R7" t="s">
        <v>690</v>
      </c>
    </row>
    <row r="8" spans="1:18" x14ac:dyDescent="0.2">
      <c r="A8">
        <v>7</v>
      </c>
      <c r="B8">
        <v>-99</v>
      </c>
      <c r="C8" t="s">
        <v>452</v>
      </c>
      <c r="D8" t="s">
        <v>6</v>
      </c>
      <c r="E8" t="s">
        <v>452</v>
      </c>
      <c r="F8" t="s">
        <v>1057</v>
      </c>
      <c r="G8" t="s">
        <v>447</v>
      </c>
      <c r="H8" t="s">
        <v>6</v>
      </c>
      <c r="I8">
        <v>-99</v>
      </c>
      <c r="J8">
        <v>1</v>
      </c>
      <c r="K8" t="s">
        <v>6</v>
      </c>
      <c r="L8">
        <v>-99</v>
      </c>
      <c r="M8" t="s">
        <v>664</v>
      </c>
      <c r="N8" t="s">
        <v>664</v>
      </c>
      <c r="O8">
        <v>-99</v>
      </c>
      <c r="P8">
        <v>-99</v>
      </c>
      <c r="Q8">
        <v>1</v>
      </c>
      <c r="R8" t="s">
        <v>691</v>
      </c>
    </row>
    <row r="9" spans="1:18" x14ac:dyDescent="0.2">
      <c r="A9">
        <v>8</v>
      </c>
      <c r="B9">
        <v>-99</v>
      </c>
      <c r="C9" t="s">
        <v>453</v>
      </c>
      <c r="D9" t="s">
        <v>6</v>
      </c>
      <c r="E9" t="s">
        <v>453</v>
      </c>
      <c r="F9" t="s">
        <v>1058</v>
      </c>
      <c r="G9" t="s">
        <v>447</v>
      </c>
      <c r="H9" t="s">
        <v>6</v>
      </c>
      <c r="I9">
        <v>-99</v>
      </c>
      <c r="J9">
        <v>1</v>
      </c>
      <c r="K9" t="s">
        <v>6</v>
      </c>
      <c r="L9">
        <v>-99</v>
      </c>
      <c r="M9" t="s">
        <v>664</v>
      </c>
      <c r="N9" t="s">
        <v>664</v>
      </c>
      <c r="O9">
        <v>-99</v>
      </c>
      <c r="P9">
        <v>-99</v>
      </c>
      <c r="Q9">
        <v>1</v>
      </c>
      <c r="R9" t="s">
        <v>408</v>
      </c>
    </row>
    <row r="10" spans="1:18" x14ac:dyDescent="0.2">
      <c r="A10">
        <v>9</v>
      </c>
      <c r="B10">
        <v>-99</v>
      </c>
      <c r="C10" t="s">
        <v>454</v>
      </c>
      <c r="D10" t="s">
        <v>6</v>
      </c>
      <c r="E10" t="s">
        <v>454</v>
      </c>
      <c r="F10" t="s">
        <v>1059</v>
      </c>
      <c r="G10" t="s">
        <v>447</v>
      </c>
      <c r="H10" t="s">
        <v>6</v>
      </c>
      <c r="I10">
        <v>-99</v>
      </c>
      <c r="J10">
        <v>1</v>
      </c>
      <c r="K10" t="s">
        <v>6</v>
      </c>
      <c r="L10">
        <v>-99</v>
      </c>
      <c r="M10" t="s">
        <v>664</v>
      </c>
      <c r="N10" t="s">
        <v>664</v>
      </c>
      <c r="O10">
        <v>-99</v>
      </c>
      <c r="P10">
        <v>-99</v>
      </c>
      <c r="Q10">
        <v>1</v>
      </c>
      <c r="R10" t="s">
        <v>694</v>
      </c>
    </row>
    <row r="11" spans="1:18" x14ac:dyDescent="0.2">
      <c r="A11">
        <v>10</v>
      </c>
      <c r="B11">
        <v>-99</v>
      </c>
      <c r="C11" t="s">
        <v>455</v>
      </c>
      <c r="D11" t="s">
        <v>6</v>
      </c>
      <c r="E11" t="s">
        <v>455</v>
      </c>
      <c r="F11" t="s">
        <v>1060</v>
      </c>
      <c r="G11" t="s">
        <v>447</v>
      </c>
      <c r="H11" t="s">
        <v>6</v>
      </c>
      <c r="I11">
        <v>-99</v>
      </c>
      <c r="J11">
        <v>1</v>
      </c>
      <c r="K11" t="s">
        <v>6</v>
      </c>
      <c r="L11">
        <v>-99</v>
      </c>
      <c r="M11" t="s">
        <v>664</v>
      </c>
      <c r="N11" t="s">
        <v>664</v>
      </c>
      <c r="O11">
        <v>-99</v>
      </c>
      <c r="P11">
        <v>-99</v>
      </c>
      <c r="Q11">
        <v>1</v>
      </c>
      <c r="R11" t="s">
        <v>664</v>
      </c>
    </row>
    <row r="12" spans="1:18" x14ac:dyDescent="0.2">
      <c r="A12">
        <v>11</v>
      </c>
      <c r="B12">
        <v>-99</v>
      </c>
      <c r="C12" t="s">
        <v>457</v>
      </c>
      <c r="D12" t="s">
        <v>518</v>
      </c>
      <c r="E12" t="s">
        <v>666</v>
      </c>
      <c r="F12" t="s">
        <v>135</v>
      </c>
      <c r="G12" t="s">
        <v>666</v>
      </c>
      <c r="H12" t="s">
        <v>380</v>
      </c>
      <c r="I12">
        <v>-99</v>
      </c>
      <c r="J12">
        <v>-99</v>
      </c>
      <c r="K12" t="s">
        <v>664</v>
      </c>
      <c r="L12">
        <v>-99</v>
      </c>
      <c r="M12" t="s">
        <v>664</v>
      </c>
      <c r="N12" t="s">
        <v>664</v>
      </c>
      <c r="O12">
        <v>-99</v>
      </c>
      <c r="P12">
        <v>-99</v>
      </c>
      <c r="Q12">
        <v>2</v>
      </c>
      <c r="R12" t="s">
        <v>664</v>
      </c>
    </row>
    <row r="13" spans="1:18" x14ac:dyDescent="0.2">
      <c r="A13">
        <v>12</v>
      </c>
      <c r="B13">
        <v>-99</v>
      </c>
      <c r="C13" t="s">
        <v>459</v>
      </c>
      <c r="D13" t="s">
        <v>518</v>
      </c>
      <c r="E13" t="s">
        <v>667</v>
      </c>
      <c r="F13" t="s">
        <v>136</v>
      </c>
      <c r="G13" t="s">
        <v>667</v>
      </c>
      <c r="H13" t="s">
        <v>387</v>
      </c>
      <c r="I13">
        <v>-99</v>
      </c>
      <c r="J13">
        <v>-99</v>
      </c>
      <c r="K13" t="s">
        <v>664</v>
      </c>
      <c r="L13">
        <v>-99</v>
      </c>
      <c r="M13" t="s">
        <v>664</v>
      </c>
      <c r="N13" t="s">
        <v>664</v>
      </c>
      <c r="O13">
        <v>-99</v>
      </c>
      <c r="P13">
        <v>-99</v>
      </c>
      <c r="Q13">
        <v>2</v>
      </c>
      <c r="R13" t="s">
        <v>664</v>
      </c>
    </row>
    <row r="14" spans="1:18" x14ac:dyDescent="0.2">
      <c r="A14">
        <v>13</v>
      </c>
      <c r="B14">
        <v>-99</v>
      </c>
      <c r="C14" t="s">
        <v>462</v>
      </c>
      <c r="D14" t="s">
        <v>518</v>
      </c>
      <c r="E14" t="s">
        <v>668</v>
      </c>
      <c r="F14" t="s">
        <v>137</v>
      </c>
      <c r="G14" t="s">
        <v>668</v>
      </c>
      <c r="H14" t="s">
        <v>396</v>
      </c>
      <c r="I14">
        <v>-99</v>
      </c>
      <c r="J14">
        <v>-99</v>
      </c>
      <c r="K14" t="s">
        <v>664</v>
      </c>
      <c r="L14">
        <v>-99</v>
      </c>
      <c r="M14" t="s">
        <v>664</v>
      </c>
      <c r="N14" t="s">
        <v>664</v>
      </c>
      <c r="O14">
        <v>-99</v>
      </c>
      <c r="P14">
        <v>-99</v>
      </c>
      <c r="Q14">
        <v>2</v>
      </c>
      <c r="R14" t="s">
        <v>664</v>
      </c>
    </row>
    <row r="15" spans="1:18" x14ac:dyDescent="0.2">
      <c r="A15">
        <v>14</v>
      </c>
      <c r="B15">
        <v>-99</v>
      </c>
      <c r="C15" t="s">
        <v>669</v>
      </c>
      <c r="D15" t="s">
        <v>518</v>
      </c>
      <c r="E15" t="s">
        <v>670</v>
      </c>
      <c r="F15" t="s">
        <v>138</v>
      </c>
      <c r="G15" t="s">
        <v>670</v>
      </c>
      <c r="H15" t="s">
        <v>412</v>
      </c>
      <c r="I15">
        <v>-99</v>
      </c>
      <c r="J15">
        <v>-99</v>
      </c>
      <c r="K15" t="s">
        <v>664</v>
      </c>
      <c r="L15">
        <v>-99</v>
      </c>
      <c r="M15" t="s">
        <v>664</v>
      </c>
      <c r="N15" t="s">
        <v>664</v>
      </c>
      <c r="O15">
        <v>-99</v>
      </c>
      <c r="P15">
        <v>-99</v>
      </c>
      <c r="Q15">
        <v>2</v>
      </c>
      <c r="R15" t="s">
        <v>664</v>
      </c>
    </row>
    <row r="16" spans="1:18" x14ac:dyDescent="0.2">
      <c r="A16">
        <v>15</v>
      </c>
      <c r="B16">
        <v>-99</v>
      </c>
      <c r="C16" t="s">
        <v>671</v>
      </c>
      <c r="D16" t="s">
        <v>446</v>
      </c>
      <c r="E16" t="s">
        <v>672</v>
      </c>
      <c r="F16" t="s">
        <v>439</v>
      </c>
      <c r="G16" t="s">
        <v>664</v>
      </c>
      <c r="H16" t="s">
        <v>664</v>
      </c>
      <c r="I16">
        <v>-99</v>
      </c>
      <c r="J16">
        <v>30</v>
      </c>
      <c r="K16" t="s">
        <v>379</v>
      </c>
      <c r="L16">
        <v>-99</v>
      </c>
      <c r="M16" t="s">
        <v>664</v>
      </c>
      <c r="N16" t="s">
        <v>664</v>
      </c>
      <c r="O16">
        <v>-99</v>
      </c>
      <c r="P16">
        <v>-99</v>
      </c>
      <c r="Q16">
        <v>3</v>
      </c>
      <c r="R16" t="s">
        <v>664</v>
      </c>
    </row>
    <row r="17" spans="1:18" x14ac:dyDescent="0.2">
      <c r="A17">
        <v>16</v>
      </c>
      <c r="B17">
        <v>-99</v>
      </c>
      <c r="C17" t="s">
        <v>673</v>
      </c>
      <c r="D17" t="s">
        <v>446</v>
      </c>
      <c r="E17" t="s">
        <v>671</v>
      </c>
      <c r="F17" t="s">
        <v>445</v>
      </c>
      <c r="G17" t="s">
        <v>664</v>
      </c>
      <c r="H17" t="s">
        <v>664</v>
      </c>
      <c r="I17">
        <v>-99</v>
      </c>
      <c r="J17">
        <v>31</v>
      </c>
      <c r="K17" t="s">
        <v>390</v>
      </c>
      <c r="L17">
        <v>-99</v>
      </c>
      <c r="M17" t="s">
        <v>664</v>
      </c>
      <c r="N17" t="s">
        <v>664</v>
      </c>
      <c r="O17">
        <v>-99</v>
      </c>
      <c r="P17">
        <v>-99</v>
      </c>
      <c r="Q17">
        <v>3</v>
      </c>
      <c r="R17" t="s">
        <v>664</v>
      </c>
    </row>
    <row r="18" spans="1:18" x14ac:dyDescent="0.2">
      <c r="A18">
        <v>17</v>
      </c>
      <c r="B18">
        <v>-99</v>
      </c>
      <c r="C18" t="s">
        <v>674</v>
      </c>
      <c r="D18" t="s">
        <v>446</v>
      </c>
      <c r="E18" t="s">
        <v>673</v>
      </c>
      <c r="F18" t="s">
        <v>443</v>
      </c>
      <c r="G18" t="s">
        <v>664</v>
      </c>
      <c r="H18" t="s">
        <v>664</v>
      </c>
      <c r="I18">
        <v>-99</v>
      </c>
      <c r="J18">
        <v>32</v>
      </c>
      <c r="K18" t="s">
        <v>400</v>
      </c>
      <c r="L18">
        <v>-99</v>
      </c>
      <c r="M18" t="s">
        <v>664</v>
      </c>
      <c r="N18" t="s">
        <v>664</v>
      </c>
      <c r="O18">
        <v>-99</v>
      </c>
      <c r="P18">
        <v>-99</v>
      </c>
      <c r="Q18">
        <v>3</v>
      </c>
      <c r="R18" t="s">
        <v>664</v>
      </c>
    </row>
    <row r="19" spans="1:18" x14ac:dyDescent="0.2">
      <c r="A19">
        <v>18</v>
      </c>
      <c r="B19">
        <v>-99</v>
      </c>
      <c r="C19" t="s">
        <v>675</v>
      </c>
      <c r="D19" t="s">
        <v>446</v>
      </c>
      <c r="E19" t="s">
        <v>674</v>
      </c>
      <c r="F19" t="s">
        <v>442</v>
      </c>
      <c r="G19" t="s">
        <v>664</v>
      </c>
      <c r="H19" t="s">
        <v>664</v>
      </c>
      <c r="I19">
        <v>-99</v>
      </c>
      <c r="J19">
        <v>33</v>
      </c>
      <c r="K19" t="s">
        <v>395</v>
      </c>
      <c r="L19">
        <v>-99</v>
      </c>
      <c r="M19" t="s">
        <v>664</v>
      </c>
      <c r="N19" t="s">
        <v>664</v>
      </c>
      <c r="O19">
        <v>-99</v>
      </c>
      <c r="P19">
        <v>-99</v>
      </c>
      <c r="Q19">
        <v>3</v>
      </c>
      <c r="R19" t="s">
        <v>664</v>
      </c>
    </row>
    <row r="20" spans="1:18" x14ac:dyDescent="0.2">
      <c r="A20">
        <v>19</v>
      </c>
      <c r="B20">
        <v>-99</v>
      </c>
      <c r="C20" t="s">
        <v>676</v>
      </c>
      <c r="D20" t="s">
        <v>446</v>
      </c>
      <c r="E20" t="s">
        <v>675</v>
      </c>
      <c r="F20" t="s">
        <v>444</v>
      </c>
      <c r="G20" t="s">
        <v>664</v>
      </c>
      <c r="H20" t="s">
        <v>664</v>
      </c>
      <c r="I20">
        <v>-99</v>
      </c>
      <c r="J20">
        <v>34</v>
      </c>
      <c r="K20" t="s">
        <v>414</v>
      </c>
      <c r="L20">
        <v>-99</v>
      </c>
      <c r="M20" t="s">
        <v>664</v>
      </c>
      <c r="N20" t="s">
        <v>664</v>
      </c>
      <c r="O20">
        <v>-99</v>
      </c>
      <c r="P20">
        <v>-99</v>
      </c>
      <c r="Q20">
        <v>3</v>
      </c>
      <c r="R20" t="s">
        <v>664</v>
      </c>
    </row>
    <row r="21" spans="1:18" x14ac:dyDescent="0.2">
      <c r="A21">
        <v>20</v>
      </c>
      <c r="B21">
        <v>1</v>
      </c>
      <c r="C21" t="s">
        <v>677</v>
      </c>
      <c r="D21" t="s">
        <v>378</v>
      </c>
      <c r="E21" t="s">
        <v>677</v>
      </c>
      <c r="F21" t="s">
        <v>519</v>
      </c>
      <c r="G21" t="s">
        <v>678</v>
      </c>
      <c r="H21" t="s">
        <v>8</v>
      </c>
      <c r="I21">
        <v>-99</v>
      </c>
      <c r="J21">
        <v>35</v>
      </c>
      <c r="K21" t="s">
        <v>8</v>
      </c>
      <c r="L21">
        <v>8240</v>
      </c>
      <c r="M21" t="s">
        <v>520</v>
      </c>
      <c r="N21" t="s">
        <v>664</v>
      </c>
      <c r="O21">
        <v>1</v>
      </c>
      <c r="P21">
        <v>2</v>
      </c>
      <c r="Q21">
        <v>-99</v>
      </c>
      <c r="R21" t="s">
        <v>664</v>
      </c>
    </row>
    <row r="22" spans="1:18" x14ac:dyDescent="0.2">
      <c r="A22">
        <v>21</v>
      </c>
      <c r="B22">
        <v>8</v>
      </c>
      <c r="C22" t="s">
        <v>142</v>
      </c>
      <c r="D22" t="s">
        <v>38</v>
      </c>
      <c r="E22" t="s">
        <v>521</v>
      </c>
      <c r="F22" t="s">
        <v>522</v>
      </c>
      <c r="G22" t="s">
        <v>666</v>
      </c>
      <c r="H22" t="s">
        <v>380</v>
      </c>
      <c r="I22">
        <v>380</v>
      </c>
      <c r="J22">
        <v>30</v>
      </c>
      <c r="K22" t="s">
        <v>379</v>
      </c>
      <c r="L22">
        <v>8233</v>
      </c>
      <c r="M22" t="s">
        <v>335</v>
      </c>
      <c r="N22" t="s">
        <v>381</v>
      </c>
      <c r="O22">
        <v>1</v>
      </c>
      <c r="P22">
        <v>2</v>
      </c>
      <c r="Q22">
        <v>-99</v>
      </c>
      <c r="R22" t="s">
        <v>692</v>
      </c>
    </row>
    <row r="23" spans="1:18" x14ac:dyDescent="0.2">
      <c r="A23">
        <v>22</v>
      </c>
      <c r="B23">
        <v>9</v>
      </c>
      <c r="C23" t="s">
        <v>143</v>
      </c>
      <c r="D23" t="s">
        <v>70</v>
      </c>
      <c r="E23" t="s">
        <v>523</v>
      </c>
      <c r="F23" t="s">
        <v>524</v>
      </c>
      <c r="G23" t="s">
        <v>666</v>
      </c>
      <c r="H23" t="s">
        <v>380</v>
      </c>
      <c r="I23">
        <v>380</v>
      </c>
      <c r="J23">
        <v>30</v>
      </c>
      <c r="K23" t="s">
        <v>379</v>
      </c>
      <c r="L23">
        <v>8235</v>
      </c>
      <c r="M23" t="s">
        <v>370</v>
      </c>
      <c r="N23" t="s">
        <v>382</v>
      </c>
      <c r="O23">
        <v>1</v>
      </c>
      <c r="P23">
        <v>1</v>
      </c>
      <c r="Q23">
        <v>-99</v>
      </c>
      <c r="R23" t="s">
        <v>692</v>
      </c>
    </row>
    <row r="24" spans="1:18" x14ac:dyDescent="0.2">
      <c r="A24">
        <v>23</v>
      </c>
      <c r="B24">
        <v>-99</v>
      </c>
      <c r="C24" t="s">
        <v>143</v>
      </c>
      <c r="D24" t="s">
        <v>70</v>
      </c>
      <c r="E24" t="s">
        <v>525</v>
      </c>
      <c r="F24" t="s">
        <v>526</v>
      </c>
      <c r="G24" t="s">
        <v>666</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527</v>
      </c>
      <c r="F25" t="s">
        <v>528</v>
      </c>
      <c r="G25" t="s">
        <v>666</v>
      </c>
      <c r="H25" t="s">
        <v>380</v>
      </c>
      <c r="I25">
        <v>380</v>
      </c>
      <c r="J25">
        <v>30</v>
      </c>
      <c r="K25" t="s">
        <v>379</v>
      </c>
      <c r="L25">
        <v>8237</v>
      </c>
      <c r="M25" t="s">
        <v>345</v>
      </c>
      <c r="N25" t="s">
        <v>63</v>
      </c>
      <c r="O25">
        <v>1</v>
      </c>
      <c r="P25">
        <v>2</v>
      </c>
      <c r="Q25">
        <v>-99</v>
      </c>
      <c r="R25" t="s">
        <v>692</v>
      </c>
    </row>
    <row r="26" spans="1:18" x14ac:dyDescent="0.2">
      <c r="A26">
        <v>25</v>
      </c>
      <c r="B26">
        <v>11</v>
      </c>
      <c r="C26" t="s">
        <v>145</v>
      </c>
      <c r="D26" t="s">
        <v>24</v>
      </c>
      <c r="E26" t="s">
        <v>529</v>
      </c>
      <c r="F26" t="s">
        <v>530</v>
      </c>
      <c r="G26" t="s">
        <v>666</v>
      </c>
      <c r="H26" t="s">
        <v>380</v>
      </c>
      <c r="I26">
        <v>380</v>
      </c>
      <c r="J26">
        <v>30</v>
      </c>
      <c r="K26" t="s">
        <v>379</v>
      </c>
      <c r="L26">
        <v>8238</v>
      </c>
      <c r="M26" t="s">
        <v>345</v>
      </c>
      <c r="N26" t="s">
        <v>63</v>
      </c>
      <c r="O26">
        <v>1</v>
      </c>
      <c r="P26">
        <v>2</v>
      </c>
      <c r="Q26">
        <v>-99</v>
      </c>
      <c r="R26" t="s">
        <v>692</v>
      </c>
    </row>
    <row r="27" spans="1:18" x14ac:dyDescent="0.2">
      <c r="A27">
        <v>26</v>
      </c>
      <c r="B27">
        <v>12</v>
      </c>
      <c r="C27" t="s">
        <v>146</v>
      </c>
      <c r="D27" t="s">
        <v>47</v>
      </c>
      <c r="E27" t="s">
        <v>531</v>
      </c>
      <c r="F27" t="s">
        <v>532</v>
      </c>
      <c r="G27" t="s">
        <v>666</v>
      </c>
      <c r="H27" t="s">
        <v>380</v>
      </c>
      <c r="I27">
        <v>380</v>
      </c>
      <c r="J27">
        <v>30</v>
      </c>
      <c r="K27" t="s">
        <v>379</v>
      </c>
      <c r="L27">
        <v>8239</v>
      </c>
      <c r="M27" t="s">
        <v>363</v>
      </c>
      <c r="N27" t="s">
        <v>383</v>
      </c>
      <c r="O27">
        <v>1</v>
      </c>
      <c r="P27">
        <v>2</v>
      </c>
      <c r="Q27">
        <v>-99</v>
      </c>
      <c r="R27" t="s">
        <v>692</v>
      </c>
    </row>
    <row r="28" spans="1:18" x14ac:dyDescent="0.2">
      <c r="A28">
        <v>27</v>
      </c>
      <c r="B28">
        <v>13</v>
      </c>
      <c r="C28" t="s">
        <v>147</v>
      </c>
      <c r="D28" t="s">
        <v>64</v>
      </c>
      <c r="E28" t="s">
        <v>533</v>
      </c>
      <c r="F28" t="s">
        <v>534</v>
      </c>
      <c r="G28" t="s">
        <v>666</v>
      </c>
      <c r="H28" t="s">
        <v>380</v>
      </c>
      <c r="I28">
        <v>380</v>
      </c>
      <c r="J28">
        <v>30</v>
      </c>
      <c r="K28" t="s">
        <v>379</v>
      </c>
      <c r="L28">
        <v>8241</v>
      </c>
      <c r="M28" t="s">
        <v>367</v>
      </c>
      <c r="N28" t="s">
        <v>384</v>
      </c>
      <c r="O28">
        <v>1</v>
      </c>
      <c r="P28">
        <v>2</v>
      </c>
      <c r="Q28">
        <v>-99</v>
      </c>
      <c r="R28" t="s">
        <v>692</v>
      </c>
    </row>
    <row r="29" spans="1:18" x14ac:dyDescent="0.2">
      <c r="A29">
        <v>28</v>
      </c>
      <c r="B29">
        <v>14</v>
      </c>
      <c r="C29" t="s">
        <v>102</v>
      </c>
      <c r="D29" t="s">
        <v>66</v>
      </c>
      <c r="E29" t="s">
        <v>535</v>
      </c>
      <c r="F29" t="s">
        <v>536</v>
      </c>
      <c r="G29" t="s">
        <v>666</v>
      </c>
      <c r="H29" t="s">
        <v>380</v>
      </c>
      <c r="I29">
        <v>380</v>
      </c>
      <c r="J29">
        <v>30</v>
      </c>
      <c r="K29" t="s">
        <v>379</v>
      </c>
      <c r="L29">
        <v>8242</v>
      </c>
      <c r="M29" t="s">
        <v>357</v>
      </c>
      <c r="N29" t="s">
        <v>385</v>
      </c>
      <c r="O29">
        <v>1</v>
      </c>
      <c r="P29">
        <v>1</v>
      </c>
      <c r="Q29">
        <v>-99</v>
      </c>
      <c r="R29" t="s">
        <v>692</v>
      </c>
    </row>
    <row r="30" spans="1:18" x14ac:dyDescent="0.2">
      <c r="A30">
        <v>29</v>
      </c>
      <c r="B30">
        <v>-99</v>
      </c>
      <c r="C30" t="s">
        <v>102</v>
      </c>
      <c r="D30" t="s">
        <v>66</v>
      </c>
      <c r="E30" t="s">
        <v>537</v>
      </c>
      <c r="F30" t="s">
        <v>218</v>
      </c>
      <c r="G30" t="s">
        <v>666</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538</v>
      </c>
      <c r="F31" t="s">
        <v>539</v>
      </c>
      <c r="G31" t="s">
        <v>666</v>
      </c>
      <c r="H31" t="s">
        <v>380</v>
      </c>
      <c r="I31">
        <v>380</v>
      </c>
      <c r="J31">
        <v>30</v>
      </c>
      <c r="K31" t="s">
        <v>379</v>
      </c>
      <c r="L31">
        <v>8243</v>
      </c>
      <c r="M31" t="s">
        <v>357</v>
      </c>
      <c r="N31" t="s">
        <v>385</v>
      </c>
      <c r="O31">
        <v>1</v>
      </c>
      <c r="P31">
        <v>1</v>
      </c>
      <c r="Q31">
        <v>-99</v>
      </c>
      <c r="R31" t="s">
        <v>692</v>
      </c>
    </row>
    <row r="32" spans="1:18" x14ac:dyDescent="0.2">
      <c r="A32">
        <v>31</v>
      </c>
      <c r="B32">
        <v>-99</v>
      </c>
      <c r="C32" t="s">
        <v>148</v>
      </c>
      <c r="D32" t="s">
        <v>68</v>
      </c>
      <c r="E32" t="s">
        <v>540</v>
      </c>
      <c r="F32" t="s">
        <v>541</v>
      </c>
      <c r="G32" t="s">
        <v>666</v>
      </c>
      <c r="H32" t="s">
        <v>380</v>
      </c>
      <c r="I32">
        <v>380</v>
      </c>
      <c r="J32">
        <v>30</v>
      </c>
      <c r="K32" t="s">
        <v>379</v>
      </c>
      <c r="L32">
        <v>8243</v>
      </c>
      <c r="M32" t="s">
        <v>357</v>
      </c>
      <c r="N32" t="s">
        <v>385</v>
      </c>
      <c r="O32">
        <v>-99</v>
      </c>
      <c r="P32">
        <v>1</v>
      </c>
      <c r="Q32">
        <v>-99</v>
      </c>
      <c r="R32" t="s">
        <v>691</v>
      </c>
    </row>
    <row r="33" spans="1:18" x14ac:dyDescent="0.2">
      <c r="A33">
        <v>32</v>
      </c>
      <c r="B33">
        <v>16</v>
      </c>
      <c r="C33" t="s">
        <v>149</v>
      </c>
      <c r="D33" t="s">
        <v>36</v>
      </c>
      <c r="E33" t="s">
        <v>542</v>
      </c>
      <c r="F33" t="s">
        <v>543</v>
      </c>
      <c r="G33" t="s">
        <v>666</v>
      </c>
      <c r="H33" t="s">
        <v>380</v>
      </c>
      <c r="I33">
        <v>380</v>
      </c>
      <c r="J33">
        <v>30</v>
      </c>
      <c r="K33" t="s">
        <v>379</v>
      </c>
      <c r="L33">
        <v>8244</v>
      </c>
      <c r="M33" t="s">
        <v>352</v>
      </c>
      <c r="N33" t="s">
        <v>386</v>
      </c>
      <c r="O33">
        <v>1</v>
      </c>
      <c r="P33">
        <v>2</v>
      </c>
      <c r="Q33">
        <v>-99</v>
      </c>
      <c r="R33" t="s">
        <v>692</v>
      </c>
    </row>
    <row r="34" spans="1:18" x14ac:dyDescent="0.2">
      <c r="A34">
        <v>33</v>
      </c>
      <c r="B34">
        <v>23</v>
      </c>
      <c r="C34" t="s">
        <v>108</v>
      </c>
      <c r="D34" t="s">
        <v>72</v>
      </c>
      <c r="E34" t="s">
        <v>544</v>
      </c>
      <c r="F34" t="s">
        <v>545</v>
      </c>
      <c r="G34" t="s">
        <v>667</v>
      </c>
      <c r="H34" t="s">
        <v>387</v>
      </c>
      <c r="I34">
        <v>381</v>
      </c>
      <c r="J34">
        <v>30</v>
      </c>
      <c r="K34" t="s">
        <v>379</v>
      </c>
      <c r="L34">
        <v>8245</v>
      </c>
      <c r="M34" t="s">
        <v>331</v>
      </c>
      <c r="N34" t="s">
        <v>388</v>
      </c>
      <c r="O34">
        <v>1</v>
      </c>
      <c r="P34">
        <v>2</v>
      </c>
      <c r="Q34">
        <v>-99</v>
      </c>
      <c r="R34" t="s">
        <v>692</v>
      </c>
    </row>
    <row r="35" spans="1:18" x14ac:dyDescent="0.2">
      <c r="A35">
        <v>34</v>
      </c>
      <c r="B35">
        <v>24</v>
      </c>
      <c r="C35" t="s">
        <v>150</v>
      </c>
      <c r="D35" t="s">
        <v>50</v>
      </c>
      <c r="E35" t="s">
        <v>546</v>
      </c>
      <c r="F35" t="s">
        <v>547</v>
      </c>
      <c r="G35" t="s">
        <v>667</v>
      </c>
      <c r="H35" t="s">
        <v>387</v>
      </c>
      <c r="I35">
        <v>381</v>
      </c>
      <c r="J35">
        <v>30</v>
      </c>
      <c r="K35" t="s">
        <v>379</v>
      </c>
      <c r="L35">
        <v>8246</v>
      </c>
      <c r="M35" t="s">
        <v>347</v>
      </c>
      <c r="N35" t="s">
        <v>389</v>
      </c>
      <c r="O35">
        <v>1</v>
      </c>
      <c r="P35">
        <v>2</v>
      </c>
      <c r="Q35">
        <v>-99</v>
      </c>
      <c r="R35" t="s">
        <v>692</v>
      </c>
    </row>
    <row r="36" spans="1:18" x14ac:dyDescent="0.2">
      <c r="A36">
        <v>35</v>
      </c>
      <c r="B36">
        <v>30</v>
      </c>
      <c r="C36" t="s">
        <v>151</v>
      </c>
      <c r="D36" t="s">
        <v>25</v>
      </c>
      <c r="E36" t="s">
        <v>548</v>
      </c>
      <c r="F36" t="s">
        <v>549</v>
      </c>
      <c r="G36" t="s">
        <v>667</v>
      </c>
      <c r="H36" t="s">
        <v>387</v>
      </c>
      <c r="I36">
        <v>381</v>
      </c>
      <c r="J36">
        <v>31</v>
      </c>
      <c r="K36" t="s">
        <v>390</v>
      </c>
      <c r="L36">
        <v>8247</v>
      </c>
      <c r="M36" t="s">
        <v>372</v>
      </c>
      <c r="N36" t="s">
        <v>391</v>
      </c>
      <c r="O36">
        <v>1</v>
      </c>
      <c r="P36">
        <v>2</v>
      </c>
      <c r="Q36">
        <v>-99</v>
      </c>
      <c r="R36" t="s">
        <v>692</v>
      </c>
    </row>
    <row r="37" spans="1:18" x14ac:dyDescent="0.2">
      <c r="A37">
        <v>36</v>
      </c>
      <c r="B37">
        <v>194</v>
      </c>
      <c r="C37" t="s">
        <v>152</v>
      </c>
      <c r="D37" t="s">
        <v>80</v>
      </c>
      <c r="E37" t="s">
        <v>550</v>
      </c>
      <c r="F37" t="s">
        <v>551</v>
      </c>
      <c r="G37" t="s">
        <v>667</v>
      </c>
      <c r="H37" t="s">
        <v>387</v>
      </c>
      <c r="I37">
        <v>381</v>
      </c>
      <c r="J37">
        <v>31</v>
      </c>
      <c r="K37" t="s">
        <v>390</v>
      </c>
      <c r="L37">
        <v>8248</v>
      </c>
      <c r="M37" t="s">
        <v>327</v>
      </c>
      <c r="N37" t="s">
        <v>435</v>
      </c>
      <c r="O37">
        <v>1</v>
      </c>
      <c r="P37">
        <v>2</v>
      </c>
      <c r="Q37">
        <v>-99</v>
      </c>
      <c r="R37" t="s">
        <v>692</v>
      </c>
    </row>
    <row r="38" spans="1:18" x14ac:dyDescent="0.2">
      <c r="A38">
        <v>37</v>
      </c>
      <c r="B38">
        <v>34</v>
      </c>
      <c r="C38" t="s">
        <v>153</v>
      </c>
      <c r="D38" t="s">
        <v>86</v>
      </c>
      <c r="E38" t="s">
        <v>552</v>
      </c>
      <c r="F38" t="s">
        <v>553</v>
      </c>
      <c r="G38" t="s">
        <v>667</v>
      </c>
      <c r="H38" t="s">
        <v>387</v>
      </c>
      <c r="I38">
        <v>381</v>
      </c>
      <c r="J38">
        <v>30</v>
      </c>
      <c r="K38" t="s">
        <v>379</v>
      </c>
      <c r="L38">
        <v>8249</v>
      </c>
      <c r="M38" t="s">
        <v>358</v>
      </c>
      <c r="N38" t="s">
        <v>392</v>
      </c>
      <c r="O38">
        <v>1</v>
      </c>
      <c r="P38">
        <v>1</v>
      </c>
      <c r="Q38">
        <v>-99</v>
      </c>
      <c r="R38" t="s">
        <v>692</v>
      </c>
    </row>
    <row r="39" spans="1:18" x14ac:dyDescent="0.2">
      <c r="A39">
        <v>38</v>
      </c>
      <c r="B39">
        <v>-99</v>
      </c>
      <c r="C39" t="s">
        <v>153</v>
      </c>
      <c r="D39" t="s">
        <v>86</v>
      </c>
      <c r="E39" t="s">
        <v>554</v>
      </c>
      <c r="F39" t="s">
        <v>221</v>
      </c>
      <c r="G39" t="s">
        <v>667</v>
      </c>
      <c r="H39" t="s">
        <v>387</v>
      </c>
      <c r="I39">
        <v>381</v>
      </c>
      <c r="J39">
        <v>30</v>
      </c>
      <c r="K39" t="s">
        <v>379</v>
      </c>
      <c r="L39">
        <v>8249</v>
      </c>
      <c r="M39" t="s">
        <v>358</v>
      </c>
      <c r="N39" t="s">
        <v>392</v>
      </c>
      <c r="O39">
        <v>-99</v>
      </c>
      <c r="P39">
        <v>1</v>
      </c>
      <c r="Q39">
        <v>-99</v>
      </c>
      <c r="R39" t="s">
        <v>689</v>
      </c>
    </row>
    <row r="40" spans="1:18" x14ac:dyDescent="0.2">
      <c r="A40">
        <v>39</v>
      </c>
      <c r="B40">
        <v>-99</v>
      </c>
      <c r="C40" t="s">
        <v>153</v>
      </c>
      <c r="D40" t="s">
        <v>86</v>
      </c>
      <c r="E40" t="s">
        <v>555</v>
      </c>
      <c r="F40" t="s">
        <v>969</v>
      </c>
      <c r="G40" t="s">
        <v>667</v>
      </c>
      <c r="H40" t="s">
        <v>387</v>
      </c>
      <c r="I40">
        <v>381</v>
      </c>
      <c r="J40">
        <v>30</v>
      </c>
      <c r="K40" t="s">
        <v>379</v>
      </c>
      <c r="L40">
        <v>8249</v>
      </c>
      <c r="M40" t="s">
        <v>358</v>
      </c>
      <c r="N40" t="s">
        <v>392</v>
      </c>
      <c r="O40">
        <v>-99</v>
      </c>
      <c r="P40">
        <v>1</v>
      </c>
      <c r="Q40">
        <v>-99</v>
      </c>
      <c r="R40" t="s">
        <v>690</v>
      </c>
    </row>
    <row r="41" spans="1:18" x14ac:dyDescent="0.2">
      <c r="A41">
        <v>40</v>
      </c>
      <c r="B41">
        <v>35</v>
      </c>
      <c r="C41" t="s">
        <v>154</v>
      </c>
      <c r="D41" t="s">
        <v>42</v>
      </c>
      <c r="E41" t="s">
        <v>556</v>
      </c>
      <c r="F41" t="s">
        <v>557</v>
      </c>
      <c r="G41" t="s">
        <v>667</v>
      </c>
      <c r="H41" t="s">
        <v>387</v>
      </c>
      <c r="I41">
        <v>381</v>
      </c>
      <c r="J41">
        <v>31</v>
      </c>
      <c r="K41" t="s">
        <v>390</v>
      </c>
      <c r="L41">
        <v>8250</v>
      </c>
      <c r="M41" t="s">
        <v>350</v>
      </c>
      <c r="N41" t="s">
        <v>393</v>
      </c>
      <c r="O41">
        <v>1</v>
      </c>
      <c r="P41">
        <v>2</v>
      </c>
      <c r="Q41">
        <v>-99</v>
      </c>
      <c r="R41" t="s">
        <v>692</v>
      </c>
    </row>
    <row r="42" spans="1:18" x14ac:dyDescent="0.2">
      <c r="A42">
        <v>41</v>
      </c>
      <c r="B42">
        <v>36</v>
      </c>
      <c r="C42" t="s">
        <v>94</v>
      </c>
      <c r="D42" t="s">
        <v>61</v>
      </c>
      <c r="E42" t="s">
        <v>558</v>
      </c>
      <c r="F42" t="s">
        <v>559</v>
      </c>
      <c r="G42" t="s">
        <v>667</v>
      </c>
      <c r="H42" t="s">
        <v>387</v>
      </c>
      <c r="I42">
        <v>381</v>
      </c>
      <c r="J42">
        <v>31</v>
      </c>
      <c r="K42" t="s">
        <v>390</v>
      </c>
      <c r="L42">
        <v>8251</v>
      </c>
      <c r="M42" t="s">
        <v>353</v>
      </c>
      <c r="N42" t="s">
        <v>394</v>
      </c>
      <c r="O42">
        <v>1</v>
      </c>
      <c r="P42">
        <v>2</v>
      </c>
      <c r="Q42">
        <v>-99</v>
      </c>
      <c r="R42" t="s">
        <v>692</v>
      </c>
    </row>
    <row r="43" spans="1:18" x14ac:dyDescent="0.2">
      <c r="A43">
        <v>42</v>
      </c>
      <c r="B43">
        <v>37</v>
      </c>
      <c r="C43" t="s">
        <v>155</v>
      </c>
      <c r="D43" t="s">
        <v>62</v>
      </c>
      <c r="E43" t="s">
        <v>560</v>
      </c>
      <c r="F43" t="s">
        <v>561</v>
      </c>
      <c r="G43" t="s">
        <v>668</v>
      </c>
      <c r="H43" t="s">
        <v>396</v>
      </c>
      <c r="I43">
        <v>382</v>
      </c>
      <c r="J43">
        <v>33</v>
      </c>
      <c r="K43" t="s">
        <v>395</v>
      </c>
      <c r="L43">
        <v>8252</v>
      </c>
      <c r="M43" t="s">
        <v>330</v>
      </c>
      <c r="N43" t="s">
        <v>397</v>
      </c>
      <c r="O43">
        <v>1</v>
      </c>
      <c r="P43">
        <v>2</v>
      </c>
      <c r="Q43">
        <v>-99</v>
      </c>
      <c r="R43" t="s">
        <v>692</v>
      </c>
    </row>
    <row r="44" spans="1:18" x14ac:dyDescent="0.2">
      <c r="A44">
        <v>43</v>
      </c>
      <c r="B44">
        <v>38</v>
      </c>
      <c r="C44" t="s">
        <v>156</v>
      </c>
      <c r="D44" t="s">
        <v>60</v>
      </c>
      <c r="E44" t="s">
        <v>562</v>
      </c>
      <c r="F44" t="s">
        <v>563</v>
      </c>
      <c r="G44" t="s">
        <v>667</v>
      </c>
      <c r="H44" t="s">
        <v>387</v>
      </c>
      <c r="I44">
        <v>381</v>
      </c>
      <c r="J44">
        <v>31</v>
      </c>
      <c r="K44" t="s">
        <v>390</v>
      </c>
      <c r="L44">
        <v>8253</v>
      </c>
      <c r="M44" t="s">
        <v>364</v>
      </c>
      <c r="N44" t="s">
        <v>398</v>
      </c>
      <c r="O44">
        <v>1</v>
      </c>
      <c r="P44">
        <v>2</v>
      </c>
      <c r="Q44">
        <v>-99</v>
      </c>
      <c r="R44" t="s">
        <v>692</v>
      </c>
    </row>
    <row r="45" spans="1:18" x14ac:dyDescent="0.2">
      <c r="A45">
        <v>44</v>
      </c>
      <c r="B45">
        <v>39</v>
      </c>
      <c r="C45" t="s">
        <v>157</v>
      </c>
      <c r="D45" t="s">
        <v>52</v>
      </c>
      <c r="E45" t="s">
        <v>564</v>
      </c>
      <c r="F45" t="s">
        <v>565</v>
      </c>
      <c r="G45" t="s">
        <v>667</v>
      </c>
      <c r="H45" t="s">
        <v>387</v>
      </c>
      <c r="I45">
        <v>381</v>
      </c>
      <c r="J45">
        <v>33</v>
      </c>
      <c r="K45" t="s">
        <v>395</v>
      </c>
      <c r="L45">
        <v>8254</v>
      </c>
      <c r="M45" t="s">
        <v>365</v>
      </c>
      <c r="N45" t="s">
        <v>399</v>
      </c>
      <c r="O45">
        <v>1</v>
      </c>
      <c r="P45">
        <v>1</v>
      </c>
      <c r="Q45">
        <v>-99</v>
      </c>
      <c r="R45" t="s">
        <v>692</v>
      </c>
    </row>
    <row r="46" spans="1:18" x14ac:dyDescent="0.2">
      <c r="A46">
        <v>45</v>
      </c>
      <c r="B46">
        <v>-99</v>
      </c>
      <c r="C46" t="s">
        <v>157</v>
      </c>
      <c r="D46" t="s">
        <v>52</v>
      </c>
      <c r="E46" t="s">
        <v>566</v>
      </c>
      <c r="F46" t="s">
        <v>567</v>
      </c>
      <c r="G46" t="s">
        <v>667</v>
      </c>
      <c r="H46" t="s">
        <v>387</v>
      </c>
      <c r="I46">
        <v>381</v>
      </c>
      <c r="J46">
        <v>33</v>
      </c>
      <c r="K46" t="s">
        <v>395</v>
      </c>
      <c r="L46">
        <v>8254</v>
      </c>
      <c r="M46" t="s">
        <v>365</v>
      </c>
      <c r="N46" t="s">
        <v>399</v>
      </c>
      <c r="O46">
        <v>-99</v>
      </c>
      <c r="P46">
        <v>1</v>
      </c>
      <c r="Q46">
        <v>-99</v>
      </c>
      <c r="R46" t="s">
        <v>693</v>
      </c>
    </row>
    <row r="47" spans="1:18" x14ac:dyDescent="0.2">
      <c r="A47">
        <v>46</v>
      </c>
      <c r="B47">
        <v>52</v>
      </c>
      <c r="C47" t="s">
        <v>158</v>
      </c>
      <c r="D47" t="s">
        <v>41</v>
      </c>
      <c r="E47" t="s">
        <v>568</v>
      </c>
      <c r="F47" t="s">
        <v>569</v>
      </c>
      <c r="G47" t="s">
        <v>666</v>
      </c>
      <c r="H47" t="s">
        <v>380</v>
      </c>
      <c r="I47">
        <v>380</v>
      </c>
      <c r="J47">
        <v>32</v>
      </c>
      <c r="K47" t="s">
        <v>400</v>
      </c>
      <c r="L47">
        <v>8255</v>
      </c>
      <c r="M47" t="s">
        <v>366</v>
      </c>
      <c r="N47" t="s">
        <v>401</v>
      </c>
      <c r="O47">
        <v>1</v>
      </c>
      <c r="P47">
        <v>2</v>
      </c>
      <c r="Q47">
        <v>-99</v>
      </c>
      <c r="R47" t="s">
        <v>692</v>
      </c>
    </row>
    <row r="48" spans="1:18" x14ac:dyDescent="0.2">
      <c r="A48">
        <v>47</v>
      </c>
      <c r="B48">
        <v>53</v>
      </c>
      <c r="C48" t="s">
        <v>159</v>
      </c>
      <c r="D48" t="s">
        <v>51</v>
      </c>
      <c r="E48" t="s">
        <v>570</v>
      </c>
      <c r="F48" t="s">
        <v>571</v>
      </c>
      <c r="G48" t="s">
        <v>666</v>
      </c>
      <c r="H48" t="s">
        <v>380</v>
      </c>
      <c r="I48">
        <v>380</v>
      </c>
      <c r="J48">
        <v>32</v>
      </c>
      <c r="K48" t="s">
        <v>400</v>
      </c>
      <c r="L48">
        <v>8256</v>
      </c>
      <c r="M48" t="s">
        <v>340</v>
      </c>
      <c r="N48" t="s">
        <v>402</v>
      </c>
      <c r="O48">
        <v>1</v>
      </c>
      <c r="P48">
        <v>2</v>
      </c>
      <c r="Q48">
        <v>-99</v>
      </c>
      <c r="R48" t="s">
        <v>692</v>
      </c>
    </row>
    <row r="49" spans="1:18" x14ac:dyDescent="0.2">
      <c r="A49">
        <v>48</v>
      </c>
      <c r="B49">
        <v>54</v>
      </c>
      <c r="C49" t="s">
        <v>160</v>
      </c>
      <c r="D49" t="s">
        <v>56</v>
      </c>
      <c r="E49" t="s">
        <v>572</v>
      </c>
      <c r="F49" t="s">
        <v>573</v>
      </c>
      <c r="G49" t="s">
        <v>667</v>
      </c>
      <c r="H49" t="s">
        <v>387</v>
      </c>
      <c r="I49">
        <v>381</v>
      </c>
      <c r="J49">
        <v>31</v>
      </c>
      <c r="K49" t="s">
        <v>390</v>
      </c>
      <c r="L49">
        <v>8257</v>
      </c>
      <c r="M49" t="s">
        <v>346</v>
      </c>
      <c r="N49" t="s">
        <v>403</v>
      </c>
      <c r="O49">
        <v>1</v>
      </c>
      <c r="P49">
        <v>1</v>
      </c>
      <c r="Q49">
        <v>-99</v>
      </c>
      <c r="R49" t="s">
        <v>692</v>
      </c>
    </row>
    <row r="50" spans="1:18" x14ac:dyDescent="0.2">
      <c r="A50">
        <v>49</v>
      </c>
      <c r="B50">
        <v>-99</v>
      </c>
      <c r="C50" t="s">
        <v>160</v>
      </c>
      <c r="D50" t="s">
        <v>56</v>
      </c>
      <c r="E50" t="s">
        <v>574</v>
      </c>
      <c r="F50" t="s">
        <v>575</v>
      </c>
      <c r="G50" t="s">
        <v>667</v>
      </c>
      <c r="H50" t="s">
        <v>387</v>
      </c>
      <c r="I50">
        <v>381</v>
      </c>
      <c r="J50">
        <v>31</v>
      </c>
      <c r="K50" t="s">
        <v>390</v>
      </c>
      <c r="L50">
        <v>8257</v>
      </c>
      <c r="M50" t="s">
        <v>346</v>
      </c>
      <c r="N50" t="s">
        <v>403</v>
      </c>
      <c r="O50">
        <v>-99</v>
      </c>
      <c r="P50">
        <v>1</v>
      </c>
      <c r="Q50">
        <v>-99</v>
      </c>
      <c r="R50" t="s">
        <v>694</v>
      </c>
    </row>
    <row r="51" spans="1:18" x14ac:dyDescent="0.2">
      <c r="A51">
        <v>50</v>
      </c>
      <c r="B51">
        <v>55</v>
      </c>
      <c r="C51" t="s">
        <v>161</v>
      </c>
      <c r="D51" t="s">
        <v>40</v>
      </c>
      <c r="E51" t="s">
        <v>576</v>
      </c>
      <c r="F51" t="s">
        <v>577</v>
      </c>
      <c r="G51" t="s">
        <v>668</v>
      </c>
      <c r="H51" t="s">
        <v>396</v>
      </c>
      <c r="I51">
        <v>382</v>
      </c>
      <c r="J51">
        <v>32</v>
      </c>
      <c r="K51" t="s">
        <v>400</v>
      </c>
      <c r="L51">
        <v>8258</v>
      </c>
      <c r="M51" t="s">
        <v>359</v>
      </c>
      <c r="N51" t="s">
        <v>404</v>
      </c>
      <c r="O51">
        <v>1</v>
      </c>
      <c r="P51">
        <v>2</v>
      </c>
      <c r="Q51">
        <v>-99</v>
      </c>
      <c r="R51" t="s">
        <v>692</v>
      </c>
    </row>
    <row r="52" spans="1:18" x14ac:dyDescent="0.2">
      <c r="A52">
        <v>51</v>
      </c>
      <c r="B52">
        <v>56</v>
      </c>
      <c r="C52" t="s">
        <v>162</v>
      </c>
      <c r="D52" t="s">
        <v>45</v>
      </c>
      <c r="E52" t="s">
        <v>578</v>
      </c>
      <c r="F52" t="s">
        <v>579</v>
      </c>
      <c r="G52" t="s">
        <v>666</v>
      </c>
      <c r="H52" t="s">
        <v>380</v>
      </c>
      <c r="I52">
        <v>380</v>
      </c>
      <c r="J52">
        <v>32</v>
      </c>
      <c r="K52" t="s">
        <v>400</v>
      </c>
      <c r="L52">
        <v>8259</v>
      </c>
      <c r="M52" t="s">
        <v>336</v>
      </c>
      <c r="N52" t="s">
        <v>405</v>
      </c>
      <c r="O52">
        <v>1</v>
      </c>
      <c r="P52">
        <v>2</v>
      </c>
      <c r="Q52">
        <v>-99</v>
      </c>
      <c r="R52" t="s">
        <v>692</v>
      </c>
    </row>
    <row r="53" spans="1:18" x14ac:dyDescent="0.2">
      <c r="A53">
        <v>52</v>
      </c>
      <c r="B53">
        <v>57</v>
      </c>
      <c r="C53" t="s">
        <v>163</v>
      </c>
      <c r="D53" t="s">
        <v>59</v>
      </c>
      <c r="E53" t="s">
        <v>580</v>
      </c>
      <c r="F53" t="s">
        <v>581</v>
      </c>
      <c r="G53" t="s">
        <v>668</v>
      </c>
      <c r="H53" t="s">
        <v>396</v>
      </c>
      <c r="I53">
        <v>382</v>
      </c>
      <c r="J53">
        <v>32</v>
      </c>
      <c r="K53" t="s">
        <v>400</v>
      </c>
      <c r="L53">
        <v>8260</v>
      </c>
      <c r="M53" t="s">
        <v>326</v>
      </c>
      <c r="N53" t="s">
        <v>406</v>
      </c>
      <c r="O53">
        <v>1</v>
      </c>
      <c r="P53">
        <v>1</v>
      </c>
      <c r="Q53">
        <v>-99</v>
      </c>
      <c r="R53" t="s">
        <v>692</v>
      </c>
    </row>
    <row r="54" spans="1:18" x14ac:dyDescent="0.2">
      <c r="A54">
        <v>53</v>
      </c>
      <c r="B54">
        <v>-99</v>
      </c>
      <c r="C54" t="s">
        <v>163</v>
      </c>
      <c r="D54" t="s">
        <v>59</v>
      </c>
      <c r="E54" t="s">
        <v>582</v>
      </c>
      <c r="F54" t="s">
        <v>217</v>
      </c>
      <c r="G54" t="s">
        <v>668</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583</v>
      </c>
      <c r="F55" t="s">
        <v>584</v>
      </c>
      <c r="G55" t="s">
        <v>668</v>
      </c>
      <c r="H55" t="s">
        <v>396</v>
      </c>
      <c r="I55">
        <v>382</v>
      </c>
      <c r="J55">
        <v>32</v>
      </c>
      <c r="K55" t="s">
        <v>400</v>
      </c>
      <c r="L55">
        <v>8261</v>
      </c>
      <c r="M55" t="s">
        <v>349</v>
      </c>
      <c r="N55" t="s">
        <v>407</v>
      </c>
      <c r="O55">
        <v>1</v>
      </c>
      <c r="P55">
        <v>2</v>
      </c>
      <c r="Q55">
        <v>-99</v>
      </c>
      <c r="R55" t="s">
        <v>692</v>
      </c>
    </row>
    <row r="56" spans="1:18" x14ac:dyDescent="0.2">
      <c r="A56">
        <v>55</v>
      </c>
      <c r="B56">
        <v>59</v>
      </c>
      <c r="C56" t="s">
        <v>165</v>
      </c>
      <c r="D56" t="s">
        <v>44</v>
      </c>
      <c r="E56" t="s">
        <v>585</v>
      </c>
      <c r="F56" t="s">
        <v>586</v>
      </c>
      <c r="G56" t="s">
        <v>668</v>
      </c>
      <c r="H56" t="s">
        <v>396</v>
      </c>
      <c r="I56">
        <v>382</v>
      </c>
      <c r="J56">
        <v>32</v>
      </c>
      <c r="K56" t="s">
        <v>400</v>
      </c>
      <c r="L56">
        <v>8262</v>
      </c>
      <c r="M56" t="s">
        <v>373</v>
      </c>
      <c r="N56" t="s">
        <v>409</v>
      </c>
      <c r="O56">
        <v>1</v>
      </c>
      <c r="P56">
        <v>2</v>
      </c>
      <c r="Q56">
        <v>-99</v>
      </c>
      <c r="R56" t="s">
        <v>692</v>
      </c>
    </row>
    <row r="57" spans="1:18" x14ac:dyDescent="0.2">
      <c r="A57">
        <v>56</v>
      </c>
      <c r="B57">
        <v>60</v>
      </c>
      <c r="C57" t="s">
        <v>166</v>
      </c>
      <c r="D57" t="s">
        <v>53</v>
      </c>
      <c r="E57" t="s">
        <v>587</v>
      </c>
      <c r="F57" t="s">
        <v>588</v>
      </c>
      <c r="G57" t="s">
        <v>668</v>
      </c>
      <c r="H57" t="s">
        <v>396</v>
      </c>
      <c r="I57">
        <v>382</v>
      </c>
      <c r="J57">
        <v>32</v>
      </c>
      <c r="K57" t="s">
        <v>400</v>
      </c>
      <c r="L57">
        <v>8263</v>
      </c>
      <c r="M57" t="s">
        <v>332</v>
      </c>
      <c r="N57" t="s">
        <v>410</v>
      </c>
      <c r="O57">
        <v>1</v>
      </c>
      <c r="P57">
        <v>2</v>
      </c>
      <c r="Q57">
        <v>-99</v>
      </c>
      <c r="R57" t="s">
        <v>692</v>
      </c>
    </row>
    <row r="58" spans="1:18" x14ac:dyDescent="0.2">
      <c r="A58">
        <v>57</v>
      </c>
      <c r="B58">
        <v>84</v>
      </c>
      <c r="C58" t="s">
        <v>167</v>
      </c>
      <c r="D58" t="s">
        <v>79</v>
      </c>
      <c r="E58" t="s">
        <v>589</v>
      </c>
      <c r="F58" t="s">
        <v>590</v>
      </c>
      <c r="G58" t="s">
        <v>668</v>
      </c>
      <c r="H58" t="s">
        <v>396</v>
      </c>
      <c r="I58">
        <v>382</v>
      </c>
      <c r="J58">
        <v>32</v>
      </c>
      <c r="K58" t="s">
        <v>400</v>
      </c>
      <c r="L58">
        <v>8264</v>
      </c>
      <c r="M58" t="s">
        <v>343</v>
      </c>
      <c r="N58" t="s">
        <v>411</v>
      </c>
      <c r="O58">
        <v>1</v>
      </c>
      <c r="P58">
        <v>1</v>
      </c>
      <c r="Q58">
        <v>-99</v>
      </c>
      <c r="R58" t="s">
        <v>692</v>
      </c>
    </row>
    <row r="59" spans="1:18" x14ac:dyDescent="0.2">
      <c r="A59">
        <v>58</v>
      </c>
      <c r="B59">
        <v>-99</v>
      </c>
      <c r="C59" t="s">
        <v>167</v>
      </c>
      <c r="D59" t="s">
        <v>79</v>
      </c>
      <c r="E59" t="s">
        <v>591</v>
      </c>
      <c r="F59" t="s">
        <v>501</v>
      </c>
      <c r="G59" t="s">
        <v>668</v>
      </c>
      <c r="H59" t="s">
        <v>396</v>
      </c>
      <c r="I59">
        <v>382</v>
      </c>
      <c r="J59">
        <v>32</v>
      </c>
      <c r="K59" t="s">
        <v>400</v>
      </c>
      <c r="L59">
        <v>8264</v>
      </c>
      <c r="M59" t="s">
        <v>343</v>
      </c>
      <c r="N59" t="s">
        <v>411</v>
      </c>
      <c r="O59">
        <v>-99</v>
      </c>
      <c r="P59">
        <v>1</v>
      </c>
      <c r="Q59">
        <v>-99</v>
      </c>
      <c r="R59" t="s">
        <v>664</v>
      </c>
    </row>
    <row r="60" spans="1:18" x14ac:dyDescent="0.2">
      <c r="A60">
        <v>59</v>
      </c>
      <c r="B60">
        <v>-99</v>
      </c>
      <c r="C60" t="s">
        <v>167</v>
      </c>
      <c r="D60" t="s">
        <v>79</v>
      </c>
      <c r="E60" t="s">
        <v>592</v>
      </c>
      <c r="F60" t="s">
        <v>220</v>
      </c>
      <c r="G60" t="s">
        <v>668</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593</v>
      </c>
      <c r="F61" t="s">
        <v>594</v>
      </c>
      <c r="G61" t="s">
        <v>670</v>
      </c>
      <c r="H61" t="s">
        <v>412</v>
      </c>
      <c r="I61">
        <v>383</v>
      </c>
      <c r="J61">
        <v>33</v>
      </c>
      <c r="K61" t="s">
        <v>395</v>
      </c>
      <c r="L61">
        <v>8268</v>
      </c>
      <c r="M61" t="s">
        <v>360</v>
      </c>
      <c r="N61" t="s">
        <v>413</v>
      </c>
      <c r="O61">
        <v>1</v>
      </c>
      <c r="P61">
        <v>2</v>
      </c>
      <c r="Q61">
        <v>-99</v>
      </c>
      <c r="R61" t="s">
        <v>692</v>
      </c>
    </row>
    <row r="62" spans="1:18" x14ac:dyDescent="0.2">
      <c r="A62">
        <v>61</v>
      </c>
      <c r="B62">
        <v>101</v>
      </c>
      <c r="C62" t="s">
        <v>169</v>
      </c>
      <c r="D62" t="s">
        <v>34</v>
      </c>
      <c r="E62" t="s">
        <v>595</v>
      </c>
      <c r="F62" t="s">
        <v>596</v>
      </c>
      <c r="G62" t="s">
        <v>670</v>
      </c>
      <c r="H62" t="s">
        <v>412</v>
      </c>
      <c r="I62">
        <v>383</v>
      </c>
      <c r="J62">
        <v>34</v>
      </c>
      <c r="K62" t="s">
        <v>414</v>
      </c>
      <c r="L62">
        <v>8269</v>
      </c>
      <c r="M62" t="s">
        <v>328</v>
      </c>
      <c r="N62" t="s">
        <v>415</v>
      </c>
      <c r="O62">
        <v>1</v>
      </c>
      <c r="P62">
        <v>2</v>
      </c>
      <c r="Q62">
        <v>-99</v>
      </c>
      <c r="R62" t="s">
        <v>692</v>
      </c>
    </row>
    <row r="63" spans="1:18" x14ac:dyDescent="0.2">
      <c r="A63">
        <v>62</v>
      </c>
      <c r="B63">
        <v>102</v>
      </c>
      <c r="C63" t="s">
        <v>170</v>
      </c>
      <c r="D63" t="s">
        <v>73</v>
      </c>
      <c r="E63" t="s">
        <v>597</v>
      </c>
      <c r="F63" t="s">
        <v>598</v>
      </c>
      <c r="G63" t="s">
        <v>670</v>
      </c>
      <c r="H63" t="s">
        <v>412</v>
      </c>
      <c r="I63">
        <v>383</v>
      </c>
      <c r="J63">
        <v>33</v>
      </c>
      <c r="K63" t="s">
        <v>395</v>
      </c>
      <c r="L63">
        <v>8270</v>
      </c>
      <c r="M63" t="s">
        <v>354</v>
      </c>
      <c r="N63" t="s">
        <v>416</v>
      </c>
      <c r="O63">
        <v>1</v>
      </c>
      <c r="P63">
        <v>1</v>
      </c>
      <c r="Q63">
        <v>-99</v>
      </c>
      <c r="R63" t="s">
        <v>692</v>
      </c>
    </row>
    <row r="64" spans="1:18" x14ac:dyDescent="0.2">
      <c r="A64">
        <v>63</v>
      </c>
      <c r="B64">
        <v>-99</v>
      </c>
      <c r="C64" t="s">
        <v>170</v>
      </c>
      <c r="D64" t="s">
        <v>73</v>
      </c>
      <c r="E64" t="s">
        <v>599</v>
      </c>
      <c r="F64" t="s">
        <v>219</v>
      </c>
      <c r="G64" t="s">
        <v>670</v>
      </c>
      <c r="H64" t="s">
        <v>412</v>
      </c>
      <c r="I64">
        <v>383</v>
      </c>
      <c r="J64">
        <v>33</v>
      </c>
      <c r="K64" t="s">
        <v>395</v>
      </c>
      <c r="L64">
        <v>8270</v>
      </c>
      <c r="M64" t="s">
        <v>354</v>
      </c>
      <c r="N64" t="s">
        <v>416</v>
      </c>
      <c r="O64">
        <v>-99</v>
      </c>
      <c r="P64">
        <v>1</v>
      </c>
      <c r="Q64">
        <v>-99</v>
      </c>
      <c r="R64" t="s">
        <v>689</v>
      </c>
    </row>
    <row r="65" spans="1:18" x14ac:dyDescent="0.2">
      <c r="A65">
        <v>64</v>
      </c>
      <c r="B65">
        <v>103</v>
      </c>
      <c r="C65" t="s">
        <v>171</v>
      </c>
      <c r="D65" t="s">
        <v>65</v>
      </c>
      <c r="E65" t="s">
        <v>600</v>
      </c>
      <c r="F65" t="s">
        <v>601</v>
      </c>
      <c r="G65" t="s">
        <v>670</v>
      </c>
      <c r="H65" t="s">
        <v>412</v>
      </c>
      <c r="I65">
        <v>383</v>
      </c>
      <c r="J65">
        <v>34</v>
      </c>
      <c r="K65" t="s">
        <v>414</v>
      </c>
      <c r="L65">
        <v>8272</v>
      </c>
      <c r="M65" t="s">
        <v>342</v>
      </c>
      <c r="N65" t="s">
        <v>417</v>
      </c>
      <c r="O65">
        <v>1</v>
      </c>
      <c r="P65">
        <v>2</v>
      </c>
      <c r="Q65">
        <v>-99</v>
      </c>
      <c r="R65" t="s">
        <v>692</v>
      </c>
    </row>
    <row r="66" spans="1:18" x14ac:dyDescent="0.2">
      <c r="A66">
        <v>65</v>
      </c>
      <c r="B66">
        <v>104</v>
      </c>
      <c r="C66" t="s">
        <v>172</v>
      </c>
      <c r="D66" t="s">
        <v>55</v>
      </c>
      <c r="E66" t="s">
        <v>602</v>
      </c>
      <c r="F66" t="s">
        <v>603</v>
      </c>
      <c r="G66" t="s">
        <v>670</v>
      </c>
      <c r="H66" t="s">
        <v>412</v>
      </c>
      <c r="I66">
        <v>383</v>
      </c>
      <c r="J66">
        <v>34</v>
      </c>
      <c r="K66" t="s">
        <v>414</v>
      </c>
      <c r="L66">
        <v>8221</v>
      </c>
      <c r="M66" t="s">
        <v>342</v>
      </c>
      <c r="N66" t="s">
        <v>417</v>
      </c>
      <c r="O66">
        <v>1</v>
      </c>
      <c r="P66">
        <v>2</v>
      </c>
      <c r="Q66">
        <v>-99</v>
      </c>
      <c r="R66" t="s">
        <v>692</v>
      </c>
    </row>
    <row r="67" spans="1:18" x14ac:dyDescent="0.2">
      <c r="A67">
        <v>66</v>
      </c>
      <c r="B67">
        <v>196</v>
      </c>
      <c r="C67" t="s">
        <v>173</v>
      </c>
      <c r="D67" t="s">
        <v>67</v>
      </c>
      <c r="E67" t="s">
        <v>604</v>
      </c>
      <c r="F67" t="s">
        <v>605</v>
      </c>
      <c r="G67" t="s">
        <v>670</v>
      </c>
      <c r="H67" t="s">
        <v>412</v>
      </c>
      <c r="I67">
        <v>383</v>
      </c>
      <c r="J67">
        <v>34</v>
      </c>
      <c r="K67" t="s">
        <v>414</v>
      </c>
      <c r="L67">
        <v>8202</v>
      </c>
      <c r="M67" t="s">
        <v>355</v>
      </c>
      <c r="N67" t="s">
        <v>436</v>
      </c>
      <c r="O67">
        <v>1</v>
      </c>
      <c r="P67">
        <v>2</v>
      </c>
      <c r="Q67">
        <v>-99</v>
      </c>
      <c r="R67" t="s">
        <v>692</v>
      </c>
    </row>
    <row r="68" spans="1:18" x14ac:dyDescent="0.2">
      <c r="A68">
        <v>67</v>
      </c>
      <c r="B68">
        <v>110</v>
      </c>
      <c r="C68" t="s">
        <v>174</v>
      </c>
      <c r="D68" t="s">
        <v>76</v>
      </c>
      <c r="E68" t="s">
        <v>606</v>
      </c>
      <c r="F68" t="s">
        <v>607</v>
      </c>
      <c r="G68" t="s">
        <v>670</v>
      </c>
      <c r="H68" t="s">
        <v>412</v>
      </c>
      <c r="I68">
        <v>383</v>
      </c>
      <c r="J68">
        <v>34</v>
      </c>
      <c r="K68" t="s">
        <v>414</v>
      </c>
      <c r="L68">
        <v>8203</v>
      </c>
      <c r="M68" t="s">
        <v>339</v>
      </c>
      <c r="N68" t="s">
        <v>83</v>
      </c>
      <c r="O68">
        <v>1</v>
      </c>
      <c r="P68">
        <v>1</v>
      </c>
      <c r="Q68">
        <v>-99</v>
      </c>
      <c r="R68" t="s">
        <v>692</v>
      </c>
    </row>
    <row r="69" spans="1:18" x14ac:dyDescent="0.2">
      <c r="A69">
        <v>68</v>
      </c>
      <c r="B69">
        <v>-99</v>
      </c>
      <c r="C69" t="s">
        <v>174</v>
      </c>
      <c r="D69" t="s">
        <v>76</v>
      </c>
      <c r="E69" t="s">
        <v>608</v>
      </c>
      <c r="F69" t="s">
        <v>609</v>
      </c>
      <c r="G69" t="s">
        <v>670</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610</v>
      </c>
      <c r="F70" t="s">
        <v>611</v>
      </c>
      <c r="G70" t="s">
        <v>670</v>
      </c>
      <c r="H70" t="s">
        <v>412</v>
      </c>
      <c r="I70">
        <v>383</v>
      </c>
      <c r="J70">
        <v>34</v>
      </c>
      <c r="K70" t="s">
        <v>414</v>
      </c>
      <c r="L70">
        <v>8204</v>
      </c>
      <c r="M70" t="s">
        <v>344</v>
      </c>
      <c r="N70" t="s">
        <v>418</v>
      </c>
      <c r="O70">
        <v>1</v>
      </c>
      <c r="P70">
        <v>2</v>
      </c>
      <c r="Q70">
        <v>-99</v>
      </c>
      <c r="R70" t="s">
        <v>692</v>
      </c>
    </row>
    <row r="71" spans="1:18" x14ac:dyDescent="0.2">
      <c r="A71">
        <v>70</v>
      </c>
      <c r="B71">
        <v>112</v>
      </c>
      <c r="C71" t="s">
        <v>176</v>
      </c>
      <c r="D71" t="s">
        <v>69</v>
      </c>
      <c r="E71" t="s">
        <v>612</v>
      </c>
      <c r="F71" t="s">
        <v>613</v>
      </c>
      <c r="G71" t="s">
        <v>670</v>
      </c>
      <c r="H71" t="s">
        <v>412</v>
      </c>
      <c r="I71">
        <v>383</v>
      </c>
      <c r="J71">
        <v>34</v>
      </c>
      <c r="K71" t="s">
        <v>414</v>
      </c>
      <c r="L71">
        <v>8205</v>
      </c>
      <c r="M71" t="s">
        <v>361</v>
      </c>
      <c r="N71" t="s">
        <v>419</v>
      </c>
      <c r="O71">
        <v>1</v>
      </c>
      <c r="P71">
        <v>2</v>
      </c>
      <c r="Q71">
        <v>-99</v>
      </c>
      <c r="R71" t="s">
        <v>692</v>
      </c>
    </row>
    <row r="72" spans="1:18" x14ac:dyDescent="0.2">
      <c r="A72">
        <v>71</v>
      </c>
      <c r="B72">
        <v>113</v>
      </c>
      <c r="C72" t="s">
        <v>177</v>
      </c>
      <c r="D72" t="s">
        <v>82</v>
      </c>
      <c r="E72" t="s">
        <v>614</v>
      </c>
      <c r="F72" t="s">
        <v>615</v>
      </c>
      <c r="G72" t="s">
        <v>668</v>
      </c>
      <c r="H72" t="s">
        <v>396</v>
      </c>
      <c r="I72">
        <v>382</v>
      </c>
      <c r="J72">
        <v>33</v>
      </c>
      <c r="K72" t="s">
        <v>395</v>
      </c>
      <c r="L72">
        <v>8206</v>
      </c>
      <c r="M72" t="s">
        <v>337</v>
      </c>
      <c r="N72" t="s">
        <v>420</v>
      </c>
      <c r="O72">
        <v>1</v>
      </c>
      <c r="P72">
        <v>2</v>
      </c>
      <c r="Q72">
        <v>-99</v>
      </c>
      <c r="R72" t="s">
        <v>692</v>
      </c>
    </row>
    <row r="73" spans="1:18" x14ac:dyDescent="0.2">
      <c r="A73">
        <v>72</v>
      </c>
      <c r="B73">
        <v>114</v>
      </c>
      <c r="C73" t="s">
        <v>178</v>
      </c>
      <c r="D73" t="s">
        <v>54</v>
      </c>
      <c r="E73" t="s">
        <v>616</v>
      </c>
      <c r="F73" t="s">
        <v>617</v>
      </c>
      <c r="G73" t="s">
        <v>668</v>
      </c>
      <c r="H73" t="s">
        <v>396</v>
      </c>
      <c r="I73">
        <v>382</v>
      </c>
      <c r="J73">
        <v>33</v>
      </c>
      <c r="K73" t="s">
        <v>395</v>
      </c>
      <c r="L73">
        <v>8207</v>
      </c>
      <c r="M73" t="s">
        <v>325</v>
      </c>
      <c r="N73" t="s">
        <v>421</v>
      </c>
      <c r="O73">
        <v>1</v>
      </c>
      <c r="P73">
        <v>2</v>
      </c>
      <c r="Q73">
        <v>-99</v>
      </c>
      <c r="R73" t="s">
        <v>692</v>
      </c>
    </row>
    <row r="74" spans="1:18" x14ac:dyDescent="0.2">
      <c r="A74">
        <v>73</v>
      </c>
      <c r="B74">
        <v>115</v>
      </c>
      <c r="C74" t="s">
        <v>179</v>
      </c>
      <c r="D74" t="s">
        <v>27</v>
      </c>
      <c r="E74" t="s">
        <v>618</v>
      </c>
      <c r="F74" t="s">
        <v>619</v>
      </c>
      <c r="G74" t="s">
        <v>668</v>
      </c>
      <c r="H74" t="s">
        <v>396</v>
      </c>
      <c r="I74">
        <v>382</v>
      </c>
      <c r="J74">
        <v>33</v>
      </c>
      <c r="K74" t="s">
        <v>395</v>
      </c>
      <c r="L74">
        <v>8208</v>
      </c>
      <c r="M74" t="s">
        <v>348</v>
      </c>
      <c r="N74" t="s">
        <v>422</v>
      </c>
      <c r="O74">
        <v>1</v>
      </c>
      <c r="P74">
        <v>2</v>
      </c>
      <c r="Q74">
        <v>-99</v>
      </c>
      <c r="R74" t="s">
        <v>692</v>
      </c>
    </row>
    <row r="75" spans="1:18" x14ac:dyDescent="0.2">
      <c r="A75">
        <v>74</v>
      </c>
      <c r="B75">
        <v>116</v>
      </c>
      <c r="C75" t="s">
        <v>180</v>
      </c>
      <c r="D75" t="s">
        <v>71</v>
      </c>
      <c r="E75" t="s">
        <v>620</v>
      </c>
      <c r="F75" t="s">
        <v>621</v>
      </c>
      <c r="G75" t="s">
        <v>670</v>
      </c>
      <c r="H75" t="s">
        <v>412</v>
      </c>
      <c r="I75">
        <v>383</v>
      </c>
      <c r="J75">
        <v>34</v>
      </c>
      <c r="K75" t="s">
        <v>414</v>
      </c>
      <c r="L75">
        <v>8210</v>
      </c>
      <c r="M75" t="s">
        <v>338</v>
      </c>
      <c r="N75" t="s">
        <v>423</v>
      </c>
      <c r="O75">
        <v>1</v>
      </c>
      <c r="P75">
        <v>2</v>
      </c>
      <c r="Q75">
        <v>-99</v>
      </c>
      <c r="R75" t="s">
        <v>692</v>
      </c>
    </row>
    <row r="76" spans="1:18" x14ac:dyDescent="0.2">
      <c r="A76">
        <v>75</v>
      </c>
      <c r="B76">
        <v>197</v>
      </c>
      <c r="C76" t="s">
        <v>181</v>
      </c>
      <c r="D76" t="s">
        <v>75</v>
      </c>
      <c r="E76" t="s">
        <v>622</v>
      </c>
      <c r="F76" t="s">
        <v>623</v>
      </c>
      <c r="G76" t="s">
        <v>667</v>
      </c>
      <c r="H76" t="s">
        <v>387</v>
      </c>
      <c r="I76">
        <v>381</v>
      </c>
      <c r="J76">
        <v>31</v>
      </c>
      <c r="K76" t="s">
        <v>390</v>
      </c>
      <c r="L76">
        <v>8211</v>
      </c>
      <c r="M76" t="s">
        <v>341</v>
      </c>
      <c r="N76" t="s">
        <v>437</v>
      </c>
      <c r="O76">
        <v>1</v>
      </c>
      <c r="P76">
        <v>2</v>
      </c>
      <c r="Q76">
        <v>-99</v>
      </c>
      <c r="R76" t="s">
        <v>692</v>
      </c>
    </row>
    <row r="77" spans="1:18" x14ac:dyDescent="0.2">
      <c r="A77">
        <v>76</v>
      </c>
      <c r="B77">
        <v>119</v>
      </c>
      <c r="C77" t="s">
        <v>182</v>
      </c>
      <c r="D77" t="s">
        <v>58</v>
      </c>
      <c r="E77" t="s">
        <v>624</v>
      </c>
      <c r="F77" t="s">
        <v>625</v>
      </c>
      <c r="G77" t="s">
        <v>670</v>
      </c>
      <c r="H77" t="s">
        <v>412</v>
      </c>
      <c r="I77">
        <v>383</v>
      </c>
      <c r="J77">
        <v>34</v>
      </c>
      <c r="K77" t="s">
        <v>414</v>
      </c>
      <c r="L77">
        <v>8223</v>
      </c>
      <c r="M77" t="s">
        <v>626</v>
      </c>
      <c r="N77" t="s">
        <v>627</v>
      </c>
      <c r="O77">
        <v>1</v>
      </c>
      <c r="P77">
        <v>2</v>
      </c>
      <c r="Q77">
        <v>-99</v>
      </c>
      <c r="R77" t="s">
        <v>692</v>
      </c>
    </row>
    <row r="78" spans="1:18" x14ac:dyDescent="0.2">
      <c r="A78">
        <v>77</v>
      </c>
      <c r="B78">
        <v>131</v>
      </c>
      <c r="C78" t="s">
        <v>183</v>
      </c>
      <c r="D78" t="s">
        <v>49</v>
      </c>
      <c r="E78" t="s">
        <v>628</v>
      </c>
      <c r="F78" t="s">
        <v>629</v>
      </c>
      <c r="G78" t="s">
        <v>668</v>
      </c>
      <c r="H78" t="s">
        <v>396</v>
      </c>
      <c r="I78">
        <v>382</v>
      </c>
      <c r="J78">
        <v>33</v>
      </c>
      <c r="K78" t="s">
        <v>395</v>
      </c>
      <c r="L78">
        <v>8226</v>
      </c>
      <c r="M78" t="s">
        <v>337</v>
      </c>
      <c r="N78" t="s">
        <v>420</v>
      </c>
      <c r="O78">
        <v>1</v>
      </c>
      <c r="P78">
        <v>2</v>
      </c>
      <c r="Q78">
        <v>-99</v>
      </c>
      <c r="R78" t="s">
        <v>692</v>
      </c>
    </row>
    <row r="79" spans="1:18" x14ac:dyDescent="0.2">
      <c r="A79">
        <v>78</v>
      </c>
      <c r="B79">
        <v>132</v>
      </c>
      <c r="C79" t="s">
        <v>679</v>
      </c>
      <c r="D79" t="s">
        <v>440</v>
      </c>
      <c r="E79" t="s">
        <v>630</v>
      </c>
      <c r="F79" t="s">
        <v>680</v>
      </c>
      <c r="G79" t="s">
        <v>667</v>
      </c>
      <c r="H79" t="s">
        <v>387</v>
      </c>
      <c r="I79">
        <v>381</v>
      </c>
      <c r="J79">
        <v>30</v>
      </c>
      <c r="K79" t="s">
        <v>379</v>
      </c>
      <c r="L79">
        <v>8229</v>
      </c>
      <c r="M79" t="s">
        <v>356</v>
      </c>
      <c r="N79" t="s">
        <v>424</v>
      </c>
      <c r="O79">
        <v>1</v>
      </c>
      <c r="P79">
        <v>2</v>
      </c>
      <c r="Q79">
        <v>-99</v>
      </c>
      <c r="R79" t="s">
        <v>692</v>
      </c>
    </row>
    <row r="80" spans="1:18" x14ac:dyDescent="0.2">
      <c r="A80">
        <v>79</v>
      </c>
      <c r="B80">
        <v>143</v>
      </c>
      <c r="C80" t="s">
        <v>184</v>
      </c>
      <c r="D80" t="s">
        <v>57</v>
      </c>
      <c r="E80" t="s">
        <v>631</v>
      </c>
      <c r="F80" t="s">
        <v>632</v>
      </c>
      <c r="G80" t="s">
        <v>666</v>
      </c>
      <c r="H80" t="s">
        <v>380</v>
      </c>
      <c r="I80">
        <v>380</v>
      </c>
      <c r="J80">
        <v>30</v>
      </c>
      <c r="K80" t="s">
        <v>379</v>
      </c>
      <c r="L80">
        <v>8230</v>
      </c>
      <c r="M80" t="s">
        <v>369</v>
      </c>
      <c r="N80" t="s">
        <v>425</v>
      </c>
      <c r="O80">
        <v>1</v>
      </c>
      <c r="P80">
        <v>2</v>
      </c>
      <c r="Q80">
        <v>-99</v>
      </c>
      <c r="R80" t="s">
        <v>692</v>
      </c>
    </row>
    <row r="81" spans="1:18" x14ac:dyDescent="0.2">
      <c r="A81">
        <v>80</v>
      </c>
      <c r="B81">
        <v>144</v>
      </c>
      <c r="C81" t="s">
        <v>681</v>
      </c>
      <c r="D81" t="s">
        <v>499</v>
      </c>
      <c r="E81" t="s">
        <v>681</v>
      </c>
      <c r="F81" t="s">
        <v>499</v>
      </c>
      <c r="G81" t="s">
        <v>678</v>
      </c>
      <c r="H81" t="s">
        <v>8</v>
      </c>
      <c r="I81">
        <v>-99</v>
      </c>
      <c r="J81">
        <v>35</v>
      </c>
      <c r="K81" t="s">
        <v>8</v>
      </c>
      <c r="L81">
        <v>8215</v>
      </c>
      <c r="M81" t="s">
        <v>349</v>
      </c>
      <c r="N81" t="s">
        <v>407</v>
      </c>
      <c r="O81">
        <v>1</v>
      </c>
      <c r="P81">
        <v>2</v>
      </c>
      <c r="Q81">
        <v>-99</v>
      </c>
      <c r="R81" t="s">
        <v>664</v>
      </c>
    </row>
    <row r="82" spans="1:18" x14ac:dyDescent="0.2">
      <c r="A82">
        <v>81</v>
      </c>
      <c r="B82">
        <v>145</v>
      </c>
      <c r="C82" t="s">
        <v>185</v>
      </c>
      <c r="D82" t="s">
        <v>74</v>
      </c>
      <c r="E82" t="s">
        <v>633</v>
      </c>
      <c r="F82" t="s">
        <v>634</v>
      </c>
      <c r="G82" t="s">
        <v>670</v>
      </c>
      <c r="H82" t="s">
        <v>412</v>
      </c>
      <c r="I82">
        <v>383</v>
      </c>
      <c r="J82">
        <v>34</v>
      </c>
      <c r="K82" t="s">
        <v>414</v>
      </c>
      <c r="L82">
        <v>8231</v>
      </c>
      <c r="M82" t="s">
        <v>342</v>
      </c>
      <c r="N82" t="s">
        <v>417</v>
      </c>
      <c r="O82">
        <v>1</v>
      </c>
      <c r="P82">
        <v>1</v>
      </c>
      <c r="Q82">
        <v>-99</v>
      </c>
      <c r="R82" t="s">
        <v>692</v>
      </c>
    </row>
    <row r="83" spans="1:18" x14ac:dyDescent="0.2">
      <c r="A83">
        <v>82</v>
      </c>
      <c r="B83">
        <v>-99</v>
      </c>
      <c r="C83" t="s">
        <v>185</v>
      </c>
      <c r="D83" t="s">
        <v>74</v>
      </c>
      <c r="E83" t="s">
        <v>635</v>
      </c>
      <c r="F83" t="s">
        <v>968</v>
      </c>
      <c r="G83" t="s">
        <v>670</v>
      </c>
      <c r="H83" t="s">
        <v>412</v>
      </c>
      <c r="I83">
        <v>383</v>
      </c>
      <c r="J83">
        <v>34</v>
      </c>
      <c r="K83" t="s">
        <v>414</v>
      </c>
      <c r="L83">
        <v>8231</v>
      </c>
      <c r="M83" t="s">
        <v>342</v>
      </c>
      <c r="N83" t="s">
        <v>417</v>
      </c>
      <c r="O83">
        <v>-99</v>
      </c>
      <c r="P83">
        <v>1</v>
      </c>
      <c r="Q83">
        <v>-99</v>
      </c>
      <c r="R83" t="s">
        <v>690</v>
      </c>
    </row>
    <row r="84" spans="1:18" x14ac:dyDescent="0.2">
      <c r="A84">
        <v>83</v>
      </c>
      <c r="B84">
        <v>151</v>
      </c>
      <c r="C84" t="s">
        <v>682</v>
      </c>
      <c r="D84" t="s">
        <v>8</v>
      </c>
      <c r="E84" t="s">
        <v>682</v>
      </c>
      <c r="F84" t="s">
        <v>500</v>
      </c>
      <c r="G84" t="s">
        <v>678</v>
      </c>
      <c r="H84" t="s">
        <v>8</v>
      </c>
      <c r="I84">
        <v>380</v>
      </c>
      <c r="J84">
        <v>35</v>
      </c>
      <c r="K84" t="s">
        <v>8</v>
      </c>
      <c r="L84">
        <v>3180155</v>
      </c>
      <c r="M84" t="s">
        <v>356</v>
      </c>
      <c r="N84" t="s">
        <v>424</v>
      </c>
      <c r="O84">
        <v>1</v>
      </c>
      <c r="P84">
        <v>2</v>
      </c>
      <c r="Q84">
        <v>-99</v>
      </c>
      <c r="R84" t="s">
        <v>664</v>
      </c>
    </row>
    <row r="85" spans="1:18" x14ac:dyDescent="0.2">
      <c r="A85">
        <v>84</v>
      </c>
      <c r="B85">
        <v>152</v>
      </c>
      <c r="C85" t="s">
        <v>186</v>
      </c>
      <c r="D85" t="s">
        <v>81</v>
      </c>
      <c r="E85" t="s">
        <v>636</v>
      </c>
      <c r="F85" t="s">
        <v>637</v>
      </c>
      <c r="G85" t="s">
        <v>666</v>
      </c>
      <c r="H85" t="s">
        <v>380</v>
      </c>
      <c r="I85">
        <v>380</v>
      </c>
      <c r="J85">
        <v>30</v>
      </c>
      <c r="K85" t="s">
        <v>379</v>
      </c>
      <c r="L85">
        <v>8234</v>
      </c>
      <c r="M85" t="s">
        <v>362</v>
      </c>
      <c r="N85" t="s">
        <v>426</v>
      </c>
      <c r="O85">
        <v>1</v>
      </c>
      <c r="P85">
        <v>2</v>
      </c>
      <c r="Q85">
        <v>-99</v>
      </c>
      <c r="R85" t="s">
        <v>692</v>
      </c>
    </row>
    <row r="86" spans="1:18" x14ac:dyDescent="0.2">
      <c r="A86">
        <v>85</v>
      </c>
      <c r="B86">
        <v>153</v>
      </c>
      <c r="C86" t="s">
        <v>92</v>
      </c>
      <c r="D86" t="s">
        <v>141</v>
      </c>
      <c r="E86" t="s">
        <v>638</v>
      </c>
      <c r="F86" t="s">
        <v>639</v>
      </c>
      <c r="G86" t="s">
        <v>666</v>
      </c>
      <c r="H86" t="s">
        <v>380</v>
      </c>
      <c r="I86">
        <v>380</v>
      </c>
      <c r="J86">
        <v>30</v>
      </c>
      <c r="K86" t="s">
        <v>379</v>
      </c>
      <c r="L86">
        <v>8236</v>
      </c>
      <c r="M86" t="s">
        <v>375</v>
      </c>
      <c r="N86" t="s">
        <v>427</v>
      </c>
      <c r="O86">
        <v>1</v>
      </c>
      <c r="P86">
        <v>2</v>
      </c>
      <c r="Q86">
        <v>-99</v>
      </c>
      <c r="R86" t="s">
        <v>692</v>
      </c>
    </row>
    <row r="87" spans="1:18" x14ac:dyDescent="0.2">
      <c r="A87">
        <v>86</v>
      </c>
      <c r="B87">
        <v>154</v>
      </c>
      <c r="C87" t="s">
        <v>188</v>
      </c>
      <c r="D87" t="s">
        <v>187</v>
      </c>
      <c r="E87" t="s">
        <v>640</v>
      </c>
      <c r="F87" t="s">
        <v>641</v>
      </c>
      <c r="G87" t="s">
        <v>670</v>
      </c>
      <c r="H87" t="s">
        <v>412</v>
      </c>
      <c r="I87">
        <v>383</v>
      </c>
      <c r="J87">
        <v>33</v>
      </c>
      <c r="K87" t="s">
        <v>395</v>
      </c>
      <c r="L87">
        <v>8265</v>
      </c>
      <c r="M87" t="s">
        <v>368</v>
      </c>
      <c r="N87" t="s">
        <v>428</v>
      </c>
      <c r="O87">
        <v>1</v>
      </c>
      <c r="P87">
        <v>2</v>
      </c>
      <c r="Q87">
        <v>-99</v>
      </c>
      <c r="R87" t="s">
        <v>692</v>
      </c>
    </row>
    <row r="88" spans="1:18" x14ac:dyDescent="0.2">
      <c r="A88">
        <v>87</v>
      </c>
      <c r="B88">
        <v>155</v>
      </c>
      <c r="C88" t="s">
        <v>189</v>
      </c>
      <c r="D88" t="s">
        <v>46</v>
      </c>
      <c r="E88" t="s">
        <v>642</v>
      </c>
      <c r="F88" t="s">
        <v>643</v>
      </c>
      <c r="G88" t="s">
        <v>668</v>
      </c>
      <c r="H88" t="s">
        <v>396</v>
      </c>
      <c r="I88">
        <v>382</v>
      </c>
      <c r="J88">
        <v>32</v>
      </c>
      <c r="K88" t="s">
        <v>400</v>
      </c>
      <c r="L88">
        <v>8266</v>
      </c>
      <c r="M88" t="s">
        <v>333</v>
      </c>
      <c r="N88" t="s">
        <v>429</v>
      </c>
      <c r="O88">
        <v>1</v>
      </c>
      <c r="P88">
        <v>2</v>
      </c>
      <c r="Q88">
        <v>-99</v>
      </c>
      <c r="R88" t="s">
        <v>692</v>
      </c>
    </row>
    <row r="89" spans="1:18" x14ac:dyDescent="0.2">
      <c r="A89">
        <v>88</v>
      </c>
      <c r="B89">
        <v>156</v>
      </c>
      <c r="C89" t="s">
        <v>190</v>
      </c>
      <c r="D89" t="s">
        <v>77</v>
      </c>
      <c r="E89" t="s">
        <v>644</v>
      </c>
      <c r="F89" t="s">
        <v>645</v>
      </c>
      <c r="G89" t="s">
        <v>668</v>
      </c>
      <c r="H89" t="s">
        <v>396</v>
      </c>
      <c r="I89">
        <v>382</v>
      </c>
      <c r="J89">
        <v>32</v>
      </c>
      <c r="K89" t="s">
        <v>400</v>
      </c>
      <c r="L89">
        <v>8267</v>
      </c>
      <c r="M89" t="s">
        <v>351</v>
      </c>
      <c r="N89" t="s">
        <v>430</v>
      </c>
      <c r="O89">
        <v>1</v>
      </c>
      <c r="P89">
        <v>2</v>
      </c>
      <c r="Q89">
        <v>-99</v>
      </c>
      <c r="R89" t="s">
        <v>692</v>
      </c>
    </row>
    <row r="90" spans="1:18" x14ac:dyDescent="0.2">
      <c r="A90">
        <v>89</v>
      </c>
      <c r="B90">
        <v>157</v>
      </c>
      <c r="C90" t="s">
        <v>683</v>
      </c>
      <c r="D90" t="s">
        <v>39</v>
      </c>
      <c r="E90" t="s">
        <v>646</v>
      </c>
      <c r="F90" t="s">
        <v>647</v>
      </c>
      <c r="G90" t="s">
        <v>670</v>
      </c>
      <c r="H90" t="s">
        <v>412</v>
      </c>
      <c r="I90">
        <v>383</v>
      </c>
      <c r="J90">
        <v>33</v>
      </c>
      <c r="K90" t="s">
        <v>395</v>
      </c>
      <c r="L90">
        <v>8271</v>
      </c>
      <c r="M90" t="s">
        <v>329</v>
      </c>
      <c r="N90" t="s">
        <v>431</v>
      </c>
      <c r="O90">
        <v>1</v>
      </c>
      <c r="P90">
        <v>2</v>
      </c>
      <c r="Q90">
        <v>-99</v>
      </c>
      <c r="R90" t="s">
        <v>692</v>
      </c>
    </row>
    <row r="91" spans="1:18" x14ac:dyDescent="0.2">
      <c r="A91">
        <v>90</v>
      </c>
      <c r="B91">
        <v>158</v>
      </c>
      <c r="C91" t="s">
        <v>191</v>
      </c>
      <c r="D91" t="s">
        <v>84</v>
      </c>
      <c r="E91" t="s">
        <v>648</v>
      </c>
      <c r="F91" t="s">
        <v>649</v>
      </c>
      <c r="G91" t="s">
        <v>668</v>
      </c>
      <c r="H91" t="s">
        <v>396</v>
      </c>
      <c r="I91">
        <v>382</v>
      </c>
      <c r="J91">
        <v>32</v>
      </c>
      <c r="K91" t="s">
        <v>400</v>
      </c>
      <c r="L91">
        <v>8209</v>
      </c>
      <c r="M91" t="s">
        <v>374</v>
      </c>
      <c r="N91" t="s">
        <v>432</v>
      </c>
      <c r="O91">
        <v>1</v>
      </c>
      <c r="P91">
        <v>2</v>
      </c>
      <c r="Q91">
        <v>-99</v>
      </c>
      <c r="R91" t="s">
        <v>692</v>
      </c>
    </row>
    <row r="92" spans="1:18" x14ac:dyDescent="0.2">
      <c r="A92">
        <v>91</v>
      </c>
      <c r="B92">
        <v>198</v>
      </c>
      <c r="C92" t="s">
        <v>192</v>
      </c>
      <c r="D92" t="s">
        <v>48</v>
      </c>
      <c r="E92" t="s">
        <v>650</v>
      </c>
      <c r="F92" t="s">
        <v>651</v>
      </c>
      <c r="G92" t="s">
        <v>670</v>
      </c>
      <c r="H92" t="s">
        <v>412</v>
      </c>
      <c r="I92">
        <v>383</v>
      </c>
      <c r="J92">
        <v>34</v>
      </c>
      <c r="K92" t="s">
        <v>414</v>
      </c>
      <c r="L92">
        <v>8224</v>
      </c>
      <c r="M92" t="s">
        <v>371</v>
      </c>
      <c r="N92" t="s">
        <v>438</v>
      </c>
      <c r="O92">
        <v>1</v>
      </c>
      <c r="P92">
        <v>2</v>
      </c>
      <c r="Q92">
        <v>-99</v>
      </c>
      <c r="R92" t="s">
        <v>692</v>
      </c>
    </row>
    <row r="93" spans="1:18" x14ac:dyDescent="0.2">
      <c r="A93">
        <v>92</v>
      </c>
      <c r="B93">
        <v>161</v>
      </c>
      <c r="C93" t="s">
        <v>193</v>
      </c>
      <c r="D93" t="s">
        <v>85</v>
      </c>
      <c r="E93" t="s">
        <v>652</v>
      </c>
      <c r="F93" t="s">
        <v>653</v>
      </c>
      <c r="G93" t="s">
        <v>666</v>
      </c>
      <c r="H93" t="s">
        <v>380</v>
      </c>
      <c r="I93">
        <v>380</v>
      </c>
      <c r="J93">
        <v>30</v>
      </c>
      <c r="K93" t="s">
        <v>379</v>
      </c>
      <c r="L93">
        <v>8225</v>
      </c>
      <c r="M93" t="s">
        <v>334</v>
      </c>
      <c r="N93" t="s">
        <v>433</v>
      </c>
      <c r="O93">
        <v>1</v>
      </c>
      <c r="P93">
        <v>2</v>
      </c>
      <c r="Q93">
        <v>-99</v>
      </c>
      <c r="R93" t="s">
        <v>692</v>
      </c>
    </row>
    <row r="94" spans="1:18" x14ac:dyDescent="0.2">
      <c r="A94">
        <v>93</v>
      </c>
      <c r="B94">
        <v>162</v>
      </c>
      <c r="C94" t="s">
        <v>194</v>
      </c>
      <c r="D94" t="s">
        <v>35</v>
      </c>
      <c r="E94" t="s">
        <v>654</v>
      </c>
      <c r="F94" t="s">
        <v>655</v>
      </c>
      <c r="G94" t="s">
        <v>670</v>
      </c>
      <c r="H94" t="s">
        <v>412</v>
      </c>
      <c r="I94">
        <v>383</v>
      </c>
      <c r="J94">
        <v>34</v>
      </c>
      <c r="K94" t="s">
        <v>414</v>
      </c>
      <c r="L94">
        <v>8227</v>
      </c>
      <c r="M94" t="s">
        <v>487</v>
      </c>
      <c r="N94" t="s">
        <v>434</v>
      </c>
      <c r="O94">
        <v>1</v>
      </c>
      <c r="P94">
        <v>2</v>
      </c>
      <c r="Q94">
        <v>-99</v>
      </c>
      <c r="R94" t="s">
        <v>692</v>
      </c>
    </row>
    <row r="95" spans="1:18" x14ac:dyDescent="0.2">
      <c r="A95">
        <v>94</v>
      </c>
      <c r="B95">
        <v>-99</v>
      </c>
      <c r="C95" t="s">
        <v>684</v>
      </c>
      <c r="D95" t="s">
        <v>8</v>
      </c>
      <c r="E95" t="s">
        <v>685</v>
      </c>
      <c r="F95" t="s">
        <v>232</v>
      </c>
      <c r="G95" t="s">
        <v>664</v>
      </c>
      <c r="H95" t="s">
        <v>8</v>
      </c>
      <c r="I95">
        <v>-99</v>
      </c>
      <c r="J95">
        <v>-99</v>
      </c>
      <c r="K95" t="s">
        <v>8</v>
      </c>
      <c r="L95">
        <v>-99</v>
      </c>
      <c r="M95" t="s">
        <v>664</v>
      </c>
      <c r="N95" t="s">
        <v>664</v>
      </c>
      <c r="O95">
        <v>-99</v>
      </c>
      <c r="P95">
        <v>-99</v>
      </c>
      <c r="Q95">
        <v>-99</v>
      </c>
      <c r="R95" t="s">
        <v>216</v>
      </c>
    </row>
    <row r="96" spans="1:18" x14ac:dyDescent="0.2">
      <c r="A96">
        <v>95</v>
      </c>
      <c r="B96">
        <v>-99</v>
      </c>
      <c r="C96" t="s">
        <v>684</v>
      </c>
      <c r="D96" t="s">
        <v>8</v>
      </c>
      <c r="E96" t="s">
        <v>686</v>
      </c>
      <c r="F96" t="s">
        <v>317</v>
      </c>
      <c r="G96" t="s">
        <v>664</v>
      </c>
      <c r="H96" t="s">
        <v>8</v>
      </c>
      <c r="I96">
        <v>-99</v>
      </c>
      <c r="J96">
        <v>-99</v>
      </c>
      <c r="K96" t="s">
        <v>8</v>
      </c>
      <c r="L96">
        <v>-99</v>
      </c>
      <c r="M96" t="s">
        <v>664</v>
      </c>
      <c r="N96" t="s">
        <v>664</v>
      </c>
      <c r="O96">
        <v>-99</v>
      </c>
      <c r="P96">
        <v>-99</v>
      </c>
      <c r="Q96">
        <v>-99</v>
      </c>
      <c r="R96" t="s">
        <v>689</v>
      </c>
    </row>
    <row r="97" spans="1:18" x14ac:dyDescent="0.2">
      <c r="A97">
        <v>96</v>
      </c>
      <c r="B97">
        <v>-99</v>
      </c>
      <c r="C97" t="s">
        <v>684</v>
      </c>
      <c r="D97" t="s">
        <v>8</v>
      </c>
      <c r="E97" t="s">
        <v>687</v>
      </c>
      <c r="F97" t="s">
        <v>316</v>
      </c>
      <c r="G97" t="s">
        <v>664</v>
      </c>
      <c r="H97" t="s">
        <v>8</v>
      </c>
      <c r="I97">
        <v>-99</v>
      </c>
      <c r="J97">
        <v>-99</v>
      </c>
      <c r="K97" t="s">
        <v>8</v>
      </c>
      <c r="L97">
        <v>-99</v>
      </c>
      <c r="M97" t="s">
        <v>664</v>
      </c>
      <c r="N97" t="s">
        <v>664</v>
      </c>
      <c r="O97">
        <v>-99</v>
      </c>
      <c r="P97">
        <v>-99</v>
      </c>
      <c r="Q97">
        <v>-99</v>
      </c>
      <c r="R97" t="s">
        <v>690</v>
      </c>
    </row>
    <row r="98" spans="1:18" x14ac:dyDescent="0.2">
      <c r="A98">
        <v>97</v>
      </c>
      <c r="B98">
        <v>-99</v>
      </c>
      <c r="C98" t="s">
        <v>684</v>
      </c>
      <c r="D98" t="s">
        <v>8</v>
      </c>
      <c r="E98" t="s">
        <v>684</v>
      </c>
      <c r="F98" t="s">
        <v>8</v>
      </c>
      <c r="G98" t="s">
        <v>664</v>
      </c>
      <c r="H98" t="s">
        <v>8</v>
      </c>
      <c r="I98">
        <v>-99</v>
      </c>
      <c r="J98">
        <v>-99</v>
      </c>
      <c r="K98" t="s">
        <v>8</v>
      </c>
      <c r="L98">
        <v>-99</v>
      </c>
      <c r="M98" t="s">
        <v>664</v>
      </c>
      <c r="N98" t="s">
        <v>664</v>
      </c>
      <c r="O98">
        <v>-99</v>
      </c>
      <c r="P98">
        <v>-99</v>
      </c>
      <c r="Q98">
        <v>-99</v>
      </c>
      <c r="R98" t="s">
        <v>664</v>
      </c>
    </row>
    <row r="99" spans="1:18" x14ac:dyDescent="0.2">
      <c r="A99">
        <v>98</v>
      </c>
      <c r="B99">
        <v>-99</v>
      </c>
      <c r="C99" t="s">
        <v>684</v>
      </c>
      <c r="D99" t="s">
        <v>8</v>
      </c>
      <c r="E99" t="s">
        <v>695</v>
      </c>
      <c r="F99" t="s">
        <v>696</v>
      </c>
      <c r="G99" t="s">
        <v>664</v>
      </c>
      <c r="H99" t="s">
        <v>8</v>
      </c>
      <c r="I99">
        <v>-99</v>
      </c>
      <c r="J99">
        <v>-99</v>
      </c>
      <c r="K99" t="s">
        <v>8</v>
      </c>
      <c r="L99">
        <v>-99</v>
      </c>
      <c r="M99" t="s">
        <v>664</v>
      </c>
      <c r="N99" t="s">
        <v>664</v>
      </c>
      <c r="O99">
        <v>-99</v>
      </c>
      <c r="P99">
        <v>-99</v>
      </c>
      <c r="Q99">
        <v>-99</v>
      </c>
      <c r="R99" t="s">
        <v>692</v>
      </c>
    </row>
    <row r="100" spans="1:18" x14ac:dyDescent="0.2">
      <c r="A100">
        <v>99</v>
      </c>
      <c r="B100">
        <v>250</v>
      </c>
      <c r="C100" t="s">
        <v>664</v>
      </c>
      <c r="D100" t="s">
        <v>35</v>
      </c>
      <c r="E100" t="s">
        <v>731</v>
      </c>
      <c r="F100" t="s">
        <v>697</v>
      </c>
      <c r="G100" t="s">
        <v>664</v>
      </c>
      <c r="H100" t="s">
        <v>412</v>
      </c>
      <c r="I100">
        <v>-99</v>
      </c>
      <c r="J100">
        <v>-99</v>
      </c>
      <c r="K100" t="s">
        <v>414</v>
      </c>
      <c r="L100">
        <v>-99</v>
      </c>
      <c r="M100" t="s">
        <v>664</v>
      </c>
      <c r="N100" t="s">
        <v>664</v>
      </c>
      <c r="O100">
        <v>-99</v>
      </c>
      <c r="P100">
        <v>-99</v>
      </c>
      <c r="Q100">
        <v>-99</v>
      </c>
      <c r="R100" t="s">
        <v>698</v>
      </c>
    </row>
    <row r="101" spans="1:18" x14ac:dyDescent="0.2">
      <c r="A101">
        <v>100</v>
      </c>
      <c r="B101">
        <v>256</v>
      </c>
      <c r="C101" t="s">
        <v>664</v>
      </c>
      <c r="D101" t="s">
        <v>220</v>
      </c>
      <c r="E101" t="s">
        <v>732</v>
      </c>
      <c r="F101" t="s">
        <v>699</v>
      </c>
      <c r="G101" t="s">
        <v>664</v>
      </c>
      <c r="H101" t="s">
        <v>396</v>
      </c>
      <c r="I101">
        <v>-99</v>
      </c>
      <c r="J101">
        <v>-99</v>
      </c>
      <c r="K101" t="s">
        <v>400</v>
      </c>
      <c r="L101">
        <v>-99</v>
      </c>
      <c r="M101" t="s">
        <v>664</v>
      </c>
      <c r="N101" t="s">
        <v>664</v>
      </c>
      <c r="O101">
        <v>-99</v>
      </c>
      <c r="P101">
        <v>-99</v>
      </c>
      <c r="Q101">
        <v>-99</v>
      </c>
      <c r="R101" t="s">
        <v>698</v>
      </c>
    </row>
    <row r="102" spans="1:18" x14ac:dyDescent="0.2">
      <c r="A102">
        <v>101</v>
      </c>
      <c r="B102">
        <v>257</v>
      </c>
      <c r="C102" t="s">
        <v>664</v>
      </c>
      <c r="D102" t="s">
        <v>217</v>
      </c>
      <c r="E102" t="s">
        <v>733</v>
      </c>
      <c r="F102" t="s">
        <v>700</v>
      </c>
      <c r="G102" t="s">
        <v>664</v>
      </c>
      <c r="H102" t="s">
        <v>396</v>
      </c>
      <c r="I102">
        <v>-99</v>
      </c>
      <c r="J102">
        <v>-99</v>
      </c>
      <c r="K102" t="s">
        <v>400</v>
      </c>
      <c r="L102">
        <v>-99</v>
      </c>
      <c r="M102" t="s">
        <v>664</v>
      </c>
      <c r="N102" t="s">
        <v>664</v>
      </c>
      <c r="O102">
        <v>-99</v>
      </c>
      <c r="P102">
        <v>-99</v>
      </c>
      <c r="Q102">
        <v>-99</v>
      </c>
      <c r="R102" t="s">
        <v>698</v>
      </c>
    </row>
    <row r="103" spans="1:18" x14ac:dyDescent="0.2">
      <c r="A103">
        <v>102</v>
      </c>
      <c r="B103">
        <v>258</v>
      </c>
      <c r="C103" t="s">
        <v>664</v>
      </c>
      <c r="D103" t="s">
        <v>218</v>
      </c>
      <c r="E103" t="s">
        <v>734</v>
      </c>
      <c r="F103" t="s">
        <v>701</v>
      </c>
      <c r="G103" t="s">
        <v>664</v>
      </c>
      <c r="H103" t="s">
        <v>380</v>
      </c>
      <c r="I103">
        <v>-99</v>
      </c>
      <c r="J103">
        <v>-99</v>
      </c>
      <c r="K103" t="s">
        <v>379</v>
      </c>
      <c r="L103">
        <v>-99</v>
      </c>
      <c r="M103" t="s">
        <v>664</v>
      </c>
      <c r="N103" t="s">
        <v>664</v>
      </c>
      <c r="O103">
        <v>-99</v>
      </c>
      <c r="P103">
        <v>-99</v>
      </c>
      <c r="Q103">
        <v>-99</v>
      </c>
      <c r="R103" t="s">
        <v>698</v>
      </c>
    </row>
    <row r="104" spans="1:18" x14ac:dyDescent="0.2">
      <c r="A104">
        <v>103</v>
      </c>
      <c r="B104">
        <v>259</v>
      </c>
      <c r="C104" t="s">
        <v>664</v>
      </c>
      <c r="D104" t="s">
        <v>141</v>
      </c>
      <c r="E104" t="s">
        <v>735</v>
      </c>
      <c r="F104" t="s">
        <v>702</v>
      </c>
      <c r="G104" t="s">
        <v>664</v>
      </c>
      <c r="H104" t="s">
        <v>380</v>
      </c>
      <c r="I104">
        <v>-99</v>
      </c>
      <c r="J104">
        <v>-99</v>
      </c>
      <c r="K104" t="s">
        <v>379</v>
      </c>
      <c r="L104">
        <v>-99</v>
      </c>
      <c r="M104" t="s">
        <v>664</v>
      </c>
      <c r="N104" t="s">
        <v>664</v>
      </c>
      <c r="O104">
        <v>-99</v>
      </c>
      <c r="P104">
        <v>-99</v>
      </c>
      <c r="Q104">
        <v>-99</v>
      </c>
      <c r="R104" t="s">
        <v>698</v>
      </c>
    </row>
    <row r="105" spans="1:18" x14ac:dyDescent="0.2">
      <c r="A105">
        <v>104</v>
      </c>
      <c r="B105">
        <v>260</v>
      </c>
      <c r="C105" t="s">
        <v>664</v>
      </c>
      <c r="D105" t="s">
        <v>49</v>
      </c>
      <c r="E105" t="s">
        <v>736</v>
      </c>
      <c r="F105" t="s">
        <v>703</v>
      </c>
      <c r="G105" t="s">
        <v>664</v>
      </c>
      <c r="H105" t="s">
        <v>396</v>
      </c>
      <c r="I105">
        <v>-99</v>
      </c>
      <c r="J105">
        <v>-99</v>
      </c>
      <c r="K105" t="s">
        <v>395</v>
      </c>
      <c r="L105">
        <v>-99</v>
      </c>
      <c r="M105" t="s">
        <v>664</v>
      </c>
      <c r="N105" t="s">
        <v>664</v>
      </c>
      <c r="O105">
        <v>-99</v>
      </c>
      <c r="P105">
        <v>-99</v>
      </c>
      <c r="Q105">
        <v>-99</v>
      </c>
      <c r="R105" t="s">
        <v>698</v>
      </c>
    </row>
    <row r="106" spans="1:18" x14ac:dyDescent="0.2">
      <c r="A106">
        <v>105</v>
      </c>
      <c r="B106">
        <v>261</v>
      </c>
      <c r="C106" t="s">
        <v>664</v>
      </c>
      <c r="D106" t="s">
        <v>68</v>
      </c>
      <c r="E106" t="s">
        <v>737</v>
      </c>
      <c r="F106" t="s">
        <v>704</v>
      </c>
      <c r="G106" t="s">
        <v>664</v>
      </c>
      <c r="H106" t="s">
        <v>380</v>
      </c>
      <c r="I106">
        <v>-99</v>
      </c>
      <c r="J106">
        <v>-99</v>
      </c>
      <c r="K106" t="s">
        <v>379</v>
      </c>
      <c r="L106">
        <v>-99</v>
      </c>
      <c r="M106" t="s">
        <v>664</v>
      </c>
      <c r="N106" t="s">
        <v>664</v>
      </c>
      <c r="O106">
        <v>-99</v>
      </c>
      <c r="P106">
        <v>-99</v>
      </c>
      <c r="Q106">
        <v>-99</v>
      </c>
      <c r="R106" t="s">
        <v>698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70" zoomScaleNormal="70" workbookViewId="0"/>
  </sheetViews>
  <sheetFormatPr defaultRowHeight="12.75" x14ac:dyDescent="0.2"/>
  <cols>
    <col min="2" max="2" width="15.7109375" customWidth="1"/>
    <col min="3" max="3" width="14" customWidth="1"/>
    <col min="4" max="4" width="16.710937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1047</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647</v>
      </c>
      <c r="D11" t="s">
        <v>594</v>
      </c>
      <c r="E11" t="s">
        <v>641</v>
      </c>
      <c r="F11" t="s">
        <v>629</v>
      </c>
      <c r="G11" t="s">
        <v>565</v>
      </c>
      <c r="H11" t="s">
        <v>617</v>
      </c>
      <c r="I11" t="s">
        <v>619</v>
      </c>
      <c r="J11" t="s">
        <v>561</v>
      </c>
      <c r="K11" t="s">
        <v>598</v>
      </c>
      <c r="L11" t="s">
        <v>615</v>
      </c>
      <c r="M11" t="s">
        <v>461</v>
      </c>
      <c r="N11" t="s">
        <v>461</v>
      </c>
      <c r="O11" t="s">
        <v>461</v>
      </c>
      <c r="P11" t="s">
        <v>461</v>
      </c>
      <c r="Q11" t="s">
        <v>461</v>
      </c>
      <c r="R11" t="s">
        <v>461</v>
      </c>
    </row>
    <row r="12" spans="2:33" x14ac:dyDescent="0.2">
      <c r="B12" t="s">
        <v>400</v>
      </c>
      <c r="C12" t="s">
        <v>577</v>
      </c>
      <c r="D12" t="s">
        <v>569</v>
      </c>
      <c r="E12" t="s">
        <v>586</v>
      </c>
      <c r="F12" t="s">
        <v>579</v>
      </c>
      <c r="G12" t="s">
        <v>643</v>
      </c>
      <c r="H12" t="s">
        <v>571</v>
      </c>
      <c r="I12" t="s">
        <v>588</v>
      </c>
      <c r="J12" t="s">
        <v>581</v>
      </c>
      <c r="K12" t="s">
        <v>645</v>
      </c>
      <c r="L12" t="s">
        <v>584</v>
      </c>
      <c r="M12" t="s">
        <v>590</v>
      </c>
      <c r="N12" t="s">
        <v>649</v>
      </c>
      <c r="O12" t="s">
        <v>461</v>
      </c>
      <c r="P12" t="s">
        <v>461</v>
      </c>
      <c r="Q12" t="s">
        <v>461</v>
      </c>
      <c r="R12" t="s">
        <v>461</v>
      </c>
    </row>
    <row r="13" spans="2:33" x14ac:dyDescent="0.2">
      <c r="B13" t="s">
        <v>379</v>
      </c>
      <c r="C13" t="s">
        <v>543</v>
      </c>
      <c r="D13" t="s">
        <v>522</v>
      </c>
      <c r="E13" t="s">
        <v>530</v>
      </c>
      <c r="F13" t="s">
        <v>532</v>
      </c>
      <c r="G13" t="s">
        <v>547</v>
      </c>
      <c r="H13" t="s">
        <v>632</v>
      </c>
      <c r="I13" t="s">
        <v>528</v>
      </c>
      <c r="J13" t="s">
        <v>534</v>
      </c>
      <c r="K13" t="s">
        <v>536</v>
      </c>
      <c r="L13" t="s">
        <v>539</v>
      </c>
      <c r="M13" t="s">
        <v>524</v>
      </c>
      <c r="N13" t="s">
        <v>545</v>
      </c>
      <c r="O13" t="s">
        <v>637</v>
      </c>
      <c r="P13" t="s">
        <v>639</v>
      </c>
      <c r="Q13" t="s">
        <v>653</v>
      </c>
      <c r="R13" t="s">
        <v>553</v>
      </c>
    </row>
    <row r="14" spans="2:33" x14ac:dyDescent="0.2">
      <c r="B14" t="s">
        <v>414</v>
      </c>
      <c r="C14" t="s">
        <v>596</v>
      </c>
      <c r="D14" t="s">
        <v>655</v>
      </c>
      <c r="E14" t="s">
        <v>611</v>
      </c>
      <c r="F14" t="s">
        <v>651</v>
      </c>
      <c r="G14" t="s">
        <v>603</v>
      </c>
      <c r="H14" t="s">
        <v>625</v>
      </c>
      <c r="I14" t="s">
        <v>601</v>
      </c>
      <c r="J14" t="s">
        <v>605</v>
      </c>
      <c r="K14" t="s">
        <v>613</v>
      </c>
      <c r="L14" t="s">
        <v>621</v>
      </c>
      <c r="M14" t="s">
        <v>634</v>
      </c>
      <c r="N14" t="s">
        <v>607</v>
      </c>
      <c r="O14" t="s">
        <v>461</v>
      </c>
      <c r="P14" t="s">
        <v>461</v>
      </c>
      <c r="Q14" t="s">
        <v>461</v>
      </c>
      <c r="R14" t="s">
        <v>461</v>
      </c>
    </row>
    <row r="15" spans="2:33" x14ac:dyDescent="0.2">
      <c r="B15" t="s">
        <v>390</v>
      </c>
      <c r="C15" t="s">
        <v>549</v>
      </c>
      <c r="D15" t="s">
        <v>557</v>
      </c>
      <c r="E15" t="s">
        <v>573</v>
      </c>
      <c r="F15" t="s">
        <v>563</v>
      </c>
      <c r="G15" t="s">
        <v>559</v>
      </c>
      <c r="H15" t="s">
        <v>623</v>
      </c>
      <c r="I15" t="s">
        <v>551</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985</v>
      </c>
      <c r="C19" t="s">
        <v>986</v>
      </c>
      <c r="D19" t="s">
        <v>987</v>
      </c>
    </row>
    <row r="20" spans="2:4" x14ac:dyDescent="0.2">
      <c r="B20" s="152">
        <v>42210</v>
      </c>
      <c r="C20">
        <v>23947</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09" t="s">
        <v>991</v>
      </c>
      <c r="C2" s="310"/>
      <c r="D2" s="310"/>
      <c r="E2" s="310"/>
      <c r="F2" s="310"/>
      <c r="G2" s="311"/>
      <c r="H2" s="135" t="s">
        <v>5</v>
      </c>
      <c r="I2" s="136" t="s">
        <v>2</v>
      </c>
      <c r="J2" s="136" t="s">
        <v>236</v>
      </c>
      <c r="K2" s="134"/>
    </row>
    <row r="3" spans="1:11" ht="59.25" customHeight="1" x14ac:dyDescent="0.2">
      <c r="A3" s="130"/>
      <c r="B3" s="312"/>
      <c r="C3" s="313"/>
      <c r="D3" s="313"/>
      <c r="E3" s="313"/>
      <c r="F3" s="313"/>
      <c r="G3" s="313"/>
      <c r="H3" s="305">
        <f>SUM(H5,H10)</f>
        <v>375040</v>
      </c>
      <c r="I3" s="305">
        <f>SUM(I5,I10)</f>
        <v>115365</v>
      </c>
      <c r="J3" s="307">
        <f>ROUND(I3/H3,5)</f>
        <v>0.30760999999999999</v>
      </c>
      <c r="K3" s="134"/>
    </row>
    <row r="4" spans="1:11" ht="33" customHeight="1" thickBot="1" x14ac:dyDescent="0.25">
      <c r="A4" s="130"/>
      <c r="B4" s="316" t="str">
        <f>"As of: "&amp;TEXT(INDEX(MMWR_DATES[],1,1),"MMMM DD, YYYY")</f>
        <v>As of: July 25, 2015</v>
      </c>
      <c r="C4" s="317"/>
      <c r="D4" s="317"/>
      <c r="E4" s="317"/>
      <c r="F4" s="317"/>
      <c r="G4" s="318"/>
      <c r="H4" s="306"/>
      <c r="I4" s="306"/>
      <c r="J4" s="308"/>
      <c r="K4" s="137"/>
    </row>
    <row r="5" spans="1:11" ht="16.5" customHeight="1" thickBot="1" x14ac:dyDescent="0.25">
      <c r="A5" s="130"/>
      <c r="B5" s="314" t="s">
        <v>241</v>
      </c>
      <c r="C5" s="315"/>
      <c r="D5" s="315"/>
      <c r="E5" s="315"/>
      <c r="F5" s="315"/>
      <c r="G5" s="138" t="s">
        <v>252</v>
      </c>
      <c r="H5" s="161">
        <f>SUM(H6:H9)</f>
        <v>143725</v>
      </c>
      <c r="I5" s="161">
        <f>SUM(I6:I9)</f>
        <v>50194</v>
      </c>
      <c r="J5" s="162">
        <f t="shared" ref="J5:J15" si="0">IF(H5=0, 0,I5/H5)</f>
        <v>0.34923638893720649</v>
      </c>
      <c r="K5" s="134"/>
    </row>
    <row r="6" spans="1:11" ht="16.5" customHeight="1" x14ac:dyDescent="0.2">
      <c r="A6" s="130"/>
      <c r="B6" s="319" t="s">
        <v>16</v>
      </c>
      <c r="C6" s="320"/>
      <c r="D6" s="320"/>
      <c r="E6" s="320"/>
      <c r="F6" s="320"/>
      <c r="G6" s="139" t="s">
        <v>198</v>
      </c>
      <c r="H6" s="163">
        <f>IFERROR(VLOOKUP(MID($G6,4,3),MMWR_TRAD_AGG_NATIONAL[],2,0),0)</f>
        <v>41015</v>
      </c>
      <c r="I6" s="163">
        <f>IFERROR(VLOOKUP(MID($G6,4,3),MMWR_TRAD_AGG_NATIONAL[],3,0),0)</f>
        <v>15963</v>
      </c>
      <c r="J6" s="164">
        <f t="shared" si="0"/>
        <v>0.38919907350969157</v>
      </c>
      <c r="K6" s="134"/>
    </row>
    <row r="7" spans="1:11" ht="16.5" customHeight="1" x14ac:dyDescent="0.2">
      <c r="A7" s="130"/>
      <c r="B7" s="321" t="s">
        <v>0</v>
      </c>
      <c r="C7" s="322"/>
      <c r="D7" s="322"/>
      <c r="E7" s="322"/>
      <c r="F7" s="322"/>
      <c r="G7" s="140" t="s">
        <v>199</v>
      </c>
      <c r="H7" s="163">
        <f>IFERROR(VLOOKUP(MID($G7,4,3),MMWR_TRAD_AGG_NATIONAL[],2,0),0)</f>
        <v>91238</v>
      </c>
      <c r="I7" s="163">
        <f>IFERROR(VLOOKUP(MID($G7,4,3),MMWR_TRAD_AGG_NATIONAL[],3,0),0)</f>
        <v>32837</v>
      </c>
      <c r="J7" s="164">
        <f t="shared" si="0"/>
        <v>0.35990486420131962</v>
      </c>
      <c r="K7" s="134"/>
    </row>
    <row r="8" spans="1:11" ht="16.5" customHeight="1" x14ac:dyDescent="0.2">
      <c r="A8" s="130"/>
      <c r="B8" s="323" t="s">
        <v>242</v>
      </c>
      <c r="C8" s="324"/>
      <c r="D8" s="324"/>
      <c r="E8" s="324"/>
      <c r="F8" s="324"/>
      <c r="G8" s="141" t="s">
        <v>201</v>
      </c>
      <c r="H8" s="163">
        <f>IFERROR(VLOOKUP(MID($G8,4,3),MMWR_TRAD_AGG_NATIONAL[],2,0),0)</f>
        <v>5039</v>
      </c>
      <c r="I8" s="163">
        <f>IFERROR(VLOOKUP(MID($G8,4,3),MMWR_TRAD_AGG_NATIONAL[],3,0),0)</f>
        <v>289</v>
      </c>
      <c r="J8" s="164">
        <f t="shared" si="0"/>
        <v>5.7352649335185552E-2</v>
      </c>
      <c r="K8" s="134"/>
    </row>
    <row r="9" spans="1:11" ht="16.5" customHeight="1" thickBot="1" x14ac:dyDescent="0.25">
      <c r="A9" s="130"/>
      <c r="B9" s="325" t="s">
        <v>17</v>
      </c>
      <c r="C9" s="326"/>
      <c r="D9" s="326"/>
      <c r="E9" s="326"/>
      <c r="F9" s="326"/>
      <c r="G9" s="140" t="s">
        <v>203</v>
      </c>
      <c r="H9" s="163">
        <f>IFERROR(VLOOKUP(MID($G9,4,3),MMWR_TRAD_AGG_NATIONAL[],2,0),0)</f>
        <v>6433</v>
      </c>
      <c r="I9" s="163">
        <f>IFERROR(VLOOKUP(MID($G9,4,3),MMWR_TRAD_AGG_NATIONAL[],3,0),0)</f>
        <v>1105</v>
      </c>
      <c r="J9" s="164">
        <f t="shared" si="0"/>
        <v>0.1717705580600031</v>
      </c>
      <c r="K9" s="134"/>
    </row>
    <row r="10" spans="1:11" ht="17.25" thickBot="1" x14ac:dyDescent="0.25">
      <c r="A10" s="130"/>
      <c r="B10" s="314" t="s">
        <v>1</v>
      </c>
      <c r="C10" s="315"/>
      <c r="D10" s="315"/>
      <c r="E10" s="315"/>
      <c r="F10" s="315"/>
      <c r="G10" s="138" t="s">
        <v>252</v>
      </c>
      <c r="H10" s="161">
        <f>SUM(H11:H18)</f>
        <v>231315</v>
      </c>
      <c r="I10" s="161">
        <f>SUM(I11:I18)</f>
        <v>65171</v>
      </c>
      <c r="J10" s="162">
        <f t="shared" si="0"/>
        <v>0.28174134837775328</v>
      </c>
      <c r="K10" s="134"/>
    </row>
    <row r="11" spans="1:11" ht="16.5" customHeight="1" x14ac:dyDescent="0.2">
      <c r="A11" s="130"/>
      <c r="B11" s="319" t="s">
        <v>207</v>
      </c>
      <c r="C11" s="320"/>
      <c r="D11" s="320"/>
      <c r="E11" s="320"/>
      <c r="F11" s="320"/>
      <c r="G11" s="142" t="s">
        <v>202</v>
      </c>
      <c r="H11" s="165">
        <f>IFERROR(VLOOKUP(MID($G11,4,3),MMWR_TRAD_AGG_NATIONAL[],2,0),0)</f>
        <v>5420</v>
      </c>
      <c r="I11" s="163">
        <f>IFERROR(VLOOKUP(MID($G11,4,3),MMWR_TRAD_AGG_NATIONAL[],3,0),0)</f>
        <v>280</v>
      </c>
      <c r="J11" s="164">
        <f t="shared" si="0"/>
        <v>5.1660516605166053E-2</v>
      </c>
      <c r="K11" s="134"/>
    </row>
    <row r="12" spans="1:11" ht="16.5" customHeight="1" x14ac:dyDescent="0.2">
      <c r="A12" s="130"/>
      <c r="B12" s="321" t="s">
        <v>18</v>
      </c>
      <c r="C12" s="322"/>
      <c r="D12" s="322"/>
      <c r="E12" s="322"/>
      <c r="F12" s="322"/>
      <c r="G12" s="143" t="s">
        <v>200</v>
      </c>
      <c r="H12" s="166">
        <f>IFERROR(VLOOKUP(MID($G12,4,3),MMWR_TRAD_AGG_NATIONAL[],2,0),0)</f>
        <v>209702</v>
      </c>
      <c r="I12" s="163">
        <f>IFERROR(VLOOKUP(MID($G12,4,3),MMWR_TRAD_AGG_NATIONAL[],3,0),0)</f>
        <v>62520</v>
      </c>
      <c r="J12" s="164">
        <f t="shared" si="0"/>
        <v>0.29813735682063119</v>
      </c>
      <c r="K12" s="134"/>
    </row>
    <row r="13" spans="1:11" ht="16.5" customHeight="1" x14ac:dyDescent="0.2">
      <c r="A13" s="130"/>
      <c r="B13" s="321" t="s">
        <v>14</v>
      </c>
      <c r="C13" s="322"/>
      <c r="D13" s="322"/>
      <c r="E13" s="322"/>
      <c r="F13" s="322"/>
      <c r="G13" s="143" t="s">
        <v>204</v>
      </c>
      <c r="H13" s="166">
        <f>IFERROR(VLOOKUP(MID($G13,4,3),MMWR_TRAD_AGG_NATIONAL[],2,0),0)</f>
        <v>15893</v>
      </c>
      <c r="I13" s="163">
        <f>IFERROR(VLOOKUP(MID($G13,4,3),MMWR_TRAD_AGG_NATIONAL[],3,0),0)</f>
        <v>2325</v>
      </c>
      <c r="J13" s="164">
        <f t="shared" si="0"/>
        <v>0.14629081985779904</v>
      </c>
      <c r="K13" s="134"/>
    </row>
    <row r="14" spans="1:11" ht="16.5" customHeight="1" x14ac:dyDescent="0.2">
      <c r="A14" s="130"/>
      <c r="B14" s="323" t="s">
        <v>19</v>
      </c>
      <c r="C14" s="324"/>
      <c r="D14" s="324"/>
      <c r="E14" s="324"/>
      <c r="F14" s="324"/>
      <c r="G14" s="142" t="s">
        <v>205</v>
      </c>
      <c r="H14" s="166">
        <f>IFERROR(VLOOKUP(MID($G14,4,3),MMWR_TRAD_AGG_NATIONAL[],2,0),0)</f>
        <v>255</v>
      </c>
      <c r="I14" s="163">
        <f>IFERROR(VLOOKUP(MID($G14,4,3),MMWR_TRAD_AGG_NATIONAL[],3,0),0)</f>
        <v>38</v>
      </c>
      <c r="J14" s="164">
        <f t="shared" si="0"/>
        <v>0.14901960784313725</v>
      </c>
      <c r="K14" s="134"/>
    </row>
    <row r="15" spans="1:11" ht="16.5" customHeight="1" x14ac:dyDescent="0.2">
      <c r="A15" s="130"/>
      <c r="B15" s="323" t="s">
        <v>87</v>
      </c>
      <c r="C15" s="324"/>
      <c r="D15" s="324"/>
      <c r="E15" s="324"/>
      <c r="F15" s="324"/>
      <c r="G15" s="142" t="s">
        <v>208</v>
      </c>
      <c r="H15" s="166">
        <f>IFERROR(VLOOKUP(MID($G15,4,3),MMWR_TRAD_AGG_NATIONAL[],2,0),0)</f>
        <v>15</v>
      </c>
      <c r="I15" s="163">
        <f>IFERROR(VLOOKUP(MID($G15,4,3),MMWR_TRAD_AGG_NATIONAL[],3,0),0)</f>
        <v>7</v>
      </c>
      <c r="J15" s="164">
        <f t="shared" si="0"/>
        <v>0.46666666666666667</v>
      </c>
      <c r="K15" s="134"/>
    </row>
    <row r="16" spans="1:11" ht="15" x14ac:dyDescent="0.2">
      <c r="A16" s="130"/>
      <c r="B16" s="323" t="s">
        <v>88</v>
      </c>
      <c r="C16" s="324"/>
      <c r="D16" s="324"/>
      <c r="E16" s="324"/>
      <c r="F16" s="324"/>
      <c r="G16" s="142" t="s">
        <v>209</v>
      </c>
      <c r="H16" s="166">
        <f>IFERROR(VLOOKUP(MID($G16,4,3),MMWR_TRAD_AGG_NATIONAL[],2,0),0)</f>
        <v>1</v>
      </c>
      <c r="I16" s="163">
        <f>IFERROR(VLOOKUP(MID($G16,4,3),MMWR_TRAD_AGG_NATIONAL[],3,0),0)</f>
        <v>1</v>
      </c>
      <c r="J16" s="164">
        <f>IF(H16=0, 0,I16/H16)</f>
        <v>1</v>
      </c>
      <c r="K16" s="134"/>
    </row>
    <row r="17" spans="1:11" ht="16.5" customHeight="1" x14ac:dyDescent="0.2">
      <c r="A17" s="130"/>
      <c r="B17" s="323" t="s">
        <v>90</v>
      </c>
      <c r="C17" s="324"/>
      <c r="D17" s="324"/>
      <c r="E17" s="324"/>
      <c r="F17" s="324"/>
      <c r="G17" s="142" t="s">
        <v>210</v>
      </c>
      <c r="H17" s="166">
        <f>IFERROR(VLOOKUP(MID($G17,4,3),MMWR_TRAD_AGG_NATIONAL[],2,0),0)</f>
        <v>23</v>
      </c>
      <c r="I17" s="163">
        <f>IFERROR(VLOOKUP(MID($G17,4,3),MMWR_TRAD_AGG_NATIONAL[],3,0),0)</f>
        <v>0</v>
      </c>
      <c r="J17" s="164">
        <f>IF(H17=0, 0,I17/H17)</f>
        <v>0</v>
      </c>
      <c r="K17" s="134"/>
    </row>
    <row r="18" spans="1:11" ht="16.5" customHeight="1" thickBot="1" x14ac:dyDescent="0.25">
      <c r="A18" s="130"/>
      <c r="B18" s="325" t="s">
        <v>89</v>
      </c>
      <c r="C18" s="326"/>
      <c r="D18" s="326"/>
      <c r="E18" s="326"/>
      <c r="F18" s="326"/>
      <c r="G18" s="142" t="s">
        <v>211</v>
      </c>
      <c r="H18" s="167">
        <f>IFERROR(VLOOKUP(MID($G18,4,3),MMWR_TRAD_AGG_NATIONAL[],2,0),0)</f>
        <v>6</v>
      </c>
      <c r="I18" s="163">
        <f>IFERROR(VLOOKUP(MID($G18,4,3),MMWR_TRAD_AGG_NATIONAL[],3,0),0)</f>
        <v>0</v>
      </c>
      <c r="J18" s="168">
        <f>IF(H18=0, 0,I18/H18)</f>
        <v>0</v>
      </c>
      <c r="K18" s="134"/>
    </row>
    <row r="19" spans="1:11" ht="16.5" customHeight="1" x14ac:dyDescent="0.2">
      <c r="A19" s="130"/>
      <c r="B19" s="330" t="s">
        <v>981</v>
      </c>
      <c r="C19" s="331"/>
      <c r="D19" s="331"/>
      <c r="E19" s="331"/>
      <c r="F19" s="331"/>
      <c r="G19" s="331"/>
      <c r="H19" s="331"/>
      <c r="I19" s="331"/>
      <c r="J19" s="332"/>
      <c r="K19" s="134"/>
    </row>
    <row r="20" spans="1:11" ht="36" customHeight="1" thickBot="1" x14ac:dyDescent="0.25">
      <c r="A20" s="130"/>
      <c r="B20" s="333"/>
      <c r="C20" s="334"/>
      <c r="D20" s="334"/>
      <c r="E20" s="334"/>
      <c r="F20" s="334"/>
      <c r="G20" s="334"/>
      <c r="H20" s="334"/>
      <c r="I20" s="334"/>
      <c r="J20" s="335"/>
      <c r="K20" s="134"/>
    </row>
    <row r="21" spans="1:11" ht="36" customHeight="1" x14ac:dyDescent="0.2">
      <c r="A21" s="130"/>
      <c r="B21" s="282" t="s">
        <v>972</v>
      </c>
      <c r="C21" s="283"/>
      <c r="D21" s="284"/>
      <c r="E21" s="282" t="s">
        <v>973</v>
      </c>
      <c r="F21" s="283"/>
      <c r="G21" s="284"/>
      <c r="H21" s="282" t="s">
        <v>974</v>
      </c>
      <c r="I21" s="283"/>
      <c r="J21" s="284"/>
      <c r="K21" s="134"/>
    </row>
    <row r="22" spans="1:11" ht="29.25" customHeight="1" thickBot="1" x14ac:dyDescent="0.25">
      <c r="A22" s="130"/>
      <c r="B22" s="285"/>
      <c r="C22" s="286"/>
      <c r="D22" s="287"/>
      <c r="E22" s="285"/>
      <c r="F22" s="286"/>
      <c r="G22" s="287"/>
      <c r="H22" s="285"/>
      <c r="I22" s="286"/>
      <c r="J22" s="287"/>
      <c r="K22" s="134"/>
    </row>
    <row r="23" spans="1:11" ht="36" customHeight="1" x14ac:dyDescent="0.35">
      <c r="A23" s="130"/>
      <c r="B23" s="282" t="s">
        <v>966</v>
      </c>
      <c r="C23" s="283"/>
      <c r="D23" s="284"/>
      <c r="E23" s="282" t="s">
        <v>967</v>
      </c>
      <c r="F23" s="283"/>
      <c r="G23" s="284"/>
      <c r="H23" s="144"/>
      <c r="I23" s="144"/>
      <c r="J23" s="144"/>
      <c r="K23" s="134"/>
    </row>
    <row r="24" spans="1:11" ht="29.25" customHeight="1" thickBot="1" x14ac:dyDescent="0.4">
      <c r="A24" s="130"/>
      <c r="B24" s="285"/>
      <c r="C24" s="286"/>
      <c r="D24" s="287"/>
      <c r="E24" s="285"/>
      <c r="F24" s="286"/>
      <c r="G24" s="287"/>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3"/>
      <c r="D26" s="303"/>
      <c r="E26" s="303"/>
      <c r="F26" s="304"/>
      <c r="G26" s="49" t="s">
        <v>28</v>
      </c>
      <c r="H26" s="49" t="s">
        <v>29</v>
      </c>
      <c r="I26" s="49" t="s">
        <v>30</v>
      </c>
      <c r="J26" s="149" t="s">
        <v>31</v>
      </c>
      <c r="K26" s="134"/>
    </row>
    <row r="27" spans="1:11" ht="16.5" x14ac:dyDescent="0.2">
      <c r="A27" s="130"/>
      <c r="B27" s="300" t="s">
        <v>975</v>
      </c>
      <c r="C27" s="301"/>
      <c r="D27" s="301"/>
      <c r="E27" s="301"/>
      <c r="F27" s="302"/>
      <c r="G27" s="259">
        <v>15602</v>
      </c>
      <c r="H27" s="259">
        <v>14568</v>
      </c>
      <c r="I27" s="259">
        <v>1034</v>
      </c>
      <c r="J27" s="260">
        <v>7.0999999999999994E-2</v>
      </c>
      <c r="K27" s="134"/>
    </row>
    <row r="28" spans="1:11" ht="15" x14ac:dyDescent="0.2">
      <c r="A28" s="130"/>
      <c r="B28" s="288" t="s">
        <v>24</v>
      </c>
      <c r="C28" s="289"/>
      <c r="D28" s="289"/>
      <c r="E28" s="289"/>
      <c r="F28" s="290"/>
      <c r="G28" s="261">
        <v>2068</v>
      </c>
      <c r="H28" s="261">
        <v>1685</v>
      </c>
      <c r="I28" s="261">
        <v>383</v>
      </c>
      <c r="J28" s="256">
        <v>0.22700000000000001</v>
      </c>
      <c r="K28" s="134"/>
    </row>
    <row r="29" spans="1:11" ht="15" x14ac:dyDescent="0.2">
      <c r="A29" s="130"/>
      <c r="B29" s="291" t="s">
        <v>25</v>
      </c>
      <c r="C29" s="292"/>
      <c r="D29" s="292"/>
      <c r="E29" s="292"/>
      <c r="F29" s="293"/>
      <c r="G29" s="262">
        <v>1263</v>
      </c>
      <c r="H29" s="262">
        <v>1197</v>
      </c>
      <c r="I29" s="262">
        <v>66</v>
      </c>
      <c r="J29" s="257">
        <v>5.5E-2</v>
      </c>
      <c r="K29" s="134"/>
    </row>
    <row r="30" spans="1:11" ht="15" x14ac:dyDescent="0.2">
      <c r="A30" s="130"/>
      <c r="B30" s="294" t="s">
        <v>26</v>
      </c>
      <c r="C30" s="295"/>
      <c r="D30" s="295"/>
      <c r="E30" s="295"/>
      <c r="F30" s="296"/>
      <c r="G30" s="262">
        <v>2859</v>
      </c>
      <c r="H30" s="262">
        <v>2678</v>
      </c>
      <c r="I30" s="262">
        <v>181</v>
      </c>
      <c r="J30" s="257">
        <v>6.8000000000000005E-2</v>
      </c>
      <c r="K30" s="134"/>
    </row>
    <row r="31" spans="1:11" ht="15" x14ac:dyDescent="0.2">
      <c r="A31" s="130"/>
      <c r="B31" s="297" t="s">
        <v>27</v>
      </c>
      <c r="C31" s="298"/>
      <c r="D31" s="298"/>
      <c r="E31" s="298"/>
      <c r="F31" s="299"/>
      <c r="G31" s="263">
        <v>9412</v>
      </c>
      <c r="H31" s="263">
        <v>9008</v>
      </c>
      <c r="I31" s="263">
        <v>404</v>
      </c>
      <c r="J31" s="258">
        <v>4.4999999999999998E-2</v>
      </c>
      <c r="K31" s="134"/>
    </row>
    <row r="32" spans="1:11" ht="16.5" x14ac:dyDescent="0.2">
      <c r="A32" s="130"/>
      <c r="B32" s="300" t="s">
        <v>243</v>
      </c>
      <c r="C32" s="301"/>
      <c r="D32" s="301"/>
      <c r="E32" s="301"/>
      <c r="F32" s="302"/>
      <c r="G32" s="259">
        <v>116857</v>
      </c>
      <c r="H32" s="259">
        <v>106954</v>
      </c>
      <c r="I32" s="259">
        <v>9903</v>
      </c>
      <c r="J32" s="260">
        <v>9.2999999999999999E-2</v>
      </c>
      <c r="K32" s="134"/>
    </row>
    <row r="33" spans="1:11" ht="15" x14ac:dyDescent="0.2">
      <c r="A33" s="130"/>
      <c r="B33" s="288" t="s">
        <v>24</v>
      </c>
      <c r="C33" s="289"/>
      <c r="D33" s="289"/>
      <c r="E33" s="289"/>
      <c r="F33" s="290"/>
      <c r="G33" s="261">
        <v>12727</v>
      </c>
      <c r="H33" s="261">
        <v>10326</v>
      </c>
      <c r="I33" s="261">
        <v>2401</v>
      </c>
      <c r="J33" s="256">
        <v>0.23300000000000001</v>
      </c>
      <c r="K33" s="134"/>
    </row>
    <row r="34" spans="1:11" ht="15" x14ac:dyDescent="0.2">
      <c r="A34" s="130"/>
      <c r="B34" s="291" t="s">
        <v>25</v>
      </c>
      <c r="C34" s="292"/>
      <c r="D34" s="292"/>
      <c r="E34" s="292"/>
      <c r="F34" s="293"/>
      <c r="G34" s="262">
        <v>8392</v>
      </c>
      <c r="H34" s="262">
        <v>6797</v>
      </c>
      <c r="I34" s="262">
        <v>1595</v>
      </c>
      <c r="J34" s="257">
        <v>0.23499999999999999</v>
      </c>
      <c r="K34" s="134"/>
    </row>
    <row r="35" spans="1:11" ht="15" x14ac:dyDescent="0.2">
      <c r="A35" s="130"/>
      <c r="B35" s="294" t="s">
        <v>26</v>
      </c>
      <c r="C35" s="295"/>
      <c r="D35" s="295"/>
      <c r="E35" s="295"/>
      <c r="F35" s="296"/>
      <c r="G35" s="262">
        <v>28802</v>
      </c>
      <c r="H35" s="262">
        <v>27750</v>
      </c>
      <c r="I35" s="262">
        <v>1052</v>
      </c>
      <c r="J35" s="257">
        <v>3.7999999999999999E-2</v>
      </c>
      <c r="K35" s="134"/>
    </row>
    <row r="36" spans="1:11" ht="15.75" thickBot="1" x14ac:dyDescent="0.25">
      <c r="A36" s="130"/>
      <c r="B36" s="336" t="s">
        <v>27</v>
      </c>
      <c r="C36" s="337"/>
      <c r="D36" s="337"/>
      <c r="E36" s="337"/>
      <c r="F36" s="338"/>
      <c r="G36" s="262">
        <v>66936</v>
      </c>
      <c r="H36" s="262">
        <v>62081</v>
      </c>
      <c r="I36" s="262">
        <v>4855</v>
      </c>
      <c r="J36" s="257">
        <v>7.8E-2</v>
      </c>
      <c r="K36" s="134"/>
    </row>
    <row r="37" spans="1:11" ht="15.75" customHeight="1" thickBot="1" x14ac:dyDescent="0.25">
      <c r="A37" s="130"/>
      <c r="B37" s="327" t="s">
        <v>980</v>
      </c>
      <c r="C37" s="328"/>
      <c r="D37" s="328"/>
      <c r="E37" s="328"/>
      <c r="F37" s="328"/>
      <c r="G37" s="328"/>
      <c r="H37" s="328"/>
      <c r="I37" s="328"/>
      <c r="J37" s="329"/>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tabSelected="1"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3" t="s">
        <v>304</v>
      </c>
      <c r="D2" s="354"/>
      <c r="E2" s="354"/>
      <c r="F2" s="354"/>
      <c r="G2" s="354"/>
      <c r="H2" s="354"/>
      <c r="I2" s="354"/>
      <c r="J2" s="354"/>
      <c r="K2" s="355"/>
      <c r="L2" s="353" t="s">
        <v>309</v>
      </c>
      <c r="M2" s="354"/>
      <c r="N2" s="354"/>
      <c r="O2" s="355"/>
      <c r="P2" s="28"/>
    </row>
    <row r="3" spans="1:16" ht="24" customHeight="1" thickBot="1" x14ac:dyDescent="0.4">
      <c r="A3" s="25"/>
      <c r="B3" s="29"/>
      <c r="C3" s="356"/>
      <c r="D3" s="357"/>
      <c r="E3" s="357"/>
      <c r="F3" s="357"/>
      <c r="G3" s="357"/>
      <c r="H3" s="357"/>
      <c r="I3" s="357"/>
      <c r="J3" s="357"/>
      <c r="K3" s="358"/>
      <c r="L3" s="356" t="str">
        <f>Transformation!B4</f>
        <v>As of: July 25, 2015</v>
      </c>
      <c r="M3" s="357"/>
      <c r="N3" s="357"/>
      <c r="O3" s="358"/>
      <c r="P3" s="28"/>
    </row>
    <row r="4" spans="1:16" ht="51.75" customHeight="1" thickBot="1" x14ac:dyDescent="0.35">
      <c r="A4" s="30"/>
      <c r="B4" s="249" t="s">
        <v>465</v>
      </c>
      <c r="C4" s="359" t="s">
        <v>313</v>
      </c>
      <c r="D4" s="360"/>
      <c r="E4" s="360"/>
      <c r="F4" s="360"/>
      <c r="G4" s="360"/>
      <c r="H4" s="360"/>
      <c r="I4" s="360"/>
      <c r="J4" s="360"/>
      <c r="K4" s="360"/>
      <c r="L4" s="360"/>
      <c r="M4" s="360"/>
      <c r="N4" s="360"/>
      <c r="O4" s="361"/>
      <c r="P4" s="28"/>
    </row>
    <row r="5" spans="1:16" ht="27" customHeight="1" thickBot="1" x14ac:dyDescent="0.25">
      <c r="A5" s="30"/>
      <c r="B5" s="26"/>
      <c r="C5" s="362" t="s">
        <v>1054</v>
      </c>
      <c r="D5" s="363"/>
      <c r="E5" s="363"/>
      <c r="F5" s="363"/>
      <c r="G5" s="363"/>
      <c r="H5" s="363"/>
      <c r="I5" s="363"/>
      <c r="J5" s="363"/>
      <c r="K5" s="363"/>
      <c r="L5" s="363"/>
      <c r="M5" s="363"/>
      <c r="N5" s="363"/>
      <c r="O5" s="364"/>
      <c r="P5" s="28"/>
    </row>
    <row r="6" spans="1:16" ht="55.5" customHeight="1" x14ac:dyDescent="0.2">
      <c r="A6" s="30"/>
      <c r="B6" s="31"/>
      <c r="C6" s="32" t="s">
        <v>198</v>
      </c>
      <c r="D6" s="365" t="s">
        <v>16</v>
      </c>
      <c r="E6" s="366"/>
      <c r="F6" s="33" t="s">
        <v>201</v>
      </c>
      <c r="G6" s="365" t="s">
        <v>206</v>
      </c>
      <c r="H6" s="367"/>
      <c r="I6" s="33" t="s">
        <v>204</v>
      </c>
      <c r="J6" s="371" t="s">
        <v>14</v>
      </c>
      <c r="K6" s="372"/>
      <c r="L6" s="33" t="s">
        <v>209</v>
      </c>
      <c r="M6" s="368" t="s">
        <v>88</v>
      </c>
      <c r="N6" s="369"/>
      <c r="O6" s="370"/>
      <c r="P6" s="28"/>
    </row>
    <row r="7" spans="1:16" ht="51.75" customHeight="1" x14ac:dyDescent="0.2">
      <c r="A7" s="30"/>
      <c r="B7" s="34"/>
      <c r="C7" s="35" t="s">
        <v>199</v>
      </c>
      <c r="D7" s="341" t="s">
        <v>0</v>
      </c>
      <c r="E7" s="342"/>
      <c r="F7" s="36" t="s">
        <v>202</v>
      </c>
      <c r="G7" s="343" t="s">
        <v>207</v>
      </c>
      <c r="H7" s="343"/>
      <c r="I7" s="36" t="s">
        <v>205</v>
      </c>
      <c r="J7" s="373" t="s">
        <v>19</v>
      </c>
      <c r="K7" s="374"/>
      <c r="L7" s="36" t="s">
        <v>210</v>
      </c>
      <c r="M7" s="381" t="s">
        <v>90</v>
      </c>
      <c r="N7" s="382"/>
      <c r="O7" s="383"/>
      <c r="P7" s="28"/>
    </row>
    <row r="8" spans="1:16" ht="51.75" customHeight="1" thickBot="1" x14ac:dyDescent="0.25">
      <c r="A8" s="25"/>
      <c r="B8" s="28"/>
      <c r="C8" s="37" t="s">
        <v>200</v>
      </c>
      <c r="D8" s="344" t="s">
        <v>18</v>
      </c>
      <c r="E8" s="345"/>
      <c r="F8" s="38" t="s">
        <v>203</v>
      </c>
      <c r="G8" s="346" t="s">
        <v>17</v>
      </c>
      <c r="H8" s="346"/>
      <c r="I8" s="38" t="s">
        <v>208</v>
      </c>
      <c r="J8" s="375" t="s">
        <v>87</v>
      </c>
      <c r="K8" s="376"/>
      <c r="L8" s="38" t="s">
        <v>211</v>
      </c>
      <c r="M8" s="350" t="s">
        <v>89</v>
      </c>
      <c r="N8" s="351"/>
      <c r="O8" s="352"/>
      <c r="P8" s="28"/>
    </row>
    <row r="9" spans="1:16" x14ac:dyDescent="0.2">
      <c r="A9" s="28"/>
      <c r="B9" s="28"/>
      <c r="C9" s="39" t="s">
        <v>714</v>
      </c>
      <c r="D9" s="39" t="s">
        <v>716</v>
      </c>
      <c r="E9" s="39" t="s">
        <v>715</v>
      </c>
      <c r="F9" s="39" t="s">
        <v>718</v>
      </c>
      <c r="G9" s="39" t="s">
        <v>717</v>
      </c>
      <c r="H9" s="39" t="s">
        <v>720</v>
      </c>
      <c r="I9" s="39" t="s">
        <v>719</v>
      </c>
      <c r="J9" s="39" t="s">
        <v>930</v>
      </c>
      <c r="K9" s="39" t="s">
        <v>931</v>
      </c>
      <c r="L9" s="39" t="s">
        <v>933</v>
      </c>
      <c r="M9" s="39" t="s">
        <v>1055</v>
      </c>
      <c r="N9" s="39" t="s">
        <v>934</v>
      </c>
      <c r="O9" s="39" t="s">
        <v>935</v>
      </c>
      <c r="P9" s="28"/>
    </row>
    <row r="10" spans="1:16" ht="15.75" customHeight="1" x14ac:dyDescent="0.2">
      <c r="A10" s="25"/>
      <c r="B10" s="26"/>
      <c r="C10" s="347" t="s">
        <v>302</v>
      </c>
      <c r="D10" s="347"/>
      <c r="E10" s="347"/>
      <c r="F10" s="347"/>
      <c r="G10" s="347"/>
      <c r="H10" s="347"/>
      <c r="I10" s="347"/>
      <c r="J10" s="347"/>
      <c r="K10" s="347"/>
      <c r="L10" s="347"/>
      <c r="M10" s="347"/>
      <c r="N10" s="347"/>
      <c r="O10" s="347"/>
      <c r="P10" s="28"/>
    </row>
    <row r="11" spans="1:16" ht="32.25" customHeight="1" x14ac:dyDescent="0.2">
      <c r="A11" s="25"/>
      <c r="B11" s="26"/>
      <c r="C11" s="348" t="s">
        <v>234</v>
      </c>
      <c r="D11" s="348" t="s">
        <v>140</v>
      </c>
      <c r="E11" s="348" t="s">
        <v>235</v>
      </c>
      <c r="F11" s="348" t="s">
        <v>195</v>
      </c>
      <c r="G11" s="348" t="s">
        <v>212</v>
      </c>
      <c r="H11" s="348" t="s">
        <v>214</v>
      </c>
      <c r="I11" s="348" t="s">
        <v>215</v>
      </c>
      <c r="J11" s="379" t="s">
        <v>937</v>
      </c>
      <c r="K11" s="379" t="s">
        <v>938</v>
      </c>
      <c r="L11" s="377" t="s">
        <v>197</v>
      </c>
      <c r="M11" s="378"/>
      <c r="N11" s="377" t="s">
        <v>196</v>
      </c>
      <c r="O11" s="378"/>
      <c r="P11" s="28"/>
    </row>
    <row r="12" spans="1:16" ht="32.25" customHeight="1" x14ac:dyDescent="0.2">
      <c r="A12" s="25"/>
      <c r="B12" s="26"/>
      <c r="C12" s="349"/>
      <c r="D12" s="349"/>
      <c r="E12" s="349"/>
      <c r="F12" s="349"/>
      <c r="G12" s="349"/>
      <c r="H12" s="349"/>
      <c r="I12" s="349"/>
      <c r="J12" s="380"/>
      <c r="K12" s="380"/>
      <c r="L12" s="40" t="s">
        <v>936</v>
      </c>
      <c r="M12" s="40" t="s">
        <v>943</v>
      </c>
      <c r="N12" s="40" t="s">
        <v>936</v>
      </c>
      <c r="O12" s="40" t="s">
        <v>943</v>
      </c>
      <c r="P12" s="28"/>
    </row>
    <row r="13" spans="1:16" x14ac:dyDescent="0.2">
      <c r="A13" s="25"/>
      <c r="B13" s="41" t="s">
        <v>739</v>
      </c>
      <c r="C13" s="155">
        <f>IF($B13=" ","",IFERROR(INDEX(MMWR_RATING_RO_ROLLUP[],MATCH($B13,MMWR_RATING_RO_ROLLUP[MMWR_RATING_RO_ROLLUP],0),MATCH(C$9,MMWR_RATING_RO_ROLLUP[#Headers],0)),"ERROR"))</f>
        <v>375040</v>
      </c>
      <c r="D13" s="156">
        <f>IF($B13=" ","",IFERROR(INDEX(MMWR_RATING_RO_ROLLUP[],MATCH($B13,MMWR_RATING_RO_ROLLUP[MMWR_RATING_RO_ROLLUP],0),MATCH(D$9,MMWR_RATING_RO_ROLLUP[#Headers],0)),"ERROR"))</f>
        <v>114.3365321032</v>
      </c>
      <c r="E13" s="157">
        <f>IF($B13=" ","",IFERROR(INDEX(MMWR_RATING_RO_ROLLUP[],MATCH($B13,MMWR_RATING_RO_ROLLUP[MMWR_RATING_RO_ROLLUP],0),MATCH(E$9,MMWR_RATING_RO_ROLLUP[#Headers],0))/$C13,"ERROR"))</f>
        <v>0.30760718856655289</v>
      </c>
      <c r="F13" s="155">
        <f>IF($B13=" ","",IFERROR(INDEX(MMWR_RATING_RO_ROLLUP[],MATCH($B13,MMWR_RATING_RO_ROLLUP[MMWR_RATING_RO_ROLLUP],0),MATCH(F$9,MMWR_RATING_RO_ROLLUP[#Headers],0)),"ERROR"))</f>
        <v>90351</v>
      </c>
      <c r="G13" s="155">
        <f>IF($B13=" ","",IFERROR(INDEX(MMWR_RATING_RO_ROLLUP[],MATCH($B13,MMWR_RATING_RO_ROLLUP[MMWR_RATING_RO_ROLLUP],0),MATCH(G$9,MMWR_RATING_RO_ROLLUP[#Headers],0)),"ERROR"))</f>
        <v>1130909</v>
      </c>
      <c r="H13" s="156">
        <f>IF($B13=" ","",IFERROR(INDEX(MMWR_RATING_RO_ROLLUP[],MATCH($B13,MMWR_RATING_RO_ROLLUP[MMWR_RATING_RO_ROLLUP],0),MATCH(H$9,MMWR_RATING_RO_ROLLUP[#Headers],0)),"ERROR"))</f>
        <v>152.65131542540001</v>
      </c>
      <c r="I13" s="156">
        <f>IF($B13=" ","",IFERROR(INDEX(MMWR_RATING_RO_ROLLUP[],MATCH($B13,MMWR_RATING_RO_ROLLUP[MMWR_RATING_RO_ROLLUP],0),MATCH(I$9,MMWR_RATING_RO_ROLLUP[#Headers],0)),"ERROR"))</f>
        <v>174.36673861470001</v>
      </c>
      <c r="J13" s="158">
        <f>VLOOKUP($B13,MMWR_ACCURACY_RO[],MATCH(J$9,MMWR_ACCURACY_RO[#Headers],0),0)</f>
        <v>0.9589796382625706</v>
      </c>
      <c r="K13" s="158">
        <f>VLOOKUP($B13,MMWR_ACCURACY_RO[],MATCH(K$9,MMWR_ACCURACY_RO[#Headers],0),0)</f>
        <v>0.897467827285514</v>
      </c>
      <c r="L13" s="158">
        <f>VLOOKUP($B13,MMWR_ACCURACY_RO[],MATCH(L$9,MMWR_ACCURACY_RO[#Headers],0),0)</f>
        <v>0.90668772526305508</v>
      </c>
      <c r="M13" s="158">
        <f>VLOOKUP($B13,MMWR_ACCURACY_RO[],MATCH(M$9,MMWR_ACCURACY_RO[#Headers],0),0)</f>
        <v>6.9664625362507596E-3</v>
      </c>
      <c r="N13" s="158">
        <f>VLOOKUP($B13,MMWR_ACCURACY_RO[],MATCH(N$9,MMWR_ACCURACY_RO[#Headers],0),0)</f>
        <v>0.91370326291272552</v>
      </c>
      <c r="O13" s="158">
        <f>VLOOKUP($B13,MMWR_ACCURACY_RO[],MATCH(O$9,MMWR_ACCURACY_RO[#Headers],0),0)</f>
        <v>8.3456158222571016E-3</v>
      </c>
      <c r="P13" s="28"/>
    </row>
    <row r="14" spans="1:16" x14ac:dyDescent="0.2">
      <c r="A14" s="25"/>
      <c r="B14" s="339" t="s">
        <v>742</v>
      </c>
      <c r="C14" s="340"/>
      <c r="D14" s="340"/>
      <c r="E14" s="340"/>
      <c r="F14" s="340"/>
      <c r="G14" s="340"/>
      <c r="H14" s="340"/>
      <c r="I14" s="340"/>
      <c r="J14" s="340"/>
      <c r="K14" s="340"/>
      <c r="L14" s="340"/>
      <c r="M14" s="340"/>
      <c r="N14" s="340"/>
      <c r="O14" s="340"/>
      <c r="P14" s="28"/>
    </row>
    <row r="15" spans="1:16" x14ac:dyDescent="0.2">
      <c r="A15" s="25"/>
      <c r="B15" s="41" t="s">
        <v>738</v>
      </c>
      <c r="C15" s="155">
        <f>IF($B15=" ","",IFERROR(INDEX(MMWR_RATING_RO_ROLLUP[],MATCH($B15,MMWR_RATING_RO_ROLLUP[MMWR_RATING_RO_ROLLUP],0),MATCH(C$9,MMWR_RATING_RO_ROLLUP[#Headers],0)),"ERROR"))</f>
        <v>339945</v>
      </c>
      <c r="D15" s="156">
        <f>IF($B15=" ","",IFERROR(INDEX(MMWR_RATING_RO_ROLLUP[],MATCH($B15,MMWR_RATING_RO_ROLLUP[MMWR_RATING_RO_ROLLUP],0),MATCH(D$9,MMWR_RATING_RO_ROLLUP[#Headers],0)),"ERROR"))</f>
        <v>119.0660518613</v>
      </c>
      <c r="E15" s="157">
        <f>IF($B15=" ","",IFERROR(INDEX(MMWR_RATING_RO_ROLLUP[],MATCH($B15,MMWR_RATING_RO_ROLLUP[MMWR_RATING_RO_ROLLUP],0),MATCH(E$9,MMWR_RATING_RO_ROLLUP[#Headers],0))/$C15,"ERROR"))</f>
        <v>0.32686169821588784</v>
      </c>
      <c r="F15" s="155">
        <f>IF($B15=" ","",IFERROR(INDEX(MMWR_RATING_RO_ROLLUP[],MATCH($B15,MMWR_RATING_RO_ROLLUP[MMWR_RATING_RO_ROLLUP],0),MATCH(F$9,MMWR_RATING_RO_ROLLUP[#Headers],0)),"ERROR"))</f>
        <v>77999</v>
      </c>
      <c r="G15" s="155">
        <f>IF($B15=" ","",IFERROR(INDEX(MMWR_RATING_RO_ROLLUP[],MATCH($B15,MMWR_RATING_RO_ROLLUP[MMWR_RATING_RO_ROLLUP],0),MATCH(G$9,MMWR_RATING_RO_ROLLUP[#Headers],0)),"ERROR"))</f>
        <v>963943</v>
      </c>
      <c r="H15" s="156">
        <f>IF($B15=" ","",IFERROR(INDEX(MMWR_RATING_RO_ROLLUP[],MATCH($B15,MMWR_RATING_RO_ROLLUP[MMWR_RATING_RO_ROLLUP],0),MATCH(H$9,MMWR_RATING_RO_ROLLUP[#Headers],0)),"ERROR"))</f>
        <v>163.8051769894</v>
      </c>
      <c r="I15" s="156">
        <f>IF($B15=" ","",IFERROR(INDEX(MMWR_RATING_RO_ROLLUP[],MATCH($B15,MMWR_RATING_RO_ROLLUP[MMWR_RATING_RO_ROLLUP],0),MATCH(I$9,MMWR_RATING_RO_ROLLUP[#Headers],0)),"ERROR"))</f>
        <v>189.93693506770001</v>
      </c>
      <c r="J15" s="159"/>
      <c r="K15" s="159"/>
      <c r="L15" s="159"/>
      <c r="M15" s="159"/>
      <c r="N15" s="159"/>
      <c r="O15" s="159"/>
      <c r="P15" s="28"/>
    </row>
    <row r="16" spans="1:16" x14ac:dyDescent="0.2">
      <c r="A16" s="25"/>
      <c r="B16" s="250" t="s">
        <v>379</v>
      </c>
      <c r="C16" s="155">
        <f>IF($B16=" ","",IFERROR(INDEX(MMWR_RATING_RO_ROLLUP[],MATCH($B16,MMWR_RATING_RO_ROLLUP[MMWR_RATING_RO_ROLLUP],0),MATCH(C$9,MMWR_RATING_RO_ROLLUP[#Headers],0)),"ERROR"))</f>
        <v>73893</v>
      </c>
      <c r="D16" s="156">
        <f>IF($B16=" ","",IFERROR(INDEX(MMWR_RATING_RO_ROLLUP[],MATCH($B16,MMWR_RATING_RO_ROLLUP[MMWR_RATING_RO_ROLLUP],0),MATCH(D$9,MMWR_RATING_RO_ROLLUP[#Headers],0)),"ERROR"))</f>
        <v>119.3215730854</v>
      </c>
      <c r="E16" s="157">
        <f>IF($B16=" ","",IFERROR(INDEX(MMWR_RATING_RO_ROLLUP[],MATCH($B16,MMWR_RATING_RO_ROLLUP[MMWR_RATING_RO_ROLLUP],0),MATCH(E$9,MMWR_RATING_RO_ROLLUP[#Headers],0))/$C16,"ERROR"))</f>
        <v>0.33147930115166524</v>
      </c>
      <c r="F16" s="155">
        <f>IF($B16=" ","",IFERROR(INDEX(MMWR_RATING_RO_ROLLUP[],MATCH($B16,MMWR_RATING_RO_ROLLUP[MMWR_RATING_RO_ROLLUP],0),MATCH(F$9,MMWR_RATING_RO_ROLLUP[#Headers],0)),"ERROR"))</f>
        <v>17147</v>
      </c>
      <c r="G16" s="155">
        <f>IF($B16=" ","",IFERROR(INDEX(MMWR_RATING_RO_ROLLUP[],MATCH($B16,MMWR_RATING_RO_ROLLUP[MMWR_RATING_RO_ROLLUP],0),MATCH(G$9,MMWR_RATING_RO_ROLLUP[#Headers],0)),"ERROR"))</f>
        <v>210601</v>
      </c>
      <c r="H16" s="156">
        <f>IF($B16=" ","",IFERROR(INDEX(MMWR_RATING_RO_ROLLUP[],MATCH($B16,MMWR_RATING_RO_ROLLUP[MMWR_RATING_RO_ROLLUP],0),MATCH(H$9,MMWR_RATING_RO_ROLLUP[#Headers],0)),"ERROR"))</f>
        <v>164.9630256021</v>
      </c>
      <c r="I16" s="156">
        <f>IF($B16=" ","",IFERROR(INDEX(MMWR_RATING_RO_ROLLUP[],MATCH($B16,MMWR_RATING_RO_ROLLUP[MMWR_RATING_RO_ROLLUP],0),MATCH(I$9,MMWR_RATING_RO_ROLLUP[#Headers],0)),"ERROR"))</f>
        <v>192.78298773509999</v>
      </c>
      <c r="J16" s="160">
        <f>IF($B16=" ","",IFERROR(VLOOKUP($B16,MMWR_ACCURACY_RO[],MATCH(J$9,MMWR_ACCURACY_RO[#Headers],0),0),"ERROR"))</f>
        <v>0.94953443223014955</v>
      </c>
      <c r="K16" s="160">
        <f>IF($B16=" ","",IFERROR(VLOOKUP($B16,MMWR_ACCURACY_RO[],MATCH(K$9,MMWR_ACCURACY_RO[#Headers],0),0),"ERROR"))</f>
        <v>0.84354850179990626</v>
      </c>
      <c r="L16" s="160">
        <f>IF($B16=" ","",IFERROR(VLOOKUP($B16,MMWR_ACCURACY_RO[],MATCH(L$9,MMWR_ACCURACY_RO[#Headers],0),0),"ERROR"))</f>
        <v>0.87896224394403799</v>
      </c>
      <c r="M16" s="160">
        <f>IF($B16=" ","",IFERROR(VLOOKUP($B16,MMWR_ACCURACY_RO[],MATCH(M$9,MMWR_ACCURACY_RO[#Headers],0),0),"ERROR"))</f>
        <v>1.5861517644927048E-2</v>
      </c>
      <c r="N16" s="160">
        <f>IF($B16=" ","",IFERROR(VLOOKUP($B16,MMWR_ACCURACY_RO[],MATCH(N$9,MMWR_ACCURACY_RO[#Headers],0),0),"ERROR"))</f>
        <v>0.89489946937275677</v>
      </c>
      <c r="O16" s="160">
        <f>IF($B16=" ","",IFERROR(VLOOKUP($B16,MMWR_ACCURACY_RO[],MATCH(O$9,MMWR_ACCURACY_RO[#Headers],0),0),"ERROR"))</f>
        <v>1.5941574176147954E-2</v>
      </c>
      <c r="P16" s="28"/>
    </row>
    <row r="17" spans="1:16" x14ac:dyDescent="0.2">
      <c r="A17" s="25"/>
      <c r="B17" s="8" t="str">
        <f>VLOOKUP($B$16,DISTRICT_RO[],2,0)</f>
        <v>Baltimore VSC</v>
      </c>
      <c r="C17" s="155">
        <f>IF($B17=" ","",IFERROR(INDEX(MMWR_RATING_RO_ROLLUP[],MATCH($B17,MMWR_RATING_RO_ROLLUP[MMWR_RATING_RO_ROLLUP],0),MATCH(C$9,MMWR_RATING_RO_ROLLUP[#Headers],0)),"ERROR"))</f>
        <v>2334</v>
      </c>
      <c r="D17" s="156">
        <f>IF($B17=" ","",IFERROR(INDEX(MMWR_RATING_RO_ROLLUP[],MATCH($B17,MMWR_RATING_RO_ROLLUP[MMWR_RATING_RO_ROLLUP],0),MATCH(D$9,MMWR_RATING_RO_ROLLUP[#Headers],0)),"ERROR"))</f>
        <v>86.862896315300006</v>
      </c>
      <c r="E17" s="157">
        <f>IF($B17=" ","",IFERROR(INDEX(MMWR_RATING_RO_ROLLUP[],MATCH($B17,MMWR_RATING_RO_ROLLUP[MMWR_RATING_RO_ROLLUP],0),MATCH(E$9,MMWR_RATING_RO_ROLLUP[#Headers],0))/$C17,"ERROR"))</f>
        <v>0.1726649528706084</v>
      </c>
      <c r="F17" s="155">
        <f>IF($B17=" ","",IFERROR(INDEX(MMWR_RATING_RO_ROLLUP[],MATCH($B17,MMWR_RATING_RO_ROLLUP[MMWR_RATING_RO_ROLLUP],0),MATCH(F$9,MMWR_RATING_RO_ROLLUP[#Headers],0)),"ERROR"))</f>
        <v>615</v>
      </c>
      <c r="G17" s="155">
        <f>IF($B17=" ","",IFERROR(INDEX(MMWR_RATING_RO_ROLLUP[],MATCH($B17,MMWR_RATING_RO_ROLLUP[MMWR_RATING_RO_ROLLUP],0),MATCH(G$9,MMWR_RATING_RO_ROLLUP[#Headers],0)),"ERROR"))</f>
        <v>4975</v>
      </c>
      <c r="H17" s="156">
        <f>IF($B17=" ","",IFERROR(INDEX(MMWR_RATING_RO_ROLLUP[],MATCH($B17,MMWR_RATING_RO_ROLLUP[MMWR_RATING_RO_ROLLUP],0),MATCH(H$9,MMWR_RATING_RO_ROLLUP[#Headers],0)),"ERROR"))</f>
        <v>141.40487804879999</v>
      </c>
      <c r="I17" s="156">
        <f>IF($B17=" ","",IFERROR(INDEX(MMWR_RATING_RO_ROLLUP[],MATCH($B17,MMWR_RATING_RO_ROLLUP[MMWR_RATING_RO_ROLLUP],0),MATCH(I$9,MMWR_RATING_RO_ROLLUP[#Headers],0)),"ERROR"))</f>
        <v>249.76221105530001</v>
      </c>
      <c r="J17" s="160">
        <f>IF($B17=" ","",IFERROR(VLOOKUP($B17,MMWR_ACCURACY_RO[],MATCH(J$9,MMWR_ACCURACY_RO[#Headers],0),0),"ERROR"))</f>
        <v>0.92936049393942566</v>
      </c>
      <c r="K17" s="160">
        <f>IF($B17=" ","",IFERROR(VLOOKUP($B17,MMWR_ACCURACY_RO[],MATCH(K$9,MMWR_ACCURACY_RO[#Headers],0),0),"ERROR"))</f>
        <v>0.83377151303980601</v>
      </c>
      <c r="L17" s="160">
        <f>IF($B17=" ","",IFERROR(VLOOKUP($B17,MMWR_ACCURACY_RO[],MATCH(L$9,MMWR_ACCURACY_RO[#Headers],0),0),"ERROR"))</f>
        <v>0.83923858014244668</v>
      </c>
      <c r="M17" s="160">
        <f>IF($B17=" ","",IFERROR(VLOOKUP($B17,MMWR_ACCURACY_RO[],MATCH(M$9,MMWR_ACCURACY_RO[#Headers],0),0),"ERROR"))</f>
        <v>4.7595848839726999E-2</v>
      </c>
      <c r="N17" s="160">
        <f>IF($B17=" ","",IFERROR(VLOOKUP($B17,MMWR_ACCURACY_RO[],MATCH(N$9,MMWR_ACCURACY_RO[#Headers],0),0),"ERROR"))</f>
        <v>0.8504203619470927</v>
      </c>
      <c r="O17" s="160">
        <f>IF($B17=" ","",IFERROR(VLOOKUP($B17,MMWR_ACCURACY_RO[],MATCH(O$9,MMWR_ACCURACY_RO[#Headers],0),0),"ERROR"))</f>
        <v>4.8798247370430092E-2</v>
      </c>
      <c r="P17" s="28"/>
    </row>
    <row r="18" spans="1:16" x14ac:dyDescent="0.2">
      <c r="A18" s="25"/>
      <c r="B18" s="8" t="str">
        <f>VLOOKUP($B$16,DISTRICT_RO[],3,0)</f>
        <v>Boston VSC</v>
      </c>
      <c r="C18" s="155">
        <f>IF($B18=" ","",IFERROR(INDEX(MMWR_RATING_RO_ROLLUP[],MATCH($B18,MMWR_RATING_RO_ROLLUP[MMWR_RATING_RO_ROLLUP],0),MATCH(C$9,MMWR_RATING_RO_ROLLUP[#Headers],0)),"ERROR"))</f>
        <v>3442</v>
      </c>
      <c r="D18" s="156">
        <f>IF($B18=" ","",IFERROR(INDEX(MMWR_RATING_RO_ROLLUP[],MATCH($B18,MMWR_RATING_RO_ROLLUP[MMWR_RATING_RO_ROLLUP],0),MATCH(D$9,MMWR_RATING_RO_ROLLUP[#Headers],0)),"ERROR"))</f>
        <v>99.328297501500003</v>
      </c>
      <c r="E18" s="157">
        <f>IF($B18=" ","",IFERROR(INDEX(MMWR_RATING_RO_ROLLUP[],MATCH($B18,MMWR_RATING_RO_ROLLUP[MMWR_RATING_RO_ROLLUP],0),MATCH(E$9,MMWR_RATING_RO_ROLLUP[#Headers],0))/$C18,"ERROR"))</f>
        <v>0.32510168506682163</v>
      </c>
      <c r="F18" s="155">
        <f>IF($B18=" ","",IFERROR(INDEX(MMWR_RATING_RO_ROLLUP[],MATCH($B18,MMWR_RATING_RO_ROLLUP[MMWR_RATING_RO_ROLLUP],0),MATCH(F$9,MMWR_RATING_RO_ROLLUP[#Headers],0)),"ERROR"))</f>
        <v>701</v>
      </c>
      <c r="G18" s="155">
        <f>IF($B18=" ","",IFERROR(INDEX(MMWR_RATING_RO_ROLLUP[],MATCH($B18,MMWR_RATING_RO_ROLLUP[MMWR_RATING_RO_ROLLUP],0),MATCH(G$9,MMWR_RATING_RO_ROLLUP[#Headers],0)),"ERROR"))</f>
        <v>8363</v>
      </c>
      <c r="H18" s="156">
        <f>IF($B18=" ","",IFERROR(INDEX(MMWR_RATING_RO_ROLLUP[],MATCH($B18,MMWR_RATING_RO_ROLLUP[MMWR_RATING_RO_ROLLUP],0),MATCH(H$9,MMWR_RATING_RO_ROLLUP[#Headers],0)),"ERROR"))</f>
        <v>149.46504992870001</v>
      </c>
      <c r="I18" s="156">
        <f>IF($B18=" ","",IFERROR(INDEX(MMWR_RATING_RO_ROLLUP[],MATCH($B18,MMWR_RATING_RO_ROLLUP[MMWR_RATING_RO_ROLLUP],0),MATCH(I$9,MMWR_RATING_RO_ROLLUP[#Headers],0)),"ERROR"))</f>
        <v>205.50938658379999</v>
      </c>
      <c r="J18" s="160">
        <f>IF($B18=" ","",IFERROR(VLOOKUP($B18,MMWR_ACCURACY_RO[],MATCH(J$9,MMWR_ACCURACY_RO[#Headers],0),0),"ERROR"))</f>
        <v>0.90381092877065328</v>
      </c>
      <c r="K18" s="160">
        <f>IF($B18=" ","",IFERROR(VLOOKUP($B18,MMWR_ACCURACY_RO[],MATCH(K$9,MMWR_ACCURACY_RO[#Headers],0),0),"ERROR"))</f>
        <v>0.83782384099014062</v>
      </c>
      <c r="L18" s="160">
        <f>IF($B18=" ","",IFERROR(VLOOKUP($B18,MMWR_ACCURACY_RO[],MATCH(L$9,MMWR_ACCURACY_RO[#Headers],0),0),"ERROR"))</f>
        <v>0.86005397383884441</v>
      </c>
      <c r="M18" s="160">
        <f>IF($B18=" ","",IFERROR(VLOOKUP($B18,MMWR_ACCURACY_RO[],MATCH(M$9,MMWR_ACCURACY_RO[#Headers],0),0),"ERROR"))</f>
        <v>5.2324569202404664E-2</v>
      </c>
      <c r="N18" s="160">
        <f>IF($B18=" ","",IFERROR(VLOOKUP($B18,MMWR_ACCURACY_RO[],MATCH(N$9,MMWR_ACCURACY_RO[#Headers],0),0),"ERROR"))</f>
        <v>0.89082167873121587</v>
      </c>
      <c r="O18" s="160">
        <f>IF($B18=" ","",IFERROR(VLOOKUP($B18,MMWR_ACCURACY_RO[],MATCH(O$9,MMWR_ACCURACY_RO[#Headers],0),0),"ERROR"))</f>
        <v>5.7183796914605484E-2</v>
      </c>
      <c r="P18" s="28"/>
    </row>
    <row r="19" spans="1:16" x14ac:dyDescent="0.2">
      <c r="A19" s="25"/>
      <c r="B19" s="8" t="str">
        <f>VLOOKUP($B$16,DISTRICT_RO[],4,0)</f>
        <v>Buffalo VSC</v>
      </c>
      <c r="C19" s="155">
        <f>IF($B19=" ","",IFERROR(INDEX(MMWR_RATING_RO_ROLLUP[],MATCH($B19,MMWR_RATING_RO_ROLLUP[MMWR_RATING_RO_ROLLUP],0),MATCH(C$9,MMWR_RATING_RO_ROLLUP[#Headers],0)),"ERROR"))</f>
        <v>4074</v>
      </c>
      <c r="D19" s="156">
        <f>IF($B19=" ","",IFERROR(INDEX(MMWR_RATING_RO_ROLLUP[],MATCH($B19,MMWR_RATING_RO_ROLLUP[MMWR_RATING_RO_ROLLUP],0),MATCH(D$9,MMWR_RATING_RO_ROLLUP[#Headers],0)),"ERROR"))</f>
        <v>96.090819833099999</v>
      </c>
      <c r="E19" s="157">
        <f>IF($B19=" ","",IFERROR(INDEX(MMWR_RATING_RO_ROLLUP[],MATCH($B19,MMWR_RATING_RO_ROLLUP[MMWR_RATING_RO_ROLLUP],0),MATCH(E$9,MMWR_RATING_RO_ROLLUP[#Headers],0))/$C19,"ERROR"))</f>
        <v>0.21232204221894943</v>
      </c>
      <c r="F19" s="155">
        <f>IF($B19=" ","",IFERROR(INDEX(MMWR_RATING_RO_ROLLUP[],MATCH($B19,MMWR_RATING_RO_ROLLUP[MMWR_RATING_RO_ROLLUP],0),MATCH(F$9,MMWR_RATING_RO_ROLLUP[#Headers],0)),"ERROR"))</f>
        <v>676</v>
      </c>
      <c r="G19" s="155">
        <f>IF($B19=" ","",IFERROR(INDEX(MMWR_RATING_RO_ROLLUP[],MATCH($B19,MMWR_RATING_RO_ROLLUP[MMWR_RATING_RO_ROLLUP],0),MATCH(G$9,MMWR_RATING_RO_ROLLUP[#Headers],0)),"ERROR"))</f>
        <v>9551</v>
      </c>
      <c r="H19" s="156">
        <f>IF($B19=" ","",IFERROR(INDEX(MMWR_RATING_RO_ROLLUP[],MATCH($B19,MMWR_RATING_RO_ROLLUP[MMWR_RATING_RO_ROLLUP],0),MATCH(H$9,MMWR_RATING_RO_ROLLUP[#Headers],0)),"ERROR"))</f>
        <v>178.3431952663</v>
      </c>
      <c r="I19" s="156">
        <f>IF($B19=" ","",IFERROR(INDEX(MMWR_RATING_RO_ROLLUP[],MATCH($B19,MMWR_RATING_RO_ROLLUP[MMWR_RATING_RO_ROLLUP],0),MATCH(I$9,MMWR_RATING_RO_ROLLUP[#Headers],0)),"ERROR"))</f>
        <v>212.26238090250001</v>
      </c>
      <c r="J19" s="160">
        <f>IF($B19=" ","",IFERROR(VLOOKUP($B19,MMWR_ACCURACY_RO[],MATCH(J$9,MMWR_ACCURACY_RO[#Headers],0),0),"ERROR"))</f>
        <v>0.87734795648132446</v>
      </c>
      <c r="K19" s="160">
        <f>IF($B19=" ","",IFERROR(VLOOKUP($B19,MMWR_ACCURACY_RO[],MATCH(K$9,MMWR_ACCURACY_RO[#Headers],0),0),"ERROR"))</f>
        <v>0.75714542628489212</v>
      </c>
      <c r="L19" s="160">
        <f>IF($B19=" ","",IFERROR(VLOOKUP($B19,MMWR_ACCURACY_RO[],MATCH(L$9,MMWR_ACCURACY_RO[#Headers],0),0),"ERROR"))</f>
        <v>0.88892306309662361</v>
      </c>
      <c r="M19" s="160">
        <f>IF($B19=" ","",IFERROR(VLOOKUP($B19,MMWR_ACCURACY_RO[],MATCH(M$9,MMWR_ACCURACY_RO[#Headers],0),0),"ERROR"))</f>
        <v>4.627026914270637E-2</v>
      </c>
      <c r="N19" s="160">
        <f>IF($B19=" ","",IFERROR(VLOOKUP($B19,MMWR_ACCURACY_RO[],MATCH(N$9,MMWR_ACCURACY_RO[#Headers],0),0),"ERROR"))</f>
        <v>0.87279643222787773</v>
      </c>
      <c r="O19" s="160">
        <f>IF($B19=" ","",IFERROR(VLOOKUP($B19,MMWR_ACCURACY_RO[],MATCH(O$9,MMWR_ACCURACY_RO[#Headers],0),0),"ERROR"))</f>
        <v>4.5165519270412416E-2</v>
      </c>
      <c r="P19" s="28"/>
    </row>
    <row r="20" spans="1:16" x14ac:dyDescent="0.2">
      <c r="A20" s="25"/>
      <c r="B20" s="8" t="str">
        <f>VLOOKUP($B$16,DISTRICT_RO[],5,0)</f>
        <v>Hartford VSC</v>
      </c>
      <c r="C20" s="155">
        <f>IF($B20=" ","",IFERROR(INDEX(MMWR_RATING_RO_ROLLUP[],MATCH($B20,MMWR_RATING_RO_ROLLUP[MMWR_RATING_RO_ROLLUP],0),MATCH(C$9,MMWR_RATING_RO_ROLLUP[#Headers],0)),"ERROR"))</f>
        <v>2906</v>
      </c>
      <c r="D20" s="156">
        <f>IF($B20=" ","",IFERROR(INDEX(MMWR_RATING_RO_ROLLUP[],MATCH($B20,MMWR_RATING_RO_ROLLUP[MMWR_RATING_RO_ROLLUP],0),MATCH(D$9,MMWR_RATING_RO_ROLLUP[#Headers],0)),"ERROR"))</f>
        <v>134.41569167239999</v>
      </c>
      <c r="E20" s="157">
        <f>IF($B20=" ","",IFERROR(INDEX(MMWR_RATING_RO_ROLLUP[],MATCH($B20,MMWR_RATING_RO_ROLLUP[MMWR_RATING_RO_ROLLUP],0),MATCH(E$9,MMWR_RATING_RO_ROLLUP[#Headers],0))/$C20,"ERROR"))</f>
        <v>0.41637990364762562</v>
      </c>
      <c r="F20" s="155">
        <f>IF($B20=" ","",IFERROR(INDEX(MMWR_RATING_RO_ROLLUP[],MATCH($B20,MMWR_RATING_RO_ROLLUP[MMWR_RATING_RO_ROLLUP],0),MATCH(F$9,MMWR_RATING_RO_ROLLUP[#Headers],0)),"ERROR"))</f>
        <v>638</v>
      </c>
      <c r="G20" s="155">
        <f>IF($B20=" ","",IFERROR(INDEX(MMWR_RATING_RO_ROLLUP[],MATCH($B20,MMWR_RATING_RO_ROLLUP[MMWR_RATING_RO_ROLLUP],0),MATCH(G$9,MMWR_RATING_RO_ROLLUP[#Headers],0)),"ERROR"))</f>
        <v>8071</v>
      </c>
      <c r="H20" s="156">
        <f>IF($B20=" ","",IFERROR(INDEX(MMWR_RATING_RO_ROLLUP[],MATCH($B20,MMWR_RATING_RO_ROLLUP[MMWR_RATING_RO_ROLLUP],0),MATCH(H$9,MMWR_RATING_RO_ROLLUP[#Headers],0)),"ERROR"))</f>
        <v>176.1191222571</v>
      </c>
      <c r="I20" s="156">
        <f>IF($B20=" ","",IFERROR(INDEX(MMWR_RATING_RO_ROLLUP[],MATCH($B20,MMWR_RATING_RO_ROLLUP[MMWR_RATING_RO_ROLLUP],0),MATCH(I$9,MMWR_RATING_RO_ROLLUP[#Headers],0)),"ERROR"))</f>
        <v>174.4768925784</v>
      </c>
      <c r="J20" s="160">
        <f>IF($B20=" ","",IFERROR(VLOOKUP($B20,MMWR_ACCURACY_RO[],MATCH(J$9,MMWR_ACCURACY_RO[#Headers],0),0),"ERROR"))</f>
        <v>0.93911261484293307</v>
      </c>
      <c r="K20" s="160">
        <f>IF($B20=" ","",IFERROR(VLOOKUP($B20,MMWR_ACCURACY_RO[],MATCH(K$9,MMWR_ACCURACY_RO[#Headers],0),0),"ERROR"))</f>
        <v>0.89873753447910043</v>
      </c>
      <c r="L20" s="160">
        <f>IF($B20=" ","",IFERROR(VLOOKUP($B20,MMWR_ACCURACY_RO[],MATCH(L$9,MMWR_ACCURACY_RO[#Headers],0),0),"ERROR"))</f>
        <v>0.94110408141038837</v>
      </c>
      <c r="M20" s="160">
        <f>IF($B20=" ","",IFERROR(VLOOKUP($B20,MMWR_ACCURACY_RO[],MATCH(M$9,MMWR_ACCURACY_RO[#Headers],0),0),"ERROR"))</f>
        <v>3.2423242070776792E-2</v>
      </c>
      <c r="N20" s="160">
        <f>IF($B20=" ","",IFERROR(VLOOKUP($B20,MMWR_ACCURACY_RO[],MATCH(N$9,MMWR_ACCURACY_RO[#Headers],0),0),"ERROR"))</f>
        <v>0.98053933467009069</v>
      </c>
      <c r="O20" s="160">
        <f>IF($B20=" ","",IFERROR(VLOOKUP($B20,MMWR_ACCURACY_RO[],MATCH(O$9,MMWR_ACCURACY_RO[#Headers],0),0),"ERROR"))</f>
        <v>2.2531084282870709E-2</v>
      </c>
      <c r="P20" s="28"/>
    </row>
    <row r="21" spans="1:16" x14ac:dyDescent="0.2">
      <c r="A21" s="25"/>
      <c r="B21" s="8" t="str">
        <f>VLOOKUP($B$16,DISTRICT_RO[],6,0)</f>
        <v>Huntington VSC</v>
      </c>
      <c r="C21" s="155">
        <f>IF($B21=" ","",IFERROR(INDEX(MMWR_RATING_RO_ROLLUP[],MATCH($B21,MMWR_RATING_RO_ROLLUP[MMWR_RATING_RO_ROLLUP],0),MATCH(C$9,MMWR_RATING_RO_ROLLUP[#Headers],0)),"ERROR"))</f>
        <v>4350</v>
      </c>
      <c r="D21" s="156">
        <f>IF($B21=" ","",IFERROR(INDEX(MMWR_RATING_RO_ROLLUP[],MATCH($B21,MMWR_RATING_RO_ROLLUP[MMWR_RATING_RO_ROLLUP],0),MATCH(D$9,MMWR_RATING_RO_ROLLUP[#Headers],0)),"ERROR"))</f>
        <v>127.54229885060001</v>
      </c>
      <c r="E21" s="157">
        <f>IF($B21=" ","",IFERROR(INDEX(MMWR_RATING_RO_ROLLUP[],MATCH($B21,MMWR_RATING_RO_ROLLUP[MMWR_RATING_RO_ROLLUP],0),MATCH(E$9,MMWR_RATING_RO_ROLLUP[#Headers],0))/$C21,"ERROR"))</f>
        <v>0.35770114942528736</v>
      </c>
      <c r="F21" s="155">
        <f>IF($B21=" ","",IFERROR(INDEX(MMWR_RATING_RO_ROLLUP[],MATCH($B21,MMWR_RATING_RO_ROLLUP[MMWR_RATING_RO_ROLLUP],0),MATCH(F$9,MMWR_RATING_RO_ROLLUP[#Headers],0)),"ERROR"))</f>
        <v>1493</v>
      </c>
      <c r="G21" s="155">
        <f>IF($B21=" ","",IFERROR(INDEX(MMWR_RATING_RO_ROLLUP[],MATCH($B21,MMWR_RATING_RO_ROLLUP[MMWR_RATING_RO_ROLLUP],0),MATCH(G$9,MMWR_RATING_RO_ROLLUP[#Headers],0)),"ERROR"))</f>
        <v>15076</v>
      </c>
      <c r="H21" s="156">
        <f>IF($B21=" ","",IFERROR(INDEX(MMWR_RATING_RO_ROLLUP[],MATCH($B21,MMWR_RATING_RO_ROLLUP[MMWR_RATING_RO_ROLLUP],0),MATCH(H$9,MMWR_RATING_RO_ROLLUP[#Headers],0)),"ERROR"))</f>
        <v>171.12324179500001</v>
      </c>
      <c r="I21" s="156">
        <f>IF($B21=" ","",IFERROR(INDEX(MMWR_RATING_RO_ROLLUP[],MATCH($B21,MMWR_RATING_RO_ROLLUP[MMWR_RATING_RO_ROLLUP],0),MATCH(I$9,MMWR_RATING_RO_ROLLUP[#Headers],0)),"ERROR"))</f>
        <v>181.05996285489999</v>
      </c>
      <c r="J21" s="160">
        <f>IF($B21=" ","",IFERROR(VLOOKUP($B21,MMWR_ACCURACY_RO[],MATCH(J$9,MMWR_ACCURACY_RO[#Headers],0),0),"ERROR"))</f>
        <v>0.87205050639997972</v>
      </c>
      <c r="K21" s="160">
        <f>IF($B21=" ","",IFERROR(VLOOKUP($B21,MMWR_ACCURACY_RO[],MATCH(K$9,MMWR_ACCURACY_RO[#Headers],0),0),"ERROR"))</f>
        <v>0.83094122550010108</v>
      </c>
      <c r="L21" s="160">
        <f>IF($B21=" ","",IFERROR(VLOOKUP($B21,MMWR_ACCURACY_RO[],MATCH(L$9,MMWR_ACCURACY_RO[#Headers],0),0),"ERROR"))</f>
        <v>0.90420802795366262</v>
      </c>
      <c r="M21" s="160">
        <f>IF($B21=" ","",IFERROR(VLOOKUP($B21,MMWR_ACCURACY_RO[],MATCH(M$9,MMWR_ACCURACY_RO[#Headers],0),0),"ERROR"))</f>
        <v>4.1903136217502704E-2</v>
      </c>
      <c r="N21" s="160">
        <f>IF($B21=" ","",IFERROR(VLOOKUP($B21,MMWR_ACCURACY_RO[],MATCH(N$9,MMWR_ACCURACY_RO[#Headers],0),0),"ERROR"))</f>
        <v>0.9207774298889515</v>
      </c>
      <c r="O21" s="160">
        <f>IF($B21=" ","",IFERROR(VLOOKUP($B21,MMWR_ACCURACY_RO[],MATCH(O$9,MMWR_ACCURACY_RO[#Headers],0),0),"ERROR"))</f>
        <v>4.3274949781792173E-2</v>
      </c>
      <c r="P21" s="28"/>
    </row>
    <row r="22" spans="1:16" x14ac:dyDescent="0.2">
      <c r="A22" s="25"/>
      <c r="B22" s="8" t="str">
        <f>VLOOKUP($B$16,DISTRICT_RO[],7,0)</f>
        <v>Manchester VSC</v>
      </c>
      <c r="C22" s="155">
        <f>IF($B22=" ","",IFERROR(INDEX(MMWR_RATING_RO_ROLLUP[],MATCH($B22,MMWR_RATING_RO_ROLLUP[MMWR_RATING_RO_ROLLUP],0),MATCH(C$9,MMWR_RATING_RO_ROLLUP[#Headers],0)),"ERROR"))</f>
        <v>1542</v>
      </c>
      <c r="D22" s="156">
        <f>IF($B22=" ","",IFERROR(INDEX(MMWR_RATING_RO_ROLLUP[],MATCH($B22,MMWR_RATING_RO_ROLLUP[MMWR_RATING_RO_ROLLUP],0),MATCH(D$9,MMWR_RATING_RO_ROLLUP[#Headers],0)),"ERROR"))</f>
        <v>116.87029831389999</v>
      </c>
      <c r="E22" s="157">
        <f>IF($B22=" ","",IFERROR(INDEX(MMWR_RATING_RO_ROLLUP[],MATCH($B22,MMWR_RATING_RO_ROLLUP[MMWR_RATING_RO_ROLLUP],0),MATCH(E$9,MMWR_RATING_RO_ROLLUP[#Headers],0))/$C22,"ERROR"))</f>
        <v>0.27821011673151752</v>
      </c>
      <c r="F22" s="155">
        <f>IF($B22=" ","",IFERROR(INDEX(MMWR_RATING_RO_ROLLUP[],MATCH($B22,MMWR_RATING_RO_ROLLUP[MMWR_RATING_RO_ROLLUP],0),MATCH(F$9,MMWR_RATING_RO_ROLLUP[#Headers],0)),"ERROR"))</f>
        <v>347</v>
      </c>
      <c r="G22" s="155">
        <f>IF($B22=" ","",IFERROR(INDEX(MMWR_RATING_RO_ROLLUP[],MATCH($B22,MMWR_RATING_RO_ROLLUP[MMWR_RATING_RO_ROLLUP],0),MATCH(G$9,MMWR_RATING_RO_ROLLUP[#Headers],0)),"ERROR"))</f>
        <v>3949</v>
      </c>
      <c r="H22" s="156">
        <f>IF($B22=" ","",IFERROR(INDEX(MMWR_RATING_RO_ROLLUP[],MATCH($B22,MMWR_RATING_RO_ROLLUP[MMWR_RATING_RO_ROLLUP],0),MATCH(H$9,MMWR_RATING_RO_ROLLUP[#Headers],0)),"ERROR"))</f>
        <v>185.67435158500001</v>
      </c>
      <c r="I22" s="156">
        <f>IF($B22=" ","",IFERROR(INDEX(MMWR_RATING_RO_ROLLUP[],MATCH($B22,MMWR_RATING_RO_ROLLUP[MMWR_RATING_RO_ROLLUP],0),MATCH(I$9,MMWR_RATING_RO_ROLLUP[#Headers],0)),"ERROR"))</f>
        <v>194.76854899969999</v>
      </c>
      <c r="J22" s="160">
        <f>IF($B22=" ","",IFERROR(VLOOKUP($B22,MMWR_ACCURACY_RO[],MATCH(J$9,MMWR_ACCURACY_RO[#Headers],0),0),"ERROR"))</f>
        <v>0.96660496162577014</v>
      </c>
      <c r="K22" s="160">
        <f>IF($B22=" ","",IFERROR(VLOOKUP($B22,MMWR_ACCURACY_RO[],MATCH(K$9,MMWR_ACCURACY_RO[#Headers],0),0),"ERROR"))</f>
        <v>0.95285760788690477</v>
      </c>
      <c r="L22" s="160">
        <f>IF($B22=" ","",IFERROR(VLOOKUP($B22,MMWR_ACCURACY_RO[],MATCH(L$9,MMWR_ACCURACY_RO[#Headers],0),0),"ERROR"))</f>
        <v>0.90467295601057041</v>
      </c>
      <c r="M22" s="160">
        <f>IF($B22=" ","",IFERROR(VLOOKUP($B22,MMWR_ACCURACY_RO[],MATCH(M$9,MMWR_ACCURACY_RO[#Headers],0),0),"ERROR"))</f>
        <v>4.1240163515339462E-2</v>
      </c>
      <c r="N22" s="160">
        <f>IF($B22=" ","",IFERROR(VLOOKUP($B22,MMWR_ACCURACY_RO[],MATCH(N$9,MMWR_ACCURACY_RO[#Headers],0),0),"ERROR"))</f>
        <v>0.92982255825179905</v>
      </c>
      <c r="O22" s="160">
        <f>IF($B22=" ","",IFERROR(VLOOKUP($B22,MMWR_ACCURACY_RO[],MATCH(O$9,MMWR_ACCURACY_RO[#Headers],0),0),"ERROR"))</f>
        <v>3.1229016384149304E-2</v>
      </c>
      <c r="P22" s="28"/>
    </row>
    <row r="23" spans="1:16" x14ac:dyDescent="0.2">
      <c r="A23" s="25"/>
      <c r="B23" s="8" t="str">
        <f>VLOOKUP($B$16,DISTRICT_RO[],8,0)</f>
        <v>New York VSC</v>
      </c>
      <c r="C23" s="155">
        <f>IF($B23=" ","",IFERROR(INDEX(MMWR_RATING_RO_ROLLUP[],MATCH($B23,MMWR_RATING_RO_ROLLUP[MMWR_RATING_RO_ROLLUP],0),MATCH(C$9,MMWR_RATING_RO_ROLLUP[#Headers],0)),"ERROR"))</f>
        <v>4487</v>
      </c>
      <c r="D23" s="156">
        <f>IF($B23=" ","",IFERROR(INDEX(MMWR_RATING_RO_ROLLUP[],MATCH($B23,MMWR_RATING_RO_ROLLUP[MMWR_RATING_RO_ROLLUP],0),MATCH(D$9,MMWR_RATING_RO_ROLLUP[#Headers],0)),"ERROR"))</f>
        <v>99.020949409400004</v>
      </c>
      <c r="E23" s="157">
        <f>IF($B23=" ","",IFERROR(INDEX(MMWR_RATING_RO_ROLLUP[],MATCH($B23,MMWR_RATING_RO_ROLLUP[MMWR_RATING_RO_ROLLUP],0),MATCH(E$9,MMWR_RATING_RO_ROLLUP[#Headers],0))/$C23,"ERROR"))</f>
        <v>0.26810786717182972</v>
      </c>
      <c r="F23" s="155">
        <f>IF($B23=" ","",IFERROR(INDEX(MMWR_RATING_RO_ROLLUP[],MATCH($B23,MMWR_RATING_RO_ROLLUP[MMWR_RATING_RO_ROLLUP],0),MATCH(F$9,MMWR_RATING_RO_ROLLUP[#Headers],0)),"ERROR"))</f>
        <v>986</v>
      </c>
      <c r="G23" s="155">
        <f>IF($B23=" ","",IFERROR(INDEX(MMWR_RATING_RO_ROLLUP[],MATCH($B23,MMWR_RATING_RO_ROLLUP[MMWR_RATING_RO_ROLLUP],0),MATCH(G$9,MMWR_RATING_RO_ROLLUP[#Headers],0)),"ERROR"))</f>
        <v>11663</v>
      </c>
      <c r="H23" s="156">
        <f>IF($B23=" ","",IFERROR(INDEX(MMWR_RATING_RO_ROLLUP[],MATCH($B23,MMWR_RATING_RO_ROLLUP[MMWR_RATING_RO_ROLLUP],0),MATCH(H$9,MMWR_RATING_RO_ROLLUP[#Headers],0)),"ERROR"))</f>
        <v>154.58417849899999</v>
      </c>
      <c r="I23" s="156">
        <f>IF($B23=" ","",IFERROR(INDEX(MMWR_RATING_RO_ROLLUP[],MATCH($B23,MMWR_RATING_RO_ROLLUP[MMWR_RATING_RO_ROLLUP],0),MATCH(I$9,MMWR_RATING_RO_ROLLUP[#Headers],0)),"ERROR"))</f>
        <v>195.2607390894</v>
      </c>
      <c r="J23" s="160">
        <f>IF($B23=" ","",IFERROR(VLOOKUP($B23,MMWR_ACCURACY_RO[],MATCH(J$9,MMWR_ACCURACY_RO[#Headers],0),0),"ERROR"))</f>
        <v>0.95086116558754064</v>
      </c>
      <c r="K23" s="160">
        <f>IF($B23=" ","",IFERROR(VLOOKUP($B23,MMWR_ACCURACY_RO[],MATCH(K$9,MMWR_ACCURACY_RO[#Headers],0),0),"ERROR"))</f>
        <v>0.92282653061224496</v>
      </c>
      <c r="L23" s="160">
        <f>IF($B23=" ","",IFERROR(VLOOKUP($B23,MMWR_ACCURACY_RO[],MATCH(L$9,MMWR_ACCURACY_RO[#Headers],0),0),"ERROR"))</f>
        <v>0.91058106158448249</v>
      </c>
      <c r="M23" s="160">
        <f>IF($B23=" ","",IFERROR(VLOOKUP($B23,MMWR_ACCURACY_RO[],MATCH(M$9,MMWR_ACCURACY_RO[#Headers],0),0),"ERROR"))</f>
        <v>4.1128933544364019E-2</v>
      </c>
      <c r="N23" s="160">
        <f>IF($B23=" ","",IFERROR(VLOOKUP($B23,MMWR_ACCURACY_RO[],MATCH(N$9,MMWR_ACCURACY_RO[#Headers],0),0),"ERROR"))</f>
        <v>0.90988335662179864</v>
      </c>
      <c r="O23" s="160">
        <f>IF($B23=" ","",IFERROR(VLOOKUP($B23,MMWR_ACCURACY_RO[],MATCH(O$9,MMWR_ACCURACY_RO[#Headers],0),0),"ERROR"))</f>
        <v>4.3048441640382296E-2</v>
      </c>
      <c r="P23" s="28"/>
    </row>
    <row r="24" spans="1:16" x14ac:dyDescent="0.2">
      <c r="A24" s="25"/>
      <c r="B24" s="8" t="str">
        <f>VLOOKUP($B$16,DISTRICT_RO[],9,0)</f>
        <v>Newark VSC</v>
      </c>
      <c r="C24" s="155">
        <f>IF($B24=" ","",IFERROR(INDEX(MMWR_RATING_RO_ROLLUP[],MATCH($B24,MMWR_RATING_RO_ROLLUP[MMWR_RATING_RO_ROLLUP],0),MATCH(C$9,MMWR_RATING_RO_ROLLUP[#Headers],0)),"ERROR"))</f>
        <v>2523</v>
      </c>
      <c r="D24" s="156">
        <f>IF($B24=" ","",IFERROR(INDEX(MMWR_RATING_RO_ROLLUP[],MATCH($B24,MMWR_RATING_RO_ROLLUP[MMWR_RATING_RO_ROLLUP],0),MATCH(D$9,MMWR_RATING_RO_ROLLUP[#Headers],0)),"ERROR"))</f>
        <v>102.698771304</v>
      </c>
      <c r="E24" s="157">
        <f>IF($B24=" ","",IFERROR(INDEX(MMWR_RATING_RO_ROLLUP[],MATCH($B24,MMWR_RATING_RO_ROLLUP[MMWR_RATING_RO_ROLLUP],0),MATCH(E$9,MMWR_RATING_RO_ROLLUP[#Headers],0))/$C24,"ERROR"))</f>
        <v>0.30836305984938567</v>
      </c>
      <c r="F24" s="155">
        <f>IF($B24=" ","",IFERROR(INDEX(MMWR_RATING_RO_ROLLUP[],MATCH($B24,MMWR_RATING_RO_ROLLUP[MMWR_RATING_RO_ROLLUP],0),MATCH(F$9,MMWR_RATING_RO_ROLLUP[#Headers],0)),"ERROR"))</f>
        <v>509</v>
      </c>
      <c r="G24" s="155">
        <f>IF($B24=" ","",IFERROR(INDEX(MMWR_RATING_RO_ROLLUP[],MATCH($B24,MMWR_RATING_RO_ROLLUP[MMWR_RATING_RO_ROLLUP],0),MATCH(G$9,MMWR_RATING_RO_ROLLUP[#Headers],0)),"ERROR"))</f>
        <v>6224</v>
      </c>
      <c r="H24" s="156">
        <f>IF($B24=" ","",IFERROR(INDEX(MMWR_RATING_RO_ROLLUP[],MATCH($B24,MMWR_RATING_RO_ROLLUP[MMWR_RATING_RO_ROLLUP],0),MATCH(H$9,MMWR_RATING_RO_ROLLUP[#Headers],0)),"ERROR"))</f>
        <v>149.5874263261</v>
      </c>
      <c r="I24" s="156">
        <f>IF($B24=" ","",IFERROR(INDEX(MMWR_RATING_RO_ROLLUP[],MATCH($B24,MMWR_RATING_RO_ROLLUP[MMWR_RATING_RO_ROLLUP],0),MATCH(I$9,MMWR_RATING_RO_ROLLUP[#Headers],0)),"ERROR"))</f>
        <v>167.32647814910001</v>
      </c>
      <c r="J24" s="160">
        <f>IF($B24=" ","",IFERROR(VLOOKUP($B24,MMWR_ACCURACY_RO[],MATCH(J$9,MMWR_ACCURACY_RO[#Headers],0),0),"ERROR"))</f>
        <v>0.95761026372776736</v>
      </c>
      <c r="K24" s="160">
        <f>IF($B24=" ","",IFERROR(VLOOKUP($B24,MMWR_ACCURACY_RO[],MATCH(K$9,MMWR_ACCURACY_RO[#Headers],0),0),"ERROR"))</f>
        <v>0.91685965724872631</v>
      </c>
      <c r="L24" s="160">
        <f>IF($B24=" ","",IFERROR(VLOOKUP($B24,MMWR_ACCURACY_RO[],MATCH(L$9,MMWR_ACCURACY_RO[#Headers],0),0),"ERROR"))</f>
        <v>0.88233765098881634</v>
      </c>
      <c r="M24" s="160">
        <f>IF($B24=" ","",IFERROR(VLOOKUP($B24,MMWR_ACCURACY_RO[],MATCH(M$9,MMWR_ACCURACY_RO[#Headers],0),0),"ERROR"))</f>
        <v>4.2077353467391561E-2</v>
      </c>
      <c r="N24" s="160">
        <f>IF($B24=" ","",IFERROR(VLOOKUP($B24,MMWR_ACCURACY_RO[],MATCH(N$9,MMWR_ACCURACY_RO[#Headers],0),0),"ERROR"))</f>
        <v>0.86012436183152696</v>
      </c>
      <c r="O24" s="160">
        <f>IF($B24=" ","",IFERROR(VLOOKUP($B24,MMWR_ACCURACY_RO[],MATCH(O$9,MMWR_ACCURACY_RO[#Headers],0),0),"ERROR"))</f>
        <v>4.2927843739499781E-2</v>
      </c>
      <c r="P24" s="28"/>
    </row>
    <row r="25" spans="1:16" x14ac:dyDescent="0.2">
      <c r="A25" s="25"/>
      <c r="B25" s="8" t="str">
        <f>VLOOKUP($B$16,DISTRICT_RO[],10,0)</f>
        <v>Philadelphia VSC</v>
      </c>
      <c r="C25" s="155">
        <f>IF($B25=" ","",IFERROR(INDEX(MMWR_RATING_RO_ROLLUP[],MATCH($B25,MMWR_RATING_RO_ROLLUP[MMWR_RATING_RO_ROLLUP],0),MATCH(C$9,MMWR_RATING_RO_ROLLUP[#Headers],0)),"ERROR"))</f>
        <v>8120</v>
      </c>
      <c r="D25" s="156">
        <f>IF($B25=" ","",IFERROR(INDEX(MMWR_RATING_RO_ROLLUP[],MATCH($B25,MMWR_RATING_RO_ROLLUP[MMWR_RATING_RO_ROLLUP],0),MATCH(D$9,MMWR_RATING_RO_ROLLUP[#Headers],0)),"ERROR"))</f>
        <v>142.8522167488</v>
      </c>
      <c r="E25" s="157">
        <f>IF($B25=" ","",IFERROR(INDEX(MMWR_RATING_RO_ROLLUP[],MATCH($B25,MMWR_RATING_RO_ROLLUP[MMWR_RATING_RO_ROLLUP],0),MATCH(E$9,MMWR_RATING_RO_ROLLUP[#Headers],0))/$C25,"ERROR"))</f>
        <v>0.42290640394088669</v>
      </c>
      <c r="F25" s="155">
        <f>IF($B25=" ","",IFERROR(INDEX(MMWR_RATING_RO_ROLLUP[],MATCH($B25,MMWR_RATING_RO_ROLLUP[MMWR_RATING_RO_ROLLUP],0),MATCH(F$9,MMWR_RATING_RO_ROLLUP[#Headers],0)),"ERROR"))</f>
        <v>1673</v>
      </c>
      <c r="G25" s="155">
        <f>IF($B25=" ","",IFERROR(INDEX(MMWR_RATING_RO_ROLLUP[],MATCH($B25,MMWR_RATING_RO_ROLLUP[MMWR_RATING_RO_ROLLUP],0),MATCH(G$9,MMWR_RATING_RO_ROLLUP[#Headers],0)),"ERROR"))</f>
        <v>24744</v>
      </c>
      <c r="H25" s="156">
        <f>IF($B25=" ","",IFERROR(INDEX(MMWR_RATING_RO_ROLLUP[],MATCH($B25,MMWR_RATING_RO_ROLLUP[MMWR_RATING_RO_ROLLUP],0),MATCH(H$9,MMWR_RATING_RO_ROLLUP[#Headers],0)),"ERROR"))</f>
        <v>180.97429766889999</v>
      </c>
      <c r="I25" s="156">
        <f>IF($B25=" ","",IFERROR(INDEX(MMWR_RATING_RO_ROLLUP[],MATCH($B25,MMWR_RATING_RO_ROLLUP[MMWR_RATING_RO_ROLLUP],0),MATCH(I$9,MMWR_RATING_RO_ROLLUP[#Headers],0)),"ERROR"))</f>
        <v>231.0010103459</v>
      </c>
      <c r="J25" s="160">
        <f>IF($B25=" ","",IFERROR(VLOOKUP($B25,MMWR_ACCURACY_RO[],MATCH(J$9,MMWR_ACCURACY_RO[#Headers],0),0),"ERROR"))</f>
        <v>0.94628928765633491</v>
      </c>
      <c r="K25" s="160">
        <f>IF($B25=" ","",IFERROR(VLOOKUP($B25,MMWR_ACCURACY_RO[],MATCH(K$9,MMWR_ACCURACY_RO[#Headers],0),0),"ERROR"))</f>
        <v>0.82774042001945825</v>
      </c>
      <c r="L25" s="160">
        <f>IF($B25=" ","",IFERROR(VLOOKUP($B25,MMWR_ACCURACY_RO[],MATCH(L$9,MMWR_ACCURACY_RO[#Headers],0),0),"ERROR"))</f>
        <v>0.8712843253537409</v>
      </c>
      <c r="M25" s="160">
        <f>IF($B25=" ","",IFERROR(VLOOKUP($B25,MMWR_ACCURACY_RO[],MATCH(M$9,MMWR_ACCURACY_RO[#Headers],0),0),"ERROR"))</f>
        <v>4.8694042394299759E-2</v>
      </c>
      <c r="N25" s="160">
        <f>IF($B25=" ","",IFERROR(VLOOKUP($B25,MMWR_ACCURACY_RO[],MATCH(N$9,MMWR_ACCURACY_RO[#Headers],0),0),"ERROR"))</f>
        <v>0.91319607168738093</v>
      </c>
      <c r="O25" s="160">
        <f>IF($B25=" ","",IFERROR(VLOOKUP($B25,MMWR_ACCURACY_RO[],MATCH(O$9,MMWR_ACCURACY_RO[#Headers],0),0),"ERROR"))</f>
        <v>4.503919695749637E-2</v>
      </c>
      <c r="P25" s="28"/>
    </row>
    <row r="26" spans="1:16" x14ac:dyDescent="0.2">
      <c r="A26" s="25"/>
      <c r="B26" s="8" t="str">
        <f>VLOOKUP($B$16,DISTRICT_RO[],11,0)</f>
        <v>Pittsburgh VSC</v>
      </c>
      <c r="C26" s="155">
        <f>IF($B26=" ","",IFERROR(INDEX(MMWR_RATING_RO_ROLLUP[],MATCH($B26,MMWR_RATING_RO_ROLLUP[MMWR_RATING_RO_ROLLUP],0),MATCH(C$9,MMWR_RATING_RO_ROLLUP[#Headers],0)),"ERROR"))</f>
        <v>5075</v>
      </c>
      <c r="D26" s="156">
        <f>IF($B26=" ","",IFERROR(INDEX(MMWR_RATING_RO_ROLLUP[],MATCH($B26,MMWR_RATING_RO_ROLLUP[MMWR_RATING_RO_ROLLUP],0),MATCH(D$9,MMWR_RATING_RO_ROLLUP[#Headers],0)),"ERROR"))</f>
        <v>131.66640394090001</v>
      </c>
      <c r="E26" s="157">
        <f>IF($B26=" ","",IFERROR(INDEX(MMWR_RATING_RO_ROLLUP[],MATCH($B26,MMWR_RATING_RO_ROLLUP[MMWR_RATING_RO_ROLLUP],0),MATCH(E$9,MMWR_RATING_RO_ROLLUP[#Headers],0))/$C26,"ERROR"))</f>
        <v>0.34620689655172415</v>
      </c>
      <c r="F26" s="155">
        <f>IF($B26=" ","",IFERROR(INDEX(MMWR_RATING_RO_ROLLUP[],MATCH($B26,MMWR_RATING_RO_ROLLUP[MMWR_RATING_RO_ROLLUP],0),MATCH(F$9,MMWR_RATING_RO_ROLLUP[#Headers],0)),"ERROR"))</f>
        <v>693</v>
      </c>
      <c r="G26" s="155">
        <f>IF($B26=" ","",IFERROR(INDEX(MMWR_RATING_RO_ROLLUP[],MATCH($B26,MMWR_RATING_RO_ROLLUP[MMWR_RATING_RO_ROLLUP],0),MATCH(G$9,MMWR_RATING_RO_ROLLUP[#Headers],0)),"ERROR"))</f>
        <v>9624</v>
      </c>
      <c r="H26" s="156">
        <f>IF($B26=" ","",IFERROR(INDEX(MMWR_RATING_RO_ROLLUP[],MATCH($B26,MMWR_RATING_RO_ROLLUP[MMWR_RATING_RO_ROLLUP],0),MATCH(H$9,MMWR_RATING_RO_ROLLUP[#Headers],0)),"ERROR"))</f>
        <v>188.37662337660001</v>
      </c>
      <c r="I26" s="156">
        <f>IF($B26=" ","",IFERROR(INDEX(MMWR_RATING_RO_ROLLUP[],MATCH($B26,MMWR_RATING_RO_ROLLUP[MMWR_RATING_RO_ROLLUP],0),MATCH(I$9,MMWR_RATING_RO_ROLLUP[#Headers],0)),"ERROR"))</f>
        <v>207.23067331670001</v>
      </c>
      <c r="J26" s="160">
        <f>IF($B26=" ","",IFERROR(VLOOKUP($B26,MMWR_ACCURACY_RO[],MATCH(J$9,MMWR_ACCURACY_RO[#Headers],0),0),"ERROR"))</f>
        <v>0.94803806558419501</v>
      </c>
      <c r="K26" s="160">
        <f>IF($B26=" ","",IFERROR(VLOOKUP($B26,MMWR_ACCURACY_RO[],MATCH(K$9,MMWR_ACCURACY_RO[#Headers],0),0),"ERROR"))</f>
        <v>0.86338656308444828</v>
      </c>
      <c r="L26" s="160">
        <f>IF($B26=" ","",IFERROR(VLOOKUP($B26,MMWR_ACCURACY_RO[],MATCH(L$9,MMWR_ACCURACY_RO[#Headers],0),0),"ERROR"))</f>
        <v>0.89550239652813057</v>
      </c>
      <c r="M26" s="160">
        <f>IF($B26=" ","",IFERROR(VLOOKUP($B26,MMWR_ACCURACY_RO[],MATCH(M$9,MMWR_ACCURACY_RO[#Headers],0),0),"ERROR"))</f>
        <v>4.5175317910539546E-2</v>
      </c>
      <c r="N26" s="160">
        <f>IF($B26=" ","",IFERROR(VLOOKUP($B26,MMWR_ACCURACY_RO[],MATCH(N$9,MMWR_ACCURACY_RO[#Headers],0),0),"ERROR"))</f>
        <v>0.92435286039733155</v>
      </c>
      <c r="O26" s="160">
        <f>IF($B26=" ","",IFERROR(VLOOKUP($B26,MMWR_ACCURACY_RO[],MATCH(O$9,MMWR_ACCURACY_RO[#Headers],0),0),"ERROR"))</f>
        <v>4.2548885457679833E-2</v>
      </c>
      <c r="P26" s="28"/>
    </row>
    <row r="27" spans="1:16" x14ac:dyDescent="0.2">
      <c r="A27" s="25"/>
      <c r="B27" s="8" t="str">
        <f>VLOOKUP($B$16,DISTRICT_RO[],12,0)</f>
        <v>Providence VSC</v>
      </c>
      <c r="C27" s="155">
        <f>IF($B27=" ","",IFERROR(INDEX(MMWR_RATING_RO_ROLLUP[],MATCH($B27,MMWR_RATING_RO_ROLLUP[MMWR_RATING_RO_ROLLUP],0),MATCH(C$9,MMWR_RATING_RO_ROLLUP[#Headers],0)),"ERROR"))</f>
        <v>3967</v>
      </c>
      <c r="D27" s="156">
        <f>IF($B27=" ","",IFERROR(INDEX(MMWR_RATING_RO_ROLLUP[],MATCH($B27,MMWR_RATING_RO_ROLLUP[MMWR_RATING_RO_ROLLUP],0),MATCH(D$9,MMWR_RATING_RO_ROLLUP[#Headers],0)),"ERROR"))</f>
        <v>153.7305268465</v>
      </c>
      <c r="E27" s="157">
        <f>IF($B27=" ","",IFERROR(INDEX(MMWR_RATING_RO_ROLLUP[],MATCH($B27,MMWR_RATING_RO_ROLLUP[MMWR_RATING_RO_ROLLUP],0),MATCH(E$9,MMWR_RATING_RO_ROLLUP[#Headers],0))/$C27,"ERROR"))</f>
        <v>0.47794302999747923</v>
      </c>
      <c r="F27" s="155">
        <f>IF($B27=" ","",IFERROR(INDEX(MMWR_RATING_RO_ROLLUP[],MATCH($B27,MMWR_RATING_RO_ROLLUP[MMWR_RATING_RO_ROLLUP],0),MATCH(F$9,MMWR_RATING_RO_ROLLUP[#Headers],0)),"ERROR"))</f>
        <v>1951</v>
      </c>
      <c r="G27" s="155">
        <f>IF($B27=" ","",IFERROR(INDEX(MMWR_RATING_RO_ROLLUP[],MATCH($B27,MMWR_RATING_RO_ROLLUP[MMWR_RATING_RO_ROLLUP],0),MATCH(G$9,MMWR_RATING_RO_ROLLUP[#Headers],0)),"ERROR"))</f>
        <v>24688</v>
      </c>
      <c r="H27" s="156">
        <f>IF($B27=" ","",IFERROR(INDEX(MMWR_RATING_RO_ROLLUP[],MATCH($B27,MMWR_RATING_RO_ROLLUP[MMWR_RATING_RO_ROLLUP],0),MATCH(H$9,MMWR_RATING_RO_ROLLUP[#Headers],0)),"ERROR"))</f>
        <v>95.491030240900002</v>
      </c>
      <c r="I27" s="156">
        <f>IF($B27=" ","",IFERROR(INDEX(MMWR_RATING_RO_ROLLUP[],MATCH($B27,MMWR_RATING_RO_ROLLUP[MMWR_RATING_RO_ROLLUP],0),MATCH(I$9,MMWR_RATING_RO_ROLLUP[#Headers],0)),"ERROR"))</f>
        <v>85.591988010400001</v>
      </c>
      <c r="J27" s="160">
        <f>IF($B27=" ","",IFERROR(VLOOKUP($B27,MMWR_ACCURACY_RO[],MATCH(J$9,MMWR_ACCURACY_RO[#Headers],0),0),"ERROR"))</f>
        <v>0.95341295265472181</v>
      </c>
      <c r="K27" s="160">
        <f>IF($B27=" ","",IFERROR(VLOOKUP($B27,MMWR_ACCURACY_RO[],MATCH(K$9,MMWR_ACCURACY_RO[#Headers],0),0),"ERROR"))</f>
        <v>0.78866387058118614</v>
      </c>
      <c r="L27" s="160">
        <f>IF($B27=" ","",IFERROR(VLOOKUP($B27,MMWR_ACCURACY_RO[],MATCH(L$9,MMWR_ACCURACY_RO[#Headers],0),0),"ERROR"))</f>
        <v>0.88092124402872896</v>
      </c>
      <c r="M27" s="160">
        <f>IF($B27=" ","",IFERROR(VLOOKUP($B27,MMWR_ACCURACY_RO[],MATCH(M$9,MMWR_ACCURACY_RO[#Headers],0),0),"ERROR"))</f>
        <v>5.214490262104917E-2</v>
      </c>
      <c r="N27" s="160">
        <f>IF($B27=" ","",IFERROR(VLOOKUP($B27,MMWR_ACCURACY_RO[],MATCH(N$9,MMWR_ACCURACY_RO[#Headers],0),0),"ERROR"))</f>
        <v>0.96349295505564314</v>
      </c>
      <c r="O27" s="160">
        <f>IF($B27=" ","",IFERROR(VLOOKUP($B27,MMWR_ACCURACY_RO[],MATCH(O$9,MMWR_ACCURACY_RO[#Headers],0),0),"ERROR"))</f>
        <v>2.5590023792576629E-2</v>
      </c>
      <c r="P27" s="28"/>
    </row>
    <row r="28" spans="1:16" x14ac:dyDescent="0.2">
      <c r="A28" s="25"/>
      <c r="B28" s="8" t="str">
        <f>VLOOKUP($B$16,DISTRICT_RO[],13,0)</f>
        <v>Roanoke VSC</v>
      </c>
      <c r="C28" s="155">
        <f>IF($B28=" ","",IFERROR(INDEX(MMWR_RATING_RO_ROLLUP[],MATCH($B28,MMWR_RATING_RO_ROLLUP[MMWR_RATING_RO_ROLLUP],0),MATCH(C$9,MMWR_RATING_RO_ROLLUP[#Headers],0)),"ERROR"))</f>
        <v>11837</v>
      </c>
      <c r="D28" s="156">
        <f>IF($B28=" ","",IFERROR(INDEX(MMWR_RATING_RO_ROLLUP[],MATCH($B28,MMWR_RATING_RO_ROLLUP[MMWR_RATING_RO_ROLLUP],0),MATCH(D$9,MMWR_RATING_RO_ROLLUP[#Headers],0)),"ERROR"))</f>
        <v>109.8537636225</v>
      </c>
      <c r="E28" s="157">
        <f>IF($B28=" ","",IFERROR(INDEX(MMWR_RATING_RO_ROLLUP[],MATCH($B28,MMWR_RATING_RO_ROLLUP[MMWR_RATING_RO_ROLLUP],0),MATCH(E$9,MMWR_RATING_RO_ROLLUP[#Headers],0))/$C28,"ERROR"))</f>
        <v>0.31274816254118443</v>
      </c>
      <c r="F28" s="155">
        <f>IF($B28=" ","",IFERROR(INDEX(MMWR_RATING_RO_ROLLUP[],MATCH($B28,MMWR_RATING_RO_ROLLUP[MMWR_RATING_RO_ROLLUP],0),MATCH(F$9,MMWR_RATING_RO_ROLLUP[#Headers],0)),"ERROR"))</f>
        <v>2791</v>
      </c>
      <c r="G28" s="155">
        <f>IF($B28=" ","",IFERROR(INDEX(MMWR_RATING_RO_ROLLUP[],MATCH($B28,MMWR_RATING_RO_ROLLUP[MMWR_RATING_RO_ROLLUP],0),MATCH(G$9,MMWR_RATING_RO_ROLLUP[#Headers],0)),"ERROR"))</f>
        <v>30583</v>
      </c>
      <c r="H28" s="156">
        <f>IF($B28=" ","",IFERROR(INDEX(MMWR_RATING_RO_ROLLUP[],MATCH($B28,MMWR_RATING_RO_ROLLUP[MMWR_RATING_RO_ROLLUP],0),MATCH(H$9,MMWR_RATING_RO_ROLLUP[#Headers],0)),"ERROR"))</f>
        <v>168.04801146540001</v>
      </c>
      <c r="I28" s="156">
        <f>IF($B28=" ","",IFERROR(INDEX(MMWR_RATING_RO_ROLLUP[],MATCH($B28,MMWR_RATING_RO_ROLLUP[MMWR_RATING_RO_ROLLUP],0),MATCH(I$9,MMWR_RATING_RO_ROLLUP[#Headers],0)),"ERROR"))</f>
        <v>201.5412157081</v>
      </c>
      <c r="J28" s="160">
        <f>IF($B28=" ","",IFERROR(VLOOKUP($B28,MMWR_ACCURACY_RO[],MATCH(J$9,MMWR_ACCURACY_RO[#Headers],0),0),"ERROR"))</f>
        <v>0.95706500287707519</v>
      </c>
      <c r="K28" s="160">
        <f>IF($B28=" ","",IFERROR(VLOOKUP($B28,MMWR_ACCURACY_RO[],MATCH(K$9,MMWR_ACCURACY_RO[#Headers],0),0),"ERROR"))</f>
        <v>0.83333333333333315</v>
      </c>
      <c r="L28" s="160">
        <f>IF($B28=" ","",IFERROR(VLOOKUP($B28,MMWR_ACCURACY_RO[],MATCH(L$9,MMWR_ACCURACY_RO[#Headers],0),0),"ERROR"))</f>
        <v>0.90173408695268098</v>
      </c>
      <c r="M28" s="160">
        <f>IF($B28=" ","",IFERROR(VLOOKUP($B28,MMWR_ACCURACY_RO[],MATCH(M$9,MMWR_ACCURACY_RO[#Headers],0),0),"ERROR"))</f>
        <v>4.8383219623272994E-2</v>
      </c>
      <c r="N28" s="160">
        <f>IF($B28=" ","",IFERROR(VLOOKUP($B28,MMWR_ACCURACY_RO[],MATCH(N$9,MMWR_ACCURACY_RO[#Headers],0),0),"ERROR"))</f>
        <v>0.93563748517447076</v>
      </c>
      <c r="O28" s="160">
        <f>IF($B28=" ","",IFERROR(VLOOKUP($B28,MMWR_ACCURACY_RO[],MATCH(O$9,MMWR_ACCURACY_RO[#Headers],0),0),"ERROR"))</f>
        <v>3.8650239486295777E-2</v>
      </c>
      <c r="P28" s="28"/>
    </row>
    <row r="29" spans="1:16" x14ac:dyDescent="0.2">
      <c r="A29" s="25"/>
      <c r="B29" s="8" t="str">
        <f>VLOOKUP($B$16,DISTRICT_RO[],14,0)</f>
        <v>Togus VSC</v>
      </c>
      <c r="C29" s="155">
        <f>IF($B29=" ","",IFERROR(INDEX(MMWR_RATING_RO_ROLLUP[],MATCH($B29,MMWR_RATING_RO_ROLLUP[MMWR_RATING_RO_ROLLUP],0),MATCH(C$9,MMWR_RATING_RO_ROLLUP[#Headers],0)),"ERROR"))</f>
        <v>5405</v>
      </c>
      <c r="D29" s="156">
        <f>IF($B29=" ","",IFERROR(INDEX(MMWR_RATING_RO_ROLLUP[],MATCH($B29,MMWR_RATING_RO_ROLLUP[MMWR_RATING_RO_ROLLUP],0),MATCH(D$9,MMWR_RATING_RO_ROLLUP[#Headers],0)),"ERROR"))</f>
        <v>131.27900092510001</v>
      </c>
      <c r="E29" s="157">
        <f>IF($B29=" ","",IFERROR(INDEX(MMWR_RATING_RO_ROLLUP[],MATCH($B29,MMWR_RATING_RO_ROLLUP[MMWR_RATING_RO_ROLLUP],0),MATCH(E$9,MMWR_RATING_RO_ROLLUP[#Headers],0))/$C29,"ERROR"))</f>
        <v>0.32303422756706751</v>
      </c>
      <c r="F29" s="155">
        <f>IF($B29=" ","",IFERROR(INDEX(MMWR_RATING_RO_ROLLUP[],MATCH($B29,MMWR_RATING_RO_ROLLUP[MMWR_RATING_RO_ROLLUP],0),MATCH(F$9,MMWR_RATING_RO_ROLLUP[#Headers],0)),"ERROR"))</f>
        <v>1321</v>
      </c>
      <c r="G29" s="155">
        <f>IF($B29=" ","",IFERROR(INDEX(MMWR_RATING_RO_ROLLUP[],MATCH($B29,MMWR_RATING_RO_ROLLUP[MMWR_RATING_RO_ROLLUP],0),MATCH(G$9,MMWR_RATING_RO_ROLLUP[#Headers],0)),"ERROR"))</f>
        <v>16116</v>
      </c>
      <c r="H29" s="156">
        <f>IF($B29=" ","",IFERROR(INDEX(MMWR_RATING_RO_ROLLUP[],MATCH($B29,MMWR_RATING_RO_ROLLUP[MMWR_RATING_RO_ROLLUP],0),MATCH(H$9,MMWR_RATING_RO_ROLLUP[#Headers],0)),"ERROR"))</f>
        <v>208.0666161998</v>
      </c>
      <c r="I29" s="156">
        <f>IF($B29=" ","",IFERROR(INDEX(MMWR_RATING_RO_ROLLUP[],MATCH($B29,MMWR_RATING_RO_ROLLUP[MMWR_RATING_RO_ROLLUP],0),MATCH(I$9,MMWR_RATING_RO_ROLLUP[#Headers],0)),"ERROR"))</f>
        <v>213.9023951353</v>
      </c>
      <c r="J29" s="160">
        <f>IF($B29=" ","",IFERROR(VLOOKUP($B29,MMWR_ACCURACY_RO[],MATCH(J$9,MMWR_ACCURACY_RO[#Headers],0),0),"ERROR"))</f>
        <v>0.96959475177964916</v>
      </c>
      <c r="K29" s="160">
        <f>IF($B29=" ","",IFERROR(VLOOKUP($B29,MMWR_ACCURACY_RO[],MATCH(K$9,MMWR_ACCURACY_RO[#Headers],0),0),"ERROR"))</f>
        <v>0.84096854657175901</v>
      </c>
      <c r="L29" s="160">
        <f>IF($B29=" ","",IFERROR(VLOOKUP($B29,MMWR_ACCURACY_RO[],MATCH(L$9,MMWR_ACCURACY_RO[#Headers],0),0),"ERROR"))</f>
        <v>0.88173082897755384</v>
      </c>
      <c r="M29" s="160">
        <f>IF($B29=" ","",IFERROR(VLOOKUP($B29,MMWR_ACCURACY_RO[],MATCH(M$9,MMWR_ACCURACY_RO[#Headers],0),0),"ERROR"))</f>
        <v>5.5731553011673755E-2</v>
      </c>
      <c r="N29" s="160">
        <f>IF($B29=" ","",IFERROR(VLOOKUP($B29,MMWR_ACCURACY_RO[],MATCH(N$9,MMWR_ACCURACY_RO[#Headers],0),0),"ERROR"))</f>
        <v>0.9615270104581185</v>
      </c>
      <c r="O29" s="160">
        <f>IF($B29=" ","",IFERROR(VLOOKUP($B29,MMWR_ACCURACY_RO[],MATCH(O$9,MMWR_ACCURACY_RO[#Headers],0),0),"ERROR"))</f>
        <v>3.2589519702030077E-2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615</v>
      </c>
      <c r="D30" s="156">
        <f>IF($B30=" ","",IFERROR(INDEX(MMWR_RATING_RO_ROLLUP[],MATCH($B30,MMWR_RATING_RO_ROLLUP[MMWR_RATING_RO_ROLLUP],0),MATCH(D$9,MMWR_RATING_RO_ROLLUP[#Headers],0)),"ERROR"))</f>
        <v>136.6796747967</v>
      </c>
      <c r="E30" s="157">
        <f>IF($B30=" ","",IFERROR(INDEX(MMWR_RATING_RO_ROLLUP[],MATCH($B30,MMWR_RATING_RO_ROLLUP[MMWR_RATING_RO_ROLLUP],0),MATCH(E$9,MMWR_RATING_RO_ROLLUP[#Headers],0))/$C30,"ERROR"))</f>
        <v>0.58373983739837398</v>
      </c>
      <c r="F30" s="155">
        <f>IF($B30=" ","",IFERROR(INDEX(MMWR_RATING_RO_ROLLUP[],MATCH($B30,MMWR_RATING_RO_ROLLUP[MMWR_RATING_RO_ROLLUP],0),MATCH(F$9,MMWR_RATING_RO_ROLLUP[#Headers],0)),"ERROR"))</f>
        <v>143</v>
      </c>
      <c r="G30" s="155">
        <f>IF($B30=" ","",IFERROR(INDEX(MMWR_RATING_RO_ROLLUP[],MATCH($B30,MMWR_RATING_RO_ROLLUP[MMWR_RATING_RO_ROLLUP],0),MATCH(G$9,MMWR_RATING_RO_ROLLUP[#Headers],0)),"ERROR"))</f>
        <v>1924</v>
      </c>
      <c r="H30" s="156">
        <f>IF($B30=" ","",IFERROR(INDEX(MMWR_RATING_RO_ROLLUP[],MATCH($B30,MMWR_RATING_RO_ROLLUP[MMWR_RATING_RO_ROLLUP],0),MATCH(H$9,MMWR_RATING_RO_ROLLUP[#Headers],0)),"ERROR"))</f>
        <v>173.6853146853</v>
      </c>
      <c r="I30" s="156">
        <f>IF($B30=" ","",IFERROR(INDEX(MMWR_RATING_RO_ROLLUP[],MATCH($B30,MMWR_RATING_RO_ROLLUP[MMWR_RATING_RO_ROLLUP],0),MATCH(I$9,MMWR_RATING_RO_ROLLUP[#Headers],0)),"ERROR"))</f>
        <v>192.7666320166</v>
      </c>
      <c r="J30" s="160">
        <f>IF($B30=" ","",IFERROR(VLOOKUP($B30,MMWR_ACCURACY_RO[],MATCH(J$9,MMWR_ACCURACY_RO[#Headers],0),0),"ERROR"))</f>
        <v>0.93755384401099828</v>
      </c>
      <c r="K30" s="160">
        <f>IF($B30=" ","",IFERROR(VLOOKUP($B30,MMWR_ACCURACY_RO[],MATCH(K$9,MMWR_ACCURACY_RO[#Headers],0),0),"ERROR"))</f>
        <v>0.82877846790890275</v>
      </c>
      <c r="L30" s="160">
        <f>IF($B30=" ","",IFERROR(VLOOKUP($B30,MMWR_ACCURACY_RO[],MATCH(L$9,MMWR_ACCURACY_RO[#Headers],0),0),"ERROR"))</f>
        <v>0.83949702003670812</v>
      </c>
      <c r="M30" s="160">
        <f>IF($B30=" ","",IFERROR(VLOOKUP($B30,MMWR_ACCURACY_RO[],MATCH(M$9,MMWR_ACCURACY_RO[#Headers],0),0),"ERROR"))</f>
        <v>4.9906216048295773E-2</v>
      </c>
      <c r="N30" s="160">
        <f>IF($B30=" ","",IFERROR(VLOOKUP($B30,MMWR_ACCURACY_RO[],MATCH(N$9,MMWR_ACCURACY_RO[#Headers],0),0),"ERROR"))</f>
        <v>0.8928955751884573</v>
      </c>
      <c r="O30" s="160">
        <f>IF($B30=" ","",IFERROR(VLOOKUP($B30,MMWR_ACCURACY_RO[],MATCH(O$9,MMWR_ACCURACY_RO[#Headers],0),0),"ERROR"))</f>
        <v>3.2232538908183984E-2</v>
      </c>
      <c r="P30" s="28"/>
    </row>
    <row r="31" spans="1:16" x14ac:dyDescent="0.2">
      <c r="A31" s="25"/>
      <c r="B31" s="8" t="str">
        <f>VLOOKUP($B$16,DISTRICT_RO[],16,0)</f>
        <v>Wilmington VSC</v>
      </c>
      <c r="C31" s="155">
        <f>IF($B31=" ","",IFERROR(INDEX(MMWR_RATING_RO_ROLLUP[],MATCH($B31,MMWR_RATING_RO_ROLLUP[MMWR_RATING_RO_ROLLUP],0),MATCH(C$9,MMWR_RATING_RO_ROLLUP[#Headers],0)),"ERROR"))</f>
        <v>695</v>
      </c>
      <c r="D31" s="156">
        <f>IF($B31=" ","",IFERROR(INDEX(MMWR_RATING_RO_ROLLUP[],MATCH($B31,MMWR_RATING_RO_ROLLUP[MMWR_RATING_RO_ROLLUP],0),MATCH(D$9,MMWR_RATING_RO_ROLLUP[#Headers],0)),"ERROR"))</f>
        <v>117.03165467629999</v>
      </c>
      <c r="E31" s="157">
        <f>IF($B31=" ","",IFERROR(INDEX(MMWR_RATING_RO_ROLLUP[],MATCH($B31,MMWR_RATING_RO_ROLLUP[MMWR_RATING_RO_ROLLUP],0),MATCH(E$9,MMWR_RATING_RO_ROLLUP[#Headers],0))/$C31,"ERROR"))</f>
        <v>0.28776978417266186</v>
      </c>
      <c r="F31" s="155">
        <f>IF($B31=" ","",IFERROR(INDEX(MMWR_RATING_RO_ROLLUP[],MATCH($B31,MMWR_RATING_RO_ROLLUP[MMWR_RATING_RO_ROLLUP],0),MATCH(F$9,MMWR_RATING_RO_ROLLUP[#Headers],0)),"ERROR"))</f>
        <v>113</v>
      </c>
      <c r="G31" s="155">
        <f>IF($B31=" ","",IFERROR(INDEX(MMWR_RATING_RO_ROLLUP[],MATCH($B31,MMWR_RATING_RO_ROLLUP[MMWR_RATING_RO_ROLLUP],0),MATCH(G$9,MMWR_RATING_RO_ROLLUP[#Headers],0)),"ERROR"))</f>
        <v>1779</v>
      </c>
      <c r="H31" s="156">
        <f>IF($B31=" ","",IFERROR(INDEX(MMWR_RATING_RO_ROLLUP[],MATCH($B31,MMWR_RATING_RO_ROLLUP[MMWR_RATING_RO_ROLLUP],0),MATCH(H$9,MMWR_RATING_RO_ROLLUP[#Headers],0)),"ERROR"))</f>
        <v>250.4513274336</v>
      </c>
      <c r="I31" s="156">
        <f>IF($B31=" ","",IFERROR(INDEX(MMWR_RATING_RO_ROLLUP[],MATCH($B31,MMWR_RATING_RO_ROLLUP[MMWR_RATING_RO_ROLLUP],0),MATCH(I$9,MMWR_RATING_RO_ROLLUP[#Headers],0)),"ERROR"))</f>
        <v>230.63631253509999</v>
      </c>
      <c r="J31" s="160">
        <f>IF($B31=" ","",IFERROR(VLOOKUP($B31,MMWR_ACCURACY_RO[],MATCH(J$9,MMWR_ACCURACY_RO[#Headers],0),0),"ERROR"))</f>
        <v>0.9243096783944843</v>
      </c>
      <c r="K31" s="160">
        <f>IF($B31=" ","",IFERROR(VLOOKUP($B31,MMWR_ACCURACY_RO[],MATCH(K$9,MMWR_ACCURACY_RO[#Headers],0),0),"ERROR"))</f>
        <v>0.84487433862433869</v>
      </c>
      <c r="L31" s="160">
        <f>IF($B31=" ","",IFERROR(VLOOKUP($B31,MMWR_ACCURACY_RO[],MATCH(L$9,MMWR_ACCURACY_RO[#Headers],0),0),"ERROR"))</f>
        <v>0.86370302482726158</v>
      </c>
      <c r="M31" s="160">
        <f>IF($B31=" ","",IFERROR(VLOOKUP($B31,MMWR_ACCURACY_RO[],MATCH(M$9,MMWR_ACCURACY_RO[#Headers],0),0),"ERROR"))</f>
        <v>4.3118014461848798E-2</v>
      </c>
      <c r="N31" s="160">
        <f>IF($B31=" ","",IFERROR(VLOOKUP($B31,MMWR_ACCURACY_RO[],MATCH(N$9,MMWR_ACCURACY_RO[#Headers],0),0),"ERROR"))</f>
        <v>0.89722275589710743</v>
      </c>
      <c r="O31" s="160">
        <f>IF($B31=" ","",IFERROR(VLOOKUP($B31,MMWR_ACCURACY_RO[],MATCH(O$9,MMWR_ACCURACY_RO[#Headers],0),0),"ERROR"))</f>
        <v>4.5648220485394832E-2</v>
      </c>
      <c r="P31" s="28"/>
    </row>
    <row r="32" spans="1:16" x14ac:dyDescent="0.2">
      <c r="A32" s="25"/>
      <c r="B32" s="8" t="str">
        <f>VLOOKUP($B$16,DISTRICT_RO[],17,0)</f>
        <v>Winston-Salem VSC</v>
      </c>
      <c r="C32" s="155">
        <f>IF($B32=" ","",IFERROR(INDEX(MMWR_RATING_RO_ROLLUP[],MATCH($B32,MMWR_RATING_RO_ROLLUP[MMWR_RATING_RO_ROLLUP],0),MATCH(C$9,MMWR_RATING_RO_ROLLUP[#Headers],0)),"ERROR"))</f>
        <v>12521</v>
      </c>
      <c r="D32" s="156">
        <f>IF($B32=" ","",IFERROR(INDEX(MMWR_RATING_RO_ROLLUP[],MATCH($B32,MMWR_RATING_RO_ROLLUP[MMWR_RATING_RO_ROLLUP],0),MATCH(D$9,MMWR_RATING_RO_ROLLUP[#Headers],0)),"ERROR"))</f>
        <v>114.8921811357</v>
      </c>
      <c r="E32" s="157">
        <f>IF($B32=" ","",IFERROR(INDEX(MMWR_RATING_RO_ROLLUP[],MATCH($B32,MMWR_RATING_RO_ROLLUP[MMWR_RATING_RO_ROLLUP],0),MATCH(E$9,MMWR_RATING_RO_ROLLUP[#Headers],0))/$C32,"ERROR"))</f>
        <v>0.30644517211085376</v>
      </c>
      <c r="F32" s="155">
        <f>IF($B32=" ","",IFERROR(INDEX(MMWR_RATING_RO_ROLLUP[],MATCH($B32,MMWR_RATING_RO_ROLLUP[MMWR_RATING_RO_ROLLUP],0),MATCH(F$9,MMWR_RATING_RO_ROLLUP[#Headers],0)),"ERROR"))</f>
        <v>2497</v>
      </c>
      <c r="G32" s="155">
        <f>IF($B32=" ","",IFERROR(INDEX(MMWR_RATING_RO_ROLLUP[],MATCH($B32,MMWR_RATING_RO_ROLLUP[MMWR_RATING_RO_ROLLUP],0),MATCH(G$9,MMWR_RATING_RO_ROLLUP[#Headers],0)),"ERROR"))</f>
        <v>33271</v>
      </c>
      <c r="H32" s="156">
        <f>IF($B32=" ","",IFERROR(INDEX(MMWR_RATING_RO_ROLLUP[],MATCH($B32,MMWR_RATING_RO_ROLLUP[MMWR_RATING_RO_ROLLUP],0),MATCH(H$9,MMWR_RATING_RO_ROLLUP[#Headers],0)),"ERROR"))</f>
        <v>175.7501001201</v>
      </c>
      <c r="I32" s="156">
        <f>IF($B32=" ","",IFERROR(INDEX(MMWR_RATING_RO_ROLLUP[],MATCH($B32,MMWR_RATING_RO_ROLLUP[MMWR_RATING_RO_ROLLUP],0),MATCH(I$9,MMWR_RATING_RO_ROLLUP[#Headers],0)),"ERROR"))</f>
        <v>215.51552402990001</v>
      </c>
      <c r="J32" s="160">
        <f>IF($B32=" ","",IFERROR(VLOOKUP($B32,MMWR_ACCURACY_RO[],MATCH(J$9,MMWR_ACCURACY_RO[#Headers],0),0),"ERROR"))</f>
        <v>0.96043481050047719</v>
      </c>
      <c r="K32" s="160">
        <f>IF($B32=" ","",IFERROR(VLOOKUP($B32,MMWR_ACCURACY_RO[],MATCH(K$9,MMWR_ACCURACY_RO[#Headers],0),0),"ERROR"))</f>
        <v>0.85054916317991636</v>
      </c>
      <c r="L32" s="160">
        <f>IF($B32=" ","",IFERROR(VLOOKUP($B32,MMWR_ACCURACY_RO[],MATCH(L$9,MMWR_ACCURACY_RO[#Headers],0),0),"ERROR"))</f>
        <v>0.84129142700616744</v>
      </c>
      <c r="M32" s="160">
        <f>IF($B32=" ","",IFERROR(VLOOKUP($B32,MMWR_ACCURACY_RO[],MATCH(M$9,MMWR_ACCURACY_RO[#Headers],0),0),"ERROR"))</f>
        <v>4.9977757114760164E-2</v>
      </c>
      <c r="N32" s="160">
        <f>IF($B32=" ","",IFERROR(VLOOKUP($B32,MMWR_ACCURACY_RO[],MATCH(N$9,MMWR_ACCURACY_RO[#Headers],0),0),"ERROR"))</f>
        <v>0.90512951061835123</v>
      </c>
      <c r="O32" s="160">
        <f>IF($B32=" ","",IFERROR(VLOOKUP($B32,MMWR_ACCURACY_RO[],MATCH(O$9,MMWR_ACCURACY_RO[#Headers],0),0),"ERROR"))</f>
        <v>4.5801313568160112E-2</v>
      </c>
      <c r="P32" s="28"/>
    </row>
    <row r="33" spans="1:16" x14ac:dyDescent="0.2">
      <c r="A33" s="25"/>
      <c r="B33" s="339" t="s">
        <v>743</v>
      </c>
      <c r="C33" s="340"/>
      <c r="D33" s="340"/>
      <c r="E33" s="340"/>
      <c r="F33" s="340"/>
      <c r="G33" s="340"/>
      <c r="H33" s="340"/>
      <c r="I33" s="340"/>
      <c r="J33" s="340"/>
      <c r="K33" s="340"/>
      <c r="L33" s="340"/>
      <c r="M33" s="340"/>
      <c r="N33" s="340"/>
      <c r="O33" s="340"/>
      <c r="P33" s="28"/>
    </row>
    <row r="34" spans="1:16" x14ac:dyDescent="0.2">
      <c r="A34" s="25"/>
      <c r="B34" s="11" t="s">
        <v>706</v>
      </c>
      <c r="C34" s="155">
        <f>IF($B34=" ","",IFERROR(INDEX(MMWR_RATING_RO_ROLLUP[],MATCH($B34,MMWR_RATING_RO_ROLLUP[MMWR_RATING_RO_ROLLUP],0),MATCH(C$9,MMWR_RATING_RO_ROLLUP[#Headers],0)),"ERROR"))</f>
        <v>18538</v>
      </c>
      <c r="D34" s="156">
        <f>IF($B34=" ","",IFERROR(INDEX(MMWR_RATING_RO_ROLLUP[],MATCH($B34,MMWR_RATING_RO_ROLLUP[MMWR_RATING_RO_ROLLUP],0),MATCH(D$9,MMWR_RATING_RO_ROLLUP[#Headers],0)),"ERROR"))</f>
        <v>63.4223756608</v>
      </c>
      <c r="E34" s="157">
        <f>IF($B34=" ","",IFERROR(INDEX(MMWR_RATING_RO_ROLLUP[],MATCH($B34,MMWR_RATING_RO_ROLLUP[MMWR_RATING_RO_ROLLUP],0),MATCH(E$9,MMWR_RATING_RO_ROLLUP[#Headers],0))/$C34,"ERROR"))</f>
        <v>0.10497356780666739</v>
      </c>
      <c r="F34" s="155">
        <f>IF($B34=" ","",IFERROR(INDEX(MMWR_RATING_RO_ROLLUP[],MATCH($B34,MMWR_RATING_RO_ROLLUP[MMWR_RATING_RO_ROLLUP],0),MATCH(F$9,MMWR_RATING_RO_ROLLUP[#Headers],0)),"ERROR"))</f>
        <v>9164</v>
      </c>
      <c r="G34" s="155">
        <f>IF($B34=" ","",IFERROR(INDEX(MMWR_RATING_RO_ROLLUP[],MATCH($B34,MMWR_RATING_RO_ROLLUP[MMWR_RATING_RO_ROLLUP],0),MATCH(G$9,MMWR_RATING_RO_ROLLUP[#Headers],0)),"ERROR"))</f>
        <v>124867</v>
      </c>
      <c r="H34" s="156">
        <f>IF($B34=" ","",IFERROR(INDEX(MMWR_RATING_RO_ROLLUP[],MATCH($B34,MMWR_RATING_RO_ROLLUP[MMWR_RATING_RO_ROLLUP],0),MATCH(H$9,MMWR_RATING_RO_ROLLUP[#Headers],0)),"ERROR"))</f>
        <v>64.808271497199996</v>
      </c>
      <c r="I34" s="156">
        <f>IF($B34=" ","",IFERROR(INDEX(MMWR_RATING_RO_ROLLUP[],MATCH($B34,MMWR_RATING_RO_ROLLUP[MMWR_RATING_RO_ROLLUP],0),MATCH(I$9,MMWR_RATING_RO_ROLLUP[#Headers],0)),"ERROR"))</f>
        <v>64.464205915099996</v>
      </c>
      <c r="J34" s="42"/>
      <c r="K34" s="254">
        <f>IF($B34=" ","",IFERROR(VLOOKUP($B34,MMWR_ACCURACY_RO[],MATCH(K$49,MMWR_ACCURACY_RO[#Headers],0),0),"ERROR"))</f>
        <v>0.9624697336561745</v>
      </c>
      <c r="L34" s="254">
        <f>IF($B34=" ","",IFERROR(VLOOKUP($B34,MMWR_ACCURACY_RO[],MATCH(L$49,MMWR_ACCURACY_RO[#Headers],0),0),"ERROR"))</f>
        <v>0.97658781620973134</v>
      </c>
      <c r="M34" s="254">
        <f>IF($B34=" ","",IFERROR(VLOOKUP($B34,MMWR_ACCURACY_RO[],MATCH(M$49,MMWR_ACCURACY_RO[#Headers],0),0),"ERROR"))</f>
        <v>1.277466109831785E-2</v>
      </c>
      <c r="N34" s="254">
        <f>IF($B34=" ","",IFERROR(VLOOKUP($B34,MMWR_ACCURACY_RO[],MATCH(N$49,MMWR_ACCURACY_RO[#Headers],0),0),"ERROR"))</f>
        <v>0.97488248744699846</v>
      </c>
      <c r="O34" s="254">
        <f>IF($B34=" ","",IFERROR(VLOOKUP($B34,MMWR_ACCURACY_RO[],MATCH(O$49,MMWR_ACCURACY_RO[#Headers],0),0),"ERROR"))</f>
        <v>1.6660629265482216E-2</v>
      </c>
      <c r="P34" s="28"/>
    </row>
    <row r="35" spans="1:16" x14ac:dyDescent="0.2">
      <c r="A35" s="25"/>
      <c r="B35" s="12" t="s">
        <v>218</v>
      </c>
      <c r="C35" s="155">
        <f>IF($B35=" ","",IFERROR(INDEX(MMWR_RATING_RO_ROLLUP[],MATCH($B35,MMWR_RATING_RO_ROLLUP[MMWR_RATING_RO_ROLLUP],0),MATCH(C$9,MMWR_RATING_RO_ROLLUP[#Headers],0)),"ERROR"))</f>
        <v>5502</v>
      </c>
      <c r="D35" s="156">
        <f>IF($B35=" ","",IFERROR(INDEX(MMWR_RATING_RO_ROLLUP[],MATCH($B35,MMWR_RATING_RO_ROLLUP[MMWR_RATING_RO_ROLLUP],0),MATCH(D$9,MMWR_RATING_RO_ROLLUP[#Headers],0)),"ERROR"))</f>
        <v>68.729552889900006</v>
      </c>
      <c r="E35" s="157">
        <f>IF($B35=" ","",IFERROR(INDEX(MMWR_RATING_RO_ROLLUP[],MATCH($B35,MMWR_RATING_RO_ROLLUP[MMWR_RATING_RO_ROLLUP],0),MATCH(E$9,MMWR_RATING_RO_ROLLUP[#Headers],0))/$C35,"ERROR"))</f>
        <v>0.13249727371864775</v>
      </c>
      <c r="F35" s="155">
        <f>IF($B35=" ","",IFERROR(INDEX(MMWR_RATING_RO_ROLLUP[],MATCH($B35,MMWR_RATING_RO_ROLLUP[MMWR_RATING_RO_ROLLUP],0),MATCH(F$9,MMWR_RATING_RO_ROLLUP[#Headers],0)),"ERROR"))</f>
        <v>3157</v>
      </c>
      <c r="G35" s="155">
        <f>IF($B35=" ","",IFERROR(INDEX(MMWR_RATING_RO_ROLLUP[],MATCH($B35,MMWR_RATING_RO_ROLLUP[MMWR_RATING_RO_ROLLUP],0),MATCH(G$9,MMWR_RATING_RO_ROLLUP[#Headers],0)),"ERROR"))</f>
        <v>39951</v>
      </c>
      <c r="H35" s="156">
        <f>IF($B35=" ","",IFERROR(INDEX(MMWR_RATING_RO_ROLLUP[],MATCH($B35,MMWR_RATING_RO_ROLLUP[MMWR_RATING_RO_ROLLUP],0),MATCH(H$9,MMWR_RATING_RO_ROLLUP[#Headers],0)),"ERROR"))</f>
        <v>71.491922711399994</v>
      </c>
      <c r="I35" s="156">
        <f>IF($B35=" ","",IFERROR(INDEX(MMWR_RATING_RO_ROLLUP[],MATCH($B35,MMWR_RATING_RO_ROLLUP[MMWR_RATING_RO_ROLLUP],0),MATCH(I$9,MMWR_RATING_RO_ROLLUP[#Headers],0)),"ERROR"))</f>
        <v>72.610522890499993</v>
      </c>
      <c r="J35" s="42"/>
      <c r="K35" s="254">
        <f>IF($B35=" ","",IFERROR(VLOOKUP($B35,MMWR_ACCURACY_RO[],MATCH(K$49,MMWR_ACCURACY_RO[#Headers],0),0),"ERROR"))</f>
        <v>0.96852196863841011</v>
      </c>
      <c r="L35" s="254">
        <f>IF($B35=" ","",IFERROR(VLOOKUP($B35,MMWR_ACCURACY_RO[],MATCH(L$49,MMWR_ACCURACY_RO[#Headers],0),0),"ERROR"))</f>
        <v>0.9754079830382445</v>
      </c>
      <c r="M35" s="254">
        <f>IF($B35=" ","",IFERROR(VLOOKUP($B35,MMWR_ACCURACY_RO[],MATCH(M$49,MMWR_ACCURACY_RO[#Headers],0),0),"ERROR"))</f>
        <v>2.5248775963942621E-2</v>
      </c>
      <c r="N35" s="254">
        <f>IF($B35=" ","",IFERROR(VLOOKUP($B35,MMWR_ACCURACY_RO[],MATCH(N$49,MMWR_ACCURACY_RO[#Headers],0),0),"ERROR"))</f>
        <v>0.9566894385139626</v>
      </c>
      <c r="O35" s="254">
        <f>IF($B35=" ","",IFERROR(VLOOKUP($B35,MMWR_ACCURACY_RO[],MATCH(O$49,MMWR_ACCURACY_RO[#Headers],0),0),"ERROR"))</f>
        <v>3.7185327167314812E-2</v>
      </c>
      <c r="P35" s="28"/>
    </row>
    <row r="36" spans="1:16" x14ac:dyDescent="0.2">
      <c r="A36" s="43"/>
      <c r="B36" s="12" t="s">
        <v>217</v>
      </c>
      <c r="C36" s="155">
        <f>IF($B36=" ","",IFERROR(INDEX(MMWR_RATING_RO_ROLLUP[],MATCH($B36,MMWR_RATING_RO_ROLLUP[MMWR_RATING_RO_ROLLUP],0),MATCH(C$9,MMWR_RATING_RO_ROLLUP[#Headers],0)),"ERROR"))</f>
        <v>4669</v>
      </c>
      <c r="D36" s="156">
        <f>IF($B36=" ","",IFERROR(INDEX(MMWR_RATING_RO_ROLLUP[],MATCH($B36,MMWR_RATING_RO_ROLLUP[MMWR_RATING_RO_ROLLUP],0),MATCH(D$9,MMWR_RATING_RO_ROLLUP[#Headers],0)),"ERROR"))</f>
        <v>57.373099164700001</v>
      </c>
      <c r="E36" s="157">
        <f>IF($B36=" ","",IFERROR(INDEX(MMWR_RATING_RO_ROLLUP[],MATCH($B36,MMWR_RATING_RO_ROLLUP[MMWR_RATING_RO_ROLLUP],0),MATCH(E$9,MMWR_RATING_RO_ROLLUP[#Headers],0))/$C36,"ERROR"))</f>
        <v>9.6166202612979229E-2</v>
      </c>
      <c r="F36" s="155">
        <f>IF($B36=" ","",IFERROR(INDEX(MMWR_RATING_RO_ROLLUP[],MATCH($B36,MMWR_RATING_RO_ROLLUP[MMWR_RATING_RO_ROLLUP],0),MATCH(F$9,MMWR_RATING_RO_ROLLUP[#Headers],0)),"ERROR"))</f>
        <v>2362</v>
      </c>
      <c r="G36" s="155">
        <f>IF($B36=" ","",IFERROR(INDEX(MMWR_RATING_RO_ROLLUP[],MATCH($B36,MMWR_RATING_RO_ROLLUP[MMWR_RATING_RO_ROLLUP],0),MATCH(G$9,MMWR_RATING_RO_ROLLUP[#Headers],0)),"ERROR"))</f>
        <v>35221</v>
      </c>
      <c r="H36" s="156">
        <f>IF($B36=" ","",IFERROR(INDEX(MMWR_RATING_RO_ROLLUP[],MATCH($B36,MMWR_RATING_RO_ROLLUP[MMWR_RATING_RO_ROLLUP],0),MATCH(H$9,MMWR_RATING_RO_ROLLUP[#Headers],0)),"ERROR"))</f>
        <v>52.766723116000001</v>
      </c>
      <c r="I36" s="156">
        <f>IF($B36=" ","",IFERROR(INDEX(MMWR_RATING_RO_ROLLUP[],MATCH($B36,MMWR_RATING_RO_ROLLUP[MMWR_RATING_RO_ROLLUP],0),MATCH(I$9,MMWR_RATING_RO_ROLLUP[#Headers],0)),"ERROR"))</f>
        <v>55.165355895600001</v>
      </c>
      <c r="J36" s="42"/>
      <c r="K36" s="254">
        <f>IF($B36=" ","",IFERROR(VLOOKUP($B36,MMWR_ACCURACY_RO[],MATCH(K$49,MMWR_ACCURACY_RO[#Headers],0),0),"ERROR"))</f>
        <v>0.90192850757070486</v>
      </c>
      <c r="L36" s="254">
        <f>IF($B36=" ","",IFERROR(VLOOKUP($B36,MMWR_ACCURACY_RO[],MATCH(L$49,MMWR_ACCURACY_RO[#Headers],0),0),"ERROR"))</f>
        <v>0.95747124412393836</v>
      </c>
      <c r="M36" s="254">
        <f>IF($B36=" ","",IFERROR(VLOOKUP($B36,MMWR_ACCURACY_RO[],MATCH(M$49,MMWR_ACCURACY_RO[#Headers],0),0),"ERROR"))</f>
        <v>3.004611944773096E-2</v>
      </c>
      <c r="N36" s="254">
        <f>IF($B36=" ","",IFERROR(VLOOKUP($B36,MMWR_ACCURACY_RO[],MATCH(N$49,MMWR_ACCURACY_RO[#Headers],0),0),"ERROR"))</f>
        <v>0.99668811506434518</v>
      </c>
      <c r="O36" s="254">
        <f>IF($B36=" ","",IFERROR(VLOOKUP($B36,MMWR_ACCURACY_RO[],MATCH(O$49,MMWR_ACCURACY_RO[#Headers],0),0),"ERROR"))</f>
        <v>4.9211578466363901E-3</v>
      </c>
      <c r="P36" s="28"/>
    </row>
    <row r="37" spans="1:16" x14ac:dyDescent="0.2">
      <c r="A37" s="25"/>
      <c r="B37" s="12" t="s">
        <v>220</v>
      </c>
      <c r="C37" s="155">
        <f>IF($B37=" ","",IFERROR(INDEX(MMWR_RATING_RO_ROLLUP[],MATCH($B37,MMWR_RATING_RO_ROLLUP[MMWR_RATING_RO_ROLLUP],0),MATCH(C$9,MMWR_RATING_RO_ROLLUP[#Headers],0)),"ERROR"))</f>
        <v>7920</v>
      </c>
      <c r="D37" s="156">
        <f>IF($B37=" ","",IFERROR(INDEX(MMWR_RATING_RO_ROLLUP[],MATCH($B37,MMWR_RATING_RO_ROLLUP[MMWR_RATING_RO_ROLLUP],0),MATCH(D$9,MMWR_RATING_RO_ROLLUP[#Headers],0)),"ERROR"))</f>
        <v>57.057828282800003</v>
      </c>
      <c r="E37" s="157">
        <f>IF($B37=" ","",IFERROR(INDEX(MMWR_RATING_RO_ROLLUP[],MATCH($B37,MMWR_RATING_RO_ROLLUP[MMWR_RATING_RO_ROLLUP],0),MATCH(E$9,MMWR_RATING_RO_ROLLUP[#Headers],0))/$C37,"ERROR"))</f>
        <v>6.7929292929292923E-2</v>
      </c>
      <c r="F37" s="155">
        <f>IF($B37=" ","",IFERROR(INDEX(MMWR_RATING_RO_ROLLUP[],MATCH($B37,MMWR_RATING_RO_ROLLUP[MMWR_RATING_RO_ROLLUP],0),MATCH(F$9,MMWR_RATING_RO_ROLLUP[#Headers],0)),"ERROR"))</f>
        <v>3339</v>
      </c>
      <c r="G37" s="155">
        <f>IF($B37=" ","",IFERROR(INDEX(MMWR_RATING_RO_ROLLUP[],MATCH($B37,MMWR_RATING_RO_ROLLUP[MMWR_RATING_RO_ROLLUP],0),MATCH(G$9,MMWR_RATING_RO_ROLLUP[#Headers],0)),"ERROR"))</f>
        <v>45302</v>
      </c>
      <c r="H37" s="156">
        <f>IF($B37=" ","",IFERROR(INDEX(MMWR_RATING_RO_ROLLUP[],MATCH($B37,MMWR_RATING_RO_ROLLUP[MMWR_RATING_RO_ROLLUP],0),MATCH(H$9,MMWR_RATING_RO_ROLLUP[#Headers],0)),"ERROR"))</f>
        <v>66.630428271900001</v>
      </c>
      <c r="I37" s="156">
        <f>IF($B37=" ","",IFERROR(INDEX(MMWR_RATING_RO_ROLLUP[],MATCH($B37,MMWR_RATING_RO_ROLLUP[MMWR_RATING_RO_ROLLUP],0),MATCH(I$9,MMWR_RATING_RO_ROLLUP[#Headers],0)),"ERROR"))</f>
        <v>64.891196856700006</v>
      </c>
      <c r="J37" s="42"/>
      <c r="K37" s="254">
        <f>IF($B37=" ","",IFERROR(VLOOKUP($B37,MMWR_ACCURACY_RO[],MATCH(K$49,MMWR_ACCURACY_RO[#Headers],0),0),"ERROR"))</f>
        <v>1</v>
      </c>
      <c r="L37" s="254">
        <f>IF($B37=" ","",IFERROR(VLOOKUP($B37,MMWR_ACCURACY_RO[],MATCH(L$49,MMWR_ACCURACY_RO[#Headers],0),0),"ERROR"))</f>
        <v>0.99212161283251832</v>
      </c>
      <c r="M37" s="254">
        <f>IF($B37=" ","",IFERROR(VLOOKUP($B37,MMWR_ACCURACY_RO[],MATCH(M$49,MMWR_ACCURACY_RO[#Headers],0),0),"ERROR"))</f>
        <v>9.4382046064796291E-3</v>
      </c>
      <c r="N37" s="254">
        <f>IF($B37=" ","",IFERROR(VLOOKUP($B37,MMWR_ACCURACY_RO[],MATCH(N$49,MMWR_ACCURACY_RO[#Headers],0),0),"ERROR"))</f>
        <v>0.97234764428631693</v>
      </c>
      <c r="O37" s="254">
        <f>IF($B37=" ","",IFERROR(VLOOKUP($B37,MMWR_ACCURACY_RO[],MATCH(O$49,MMWR_ACCURACY_RO[#Headers],0),0),"ERROR"))</f>
        <v>2.9837777990515946E-2</v>
      </c>
      <c r="P37" s="28"/>
    </row>
    <row r="38" spans="1:16" x14ac:dyDescent="0.2">
      <c r="A38" s="25"/>
      <c r="B38" s="13" t="s">
        <v>232</v>
      </c>
      <c r="C38" s="155">
        <f>IF($B38=" ","",IFERROR(INDEX(MMWR_RATING_RO_ROLLUP[],MATCH($B38,MMWR_RATING_RO_ROLLUP[MMWR_RATING_RO_ROLLUP],0),MATCH(C$9,MMWR_RATING_RO_ROLLUP[#Headers],0)),"ERROR"))</f>
        <v>447</v>
      </c>
      <c r="D38" s="156">
        <f>IF($B38=" ","",IFERROR(INDEX(MMWR_RATING_RO_ROLLUP[],MATCH($B38,MMWR_RATING_RO_ROLLUP[MMWR_RATING_RO_ROLLUP],0),MATCH(D$9,MMWR_RATING_RO_ROLLUP[#Headers],0)),"ERROR"))</f>
        <v>174.0514541387</v>
      </c>
      <c r="E38" s="157">
        <f>IF($B38=" ","",IFERROR(INDEX(MMWR_RATING_RO_ROLLUP[],MATCH($B38,MMWR_RATING_RO_ROLLUP[MMWR_RATING_RO_ROLLUP],0),MATCH(E$9,MMWR_RATING_RO_ROLLUP[#Headers],0))/$C38,"ERROR"))</f>
        <v>0.5145413870246085</v>
      </c>
      <c r="F38" s="155">
        <f>IF($B38=" ","",IFERROR(INDEX(MMWR_RATING_RO_ROLLUP[],MATCH($B38,MMWR_RATING_RO_ROLLUP[MMWR_RATING_RO_ROLLUP],0),MATCH(F$9,MMWR_RATING_RO_ROLLUP[#Headers],0)),"ERROR"))</f>
        <v>306</v>
      </c>
      <c r="G38" s="155">
        <f>IF($B38=" ","",IFERROR(INDEX(MMWR_RATING_RO_ROLLUP[],MATCH($B38,MMWR_RATING_RO_ROLLUP[MMWR_RATING_RO_ROLLUP],0),MATCH(G$9,MMWR_RATING_RO_ROLLUP[#Headers],0)),"ERROR"))</f>
        <v>4393</v>
      </c>
      <c r="H38" s="156">
        <f>IF($B38=" ","",IFERROR(INDEX(MMWR_RATING_RO_ROLLUP[],MATCH($B38,MMWR_RATING_RO_ROLLUP[MMWR_RATING_RO_ROLLUP],0),MATCH(H$9,MMWR_RATING_RO_ROLLUP[#Headers],0)),"ERROR"))</f>
        <v>68.918300653599999</v>
      </c>
      <c r="I38" s="156">
        <f>IF($B38=" ","",IFERROR(INDEX(MMWR_RATING_RO_ROLLUP[],MATCH($B38,MMWR_RATING_RO_ROLLUP[MMWR_RATING_RO_ROLLUP],0),MATCH(I$9,MMWR_RATING_RO_ROLLUP[#Headers],0)),"ERROR"))</f>
        <v>60.530161620800001</v>
      </c>
      <c r="J38" s="42"/>
      <c r="K38" s="42"/>
      <c r="L38" s="42"/>
      <c r="M38" s="42"/>
      <c r="N38" s="42"/>
      <c r="O38" s="42"/>
      <c r="P38" s="28"/>
    </row>
    <row r="39" spans="1:16" x14ac:dyDescent="0.2">
      <c r="A39" s="25"/>
      <c r="B39" s="339" t="s">
        <v>926</v>
      </c>
      <c r="C39" s="340"/>
      <c r="D39" s="340"/>
      <c r="E39" s="340"/>
      <c r="F39" s="340"/>
      <c r="G39" s="340"/>
      <c r="H39" s="340"/>
      <c r="I39" s="340"/>
      <c r="J39" s="340"/>
      <c r="K39" s="340"/>
      <c r="L39" s="340"/>
      <c r="M39" s="340"/>
      <c r="N39" s="340"/>
      <c r="O39" s="340"/>
      <c r="P39" s="28"/>
    </row>
    <row r="40" spans="1:16" x14ac:dyDescent="0.2">
      <c r="A40" s="25"/>
      <c r="B40" s="44" t="s">
        <v>707</v>
      </c>
      <c r="C40" s="155">
        <f>IF($B40=" ","",IFERROR(INDEX(MMWR_RATING_RO_ROLLUP[],MATCH($B40,MMWR_RATING_RO_ROLLUP[MMWR_RATING_RO_ROLLUP],0),MATCH(C$9,MMWR_RATING_RO_ROLLUP[#Headers],0)),"ERROR"))</f>
        <v>8129</v>
      </c>
      <c r="D40" s="156">
        <f>IF($B40=" ","",IFERROR(INDEX(MMWR_RATING_RO_ROLLUP[],MATCH($B40,MMWR_RATING_RO_ROLLUP[MMWR_RATING_RO_ROLLUP],0),MATCH(D$9,MMWR_RATING_RO_ROLLUP[#Headers],0)),"ERROR"))</f>
        <v>73.851642268399999</v>
      </c>
      <c r="E40" s="157">
        <f>IF($B40=" ","",IFERROR(INDEX(MMWR_RATING_RO_ROLLUP[],MATCH($B40,MMWR_RATING_RO_ROLLUP[MMWR_RATING_RO_ROLLUP],0),MATCH(E$9,MMWR_RATING_RO_ROLLUP[#Headers],0))/$C40,"ERROR"))</f>
        <v>0.15007996063476442</v>
      </c>
      <c r="F40" s="155">
        <f>IF($B40=" ","",IFERROR(INDEX(MMWR_RATING_RO_ROLLUP[],MATCH($B40,MMWR_RATING_RO_ROLLUP[MMWR_RATING_RO_ROLLUP],0),MATCH(F$9,MMWR_RATING_RO_ROLLUP[#Headers],0)),"ERROR"))</f>
        <v>1611</v>
      </c>
      <c r="G40" s="155">
        <f>IF($B40=" ","",IFERROR(INDEX(MMWR_RATING_RO_ROLLUP[],MATCH($B40,MMWR_RATING_RO_ROLLUP[MMWR_RATING_RO_ROLLUP],0),MATCH(G$9,MMWR_RATING_RO_ROLLUP[#Headers],0)),"ERROR"))</f>
        <v>21009</v>
      </c>
      <c r="H40" s="156">
        <f>IF($B40=" ","",IFERROR(INDEX(MMWR_RATING_RO_ROLLUP[],MATCH($B40,MMWR_RATING_RO_ROLLUP[MMWR_RATING_RO_ROLLUP],0),MATCH(H$9,MMWR_RATING_RO_ROLLUP[#Headers],0)),"ERROR"))</f>
        <v>125.3538175047</v>
      </c>
      <c r="I40" s="156">
        <f>IF($B40=" ","",IFERROR(INDEX(MMWR_RATING_RO_ROLLUP[],MATCH($B40,MMWR_RATING_RO_ROLLUP[MMWR_RATING_RO_ROLLUP],0),MATCH(I$9,MMWR_RATING_RO_ROLLUP[#Headers],0)),"ERROR"))</f>
        <v>134.488838117</v>
      </c>
      <c r="J40" s="42"/>
      <c r="K40" s="42"/>
      <c r="L40" s="42"/>
      <c r="M40" s="42"/>
      <c r="N40" s="42"/>
      <c r="O40" s="42"/>
      <c r="P40" s="28"/>
    </row>
    <row r="41" spans="1:16" x14ac:dyDescent="0.2">
      <c r="A41" s="25"/>
      <c r="B41" s="45" t="s">
        <v>968</v>
      </c>
      <c r="C41" s="155">
        <f>IF($B41=" ","",IFERROR(INDEX(MMWR_RATING_RO_ROLLUP[],MATCH($B41,MMWR_RATING_RO_ROLLUP[MMWR_RATING_RO_ROLLUP],0),MATCH(C$9,MMWR_RATING_RO_ROLLUP[#Headers],0)),"ERROR"))</f>
        <v>3574</v>
      </c>
      <c r="D41" s="156">
        <f>IF($B41=" ","",IFERROR(INDEX(MMWR_RATING_RO_ROLLUP[],MATCH($B41,MMWR_RATING_RO_ROLLUP[MMWR_RATING_RO_ROLLUP],0),MATCH(D$9,MMWR_RATING_RO_ROLLUP[#Headers],0)),"ERROR"))</f>
        <v>66.877448237300001</v>
      </c>
      <c r="E41" s="157">
        <f>IF($B41=" ","",IFERROR(INDEX(MMWR_RATING_RO_ROLLUP[],MATCH($B41,MMWR_RATING_RO_ROLLUP[MMWR_RATING_RO_ROLLUP],0),MATCH(E$9,MMWR_RATING_RO_ROLLUP[#Headers],0))/$C41,"ERROR"))</f>
        <v>0.1233911583659765</v>
      </c>
      <c r="F41" s="155">
        <f>IF($B41=" ","",IFERROR(INDEX(MMWR_RATING_RO_ROLLUP[],MATCH($B41,MMWR_RATING_RO_ROLLUP[MMWR_RATING_RO_ROLLUP],0),MATCH(F$9,MMWR_RATING_RO_ROLLUP[#Headers],0)),"ERROR"))</f>
        <v>880</v>
      </c>
      <c r="G41" s="155">
        <f>IF($B41=" ","",IFERROR(INDEX(MMWR_RATING_RO_ROLLUP[],MATCH($B41,MMWR_RATING_RO_ROLLUP[MMWR_RATING_RO_ROLLUP],0),MATCH(G$9,MMWR_RATING_RO_ROLLUP[#Headers],0)),"ERROR"))</f>
        <v>10912</v>
      </c>
      <c r="H41" s="156">
        <f>IF($B41=" ","",IFERROR(INDEX(MMWR_RATING_RO_ROLLUP[],MATCH($B41,MMWR_RATING_RO_ROLLUP[MMWR_RATING_RO_ROLLUP],0),MATCH(H$9,MMWR_RATING_RO_ROLLUP[#Headers],0)),"ERROR"))</f>
        <v>108.5215909091</v>
      </c>
      <c r="I41" s="156">
        <f>IF($B41=" ","",IFERROR(INDEX(MMWR_RATING_RO_ROLLUP[],MATCH($B41,MMWR_RATING_RO_ROLLUP[MMWR_RATING_RO_ROLLUP],0),MATCH(I$9,MMWR_RATING_RO_ROLLUP[#Headers],0)),"ERROR"))</f>
        <v>117.0010997067</v>
      </c>
      <c r="J41" s="42"/>
      <c r="K41" s="42"/>
      <c r="L41" s="42"/>
      <c r="M41" s="42"/>
      <c r="N41" s="42"/>
      <c r="O41" s="42"/>
      <c r="P41" s="28"/>
    </row>
    <row r="42" spans="1:16" x14ac:dyDescent="0.2">
      <c r="A42" s="25"/>
      <c r="B42" s="45" t="s">
        <v>969</v>
      </c>
      <c r="C42" s="155">
        <f>IF($B42=" ","",IFERROR(INDEX(MMWR_RATING_RO_ROLLUP[],MATCH($B42,MMWR_RATING_RO_ROLLUP[MMWR_RATING_RO_ROLLUP],0),MATCH(C$9,MMWR_RATING_RO_ROLLUP[#Headers],0)),"ERROR"))</f>
        <v>4070</v>
      </c>
      <c r="D42" s="156">
        <f>IF($B42=" ","",IFERROR(INDEX(MMWR_RATING_RO_ROLLUP[],MATCH($B42,MMWR_RATING_RO_ROLLUP[MMWR_RATING_RO_ROLLUP],0),MATCH(D$9,MMWR_RATING_RO_ROLLUP[#Headers],0)),"ERROR"))</f>
        <v>81.794840294799997</v>
      </c>
      <c r="E42" s="157">
        <f>IF($B42=" ","",IFERROR(INDEX(MMWR_RATING_RO_ROLLUP[],MATCH($B42,MMWR_RATING_RO_ROLLUP[MMWR_RATING_RO_ROLLUP],0),MATCH(E$9,MMWR_RATING_RO_ROLLUP[#Headers],0))/$C42,"ERROR"))</f>
        <v>0.17886977886977887</v>
      </c>
      <c r="F42" s="155">
        <f>IF($B42=" ","",IFERROR(INDEX(MMWR_RATING_RO_ROLLUP[],MATCH($B42,MMWR_RATING_RO_ROLLUP[MMWR_RATING_RO_ROLLUP],0),MATCH(F$9,MMWR_RATING_RO_ROLLUP[#Headers],0)),"ERROR"))</f>
        <v>699</v>
      </c>
      <c r="G42" s="155">
        <f>IF($B42=" ","",IFERROR(INDEX(MMWR_RATING_RO_ROLLUP[],MATCH($B42,MMWR_RATING_RO_ROLLUP[MMWR_RATING_RO_ROLLUP],0),MATCH(G$9,MMWR_RATING_RO_ROLLUP[#Headers],0)),"ERROR"))</f>
        <v>9535</v>
      </c>
      <c r="H42" s="156">
        <f>IF($B42=" ","",IFERROR(INDEX(MMWR_RATING_RO_ROLLUP[],MATCH($B42,MMWR_RATING_RO_ROLLUP[MMWR_RATING_RO_ROLLUP],0),MATCH(H$9,MMWR_RATING_RO_ROLLUP[#Headers],0)),"ERROR"))</f>
        <v>146.7253218884</v>
      </c>
      <c r="I42" s="156">
        <f>IF($B42=" ","",IFERROR(INDEX(MMWR_RATING_RO_ROLLUP[],MATCH($B42,MMWR_RATING_RO_ROLLUP[MMWR_RATING_RO_ROLLUP],0),MATCH(I$9,MMWR_RATING_RO_ROLLUP[#Headers],0)),"ERROR"))</f>
        <v>150.99580492920001</v>
      </c>
      <c r="J42" s="42"/>
      <c r="K42" s="42"/>
      <c r="L42" s="42"/>
      <c r="M42" s="42"/>
      <c r="N42" s="42"/>
      <c r="O42" s="42"/>
      <c r="P42" s="28"/>
    </row>
    <row r="43" spans="1:16" x14ac:dyDescent="0.2">
      <c r="A43" s="25"/>
      <c r="B43" s="46" t="s">
        <v>316</v>
      </c>
      <c r="C43" s="155">
        <f>IF($B43=" ","",IFERROR(INDEX(MMWR_RATING_RO_ROLLUP[],MATCH($B43,MMWR_RATING_RO_ROLLUP[MMWR_RATING_RO_ROLLUP],0),MATCH(C$9,MMWR_RATING_RO_ROLLUP[#Headers],0)),"ERROR"))</f>
        <v>485</v>
      </c>
      <c r="D43" s="156">
        <f>IF($B43=" ","",IFERROR(INDEX(MMWR_RATING_RO_ROLLUP[],MATCH($B43,MMWR_RATING_RO_ROLLUP[MMWR_RATING_RO_ROLLUP],0),MATCH(D$9,MMWR_RATING_RO_ROLLUP[#Headers],0)),"ERROR"))</f>
        <v>58.587628866000003</v>
      </c>
      <c r="E43" s="157">
        <f>IF($B43=" ","",IFERROR(INDEX(MMWR_RATING_RO_ROLLUP[],MATCH($B43,MMWR_RATING_RO_ROLLUP[MMWR_RATING_RO_ROLLUP],0),MATCH(E$9,MMWR_RATING_RO_ROLLUP[#Headers],0))/$C43,"ERROR"))</f>
        <v>0.10515463917525773</v>
      </c>
      <c r="F43" s="155">
        <f>IF($B43=" ","",IFERROR(INDEX(MMWR_RATING_RO_ROLLUP[],MATCH($B43,MMWR_RATING_RO_ROLLUP[MMWR_RATING_RO_ROLLUP],0),MATCH(F$9,MMWR_RATING_RO_ROLLUP[#Headers],0)),"ERROR"))</f>
        <v>32</v>
      </c>
      <c r="G43" s="155">
        <f>IF($B43=" ","",IFERROR(INDEX(MMWR_RATING_RO_ROLLUP[],MATCH($B43,MMWR_RATING_RO_ROLLUP[MMWR_RATING_RO_ROLLUP],0),MATCH(G$9,MMWR_RATING_RO_ROLLUP[#Headers],0)),"ERROR"))</f>
        <v>562</v>
      </c>
      <c r="H43" s="156">
        <f>IF($B43=" ","",IFERROR(INDEX(MMWR_RATING_RO_ROLLUP[],MATCH($B43,MMWR_RATING_RO_ROLLUP[MMWR_RATING_RO_ROLLUP],0),MATCH(H$9,MMWR_RATING_RO_ROLLUP[#Headers],0)),"ERROR"))</f>
        <v>121.40625</v>
      </c>
      <c r="I43" s="156">
        <f>IF($B43=" ","",IFERROR(INDEX(MMWR_RATING_RO_ROLLUP[],MATCH($B43,MMWR_RATING_RO_ROLLUP[MMWR_RATING_RO_ROLLUP],0),MATCH(I$9,MMWR_RATING_RO_ROLLUP[#Headers],0)),"ERROR"))</f>
        <v>193.97686832740001</v>
      </c>
      <c r="J43" s="42"/>
      <c r="K43" s="42"/>
      <c r="L43" s="42"/>
      <c r="M43" s="42"/>
      <c r="N43" s="42"/>
      <c r="O43" s="42"/>
      <c r="P43" s="28"/>
    </row>
    <row r="44" spans="1:16" x14ac:dyDescent="0.2">
      <c r="A44" s="25"/>
      <c r="B44" s="339" t="s">
        <v>744</v>
      </c>
      <c r="C44" s="340"/>
      <c r="D44" s="340"/>
      <c r="E44" s="340"/>
      <c r="F44" s="340"/>
      <c r="G44" s="340"/>
      <c r="H44" s="340"/>
      <c r="I44" s="340"/>
      <c r="J44" s="340"/>
      <c r="K44" s="340"/>
      <c r="L44" s="340"/>
      <c r="M44" s="340"/>
      <c r="N44" s="340"/>
      <c r="O44" s="340"/>
      <c r="P44" s="28"/>
    </row>
    <row r="45" spans="1:16" x14ac:dyDescent="0.2">
      <c r="A45" s="25"/>
      <c r="B45" s="44" t="s">
        <v>705</v>
      </c>
      <c r="C45" s="155">
        <f>IF($B45=" ","",IFERROR(INDEX(MMWR_RATING_RO_ROLLUP[],MATCH($B45,MMWR_RATING_RO_ROLLUP[MMWR_RATING_RO_ROLLUP],0),MATCH(C$9,MMWR_RATING_RO_ROLLUP[#Headers],0)),"ERROR"))</f>
        <v>8428</v>
      </c>
      <c r="D45" s="156">
        <f>IF($B45=" ","",IFERROR(INDEX(MMWR_RATING_RO_ROLLUP[],MATCH($B45,MMWR_RATING_RO_ROLLUP[MMWR_RATING_RO_ROLLUP],0),MATCH(D$9,MMWR_RATING_RO_ROLLUP[#Headers],0)),"ERROR"))</f>
        <v>74.608448030399998</v>
      </c>
      <c r="E45" s="157">
        <f>IF($B45=" ","",IFERROR(INDEX(MMWR_RATING_RO_ROLLUP[],MATCH($B45,MMWR_RATING_RO_ROLLUP[MMWR_RATING_RO_ROLLUP],0),MATCH(E$9,MMWR_RATING_RO_ROLLUP[#Headers],0))/$C45,"ERROR"))</f>
        <v>0.12861888941623162</v>
      </c>
      <c r="F45" s="155">
        <f>IF($B45=" ","",IFERROR(INDEX(MMWR_RATING_RO_ROLLUP[],MATCH($B45,MMWR_RATING_RO_ROLLUP[MMWR_RATING_RO_ROLLUP],0),MATCH(F$9,MMWR_RATING_RO_ROLLUP[#Headers],0)),"ERROR"))</f>
        <v>1577</v>
      </c>
      <c r="G45" s="155">
        <f>IF($B45=" ","",IFERROR(INDEX(MMWR_RATING_RO_ROLLUP[],MATCH($B45,MMWR_RATING_RO_ROLLUP[MMWR_RATING_RO_ROLLUP],0),MATCH(G$9,MMWR_RATING_RO_ROLLUP[#Headers],0)),"ERROR"))</f>
        <v>21090</v>
      </c>
      <c r="H45" s="156">
        <f>IF($B45=" ","",IFERROR(INDEX(MMWR_RATING_RO_ROLLUP[],MATCH($B45,MMWR_RATING_RO_ROLLUP[MMWR_RATING_RO_ROLLUP],0),MATCH(H$9,MMWR_RATING_RO_ROLLUP[#Headers],0)),"ERROR"))</f>
        <v>139.32213062779999</v>
      </c>
      <c r="I45" s="156">
        <f>IF($B45=" ","",IFERROR(INDEX(MMWR_RATING_RO_ROLLUP[],MATCH($B45,MMWR_RATING_RO_ROLLUP[MMWR_RATING_RO_ROLLUP],0),MATCH(I$9,MMWR_RATING_RO_ROLLUP[#Headers],0)),"ERROR"))</f>
        <v>153.1345187293</v>
      </c>
      <c r="J45" s="42"/>
      <c r="K45" s="42"/>
      <c r="L45" s="42"/>
      <c r="M45" s="42"/>
      <c r="N45" s="42"/>
      <c r="O45" s="42"/>
      <c r="P45" s="28"/>
    </row>
    <row r="46" spans="1:16" x14ac:dyDescent="0.2">
      <c r="A46" s="25"/>
      <c r="B46" s="45" t="s">
        <v>219</v>
      </c>
      <c r="C46" s="155">
        <f>IF($B46=" ","",IFERROR(INDEX(MMWR_RATING_RO_ROLLUP[],MATCH($B46,MMWR_RATING_RO_ROLLUP[MMWR_RATING_RO_ROLLUP],0),MATCH(C$9,MMWR_RATING_RO_ROLLUP[#Headers],0)),"ERROR"))</f>
        <v>3135</v>
      </c>
      <c r="D46" s="156">
        <f>IF($B46=" ","",IFERROR(INDEX(MMWR_RATING_RO_ROLLUP[],MATCH($B46,MMWR_RATING_RO_ROLLUP[MMWR_RATING_RO_ROLLUP],0),MATCH(D$9,MMWR_RATING_RO_ROLLUP[#Headers],0)),"ERROR"))</f>
        <v>74.449122806999995</v>
      </c>
      <c r="E46" s="157">
        <f>IF($B46=" ","",IFERROR(INDEX(MMWR_RATING_RO_ROLLUP[],MATCH($B46,MMWR_RATING_RO_ROLLUP[MMWR_RATING_RO_ROLLUP],0),MATCH(E$9,MMWR_RATING_RO_ROLLUP[#Headers],0))/$C46,"ERROR"))</f>
        <v>0.12025518341307816</v>
      </c>
      <c r="F46" s="155">
        <f>IF($B46=" ","",IFERROR(INDEX(MMWR_RATING_RO_ROLLUP[],MATCH($B46,MMWR_RATING_RO_ROLLUP[MMWR_RATING_RO_ROLLUP],0),MATCH(F$9,MMWR_RATING_RO_ROLLUP[#Headers],0)),"ERROR"))</f>
        <v>724</v>
      </c>
      <c r="G46" s="155">
        <f>IF($B46=" ","",IFERROR(INDEX(MMWR_RATING_RO_ROLLUP[],MATCH($B46,MMWR_RATING_RO_ROLLUP[MMWR_RATING_RO_ROLLUP],0),MATCH(G$9,MMWR_RATING_RO_ROLLUP[#Headers],0)),"ERROR"))</f>
        <v>11006</v>
      </c>
      <c r="H46" s="156">
        <f>IF($B46=" ","",IFERROR(INDEX(MMWR_RATING_RO_ROLLUP[],MATCH($B46,MMWR_RATING_RO_ROLLUP[MMWR_RATING_RO_ROLLUP],0),MATCH(H$9,MMWR_RATING_RO_ROLLUP[#Headers],0)),"ERROR"))</f>
        <v>138.47790055249999</v>
      </c>
      <c r="I46" s="156">
        <f>IF($B46=" ","",IFERROR(INDEX(MMWR_RATING_RO_ROLLUP[],MATCH($B46,MMWR_RATING_RO_ROLLUP[MMWR_RATING_RO_ROLLUP],0),MATCH(I$9,MMWR_RATING_RO_ROLLUP[#Headers],0)),"ERROR"))</f>
        <v>171.57959294930001</v>
      </c>
      <c r="J46" s="42"/>
      <c r="K46" s="42"/>
      <c r="L46" s="42"/>
      <c r="M46" s="42"/>
      <c r="N46" s="42"/>
      <c r="O46" s="42"/>
      <c r="P46" s="28"/>
    </row>
    <row r="47" spans="1:16" x14ac:dyDescent="0.2">
      <c r="A47" s="25"/>
      <c r="B47" s="45" t="s">
        <v>221</v>
      </c>
      <c r="C47" s="155">
        <f>IF($B47=" ","",IFERROR(INDEX(MMWR_RATING_RO_ROLLUP[],MATCH($B47,MMWR_RATING_RO_ROLLUP[MMWR_RATING_RO_ROLLUP],0),MATCH(C$9,MMWR_RATING_RO_ROLLUP[#Headers],0)),"ERROR"))</f>
        <v>4605</v>
      </c>
      <c r="D47" s="156">
        <f>IF($B47=" ","",IFERROR(INDEX(MMWR_RATING_RO_ROLLUP[],MATCH($B47,MMWR_RATING_RO_ROLLUP[MMWR_RATING_RO_ROLLUP],0),MATCH(D$9,MMWR_RATING_RO_ROLLUP[#Headers],0)),"ERROR"))</f>
        <v>74.004343105299995</v>
      </c>
      <c r="E47" s="157">
        <f>IF($B47=" ","",IFERROR(INDEX(MMWR_RATING_RO_ROLLUP[],MATCH($B47,MMWR_RATING_RO_ROLLUP[MMWR_RATING_RO_ROLLUP],0),MATCH(E$9,MMWR_RATING_RO_ROLLUP[#Headers],0))/$C47,"ERROR"))</f>
        <v>0.13094462540716612</v>
      </c>
      <c r="F47" s="155">
        <f>IF($B47=" ","",IFERROR(INDEX(MMWR_RATING_RO_ROLLUP[],MATCH($B47,MMWR_RATING_RO_ROLLUP[MMWR_RATING_RO_ROLLUP],0),MATCH(F$9,MMWR_RATING_RO_ROLLUP[#Headers],0)),"ERROR"))</f>
        <v>721</v>
      </c>
      <c r="G47" s="155">
        <f>IF($B47=" ","",IFERROR(INDEX(MMWR_RATING_RO_ROLLUP[],MATCH($B47,MMWR_RATING_RO_ROLLUP[MMWR_RATING_RO_ROLLUP],0),MATCH(G$9,MMWR_RATING_RO_ROLLUP[#Headers],0)),"ERROR"))</f>
        <v>8377</v>
      </c>
      <c r="H47" s="156">
        <f>IF($B47=" ","",IFERROR(INDEX(MMWR_RATING_RO_ROLLUP[],MATCH($B47,MMWR_RATING_RO_ROLLUP[MMWR_RATING_RO_ROLLUP],0),MATCH(H$9,MMWR_RATING_RO_ROLLUP[#Headers],0)),"ERROR"))</f>
        <v>143.78363384190001</v>
      </c>
      <c r="I47" s="156">
        <f>IF($B47=" ","",IFERROR(INDEX(MMWR_RATING_RO_ROLLUP[],MATCH($B47,MMWR_RATING_RO_ROLLUP[MMWR_RATING_RO_ROLLUP],0),MATCH(I$9,MMWR_RATING_RO_ROLLUP[#Headers],0)),"ERROR"))</f>
        <v>129.8495881581</v>
      </c>
      <c r="J47" s="42"/>
      <c r="K47" s="42"/>
      <c r="L47" s="42"/>
      <c r="M47" s="42"/>
      <c r="N47" s="42"/>
      <c r="O47" s="42"/>
      <c r="P47" s="28"/>
    </row>
    <row r="48" spans="1:16" x14ac:dyDescent="0.2">
      <c r="A48" s="25"/>
      <c r="B48" s="47" t="s">
        <v>317</v>
      </c>
      <c r="C48" s="155">
        <f>IF($B48=" ","",IFERROR(INDEX(MMWR_RATING_RO_ROLLUP[],MATCH($B48,MMWR_RATING_RO_ROLLUP[MMWR_RATING_RO_ROLLUP],0),MATCH(C$9,MMWR_RATING_RO_ROLLUP[#Headers],0)),"ERROR"))</f>
        <v>688</v>
      </c>
      <c r="D48" s="156">
        <f>IF($B48=" ","",IFERROR(INDEX(MMWR_RATING_RO_ROLLUP[],MATCH($B48,MMWR_RATING_RO_ROLLUP[MMWR_RATING_RO_ROLLUP],0),MATCH(D$9,MMWR_RATING_RO_ROLLUP[#Headers],0)),"ERROR"))</f>
        <v>79.377906976700004</v>
      </c>
      <c r="E48" s="157">
        <f>IF($B48=" ","",IFERROR(INDEX(MMWR_RATING_RO_ROLLUP[],MATCH($B48,MMWR_RATING_RO_ROLLUP[MMWR_RATING_RO_ROLLUP],0),MATCH(E$9,MMWR_RATING_RO_ROLLUP[#Headers],0))/$C48,"ERROR"))</f>
        <v>0.15116279069767441</v>
      </c>
      <c r="F48" s="155">
        <f>IF($B48=" ","",IFERROR(INDEX(MMWR_RATING_RO_ROLLUP[],MATCH($B48,MMWR_RATING_RO_ROLLUP[MMWR_RATING_RO_ROLLUP],0),MATCH(F$9,MMWR_RATING_RO_ROLLUP[#Headers],0)),"ERROR"))</f>
        <v>132</v>
      </c>
      <c r="G48" s="155">
        <f>IF($B48=" ","",IFERROR(INDEX(MMWR_RATING_RO_ROLLUP[],MATCH($B48,MMWR_RATING_RO_ROLLUP[MMWR_RATING_RO_ROLLUP],0),MATCH(G$9,MMWR_RATING_RO_ROLLUP[#Headers],0)),"ERROR"))</f>
        <v>1707</v>
      </c>
      <c r="H48" s="156">
        <f>IF($B48=" ","",IFERROR(INDEX(MMWR_RATING_RO_ROLLUP[],MATCH($B48,MMWR_RATING_RO_ROLLUP[MMWR_RATING_RO_ROLLUP],0),MATCH(H$9,MMWR_RATING_RO_ROLLUP[#Headers],0)),"ERROR"))</f>
        <v>119.5833333333</v>
      </c>
      <c r="I48" s="156">
        <f>IF($B48=" ","",IFERROR(INDEX(MMWR_RATING_RO_ROLLUP[],MATCH($B48,MMWR_RATING_RO_ROLLUP[MMWR_RATING_RO_ROLLUP],0),MATCH(I$9,MMWR_RATING_RO_ROLLUP[#Headers],0)),"ERROR"))</f>
        <v>148.4780316344</v>
      </c>
      <c r="J48" s="42"/>
      <c r="K48" s="42"/>
      <c r="L48" s="42"/>
      <c r="M48" s="42"/>
      <c r="N48" s="42"/>
      <c r="O48" s="42"/>
      <c r="P48" s="28"/>
    </row>
    <row r="49" spans="1:16" ht="12" customHeight="1" x14ac:dyDescent="0.2">
      <c r="A49" s="25"/>
      <c r="B49" s="26"/>
      <c r="C49" s="26"/>
      <c r="D49" s="26"/>
      <c r="E49" s="26"/>
      <c r="F49" s="26"/>
      <c r="G49" s="26"/>
      <c r="H49" s="26"/>
      <c r="I49" s="26"/>
      <c r="J49" s="26"/>
      <c r="K49" s="27" t="s">
        <v>932</v>
      </c>
      <c r="L49" s="27" t="s">
        <v>939</v>
      </c>
      <c r="M49" s="27" t="s">
        <v>940</v>
      </c>
      <c r="N49" s="27" t="s">
        <v>941</v>
      </c>
      <c r="O49" s="27" t="s">
        <v>942</v>
      </c>
      <c r="P49" s="28"/>
    </row>
    <row r="50" spans="1:16" hidden="1" x14ac:dyDescent="0.2"/>
    <row r="51" spans="1:16" hidden="1" x14ac:dyDescent="0.2"/>
    <row r="52" spans="1:16" hidden="1" x14ac:dyDescent="0.2"/>
  </sheetData>
  <sheetProtection password="BD20" sheet="1" autoFilter="0"/>
  <protectedRanges>
    <protectedRange sqref="C45:K48 C40:K43 C13:K13 C34:K38 C15:K32" name="SOJ"/>
  </protectedRanges>
  <mergeCells count="33">
    <mergeCell ref="J7:K7"/>
    <mergeCell ref="J8:K8"/>
    <mergeCell ref="I11:I12"/>
    <mergeCell ref="L11:M11"/>
    <mergeCell ref="N11:O11"/>
    <mergeCell ref="J11:J12"/>
    <mergeCell ref="K11:K12"/>
    <mergeCell ref="M7:O7"/>
    <mergeCell ref="L2:O2"/>
    <mergeCell ref="L3:O3"/>
    <mergeCell ref="C4:O4"/>
    <mergeCell ref="C5:O5"/>
    <mergeCell ref="D6:E6"/>
    <mergeCell ref="G6:H6"/>
    <mergeCell ref="C2:K3"/>
    <mergeCell ref="M6:O6"/>
    <mergeCell ref="J6:K6"/>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s>
  <conditionalFormatting sqref="A1:P3 P6:P8 L6:M8 A6:J8 A5:P5 A4 C4:P4 A9:P49">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3" t="s">
        <v>303</v>
      </c>
      <c r="D2" s="354"/>
      <c r="E2" s="354"/>
      <c r="F2" s="354"/>
      <c r="G2" s="354"/>
      <c r="H2" s="354"/>
      <c r="I2" s="354"/>
      <c r="J2" s="353" t="s">
        <v>309</v>
      </c>
      <c r="K2" s="354"/>
      <c r="L2" s="354"/>
      <c r="M2" s="355"/>
      <c r="N2" s="28"/>
    </row>
    <row r="3" spans="1:16" ht="24" customHeight="1" thickBot="1" x14ac:dyDescent="0.4">
      <c r="A3" s="25"/>
      <c r="B3" s="29"/>
      <c r="C3" s="356"/>
      <c r="D3" s="357"/>
      <c r="E3" s="357"/>
      <c r="F3" s="357"/>
      <c r="G3" s="357"/>
      <c r="H3" s="357"/>
      <c r="I3" s="357"/>
      <c r="J3" s="356" t="str">
        <f>Transformation!B4</f>
        <v>As of: July 25, 2015</v>
      </c>
      <c r="K3" s="357"/>
      <c r="L3" s="357"/>
      <c r="M3" s="358"/>
      <c r="N3" s="28"/>
    </row>
    <row r="4" spans="1:16" ht="51" customHeight="1" thickBot="1" x14ac:dyDescent="0.35">
      <c r="A4" s="30"/>
      <c r="B4" s="249" t="s">
        <v>465</v>
      </c>
      <c r="C4" s="359" t="s">
        <v>982</v>
      </c>
      <c r="D4" s="360"/>
      <c r="E4" s="360"/>
      <c r="F4" s="360"/>
      <c r="G4" s="360"/>
      <c r="H4" s="360"/>
      <c r="I4" s="360"/>
      <c r="J4" s="360"/>
      <c r="K4" s="360"/>
      <c r="L4" s="360"/>
      <c r="M4" s="361"/>
      <c r="N4" s="28"/>
      <c r="O4" s="22"/>
      <c r="P4" s="23"/>
    </row>
    <row r="5" spans="1:16" ht="27" customHeight="1" thickBot="1" x14ac:dyDescent="0.25">
      <c r="A5" s="30"/>
      <c r="B5" s="48"/>
      <c r="C5" s="362" t="s">
        <v>1054</v>
      </c>
      <c r="D5" s="363"/>
      <c r="E5" s="363"/>
      <c r="F5" s="363"/>
      <c r="G5" s="363"/>
      <c r="H5" s="363"/>
      <c r="I5" s="363"/>
      <c r="J5" s="363"/>
      <c r="K5" s="363"/>
      <c r="L5" s="363"/>
      <c r="M5" s="363"/>
      <c r="N5" s="363"/>
      <c r="O5" s="364"/>
    </row>
    <row r="6" spans="1:16" ht="55.5" customHeight="1" x14ac:dyDescent="0.2">
      <c r="A6" s="30"/>
      <c r="B6" s="31"/>
      <c r="C6" s="32" t="s">
        <v>198</v>
      </c>
      <c r="D6" s="365" t="s">
        <v>16</v>
      </c>
      <c r="E6" s="366"/>
      <c r="F6" s="33" t="s">
        <v>201</v>
      </c>
      <c r="G6" s="365" t="s">
        <v>206</v>
      </c>
      <c r="H6" s="367"/>
      <c r="I6" s="33" t="s">
        <v>204</v>
      </c>
      <c r="J6" s="49" t="s">
        <v>14</v>
      </c>
      <c r="K6" s="33" t="s">
        <v>209</v>
      </c>
      <c r="L6" s="371" t="s">
        <v>88</v>
      </c>
      <c r="M6" s="384"/>
      <c r="N6" s="28"/>
    </row>
    <row r="7" spans="1:16" ht="51.75" customHeight="1" x14ac:dyDescent="0.2">
      <c r="A7" s="30"/>
      <c r="B7" s="34"/>
      <c r="C7" s="35" t="s">
        <v>199</v>
      </c>
      <c r="D7" s="341" t="s">
        <v>0</v>
      </c>
      <c r="E7" s="342"/>
      <c r="F7" s="36" t="s">
        <v>202</v>
      </c>
      <c r="G7" s="343" t="s">
        <v>207</v>
      </c>
      <c r="H7" s="343"/>
      <c r="I7" s="36" t="s">
        <v>205</v>
      </c>
      <c r="J7" s="50" t="s">
        <v>19</v>
      </c>
      <c r="K7" s="36" t="s">
        <v>210</v>
      </c>
      <c r="L7" s="385" t="s">
        <v>90</v>
      </c>
      <c r="M7" s="386"/>
      <c r="N7" s="28"/>
    </row>
    <row r="8" spans="1:16" ht="51.75" customHeight="1" thickBot="1" x14ac:dyDescent="0.25">
      <c r="A8" s="25"/>
      <c r="B8" s="28"/>
      <c r="C8" s="37" t="s">
        <v>200</v>
      </c>
      <c r="D8" s="344" t="s">
        <v>18</v>
      </c>
      <c r="E8" s="345"/>
      <c r="F8" s="38" t="s">
        <v>203</v>
      </c>
      <c r="G8" s="346" t="s">
        <v>17</v>
      </c>
      <c r="H8" s="346"/>
      <c r="I8" s="38" t="s">
        <v>208</v>
      </c>
      <c r="J8" s="51" t="s">
        <v>87</v>
      </c>
      <c r="K8" s="38" t="s">
        <v>211</v>
      </c>
      <c r="L8" s="387" t="s">
        <v>89</v>
      </c>
      <c r="M8" s="388"/>
      <c r="N8" s="28"/>
    </row>
    <row r="9" spans="1:16" x14ac:dyDescent="0.2">
      <c r="A9" s="28"/>
      <c r="B9" s="28"/>
      <c r="C9" s="39" t="s">
        <v>709</v>
      </c>
      <c r="D9" s="39" t="s">
        <v>711</v>
      </c>
      <c r="E9" s="39" t="s">
        <v>710</v>
      </c>
      <c r="F9" s="39" t="s">
        <v>713</v>
      </c>
      <c r="G9" s="39" t="s">
        <v>712</v>
      </c>
      <c r="H9" s="39" t="s">
        <v>723</v>
      </c>
      <c r="I9" s="39" t="s">
        <v>722</v>
      </c>
      <c r="J9" s="39"/>
      <c r="K9" s="39"/>
      <c r="L9" s="39"/>
      <c r="M9" s="39"/>
      <c r="N9" s="28"/>
    </row>
    <row r="10" spans="1:16" ht="15.75" customHeight="1" x14ac:dyDescent="0.2">
      <c r="A10" s="25"/>
      <c r="B10" s="26"/>
      <c r="C10" s="347" t="s">
        <v>302</v>
      </c>
      <c r="D10" s="347"/>
      <c r="E10" s="347"/>
      <c r="F10" s="347"/>
      <c r="G10" s="347"/>
      <c r="H10" s="347"/>
      <c r="I10" s="347"/>
      <c r="J10" s="347"/>
      <c r="K10" s="347"/>
      <c r="L10" s="347"/>
      <c r="M10" s="389"/>
      <c r="N10" s="28"/>
    </row>
    <row r="11" spans="1:16" ht="64.5" customHeight="1" x14ac:dyDescent="0.2">
      <c r="A11" s="25"/>
      <c r="B11" s="26"/>
      <c r="C11" s="52" t="s">
        <v>234</v>
      </c>
      <c r="D11" s="52" t="s">
        <v>140</v>
      </c>
      <c r="E11" s="52" t="s">
        <v>235</v>
      </c>
      <c r="F11" s="52" t="s">
        <v>195</v>
      </c>
      <c r="G11" s="52" t="s">
        <v>212</v>
      </c>
      <c r="H11" s="52" t="s">
        <v>214</v>
      </c>
      <c r="I11" s="52" t="s">
        <v>215</v>
      </c>
      <c r="J11" s="391" t="s">
        <v>983</v>
      </c>
      <c r="K11" s="392"/>
      <c r="L11" s="392"/>
      <c r="M11" s="393"/>
      <c r="N11" s="28"/>
    </row>
    <row r="12" spans="1:16" x14ac:dyDescent="0.2">
      <c r="A12" s="25"/>
      <c r="B12" s="41" t="s">
        <v>739</v>
      </c>
      <c r="C12" s="155">
        <f>IF($B12=" ","",IFERROR(INDEX(MMWR_RATING_RO_ROLLUP[],MATCH($B12,MMWR_RATING_RO_ROLLUP[MMWR_RATING_RO_ROLLUP],0),MATCH(C$9,MMWR_RATING_RO_ROLLUP[#Headers],0)),"ERROR"))</f>
        <v>375040</v>
      </c>
      <c r="D12" s="156">
        <f>IF($B12=" ","",IFERROR(INDEX(MMWR_RATING_RO_ROLLUP[],MATCH($B12,MMWR_RATING_RO_ROLLUP[MMWR_RATING_RO_ROLLUP],0),MATCH(D$9,MMWR_RATING_RO_ROLLUP[#Headers],0)),"ERROR"))</f>
        <v>114.3365321032</v>
      </c>
      <c r="E12" s="157">
        <f>IF($B12=" ","",IFERROR(INDEX(MMWR_RATING_RO_ROLLUP[],MATCH($B12,MMWR_RATING_RO_ROLLUP[MMWR_RATING_RO_ROLLUP],0),MATCH(E$9,MMWR_RATING_RO_ROLLUP[#Headers],0))/$C12,"ERROR"))</f>
        <v>0.30760718856655289</v>
      </c>
      <c r="F12" s="155">
        <f>IF($B12=" ","",IFERROR(INDEX(MMWR_RATING_RO_ROLLUP[],MATCH($B12,MMWR_RATING_RO_ROLLUP[MMWR_RATING_RO_ROLLUP],0),MATCH(F$9,MMWR_RATING_RO_ROLLUP[#Headers],0)),"ERROR"))</f>
        <v>90351</v>
      </c>
      <c r="G12" s="155">
        <f>IF($B12=" ","",IFERROR(INDEX(MMWR_RATING_RO_ROLLUP[],MATCH($B12,MMWR_RATING_RO_ROLLUP[MMWR_RATING_RO_ROLLUP],0),MATCH(G$9,MMWR_RATING_RO_ROLLUP[#Headers],0)),"ERROR"))</f>
        <v>1130909</v>
      </c>
      <c r="H12" s="156">
        <f>IF($B12=" ","",IFERROR(INDEX(MMWR_RATING_RO_ROLLUP[],MATCH($B12,MMWR_RATING_RO_ROLLUP[MMWR_RATING_RO_ROLLUP],0),MATCH(H$9,MMWR_RATING_RO_ROLLUP[#Headers],0)),"ERROR"))</f>
        <v>152.65131542540001</v>
      </c>
      <c r="I12" s="156">
        <f>IF($B12=" ","",IFERROR(INDEX(MMWR_RATING_RO_ROLLUP[],MATCH($B12,MMWR_RATING_RO_ROLLUP[MMWR_RATING_RO_ROLLUP],0),MATCH(I$9,MMWR_RATING_RO_ROLLUP[#Headers],0)),"ERROR"))</f>
        <v>174.36673861470001</v>
      </c>
      <c r="J12" s="42"/>
      <c r="K12" s="42"/>
      <c r="L12" s="42"/>
      <c r="M12" s="42"/>
      <c r="N12" s="28"/>
    </row>
    <row r="13" spans="1:16" x14ac:dyDescent="0.2">
      <c r="A13" s="25"/>
      <c r="B13" s="339" t="s">
        <v>742</v>
      </c>
      <c r="C13" s="340"/>
      <c r="D13" s="340"/>
      <c r="E13" s="340"/>
      <c r="F13" s="340"/>
      <c r="G13" s="340"/>
      <c r="H13" s="340"/>
      <c r="I13" s="340"/>
      <c r="J13" s="340"/>
      <c r="K13" s="340"/>
      <c r="L13" s="340"/>
      <c r="M13" s="390"/>
      <c r="N13" s="28"/>
    </row>
    <row r="14" spans="1:16" x14ac:dyDescent="0.2">
      <c r="A14" s="25"/>
      <c r="B14" s="41" t="s">
        <v>738</v>
      </c>
      <c r="C14" s="155">
        <f>IF($B14=" ","",IFERROR(INDEX(MMWR_RATING_RO_ROLLUP[],MATCH($B14,MMWR_RATING_RO_ROLLUP[MMWR_RATING_RO_ROLLUP],0),MATCH(C$9,MMWR_RATING_RO_ROLLUP[#Headers],0)),"ERROR"))</f>
        <v>339945</v>
      </c>
      <c r="D14" s="156">
        <f>IF($B14=" ","",IFERROR(INDEX(MMWR_RATING_RO_ROLLUP[],MATCH($B14,MMWR_RATING_RO_ROLLUP[MMWR_RATING_RO_ROLLUP],0),MATCH(D$9,MMWR_RATING_RO_ROLLUP[#Headers],0)),"ERROR"))</f>
        <v>119.0660518613</v>
      </c>
      <c r="E14" s="157">
        <f>IF($B14=" ","",IFERROR(INDEX(MMWR_RATING_RO_ROLLUP[],MATCH($B14,MMWR_RATING_RO_ROLLUP[MMWR_RATING_RO_ROLLUP],0),MATCH(E$9,MMWR_RATING_RO_ROLLUP[#Headers],0))/$C14,"ERROR"))</f>
        <v>0.32686169821588784</v>
      </c>
      <c r="F14" s="155">
        <f>IF($B14=" ","",IFERROR(INDEX(MMWR_RATING_RO_ROLLUP[],MATCH($B14,MMWR_RATING_RO_ROLLUP[MMWR_RATING_RO_ROLLUP],0),MATCH(F$9,MMWR_RATING_RO_ROLLUP[#Headers],0)),"ERROR"))</f>
        <v>77999</v>
      </c>
      <c r="G14" s="155">
        <f>IF($B14=" ","",IFERROR(INDEX(MMWR_RATING_RO_ROLLUP[],MATCH($B14,MMWR_RATING_RO_ROLLUP[MMWR_RATING_RO_ROLLUP],0),MATCH(G$9,MMWR_RATING_RO_ROLLUP[#Headers],0)),"ERROR"))</f>
        <v>963944</v>
      </c>
      <c r="H14" s="156">
        <f>IF($B14=" ","",IFERROR(INDEX(MMWR_RATING_RO_ROLLUP[],MATCH($B14,MMWR_RATING_RO_ROLLUP[MMWR_RATING_RO_ROLLUP],0),MATCH(H$9,MMWR_RATING_RO_ROLLUP[#Headers],0)),"ERROR"))</f>
        <v>163.8051769894</v>
      </c>
      <c r="I14" s="156">
        <f>IF($B14=" ","",IFERROR(INDEX(MMWR_RATING_RO_ROLLUP[],MATCH($B14,MMWR_RATING_RO_ROLLUP[MMWR_RATING_RO_ROLLUP],0),MATCH(I$9,MMWR_RATING_RO_ROLLUP[#Headers],0)),"ERROR"))</f>
        <v>189.93718514770001</v>
      </c>
      <c r="J14" s="42"/>
      <c r="K14" s="42"/>
      <c r="L14" s="42"/>
      <c r="M14" s="42"/>
      <c r="N14" s="28"/>
    </row>
    <row r="15" spans="1:16" x14ac:dyDescent="0.2">
      <c r="A15" s="25"/>
      <c r="B15" s="250" t="s">
        <v>379</v>
      </c>
      <c r="C15" s="155">
        <f>IF($B15=" ","",IFERROR(INDEX(MMWR_RATING_RO_ROLLUP[],MATCH($B15,MMWR_RATING_RO_ROLLUP[MMWR_RATING_RO_ROLLUP],0),MATCH(C$9,MMWR_RATING_RO_ROLLUP[#Headers],0)),"ERROR"))</f>
        <v>73906</v>
      </c>
      <c r="D15" s="156">
        <f>IF($B15=" ","",IFERROR(INDEX(MMWR_RATING_RO_ROLLUP[],MATCH($B15,MMWR_RATING_RO_ROLLUP[MMWR_RATING_RO_ROLLUP],0),MATCH(D$9,MMWR_RATING_RO_ROLLUP[#Headers],0)),"ERROR"))</f>
        <v>120.0422834411</v>
      </c>
      <c r="E15" s="157">
        <f>IF($B15=" ","",IFERROR(INDEX(MMWR_RATING_RO_ROLLUP[],MATCH($B15,MMWR_RATING_RO_ROLLUP[MMWR_RATING_RO_ROLLUP],0),MATCH(E$9,MMWR_RATING_RO_ROLLUP[#Headers],0))/$C15,"ERROR"))</f>
        <v>0.32659053392146781</v>
      </c>
      <c r="F15" s="155">
        <f>IF($B15=" ","",IFERROR(INDEX(MMWR_RATING_RO_ROLLUP[],MATCH($B15,MMWR_RATING_RO_ROLLUP[MMWR_RATING_RO_ROLLUP],0),MATCH(F$9,MMWR_RATING_RO_ROLLUP[#Headers],0)),"ERROR"))</f>
        <v>17239</v>
      </c>
      <c r="G15" s="155">
        <f>IF($B15=" ","",IFERROR(INDEX(MMWR_RATING_RO_ROLLUP[],MATCH($B15,MMWR_RATING_RO_ROLLUP[MMWR_RATING_RO_ROLLUP],0),MATCH(G$9,MMWR_RATING_RO_ROLLUP[#Headers],0)),"ERROR"))</f>
        <v>213157</v>
      </c>
      <c r="H15" s="156">
        <f>IF($B15=" ","",IFERROR(INDEX(MMWR_RATING_RO_ROLLUP[],MATCH($B15,MMWR_RATING_RO_ROLLUP[MMWR_RATING_RO_ROLLUP],0),MATCH(H$9,MMWR_RATING_RO_ROLLUP[#Headers],0)),"ERROR"))</f>
        <v>165.7315389524</v>
      </c>
      <c r="I15" s="156">
        <f>IF($B15=" ","",IFERROR(INDEX(MMWR_RATING_RO_ROLLUP[],MATCH($B15,MMWR_RATING_RO_ROLLUP[MMWR_RATING_RO_ROLLUP],0),MATCH(I$9,MMWR_RATING_RO_ROLLUP[#Headers],0)),"ERROR"))</f>
        <v>195.54546179580001</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5127</v>
      </c>
      <c r="D16" s="156">
        <f>IF($B16=" ","",IFERROR(INDEX(MMWR_RATING_RO_ROLLUP[],MATCH($B16,MMWR_RATING_RO_ROLLUP[MMWR_RATING_RO_ROLLUP],0),MATCH(D$9,MMWR_RATING_RO_ROLLUP[#Headers],0)),"ERROR"))</f>
        <v>141.6184903452</v>
      </c>
      <c r="E16" s="157">
        <f>IF($B16=" ","",IFERROR(INDEX(MMWR_RATING_RO_ROLLUP[],MATCH($B16,MMWR_RATING_RO_ROLLUP[MMWR_RATING_RO_ROLLUP],0),MATCH(E$9,MMWR_RATING_RO_ROLLUP[#Headers],0))/$C16,"ERROR"))</f>
        <v>0.37039204212990051</v>
      </c>
      <c r="F16" s="155">
        <f>IF($B16=" ","",IFERROR(INDEX(MMWR_RATING_RO_ROLLUP[],MATCH($B16,MMWR_RATING_RO_ROLLUP[MMWR_RATING_RO_ROLLUP],0),MATCH(F$9,MMWR_RATING_RO_ROLLUP[#Headers],0)),"ERROR"))</f>
        <v>1554</v>
      </c>
      <c r="G16" s="155">
        <f>IF($B16=" ","",IFERROR(INDEX(MMWR_RATING_RO_ROLLUP[],MATCH($B16,MMWR_RATING_RO_ROLLUP[MMWR_RATING_RO_ROLLUP],0),MATCH(G$9,MMWR_RATING_RO_ROLLUP[#Headers],0)),"ERROR"))</f>
        <v>16203</v>
      </c>
      <c r="H16" s="156">
        <f>IF($B16=" ","",IFERROR(INDEX(MMWR_RATING_RO_ROLLUP[],MATCH($B16,MMWR_RATING_RO_ROLLUP[MMWR_RATING_RO_ROLLUP],0),MATCH(H$9,MMWR_RATING_RO_ROLLUP[#Headers],0)),"ERROR"))</f>
        <v>197.98777348780001</v>
      </c>
      <c r="I16" s="156">
        <f>IF($B16=" ","",IFERROR(INDEX(MMWR_RATING_RO_ROLLUP[],MATCH($B16,MMWR_RATING_RO_ROLLUP[MMWR_RATING_RO_ROLLUP],0),MATCH(I$9,MMWR_RATING_RO_ROLLUP[#Headers],0)),"ERROR"))</f>
        <v>255.77325186690001</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3798</v>
      </c>
      <c r="D17" s="156">
        <f>IF($B17=" ","",IFERROR(INDEX(MMWR_RATING_RO_ROLLUP[],MATCH($B17,MMWR_RATING_RO_ROLLUP[MMWR_RATING_RO_ROLLUP],0),MATCH(D$9,MMWR_RATING_RO_ROLLUP[#Headers],0)),"ERROR"))</f>
        <v>115.84412848869999</v>
      </c>
      <c r="E17" s="157">
        <f>IF($B17=" ","",IFERROR(INDEX(MMWR_RATING_RO_ROLLUP[],MATCH($B17,MMWR_RATING_RO_ROLLUP[MMWR_RATING_RO_ROLLUP],0),MATCH(E$9,MMWR_RATING_RO_ROLLUP[#Headers],0))/$C17,"ERROR"))</f>
        <v>0.29304897314375988</v>
      </c>
      <c r="F17" s="155">
        <f>IF($B17=" ","",IFERROR(INDEX(MMWR_RATING_RO_ROLLUP[],MATCH($B17,MMWR_RATING_RO_ROLLUP[MMWR_RATING_RO_ROLLUP],0),MATCH(F$9,MMWR_RATING_RO_ROLLUP[#Headers],0)),"ERROR"))</f>
        <v>765</v>
      </c>
      <c r="G17" s="155">
        <f>IF($B17=" ","",IFERROR(INDEX(MMWR_RATING_RO_ROLLUP[],MATCH($B17,MMWR_RATING_RO_ROLLUP[MMWR_RATING_RO_ROLLUP],0),MATCH(G$9,MMWR_RATING_RO_ROLLUP[#Headers],0)),"ERROR"))</f>
        <v>9968</v>
      </c>
      <c r="H17" s="156">
        <f>IF($B17=" ","",IFERROR(INDEX(MMWR_RATING_RO_ROLLUP[],MATCH($B17,MMWR_RATING_RO_ROLLUP[MMWR_RATING_RO_ROLLUP],0),MATCH(H$9,MMWR_RATING_RO_ROLLUP[#Headers],0)),"ERROR"))</f>
        <v>178.1647058824</v>
      </c>
      <c r="I17" s="156">
        <f>IF($B17=" ","",IFERROR(INDEX(MMWR_RATING_RO_ROLLUP[],MATCH($B17,MMWR_RATING_RO_ROLLUP[MMWR_RATING_RO_ROLLUP],0),MATCH(I$9,MMWR_RATING_RO_ROLLUP[#Headers],0)),"ERROR"))</f>
        <v>219.57634430179999</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4717</v>
      </c>
      <c r="D18" s="156">
        <f>IF($B18=" ","",IFERROR(INDEX(MMWR_RATING_RO_ROLLUP[],MATCH($B18,MMWR_RATING_RO_ROLLUP[MMWR_RATING_RO_ROLLUP],0),MATCH(D$9,MMWR_RATING_RO_ROLLUP[#Headers],0)),"ERROR"))</f>
        <v>113.4981980072</v>
      </c>
      <c r="E18" s="157">
        <f>IF($B18=" ","",IFERROR(INDEX(MMWR_RATING_RO_ROLLUP[],MATCH($B18,MMWR_RATING_RO_ROLLUP[MMWR_RATING_RO_ROLLUP],0),MATCH(E$9,MMWR_RATING_RO_ROLLUP[#Headers],0))/$C18,"ERROR"))</f>
        <v>0.29446682213271147</v>
      </c>
      <c r="F18" s="155">
        <f>IF($B18=" ","",IFERROR(INDEX(MMWR_RATING_RO_ROLLUP[],MATCH($B18,MMWR_RATING_RO_ROLLUP[MMWR_RATING_RO_ROLLUP],0),MATCH(F$9,MMWR_RATING_RO_ROLLUP[#Headers],0)),"ERROR"))</f>
        <v>924</v>
      </c>
      <c r="G18" s="155">
        <f>IF($B18=" ","",IFERROR(INDEX(MMWR_RATING_RO_ROLLUP[],MATCH($B18,MMWR_RATING_RO_ROLLUP[MMWR_RATING_RO_ROLLUP],0),MATCH(G$9,MMWR_RATING_RO_ROLLUP[#Headers],0)),"ERROR"))</f>
        <v>11002</v>
      </c>
      <c r="H18" s="156">
        <f>IF($B18=" ","",IFERROR(INDEX(MMWR_RATING_RO_ROLLUP[],MATCH($B18,MMWR_RATING_RO_ROLLUP[MMWR_RATING_RO_ROLLUP],0),MATCH(H$9,MMWR_RATING_RO_ROLLUP[#Headers],0)),"ERROR"))</f>
        <v>191.21645021649999</v>
      </c>
      <c r="I18" s="156">
        <f>IF($B18=" ","",IFERROR(INDEX(MMWR_RATING_RO_ROLLUP[],MATCH($B18,MMWR_RATING_RO_ROLLUP[MMWR_RATING_RO_ROLLUP],0),MATCH(I$9,MMWR_RATING_RO_ROLLUP[#Headers],0)),"ERROR"))</f>
        <v>213.0284493728</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1919</v>
      </c>
      <c r="D19" s="156">
        <f>IF($B19=" ","",IFERROR(INDEX(MMWR_RATING_RO_ROLLUP[],MATCH($B19,MMWR_RATING_RO_ROLLUP[MMWR_RATING_RO_ROLLUP],0),MATCH(D$9,MMWR_RATING_RO_ROLLUP[#Headers],0)),"ERROR"))</f>
        <v>100.1865554977</v>
      </c>
      <c r="E19" s="157">
        <f>IF($B19=" ","",IFERROR(INDEX(MMWR_RATING_RO_ROLLUP[],MATCH($B19,MMWR_RATING_RO_ROLLUP[MMWR_RATING_RO_ROLLUP],0),MATCH(E$9,MMWR_RATING_RO_ROLLUP[#Headers],0))/$C19,"ERROR"))</f>
        <v>0.27149557060969254</v>
      </c>
      <c r="F19" s="155">
        <f>IF($B19=" ","",IFERROR(INDEX(MMWR_RATING_RO_ROLLUP[],MATCH($B19,MMWR_RATING_RO_ROLLUP[MMWR_RATING_RO_ROLLUP],0),MATCH(F$9,MMWR_RATING_RO_ROLLUP[#Headers],0)),"ERROR"))</f>
        <v>367</v>
      </c>
      <c r="G19" s="155">
        <f>IF($B19=" ","",IFERROR(INDEX(MMWR_RATING_RO_ROLLUP[],MATCH($B19,MMWR_RATING_RO_ROLLUP[MMWR_RATING_RO_ROLLUP],0),MATCH(G$9,MMWR_RATING_RO_ROLLUP[#Headers],0)),"ERROR"))</f>
        <v>5248</v>
      </c>
      <c r="H19" s="156">
        <f>IF($B19=" ","",IFERROR(INDEX(MMWR_RATING_RO_ROLLUP[],MATCH($B19,MMWR_RATING_RO_ROLLUP[MMWR_RATING_RO_ROLLUP],0),MATCH(H$9,MMWR_RATING_RO_ROLLUP[#Headers],0)),"ERROR"))</f>
        <v>137.9128065395</v>
      </c>
      <c r="I19" s="156">
        <f>IF($B19=" ","",IFERROR(INDEX(MMWR_RATING_RO_ROLLUP[],MATCH($B19,MMWR_RATING_RO_ROLLUP[MMWR_RATING_RO_ROLLUP],0),MATCH(I$9,MMWR_RATING_RO_ROLLUP[#Headers],0)),"ERROR"))</f>
        <v>151.41920731709999</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2431</v>
      </c>
      <c r="D20" s="156">
        <f>IF($B20=" ","",IFERROR(INDEX(MMWR_RATING_RO_ROLLUP[],MATCH($B20,MMWR_RATING_RO_ROLLUP[MMWR_RATING_RO_ROLLUP],0),MATCH(D$9,MMWR_RATING_RO_ROLLUP[#Headers],0)),"ERROR"))</f>
        <v>96.397778691900001</v>
      </c>
      <c r="E20" s="157">
        <f>IF($B20=" ","",IFERROR(INDEX(MMWR_RATING_RO_ROLLUP[],MATCH($B20,MMWR_RATING_RO_ROLLUP[MMWR_RATING_RO_ROLLUP],0),MATCH(E$9,MMWR_RATING_RO_ROLLUP[#Headers],0))/$C20,"ERROR"))</f>
        <v>0.23035787741670094</v>
      </c>
      <c r="F20" s="155">
        <f>IF($B20=" ","",IFERROR(INDEX(MMWR_RATING_RO_ROLLUP[],MATCH($B20,MMWR_RATING_RO_ROLLUP[MMWR_RATING_RO_ROLLUP],0),MATCH(F$9,MMWR_RATING_RO_ROLLUP[#Headers],0)),"ERROR"))</f>
        <v>810</v>
      </c>
      <c r="G20" s="155">
        <f>IF($B20=" ","",IFERROR(INDEX(MMWR_RATING_RO_ROLLUP[],MATCH($B20,MMWR_RATING_RO_ROLLUP[MMWR_RATING_RO_ROLLUP],0),MATCH(G$9,MMWR_RATING_RO_ROLLUP[#Headers],0)),"ERROR"))</f>
        <v>7495</v>
      </c>
      <c r="H20" s="156">
        <f>IF($B20=" ","",IFERROR(INDEX(MMWR_RATING_RO_ROLLUP[],MATCH($B20,MMWR_RATING_RO_ROLLUP[MMWR_RATING_RO_ROLLUP],0),MATCH(H$9,MMWR_RATING_RO_ROLLUP[#Headers],0)),"ERROR"))</f>
        <v>133.39629629629999</v>
      </c>
      <c r="I20" s="156">
        <f>IF($B20=" ","",IFERROR(INDEX(MMWR_RATING_RO_ROLLUP[],MATCH($B20,MMWR_RATING_RO_ROLLUP[MMWR_RATING_RO_ROLLUP],0),MATCH(I$9,MMWR_RATING_RO_ROLLUP[#Headers],0)),"ERROR"))</f>
        <v>145.88845897260001</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1369</v>
      </c>
      <c r="D21" s="156">
        <f>IF($B21=" ","",IFERROR(INDEX(MMWR_RATING_RO_ROLLUP[],MATCH($B21,MMWR_RATING_RO_ROLLUP[MMWR_RATING_RO_ROLLUP],0),MATCH(D$9,MMWR_RATING_RO_ROLLUP[#Headers],0)),"ERROR"))</f>
        <v>97.473338203099999</v>
      </c>
      <c r="E21" s="157">
        <f>IF($B21=" ","",IFERROR(INDEX(MMWR_RATING_RO_ROLLUP[],MATCH($B21,MMWR_RATING_RO_ROLLUP[MMWR_RATING_RO_ROLLUP],0),MATCH(E$9,MMWR_RATING_RO_ROLLUP[#Headers],0))/$C21,"ERROR"))</f>
        <v>0.21694667640613585</v>
      </c>
      <c r="F21" s="155">
        <f>IF($B21=" ","",IFERROR(INDEX(MMWR_RATING_RO_ROLLUP[],MATCH($B21,MMWR_RATING_RO_ROLLUP[MMWR_RATING_RO_ROLLUP],0),MATCH(F$9,MMWR_RATING_RO_ROLLUP[#Headers],0)),"ERROR"))</f>
        <v>278</v>
      </c>
      <c r="G21" s="155">
        <f>IF($B21=" ","",IFERROR(INDEX(MMWR_RATING_RO_ROLLUP[],MATCH($B21,MMWR_RATING_RO_ROLLUP[MMWR_RATING_RO_ROLLUP],0),MATCH(G$9,MMWR_RATING_RO_ROLLUP[#Headers],0)),"ERROR"))</f>
        <v>3256</v>
      </c>
      <c r="H21" s="156">
        <f>IF($B21=" ","",IFERROR(INDEX(MMWR_RATING_RO_ROLLUP[],MATCH($B21,MMWR_RATING_RO_ROLLUP[MMWR_RATING_RO_ROLLUP],0),MATCH(H$9,MMWR_RATING_RO_ROLLUP[#Headers],0)),"ERROR"))</f>
        <v>158.9676258993</v>
      </c>
      <c r="I21" s="156">
        <f>IF($B21=" ","",IFERROR(INDEX(MMWR_RATING_RO_ROLLUP[],MATCH($B21,MMWR_RATING_RO_ROLLUP[MMWR_RATING_RO_ROLLUP],0),MATCH(I$9,MMWR_RATING_RO_ROLLUP[#Headers],0)),"ERROR"))</f>
        <v>179.34520884520001</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4940</v>
      </c>
      <c r="D22" s="156">
        <f>IF($B22=" ","",IFERROR(INDEX(MMWR_RATING_RO_ROLLUP[],MATCH($B22,MMWR_RATING_RO_ROLLUP[MMWR_RATING_RO_ROLLUP],0),MATCH(D$9,MMWR_RATING_RO_ROLLUP[#Headers],0)),"ERROR"))</f>
        <v>120.62085020240001</v>
      </c>
      <c r="E22" s="157">
        <f>IF($B22=" ","",IFERROR(INDEX(MMWR_RATING_RO_ROLLUP[],MATCH($B22,MMWR_RATING_RO_ROLLUP[MMWR_RATING_RO_ROLLUP],0),MATCH(E$9,MMWR_RATING_RO_ROLLUP[#Headers],0))/$C22,"ERROR"))</f>
        <v>0.34251012145748988</v>
      </c>
      <c r="F22" s="155">
        <f>IF($B22=" ","",IFERROR(INDEX(MMWR_RATING_RO_ROLLUP[],MATCH($B22,MMWR_RATING_RO_ROLLUP[MMWR_RATING_RO_ROLLUP],0),MATCH(F$9,MMWR_RATING_RO_ROLLUP[#Headers],0)),"ERROR"))</f>
        <v>1181</v>
      </c>
      <c r="G22" s="155">
        <f>IF($B22=" ","",IFERROR(INDEX(MMWR_RATING_RO_ROLLUP[],MATCH($B22,MMWR_RATING_RO_ROLLUP[MMWR_RATING_RO_ROLLUP],0),MATCH(G$9,MMWR_RATING_RO_ROLLUP[#Headers],0)),"ERROR"))</f>
        <v>13830</v>
      </c>
      <c r="H22" s="156">
        <f>IF($B22=" ","",IFERROR(INDEX(MMWR_RATING_RO_ROLLUP[],MATCH($B22,MMWR_RATING_RO_ROLLUP[MMWR_RATING_RO_ROLLUP],0),MATCH(H$9,MMWR_RATING_RO_ROLLUP[#Headers],0)),"ERROR"))</f>
        <v>179.00254022019999</v>
      </c>
      <c r="I22" s="156">
        <f>IF($B22=" ","",IFERROR(INDEX(MMWR_RATING_RO_ROLLUP[],MATCH($B22,MMWR_RATING_RO_ROLLUP[MMWR_RATING_RO_ROLLUP],0),MATCH(I$9,MMWR_RATING_RO_ROLLUP[#Headers],0)),"ERROR"))</f>
        <v>207.1780187997</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2881</v>
      </c>
      <c r="D23" s="156">
        <f>IF($B23=" ","",IFERROR(INDEX(MMWR_RATING_RO_ROLLUP[],MATCH($B23,MMWR_RATING_RO_ROLLUP[MMWR_RATING_RO_ROLLUP],0),MATCH(D$9,MMWR_RATING_RO_ROLLUP[#Headers],0)),"ERROR"))</f>
        <v>104.8622006248</v>
      </c>
      <c r="E23" s="157">
        <f>IF($B23=" ","",IFERROR(INDEX(MMWR_RATING_RO_ROLLUP[],MATCH($B23,MMWR_RATING_RO_ROLLUP[MMWR_RATING_RO_ROLLUP],0),MATCH(E$9,MMWR_RATING_RO_ROLLUP[#Headers],0))/$C23,"ERROR"))</f>
        <v>0.30059007289135714</v>
      </c>
      <c r="F23" s="155">
        <f>IF($B23=" ","",IFERROR(INDEX(MMWR_RATING_RO_ROLLUP[],MATCH($B23,MMWR_RATING_RO_ROLLUP[MMWR_RATING_RO_ROLLUP],0),MATCH(F$9,MMWR_RATING_RO_ROLLUP[#Headers],0)),"ERROR"))</f>
        <v>548</v>
      </c>
      <c r="G23" s="155">
        <f>IF($B23=" ","",IFERROR(INDEX(MMWR_RATING_RO_ROLLUP[],MATCH($B23,MMWR_RATING_RO_ROLLUP[MMWR_RATING_RO_ROLLUP],0),MATCH(G$9,MMWR_RATING_RO_ROLLUP[#Headers],0)),"ERROR"))</f>
        <v>6016</v>
      </c>
      <c r="H23" s="156">
        <f>IF($B23=" ","",IFERROR(INDEX(MMWR_RATING_RO_ROLLUP[],MATCH($B23,MMWR_RATING_RO_ROLLUP[MMWR_RATING_RO_ROLLUP],0),MATCH(H$9,MMWR_RATING_RO_ROLLUP[#Headers],0)),"ERROR"))</f>
        <v>149.99270072990001</v>
      </c>
      <c r="I23" s="156">
        <f>IF($B23=" ","",IFERROR(INDEX(MMWR_RATING_RO_ROLLUP[],MATCH($B23,MMWR_RATING_RO_ROLLUP[MMWR_RATING_RO_ROLLUP],0),MATCH(I$9,MMWR_RATING_RO_ROLLUP[#Headers],0)),"ERROR"))</f>
        <v>166.2051196809</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7737</v>
      </c>
      <c r="D24" s="156">
        <f>IF($B24=" ","",IFERROR(INDEX(MMWR_RATING_RO_ROLLUP[],MATCH($B24,MMWR_RATING_RO_ROLLUP[MMWR_RATING_RO_ROLLUP],0),MATCH(D$9,MMWR_RATING_RO_ROLLUP[#Headers],0)),"ERROR"))</f>
        <v>141.64740855630001</v>
      </c>
      <c r="E24" s="157">
        <f>IF($B24=" ","",IFERROR(INDEX(MMWR_RATING_RO_ROLLUP[],MATCH($B24,MMWR_RATING_RO_ROLLUP[MMWR_RATING_RO_ROLLUP],0),MATCH(E$9,MMWR_RATING_RO_ROLLUP[#Headers],0))/$C24,"ERROR"))</f>
        <v>0.41333850329585109</v>
      </c>
      <c r="F24" s="155">
        <f>IF($B24=" ","",IFERROR(INDEX(MMWR_RATING_RO_ROLLUP[],MATCH($B24,MMWR_RATING_RO_ROLLUP[MMWR_RATING_RO_ROLLUP],0),MATCH(F$9,MMWR_RATING_RO_ROLLUP[#Headers],0)),"ERROR"))</f>
        <v>1571</v>
      </c>
      <c r="G24" s="155">
        <f>IF($B24=" ","",IFERROR(INDEX(MMWR_RATING_RO_ROLLUP[],MATCH($B24,MMWR_RATING_RO_ROLLUP[MMWR_RATING_RO_ROLLUP],0),MATCH(G$9,MMWR_RATING_RO_ROLLUP[#Headers],0)),"ERROR"))</f>
        <v>24195</v>
      </c>
      <c r="H24" s="156">
        <f>IF($B24=" ","",IFERROR(INDEX(MMWR_RATING_RO_ROLLUP[],MATCH($B24,MMWR_RATING_RO_ROLLUP[MMWR_RATING_RO_ROLLUP],0),MATCH(H$9,MMWR_RATING_RO_ROLLUP[#Headers],0)),"ERROR"))</f>
        <v>180.77721196690001</v>
      </c>
      <c r="I24" s="156">
        <f>IF($B24=" ","",IFERROR(INDEX(MMWR_RATING_RO_ROLLUP[],MATCH($B24,MMWR_RATING_RO_ROLLUP[MMWR_RATING_RO_ROLLUP],0),MATCH(I$9,MMWR_RATING_RO_ROLLUP[#Headers],0)),"ERROR"))</f>
        <v>232.65306881590001</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4804</v>
      </c>
      <c r="D25" s="156">
        <f>IF($B25=" ","",IFERROR(INDEX(MMWR_RATING_RO_ROLLUP[],MATCH($B25,MMWR_RATING_RO_ROLLUP[MMWR_RATING_RO_ROLLUP],0),MATCH(D$9,MMWR_RATING_RO_ROLLUP[#Headers],0)),"ERROR"))</f>
        <v>136.8605328893</v>
      </c>
      <c r="E25" s="157">
        <f>IF($B25=" ","",IFERROR(INDEX(MMWR_RATING_RO_ROLLUP[],MATCH($B25,MMWR_RATING_RO_ROLLUP[MMWR_RATING_RO_ROLLUP],0),MATCH(E$9,MMWR_RATING_RO_ROLLUP[#Headers],0))/$C25,"ERROR"))</f>
        <v>0.36407160699417151</v>
      </c>
      <c r="F25" s="155">
        <f>IF($B25=" ","",IFERROR(INDEX(MMWR_RATING_RO_ROLLUP[],MATCH($B25,MMWR_RATING_RO_ROLLUP[MMWR_RATING_RO_ROLLUP],0),MATCH(F$9,MMWR_RATING_RO_ROLLUP[#Headers],0)),"ERROR"))</f>
        <v>744</v>
      </c>
      <c r="G25" s="155">
        <f>IF($B25=" ","",IFERROR(INDEX(MMWR_RATING_RO_ROLLUP[],MATCH($B25,MMWR_RATING_RO_ROLLUP[MMWR_RATING_RO_ROLLUP],0),MATCH(G$9,MMWR_RATING_RO_ROLLUP[#Headers],0)),"ERROR"))</f>
        <v>11056</v>
      </c>
      <c r="H25" s="156">
        <f>IF($B25=" ","",IFERROR(INDEX(MMWR_RATING_RO_ROLLUP[],MATCH($B25,MMWR_RATING_RO_ROLLUP[MMWR_RATING_RO_ROLLUP],0),MATCH(H$9,MMWR_RATING_RO_ROLLUP[#Headers],0)),"ERROR"))</f>
        <v>198.69623655909999</v>
      </c>
      <c r="I25" s="156">
        <f>IF($B25=" ","",IFERROR(INDEX(MMWR_RATING_RO_ROLLUP[],MATCH($B25,MMWR_RATING_RO_ROLLUP[MMWR_RATING_RO_ROLLUP],0),MATCH(I$9,MMWR_RATING_RO_ROLLUP[#Headers],0)),"ERROR"))</f>
        <v>211.5027134588</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2068</v>
      </c>
      <c r="D26" s="156">
        <f>IF($B26=" ","",IFERROR(INDEX(MMWR_RATING_RO_ROLLUP[],MATCH($B26,MMWR_RATING_RO_ROLLUP[MMWR_RATING_RO_ROLLUP],0),MATCH(D$9,MMWR_RATING_RO_ROLLUP[#Headers],0)),"ERROR"))</f>
        <v>88.7553191489</v>
      </c>
      <c r="E26" s="157">
        <f>IF($B26=" ","",IFERROR(INDEX(MMWR_RATING_RO_ROLLUP[],MATCH($B26,MMWR_RATING_RO_ROLLUP[MMWR_RATING_RO_ROLLUP],0),MATCH(E$9,MMWR_RATING_RO_ROLLUP[#Headers],0))/$C26,"ERROR"))</f>
        <v>0.22195357833655707</v>
      </c>
      <c r="F26" s="155">
        <f>IF($B26=" ","",IFERROR(INDEX(MMWR_RATING_RO_ROLLUP[],MATCH($B26,MMWR_RATING_RO_ROLLUP[MMWR_RATING_RO_ROLLUP],0),MATCH(F$9,MMWR_RATING_RO_ROLLUP[#Headers],0)),"ERROR"))</f>
        <v>1535</v>
      </c>
      <c r="G26" s="155">
        <f>IF($B26=" ","",IFERROR(INDEX(MMWR_RATING_RO_ROLLUP[],MATCH($B26,MMWR_RATING_RO_ROLLUP[MMWR_RATING_RO_ROLLUP],0),MATCH(G$9,MMWR_RATING_RO_ROLLUP[#Headers],0)),"ERROR"))</f>
        <v>19917</v>
      </c>
      <c r="H26" s="156">
        <f>IF($B26=" ","",IFERROR(INDEX(MMWR_RATING_RO_ROLLUP[],MATCH($B26,MMWR_RATING_RO_ROLLUP[MMWR_RATING_RO_ROLLUP],0),MATCH(H$9,MMWR_RATING_RO_ROLLUP[#Headers],0)),"ERROR"))</f>
        <v>51.018241042299998</v>
      </c>
      <c r="I26" s="156">
        <f>IF($B26=" ","",IFERROR(INDEX(MMWR_RATING_RO_ROLLUP[],MATCH($B26,MMWR_RATING_RO_ROLLUP[MMWR_RATING_RO_ROLLUP],0),MATCH(I$9,MMWR_RATING_RO_ROLLUP[#Headers],0)),"ERROR"))</f>
        <v>55.971582065600003</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11389</v>
      </c>
      <c r="D27" s="156">
        <f>IF($B27=" ","",IFERROR(INDEX(MMWR_RATING_RO_ROLLUP[],MATCH($B27,MMWR_RATING_RO_ROLLUP[MMWR_RATING_RO_ROLLUP],0),MATCH(D$9,MMWR_RATING_RO_ROLLUP[#Headers],0)),"ERROR"))</f>
        <v>112.2020370533</v>
      </c>
      <c r="E27" s="157">
        <f>IF($B27=" ","",IFERROR(INDEX(MMWR_RATING_RO_ROLLUP[],MATCH($B27,MMWR_RATING_RO_ROLLUP[MMWR_RATING_RO_ROLLUP],0),MATCH(E$9,MMWR_RATING_RO_ROLLUP[#Headers],0))/$C27,"ERROR"))</f>
        <v>0.31319694442005441</v>
      </c>
      <c r="F27" s="155">
        <f>IF($B27=" ","",IFERROR(INDEX(MMWR_RATING_RO_ROLLUP[],MATCH($B27,MMWR_RATING_RO_ROLLUP[MMWR_RATING_RO_ROLLUP],0),MATCH(F$9,MMWR_RATING_RO_ROLLUP[#Headers],0)),"ERROR"))</f>
        <v>2689</v>
      </c>
      <c r="G27" s="155">
        <f>IF($B27=" ","",IFERROR(INDEX(MMWR_RATING_RO_ROLLUP[],MATCH($B27,MMWR_RATING_RO_ROLLUP[MMWR_RATING_RO_ROLLUP],0),MATCH(G$9,MMWR_RATING_RO_ROLLUP[#Headers],0)),"ERROR"))</f>
        <v>31796</v>
      </c>
      <c r="H27" s="156">
        <f>IF($B27=" ","",IFERROR(INDEX(MMWR_RATING_RO_ROLLUP[],MATCH($B27,MMWR_RATING_RO_ROLLUP[MMWR_RATING_RO_ROLLUP],0),MATCH(H$9,MMWR_RATING_RO_ROLLUP[#Headers],0)),"ERROR"))</f>
        <v>174.44589066570001</v>
      </c>
      <c r="I27" s="156">
        <f>IF($B27=" ","",IFERROR(INDEX(MMWR_RATING_RO_ROLLUP[],MATCH($B27,MMWR_RATING_RO_ROLLUP[MMWR_RATING_RO_ROLLUP],0),MATCH(I$9,MMWR_RATING_RO_ROLLUP[#Headers],0)),"ERROR"))</f>
        <v>212.79434520070001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1429</v>
      </c>
      <c r="D28" s="156">
        <f>IF($B28=" ","",IFERROR(INDEX(MMWR_RATING_RO_ROLLUP[],MATCH($B28,MMWR_RATING_RO_ROLLUP[MMWR_RATING_RO_ROLLUP],0),MATCH(D$9,MMWR_RATING_RO_ROLLUP[#Headers],0)),"ERROR"))</f>
        <v>82.086773967799999</v>
      </c>
      <c r="E28" s="157">
        <f>IF($B28=" ","",IFERROR(INDEX(MMWR_RATING_RO_ROLLUP[],MATCH($B28,MMWR_RATING_RO_ROLLUP[MMWR_RATING_RO_ROLLUP],0),MATCH(E$9,MMWR_RATING_RO_ROLLUP[#Headers],0))/$C28,"ERROR"))</f>
        <v>0.14625612316305109</v>
      </c>
      <c r="F28" s="155">
        <f>IF($B28=" ","",IFERROR(INDEX(MMWR_RATING_RO_ROLLUP[],MATCH($B28,MMWR_RATING_RO_ROLLUP[MMWR_RATING_RO_ROLLUP],0),MATCH(F$9,MMWR_RATING_RO_ROLLUP[#Headers],0)),"ERROR"))</f>
        <v>279</v>
      </c>
      <c r="G28" s="155">
        <f>IF($B28=" ","",IFERROR(INDEX(MMWR_RATING_RO_ROLLUP[],MATCH($B28,MMWR_RATING_RO_ROLLUP[MMWR_RATING_RO_ROLLUP],0),MATCH(G$9,MMWR_RATING_RO_ROLLUP[#Headers],0)),"ERROR"))</f>
        <v>3617</v>
      </c>
      <c r="H28" s="156">
        <f>IF($B28=" ","",IFERROR(INDEX(MMWR_RATING_RO_ROLLUP[],MATCH($B28,MMWR_RATING_RO_ROLLUP[MMWR_RATING_RO_ROLLUP],0),MATCH(H$9,MMWR_RATING_RO_ROLLUP[#Headers],0)),"ERROR"))</f>
        <v>151.97849462369999</v>
      </c>
      <c r="I28" s="156">
        <f>IF($B28=" ","",IFERROR(INDEX(MMWR_RATING_RO_ROLLUP[],MATCH($B28,MMWR_RATING_RO_ROLLUP[MMWR_RATING_RO_ROLLUP],0),MATCH(I$9,MMWR_RATING_RO_ROLLUP[#Headers],0)),"ERROR"))</f>
        <v>130.06745922030001</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426</v>
      </c>
      <c r="D29" s="156">
        <f>IF($B29=" ","",IFERROR(INDEX(MMWR_RATING_RO_ROLLUP[],MATCH($B29,MMWR_RATING_RO_ROLLUP[MMWR_RATING_RO_ROLLUP],0),MATCH(D$9,MMWR_RATING_RO_ROLLUP[#Headers],0)),"ERROR"))</f>
        <v>107.1408450704</v>
      </c>
      <c r="E29" s="157">
        <f>IF($B29=" ","",IFERROR(INDEX(MMWR_RATING_RO_ROLLUP[],MATCH($B29,MMWR_RATING_RO_ROLLUP[MMWR_RATING_RO_ROLLUP],0),MATCH(E$9,MMWR_RATING_RO_ROLLUP[#Headers],0))/$C29,"ERROR"))</f>
        <v>0.29342723004694837</v>
      </c>
      <c r="F29" s="155">
        <f>IF($B29=" ","",IFERROR(INDEX(MMWR_RATING_RO_ROLLUP[],MATCH($B29,MMWR_RATING_RO_ROLLUP[MMWR_RATING_RO_ROLLUP],0),MATCH(F$9,MMWR_RATING_RO_ROLLUP[#Headers],0)),"ERROR"))</f>
        <v>73</v>
      </c>
      <c r="G29" s="155">
        <f>IF($B29=" ","",IFERROR(INDEX(MMWR_RATING_RO_ROLLUP[],MATCH($B29,MMWR_RATING_RO_ROLLUP[MMWR_RATING_RO_ROLLUP],0),MATCH(G$9,MMWR_RATING_RO_ROLLUP[#Headers],0)),"ERROR"))</f>
        <v>1258</v>
      </c>
      <c r="H29" s="156">
        <f>IF($B29=" ","",IFERROR(INDEX(MMWR_RATING_RO_ROLLUP[],MATCH($B29,MMWR_RATING_RO_ROLLUP[MMWR_RATING_RO_ROLLUP],0),MATCH(H$9,MMWR_RATING_RO_ROLLUP[#Headers],0)),"ERROR"))</f>
        <v>147.46575342470001</v>
      </c>
      <c r="I29" s="156">
        <f>IF($B29=" ","",IFERROR(INDEX(MMWR_RATING_RO_ROLLUP[],MATCH($B29,MMWR_RATING_RO_ROLLUP[MMWR_RATING_RO_ROLLUP],0),MATCH(I$9,MMWR_RATING_RO_ROLLUP[#Headers],0)),"ERROR"))</f>
        <v>171.55564387920001</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853</v>
      </c>
      <c r="D30" s="156">
        <f>IF($B30=" ","",IFERROR(INDEX(MMWR_RATING_RO_ROLLUP[],MATCH($B30,MMWR_RATING_RO_ROLLUP[MMWR_RATING_RO_ROLLUP],0),MATCH(D$9,MMWR_RATING_RO_ROLLUP[#Headers],0)),"ERROR"))</f>
        <v>126.97420867530001</v>
      </c>
      <c r="E30" s="157">
        <f>IF($B30=" ","",IFERROR(INDEX(MMWR_RATING_RO_ROLLUP[],MATCH($B30,MMWR_RATING_RO_ROLLUP[MMWR_RATING_RO_ROLLUP],0),MATCH(E$9,MMWR_RATING_RO_ROLLUP[#Headers],0))/$C30,"ERROR"))</f>
        <v>0.34466588511137164</v>
      </c>
      <c r="F30" s="155">
        <f>IF($B30=" ","",IFERROR(INDEX(MMWR_RATING_RO_ROLLUP[],MATCH($B30,MMWR_RATING_RO_ROLLUP[MMWR_RATING_RO_ROLLUP],0),MATCH(F$9,MMWR_RATING_RO_ROLLUP[#Headers],0)),"ERROR"))</f>
        <v>150</v>
      </c>
      <c r="G30" s="155">
        <f>IF($B30=" ","",IFERROR(INDEX(MMWR_RATING_RO_ROLLUP[],MATCH($B30,MMWR_RATING_RO_ROLLUP[MMWR_RATING_RO_ROLLUP],0),MATCH(G$9,MMWR_RATING_RO_ROLLUP[#Headers],0)),"ERROR"))</f>
        <v>2240</v>
      </c>
      <c r="H30" s="156">
        <f>IF($B30=" ","",IFERROR(INDEX(MMWR_RATING_RO_ROLLUP[],MATCH($B30,MMWR_RATING_RO_ROLLUP[MMWR_RATING_RO_ROLLUP],0),MATCH(H$9,MMWR_RATING_RO_ROLLUP[#Headers],0)),"ERROR"))</f>
        <v>236.6533333333</v>
      </c>
      <c r="I30" s="156">
        <f>IF($B30=" ","",IFERROR(INDEX(MMWR_RATING_RO_ROLLUP[],MATCH($B30,MMWR_RATING_RO_ROLLUP[MMWR_RATING_RO_ROLLUP],0),MATCH(I$9,MMWR_RATING_RO_ROLLUP[#Headers],0)),"ERROR"))</f>
        <v>225.01607142859999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18018</v>
      </c>
      <c r="D31" s="156">
        <f>IF($B31=" ","",IFERROR(INDEX(MMWR_RATING_RO_ROLLUP[],MATCH($B31,MMWR_RATING_RO_ROLLUP[MMWR_RATING_RO_ROLLUP],0),MATCH(D$9,MMWR_RATING_RO_ROLLUP[#Headers],0)),"ERROR"))</f>
        <v>123.5614940615</v>
      </c>
      <c r="E31" s="157">
        <f>IF($B31=" ","",IFERROR(INDEX(MMWR_RATING_RO_ROLLUP[],MATCH($B31,MMWR_RATING_RO_ROLLUP[MMWR_RATING_RO_ROLLUP],0),MATCH(E$9,MMWR_RATING_RO_ROLLUP[#Headers],0))/$C31,"ERROR"))</f>
        <v>0.34404484404484403</v>
      </c>
      <c r="F31" s="155">
        <f>IF($B31=" ","",IFERROR(INDEX(MMWR_RATING_RO_ROLLUP[],MATCH($B31,MMWR_RATING_RO_ROLLUP[MMWR_RATING_RO_ROLLUP],0),MATCH(F$9,MMWR_RATING_RO_ROLLUP[#Headers],0)),"ERROR"))</f>
        <v>3771</v>
      </c>
      <c r="G31" s="155">
        <f>IF($B31=" ","",IFERROR(INDEX(MMWR_RATING_RO_ROLLUP[],MATCH($B31,MMWR_RATING_RO_ROLLUP[MMWR_RATING_RO_ROLLUP],0),MATCH(G$9,MMWR_RATING_RO_ROLLUP[#Headers],0)),"ERROR"))</f>
        <v>46060</v>
      </c>
      <c r="H31" s="156">
        <f>IF($B31=" ","",IFERROR(INDEX(MMWR_RATING_RO_ROLLUP[],MATCH($B31,MMWR_RATING_RO_ROLLUP[MMWR_RATING_RO_ROLLUP],0),MATCH(H$9,MMWR_RATING_RO_ROLLUP[#Headers],0)),"ERROR"))</f>
        <v>178.2134712278</v>
      </c>
      <c r="I31" s="156">
        <f>IF($B31=" ","",IFERROR(INDEX(MMWR_RATING_RO_ROLLUP[],MATCH($B31,MMWR_RATING_RO_ROLLUP[MMWR_RATING_RO_ROLLUP],0),MATCH(I$9,MMWR_RATING_RO_ROLLUP[#Headers],0)),"ERROR"))</f>
        <v>209.0622014763</v>
      </c>
      <c r="J31" s="42"/>
      <c r="K31" s="42"/>
      <c r="L31" s="42"/>
      <c r="M31" s="42"/>
      <c r="N31" s="28"/>
    </row>
    <row r="32" spans="1:14" x14ac:dyDescent="0.2">
      <c r="A32" s="25"/>
      <c r="B32" s="339" t="s">
        <v>743</v>
      </c>
      <c r="C32" s="340"/>
      <c r="D32" s="340"/>
      <c r="E32" s="340"/>
      <c r="F32" s="340"/>
      <c r="G32" s="340"/>
      <c r="H32" s="340"/>
      <c r="I32" s="340"/>
      <c r="J32" s="340"/>
      <c r="K32" s="340"/>
      <c r="L32" s="340"/>
      <c r="M32" s="390"/>
      <c r="N32" s="28"/>
    </row>
    <row r="33" spans="1:14" x14ac:dyDescent="0.2">
      <c r="A33" s="25"/>
      <c r="B33" s="11" t="s">
        <v>706</v>
      </c>
      <c r="C33" s="155">
        <f>IF($B33=" ","",IFERROR(INDEX(MMWR_RATING_RO_ROLLUP[],MATCH($B33,MMWR_RATING_RO_ROLLUP[MMWR_RATING_RO_ROLLUP],0),MATCH(C$9,MMWR_RATING_RO_ROLLUP[#Headers],0)),"ERROR"))</f>
        <v>18538</v>
      </c>
      <c r="D33" s="156">
        <f>IF($B33=" ","",IFERROR(INDEX(MMWR_RATING_RO_ROLLUP[],MATCH($B33,MMWR_RATING_RO_ROLLUP[MMWR_RATING_RO_ROLLUP],0),MATCH(D$9,MMWR_RATING_RO_ROLLUP[#Headers],0)),"ERROR"))</f>
        <v>63.4223756608</v>
      </c>
      <c r="E33" s="157">
        <f>IF($B33=" ","",IFERROR(INDEX(MMWR_RATING_RO_ROLLUP[],MATCH($B33,MMWR_RATING_RO_ROLLUP[MMWR_RATING_RO_ROLLUP],0),MATCH(E$9,MMWR_RATING_RO_ROLLUP[#Headers],0))/$C33,"ERROR"))</f>
        <v>0.10497356780666739</v>
      </c>
      <c r="F33" s="155">
        <f>IF($B33=" ","",IFERROR(INDEX(MMWR_RATING_RO_ROLLUP[],MATCH($B33,MMWR_RATING_RO_ROLLUP[MMWR_RATING_RO_ROLLUP],0),MATCH(F$9,MMWR_RATING_RO_ROLLUP[#Headers],0)),"ERROR"))</f>
        <v>9164</v>
      </c>
      <c r="G33" s="155">
        <f>IF($B33=" ","",IFERROR(INDEX(MMWR_RATING_RO_ROLLUP[],MATCH($B33,MMWR_RATING_RO_ROLLUP[MMWR_RATING_RO_ROLLUP],0),MATCH(G$9,MMWR_RATING_RO_ROLLUP[#Headers],0)),"ERROR"))</f>
        <v>124866</v>
      </c>
      <c r="H33" s="156">
        <f>IF($B33=" ","",IFERROR(INDEX(MMWR_RATING_RO_ROLLUP[],MATCH($B33,MMWR_RATING_RO_ROLLUP[MMWR_RATING_RO_ROLLUP],0),MATCH(H$9,MMWR_RATING_RO_ROLLUP[#Headers],0)),"ERROR"))</f>
        <v>64.808271497199996</v>
      </c>
      <c r="I33" s="156">
        <f>IF($B33=" ","",IFERROR(INDEX(MMWR_RATING_RO_ROLLUP[],MATCH($B33,MMWR_RATING_RO_ROLLUP[MMWR_RATING_RO_ROLLUP],0),MATCH(I$9,MMWR_RATING_RO_ROLLUP[#Headers],0)),"ERROR"))</f>
        <v>64.461270482000003</v>
      </c>
      <c r="J33" s="42"/>
      <c r="K33" s="42"/>
      <c r="L33" s="42"/>
      <c r="M33" s="42"/>
      <c r="N33" s="28"/>
    </row>
    <row r="34" spans="1:14" x14ac:dyDescent="0.2">
      <c r="A34" s="25"/>
      <c r="B34" s="12" t="s">
        <v>218</v>
      </c>
      <c r="C34" s="155">
        <f>IF($B34=" ","",IFERROR(INDEX(MMWR_RATING_RO_ROLLUP[],MATCH($B34,MMWR_RATING_RO_ROLLUP[MMWR_RATING_RO_ROLLUP],0),MATCH(C$9,MMWR_RATING_RO_ROLLUP[#Headers],0)),"ERROR"))</f>
        <v>5478</v>
      </c>
      <c r="D34" s="156">
        <f>IF($B34=" ","",IFERROR(INDEX(MMWR_RATING_RO_ROLLUP[],MATCH($B34,MMWR_RATING_RO_ROLLUP[MMWR_RATING_RO_ROLLUP],0),MATCH(D$9,MMWR_RATING_RO_ROLLUP[#Headers],0)),"ERROR"))</f>
        <v>68.467323840800006</v>
      </c>
      <c r="E34" s="157">
        <f>IF($B34=" ","",IFERROR(INDEX(MMWR_RATING_RO_ROLLUP[],MATCH($B34,MMWR_RATING_RO_ROLLUP[MMWR_RATING_RO_ROLLUP],0),MATCH(E$9,MMWR_RATING_RO_ROLLUP[#Headers],0))/$C34,"ERROR"))</f>
        <v>0.13125228185469148</v>
      </c>
      <c r="F34" s="155">
        <f>IF($B34=" ","",IFERROR(INDEX(MMWR_RATING_RO_ROLLUP[],MATCH($B34,MMWR_RATING_RO_ROLLUP[MMWR_RATING_RO_ROLLUP],0),MATCH(F$9,MMWR_RATING_RO_ROLLUP[#Headers],0)),"ERROR"))</f>
        <v>3135</v>
      </c>
      <c r="G34" s="155">
        <f>IF($B34=" ","",IFERROR(INDEX(MMWR_RATING_RO_ROLLUP[],MATCH($B34,MMWR_RATING_RO_ROLLUP[MMWR_RATING_RO_ROLLUP],0),MATCH(G$9,MMWR_RATING_RO_ROLLUP[#Headers],0)),"ERROR"))</f>
        <v>39860</v>
      </c>
      <c r="H34" s="156">
        <f>IF($B34=" ","",IFERROR(INDEX(MMWR_RATING_RO_ROLLUP[],MATCH($B34,MMWR_RATING_RO_ROLLUP[MMWR_RATING_RO_ROLLUP],0),MATCH(H$9,MMWR_RATING_RO_ROLLUP[#Headers],0)),"ERROR"))</f>
        <v>70.995853269500003</v>
      </c>
      <c r="I34" s="156">
        <f>IF($B34=" ","",IFERROR(INDEX(MMWR_RATING_RO_ROLLUP[],MATCH($B34,MMWR_RATING_RO_ROLLUP[MMWR_RATING_RO_ROLLUP],0),MATCH(I$9,MMWR_RATING_RO_ROLLUP[#Headers],0)),"ERROR"))</f>
        <v>72.320898143500003</v>
      </c>
      <c r="J34" s="42"/>
      <c r="K34" s="42"/>
      <c r="L34" s="42"/>
      <c r="M34" s="42"/>
      <c r="N34" s="28"/>
    </row>
    <row r="35" spans="1:14" x14ac:dyDescent="0.2">
      <c r="A35" s="43"/>
      <c r="B35" s="12" t="s">
        <v>217</v>
      </c>
      <c r="C35" s="155">
        <f>IF($B35=" ","",IFERROR(INDEX(MMWR_RATING_RO_ROLLUP[],MATCH($B35,MMWR_RATING_RO_ROLLUP[MMWR_RATING_RO_ROLLUP],0),MATCH(C$9,MMWR_RATING_RO_ROLLUP[#Headers],0)),"ERROR"))</f>
        <v>4658</v>
      </c>
      <c r="D35" s="156">
        <f>IF($B35=" ","",IFERROR(INDEX(MMWR_RATING_RO_ROLLUP[],MATCH($B35,MMWR_RATING_RO_ROLLUP[MMWR_RATING_RO_ROLLUP],0),MATCH(D$9,MMWR_RATING_RO_ROLLUP[#Headers],0)),"ERROR"))</f>
        <v>57.159939888399997</v>
      </c>
      <c r="E35" s="157">
        <f>IF($B35=" ","",IFERROR(INDEX(MMWR_RATING_RO_ROLLUP[],MATCH($B35,MMWR_RATING_RO_ROLLUP[MMWR_RATING_RO_ROLLUP],0),MATCH(E$9,MMWR_RATING_RO_ROLLUP[#Headers],0))/$C35,"ERROR"))</f>
        <v>9.5534564190639756E-2</v>
      </c>
      <c r="F35" s="155">
        <f>IF($B35=" ","",IFERROR(INDEX(MMWR_RATING_RO_ROLLUP[],MATCH($B35,MMWR_RATING_RO_ROLLUP[MMWR_RATING_RO_ROLLUP],0),MATCH(F$9,MMWR_RATING_RO_ROLLUP[#Headers],0)),"ERROR"))</f>
        <v>2353</v>
      </c>
      <c r="G35" s="155">
        <f>IF($B35=" ","",IFERROR(INDEX(MMWR_RATING_RO_ROLLUP[],MATCH($B35,MMWR_RATING_RO_ROLLUP[MMWR_RATING_RO_ROLLUP],0),MATCH(G$9,MMWR_RATING_RO_ROLLUP[#Headers],0)),"ERROR"))</f>
        <v>35139</v>
      </c>
      <c r="H35" s="156">
        <f>IF($B35=" ","",IFERROR(INDEX(MMWR_RATING_RO_ROLLUP[],MATCH($B35,MMWR_RATING_RO_ROLLUP[MMWR_RATING_RO_ROLLUP],0),MATCH(H$9,MMWR_RATING_RO_ROLLUP[#Headers],0)),"ERROR"))</f>
        <v>52.285592860199998</v>
      </c>
      <c r="I35" s="156">
        <f>IF($B35=" ","",IFERROR(INDEX(MMWR_RATING_RO_ROLLUP[],MATCH($B35,MMWR_RATING_RO_ROLLUP[MMWR_RATING_RO_ROLLUP],0),MATCH(I$9,MMWR_RATING_RO_ROLLUP[#Headers],0)),"ERROR"))</f>
        <v>54.844560175300003</v>
      </c>
      <c r="J35" s="42"/>
      <c r="K35" s="42"/>
      <c r="L35" s="42"/>
      <c r="M35" s="42"/>
      <c r="N35" s="28"/>
    </row>
    <row r="36" spans="1:14" x14ac:dyDescent="0.2">
      <c r="A36" s="25"/>
      <c r="B36" s="12" t="s">
        <v>220</v>
      </c>
      <c r="C36" s="155">
        <f>IF($B36=" ","",IFERROR(INDEX(MMWR_RATING_RO_ROLLUP[],MATCH($B36,MMWR_RATING_RO_ROLLUP[MMWR_RATING_RO_ROLLUP],0),MATCH(C$9,MMWR_RATING_RO_ROLLUP[#Headers],0)),"ERROR"))</f>
        <v>7903</v>
      </c>
      <c r="D36" s="156">
        <f>IF($B36=" ","",IFERROR(INDEX(MMWR_RATING_RO_ROLLUP[],MATCH($B36,MMWR_RATING_RO_ROLLUP[MMWR_RATING_RO_ROLLUP],0),MATCH(D$9,MMWR_RATING_RO_ROLLUP[#Headers],0)),"ERROR"))</f>
        <v>56.991522206799999</v>
      </c>
      <c r="E36" s="157">
        <f>IF($B36=" ","",IFERROR(INDEX(MMWR_RATING_RO_ROLLUP[],MATCH($B36,MMWR_RATING_RO_ROLLUP[MMWR_RATING_RO_ROLLUP],0),MATCH(E$9,MMWR_RATING_RO_ROLLUP[#Headers],0))/$C36,"ERROR"))</f>
        <v>6.7822345944578005E-2</v>
      </c>
      <c r="F36" s="155">
        <f>IF($B36=" ","",IFERROR(INDEX(MMWR_RATING_RO_ROLLUP[],MATCH($B36,MMWR_RATING_RO_ROLLUP[MMWR_RATING_RO_ROLLUP],0),MATCH(F$9,MMWR_RATING_RO_ROLLUP[#Headers],0)),"ERROR"))</f>
        <v>3318</v>
      </c>
      <c r="G36" s="155">
        <f>IF($B36=" ","",IFERROR(INDEX(MMWR_RATING_RO_ROLLUP[],MATCH($B36,MMWR_RATING_RO_ROLLUP[MMWR_RATING_RO_ROLLUP],0),MATCH(G$9,MMWR_RATING_RO_ROLLUP[#Headers],0)),"ERROR"))</f>
        <v>45180</v>
      </c>
      <c r="H36" s="156">
        <f>IF($B36=" ","",IFERROR(INDEX(MMWR_RATING_RO_ROLLUP[],MATCH($B36,MMWR_RATING_RO_ROLLUP[MMWR_RATING_RO_ROLLUP],0),MATCH(H$9,MMWR_RATING_RO_ROLLUP[#Headers],0)),"ERROR"))</f>
        <v>66.341169379099995</v>
      </c>
      <c r="I36" s="156">
        <f>IF($B36=" ","",IFERROR(INDEX(MMWR_RATING_RO_ROLLUP[],MATCH($B36,MMWR_RATING_RO_ROLLUP[MMWR_RATING_RO_ROLLUP],0),MATCH(I$9,MMWR_RATING_RO_ROLLUP[#Headers],0)),"ERROR"))</f>
        <v>64.616046923400006</v>
      </c>
      <c r="J36" s="42"/>
      <c r="K36" s="42"/>
      <c r="L36" s="42"/>
      <c r="M36" s="42"/>
      <c r="N36" s="28"/>
    </row>
    <row r="37" spans="1:14" x14ac:dyDescent="0.2">
      <c r="A37" s="25"/>
      <c r="B37" s="13" t="s">
        <v>232</v>
      </c>
      <c r="C37" s="155">
        <f>IF($B37=" ","",IFERROR(INDEX(MMWR_RATING_RO_ROLLUP[],MATCH($B37,MMWR_RATING_RO_ROLLUP[MMWR_RATING_RO_ROLLUP],0),MATCH(C$9,MMWR_RATING_RO_ROLLUP[#Headers],0)),"ERROR"))</f>
        <v>499</v>
      </c>
      <c r="D37" s="156">
        <f>IF($B37=" ","",IFERROR(INDEX(MMWR_RATING_RO_ROLLUP[],MATCH($B37,MMWR_RATING_RO_ROLLUP[MMWR_RATING_RO_ROLLUP],0),MATCH(D$9,MMWR_RATING_RO_ROLLUP[#Headers],0)),"ERROR"))</f>
        <v>168.34669338680001</v>
      </c>
      <c r="E37" s="157">
        <f>IF($B37=" ","",IFERROR(INDEX(MMWR_RATING_RO_ROLLUP[],MATCH($B37,MMWR_RATING_RO_ROLLUP[MMWR_RATING_RO_ROLLUP],0),MATCH(E$9,MMWR_RATING_RO_ROLLUP[#Headers],0))/$C37,"ERROR"))</f>
        <v>0.49298597194388777</v>
      </c>
      <c r="F37" s="155">
        <f>IF($B37=" ","",IFERROR(INDEX(MMWR_RATING_RO_ROLLUP[],MATCH($B37,MMWR_RATING_RO_ROLLUP[MMWR_RATING_RO_ROLLUP],0),MATCH(F$9,MMWR_RATING_RO_ROLLUP[#Headers],0)),"ERROR"))</f>
        <v>358</v>
      </c>
      <c r="G37" s="155">
        <f>IF($B37=" ","",IFERROR(INDEX(MMWR_RATING_RO_ROLLUP[],MATCH($B37,MMWR_RATING_RO_ROLLUP[MMWR_RATING_RO_ROLLUP],0),MATCH(G$9,MMWR_RATING_RO_ROLLUP[#Headers],0)),"ERROR"))</f>
        <v>4687</v>
      </c>
      <c r="H37" s="156">
        <f>IF($B37=" ","",IFERROR(INDEX(MMWR_RATING_RO_ROLLUP[],MATCH($B37,MMWR_RATING_RO_ROLLUP[MMWR_RATING_RO_ROLLUP],0),MATCH(H$9,MMWR_RATING_RO_ROLLUP[#Headers],0)),"ERROR"))</f>
        <v>78.723463687199995</v>
      </c>
      <c r="I37" s="156">
        <f>IF($B37=" ","",IFERROR(INDEX(MMWR_RATING_RO_ROLLUP[],MATCH($B37,MMWR_RATING_RO_ROLLUP[MMWR_RATING_RO_ROLLUP],0),MATCH(I$9,MMWR_RATING_RO_ROLLUP[#Headers],0)),"ERROR"))</f>
        <v>68.2257307446</v>
      </c>
      <c r="J37" s="42"/>
      <c r="K37" s="42"/>
      <c r="L37" s="42"/>
      <c r="M37" s="42"/>
      <c r="N37" s="28"/>
    </row>
    <row r="38" spans="1:14" x14ac:dyDescent="0.2">
      <c r="A38" s="25"/>
      <c r="B38" s="339" t="s">
        <v>926</v>
      </c>
      <c r="C38" s="340"/>
      <c r="D38" s="340"/>
      <c r="E38" s="340"/>
      <c r="F38" s="340"/>
      <c r="G38" s="340"/>
      <c r="H38" s="340"/>
      <c r="I38" s="340"/>
      <c r="J38" s="340"/>
      <c r="K38" s="340"/>
      <c r="L38" s="340"/>
      <c r="M38" s="390"/>
      <c r="N38" s="28"/>
    </row>
    <row r="39" spans="1:14" x14ac:dyDescent="0.2">
      <c r="A39" s="25"/>
      <c r="B39" s="44" t="s">
        <v>707</v>
      </c>
      <c r="C39" s="155">
        <f>IF($B39=" ","",IFERROR(INDEX(MMWR_RATING_RO_ROLLUP[],MATCH($B39,MMWR_RATING_RO_ROLLUP[MMWR_RATING_RO_ROLLUP],0),MATCH(C$9,MMWR_RATING_RO_ROLLUP[#Headers],0)),"ERROR"))</f>
        <v>8129</v>
      </c>
      <c r="D39" s="156">
        <f>IF($B39=" ","",IFERROR(INDEX(MMWR_RATING_RO_ROLLUP[],MATCH($B39,MMWR_RATING_RO_ROLLUP[MMWR_RATING_RO_ROLLUP],0),MATCH(D$9,MMWR_RATING_RO_ROLLUP[#Headers],0)),"ERROR"))</f>
        <v>73.851642268399999</v>
      </c>
      <c r="E39" s="157">
        <f>IF($B39=" ","",IFERROR(INDEX(MMWR_RATING_RO_ROLLUP[],MATCH($B39,MMWR_RATING_RO_ROLLUP[MMWR_RATING_RO_ROLLUP],0),MATCH(E$9,MMWR_RATING_RO_ROLLUP[#Headers],0))/$C39,"ERROR"))</f>
        <v>0.15007996063476442</v>
      </c>
      <c r="F39" s="155">
        <f>IF($B39=" ","",IFERROR(INDEX(MMWR_RATING_RO_ROLLUP[],MATCH($B39,MMWR_RATING_RO_ROLLUP[MMWR_RATING_RO_ROLLUP],0),MATCH(F$9,MMWR_RATING_RO_ROLLUP[#Headers],0)),"ERROR"))</f>
        <v>1611</v>
      </c>
      <c r="G39" s="155">
        <f>IF($B39=" ","",IFERROR(INDEX(MMWR_RATING_RO_ROLLUP[],MATCH($B39,MMWR_RATING_RO_ROLLUP[MMWR_RATING_RO_ROLLUP],0),MATCH(G$9,MMWR_RATING_RO_ROLLUP[#Headers],0)),"ERROR"))</f>
        <v>21009</v>
      </c>
      <c r="H39" s="156">
        <f>IF($B39=" ","",IFERROR(INDEX(MMWR_RATING_RO_ROLLUP[],MATCH($B39,MMWR_RATING_RO_ROLLUP[MMWR_RATING_RO_ROLLUP],0),MATCH(H$9,MMWR_RATING_RO_ROLLUP[#Headers],0)),"ERROR"))</f>
        <v>125.3538175047</v>
      </c>
      <c r="I39" s="156">
        <f>IF($B39=" ","",IFERROR(INDEX(MMWR_RATING_RO_ROLLUP[],MATCH($B39,MMWR_RATING_RO_ROLLUP[MMWR_RATING_RO_ROLLUP],0),MATCH(I$9,MMWR_RATING_RO_ROLLUP[#Headers],0)),"ERROR"))</f>
        <v>134.488838117</v>
      </c>
      <c r="J39" s="42"/>
      <c r="K39" s="42"/>
      <c r="L39" s="42"/>
      <c r="M39" s="42"/>
      <c r="N39" s="28"/>
    </row>
    <row r="40" spans="1:14" x14ac:dyDescent="0.2">
      <c r="A40" s="25"/>
      <c r="B40" s="53" t="s">
        <v>968</v>
      </c>
      <c r="C40" s="155">
        <f>IF($B40=" ","",IFERROR(INDEX(MMWR_RATING_RO_ROLLUP[],MATCH($B40,MMWR_RATING_RO_ROLLUP[MMWR_RATING_RO_ROLLUP],0),MATCH(C$9,MMWR_RATING_RO_ROLLUP[#Headers],0)),"ERROR"))</f>
        <v>2648</v>
      </c>
      <c r="D40" s="156">
        <f>IF($B40=" ","",IFERROR(INDEX(MMWR_RATING_RO_ROLLUP[],MATCH($B40,MMWR_RATING_RO_ROLLUP[MMWR_RATING_RO_ROLLUP],0),MATCH(D$9,MMWR_RATING_RO_ROLLUP[#Headers],0)),"ERROR"))</f>
        <v>68.100830815699993</v>
      </c>
      <c r="E40" s="157">
        <f>IF($B40=" ","",IFERROR(INDEX(MMWR_RATING_RO_ROLLUP[],MATCH($B40,MMWR_RATING_RO_ROLLUP[MMWR_RATING_RO_ROLLUP],0),MATCH(E$9,MMWR_RATING_RO_ROLLUP[#Headers],0))/$C40,"ERROR"))</f>
        <v>0.13859516616314199</v>
      </c>
      <c r="F40" s="155">
        <f>IF($B40=" ","",IFERROR(INDEX(MMWR_RATING_RO_ROLLUP[],MATCH($B40,MMWR_RATING_RO_ROLLUP[MMWR_RATING_RO_ROLLUP],0),MATCH(F$9,MMWR_RATING_RO_ROLLUP[#Headers],0)),"ERROR"))</f>
        <v>669</v>
      </c>
      <c r="G40" s="155">
        <f>IF($B40=" ","",IFERROR(INDEX(MMWR_RATING_RO_ROLLUP[],MATCH($B40,MMWR_RATING_RO_ROLLUP[MMWR_RATING_RO_ROLLUP],0),MATCH(G$9,MMWR_RATING_RO_ROLLUP[#Headers],0)),"ERROR"))</f>
        <v>8837</v>
      </c>
      <c r="H40" s="156">
        <f>IF($B40=" ","",IFERROR(INDEX(MMWR_RATING_RO_ROLLUP[],MATCH($B40,MMWR_RATING_RO_ROLLUP[MMWR_RATING_RO_ROLLUP],0),MATCH(H$9,MMWR_RATING_RO_ROLLUP[#Headers],0)),"ERROR"))</f>
        <v>110.0343796712</v>
      </c>
      <c r="I40" s="156">
        <f>IF($B40=" ","",IFERROR(INDEX(MMWR_RATING_RO_ROLLUP[],MATCH($B40,MMWR_RATING_RO_ROLLUP[MMWR_RATING_RO_ROLLUP],0),MATCH(I$9,MMWR_RATING_RO_ROLLUP[#Headers],0)),"ERROR"))</f>
        <v>119.8661310399</v>
      </c>
      <c r="J40" s="42"/>
      <c r="K40" s="42"/>
      <c r="L40" s="42"/>
      <c r="M40" s="42"/>
      <c r="N40" s="28"/>
    </row>
    <row r="41" spans="1:14" x14ac:dyDescent="0.2">
      <c r="A41" s="25"/>
      <c r="B41" s="53" t="s">
        <v>969</v>
      </c>
      <c r="C41" s="155">
        <f>IF($B41=" ","",IFERROR(INDEX(MMWR_RATING_RO_ROLLUP[],MATCH($B41,MMWR_RATING_RO_ROLLUP[MMWR_RATING_RO_ROLLUP],0),MATCH(C$9,MMWR_RATING_RO_ROLLUP[#Headers],0)),"ERROR"))</f>
        <v>2889</v>
      </c>
      <c r="D41" s="156">
        <f>IF($B41=" ","",IFERROR(INDEX(MMWR_RATING_RO_ROLLUP[],MATCH($B41,MMWR_RATING_RO_ROLLUP[MMWR_RATING_RO_ROLLUP],0),MATCH(D$9,MMWR_RATING_RO_ROLLUP[#Headers],0)),"ERROR"))</f>
        <v>85.364832121800006</v>
      </c>
      <c r="E41" s="157">
        <f>IF($B41=" ","",IFERROR(INDEX(MMWR_RATING_RO_ROLLUP[],MATCH($B41,MMWR_RATING_RO_ROLLUP[MMWR_RATING_RO_ROLLUP],0),MATCH(E$9,MMWR_RATING_RO_ROLLUP[#Headers],0))/$C41,"ERROR"))</f>
        <v>0.20768431983385255</v>
      </c>
      <c r="F41" s="155">
        <f>IF($B41=" ","",IFERROR(INDEX(MMWR_RATING_RO_ROLLUP[],MATCH($B41,MMWR_RATING_RO_ROLLUP[MMWR_RATING_RO_ROLLUP],0),MATCH(F$9,MMWR_RATING_RO_ROLLUP[#Headers],0)),"ERROR"))</f>
        <v>593</v>
      </c>
      <c r="G41" s="155">
        <f>IF($B41=" ","",IFERROR(INDEX(MMWR_RATING_RO_ROLLUP[],MATCH($B41,MMWR_RATING_RO_ROLLUP[MMWR_RATING_RO_ROLLUP],0),MATCH(G$9,MMWR_RATING_RO_ROLLUP[#Headers],0)),"ERROR"))</f>
        <v>9142</v>
      </c>
      <c r="H41" s="156">
        <f>IF($B41=" ","",IFERROR(INDEX(MMWR_RATING_RO_ROLLUP[],MATCH($B41,MMWR_RATING_RO_ROLLUP[MMWR_RATING_RO_ROLLUP],0),MATCH(H$9,MMWR_RATING_RO_ROLLUP[#Headers],0)),"ERROR"))</f>
        <v>148.48060708259999</v>
      </c>
      <c r="I41" s="156">
        <f>IF($B41=" ","",IFERROR(INDEX(MMWR_RATING_RO_ROLLUP[],MATCH($B41,MMWR_RATING_RO_ROLLUP[MMWR_RATING_RO_ROLLUP],0),MATCH(I$9,MMWR_RATING_RO_ROLLUP[#Headers],0)),"ERROR"))</f>
        <v>151.6580616933</v>
      </c>
      <c r="J41" s="42"/>
      <c r="K41" s="42"/>
      <c r="L41" s="42"/>
      <c r="M41" s="42"/>
      <c r="N41" s="28"/>
    </row>
    <row r="42" spans="1:14" x14ac:dyDescent="0.2">
      <c r="A42" s="25"/>
      <c r="B42" s="46" t="s">
        <v>316</v>
      </c>
      <c r="C42" s="155">
        <f>IF($B42=" ","",IFERROR(INDEX(MMWR_RATING_RO_ROLLUP[],MATCH($B42,MMWR_RATING_RO_ROLLUP[MMWR_RATING_RO_ROLLUP],0),MATCH(C$9,MMWR_RATING_RO_ROLLUP[#Headers],0)),"ERROR"))</f>
        <v>2592</v>
      </c>
      <c r="D42" s="156">
        <f>IF($B42=" ","",IFERROR(INDEX(MMWR_RATING_RO_ROLLUP[],MATCH($B42,MMWR_RATING_RO_ROLLUP[MMWR_RATING_RO_ROLLUP],0),MATCH(D$9,MMWR_RATING_RO_ROLLUP[#Headers],0)),"ERROR"))</f>
        <v>66.894290123499999</v>
      </c>
      <c r="E42" s="157">
        <f>IF($B42=" ","",IFERROR(INDEX(MMWR_RATING_RO_ROLLUP[],MATCH($B42,MMWR_RATING_RO_ROLLUP[MMWR_RATING_RO_ROLLUP],0),MATCH(E$9,MMWR_RATING_RO_ROLLUP[#Headers],0))/$C42,"ERROR"))</f>
        <v>9.7608024691358028E-2</v>
      </c>
      <c r="F42" s="155">
        <f>IF($B42=" ","",IFERROR(INDEX(MMWR_RATING_RO_ROLLUP[],MATCH($B42,MMWR_RATING_RO_ROLLUP[MMWR_RATING_RO_ROLLUP],0),MATCH(F$9,MMWR_RATING_RO_ROLLUP[#Headers],0)),"ERROR"))</f>
        <v>349</v>
      </c>
      <c r="G42" s="155">
        <f>IF($B42=" ","",IFERROR(INDEX(MMWR_RATING_RO_ROLLUP[],MATCH($B42,MMWR_RATING_RO_ROLLUP[MMWR_RATING_RO_ROLLUP],0),MATCH(G$9,MMWR_RATING_RO_ROLLUP[#Headers],0)),"ERROR"))</f>
        <v>3030</v>
      </c>
      <c r="H42" s="156">
        <f>IF($B42=" ","",IFERROR(INDEX(MMWR_RATING_RO_ROLLUP[],MATCH($B42,MMWR_RATING_RO_ROLLUP[MMWR_RATING_RO_ROLLUP],0),MATCH(H$9,MMWR_RATING_RO_ROLLUP[#Headers],0)),"ERROR"))</f>
        <v>115.4240687679</v>
      </c>
      <c r="I42" s="156">
        <f>IF($B42=" ","",IFERROR(INDEX(MMWR_RATING_RO_ROLLUP[],MATCH($B42,MMWR_RATING_RO_ROLLUP[MMWR_RATING_RO_ROLLUP],0),MATCH(I$9,MMWR_RATING_RO_ROLLUP[#Headers],0)),"ERROR"))</f>
        <v>125.3336633663</v>
      </c>
      <c r="J42" s="42"/>
      <c r="K42" s="42"/>
      <c r="L42" s="42"/>
      <c r="M42" s="42"/>
      <c r="N42" s="28"/>
    </row>
    <row r="43" spans="1:14" x14ac:dyDescent="0.2">
      <c r="A43" s="25"/>
      <c r="B43" s="339" t="s">
        <v>744</v>
      </c>
      <c r="C43" s="340"/>
      <c r="D43" s="340"/>
      <c r="E43" s="340"/>
      <c r="F43" s="340"/>
      <c r="G43" s="340"/>
      <c r="H43" s="340"/>
      <c r="I43" s="340"/>
      <c r="J43" s="340"/>
      <c r="K43" s="340"/>
      <c r="L43" s="340"/>
      <c r="M43" s="390"/>
      <c r="N43" s="28"/>
    </row>
    <row r="44" spans="1:14" x14ac:dyDescent="0.2">
      <c r="A44" s="25"/>
      <c r="B44" s="44" t="s">
        <v>705</v>
      </c>
      <c r="C44" s="155">
        <f>IF($B44=" ","",IFERROR(INDEX(MMWR_RATING_RO_ROLLUP[],MATCH($B44,MMWR_RATING_RO_ROLLUP[MMWR_RATING_RO_ROLLUP],0),MATCH(C$9,MMWR_RATING_RO_ROLLUP[#Headers],0)),"ERROR"))</f>
        <v>8428</v>
      </c>
      <c r="D44" s="156">
        <f>IF($B44=" ","",IFERROR(INDEX(MMWR_RATING_RO_ROLLUP[],MATCH($B44,MMWR_RATING_RO_ROLLUP[MMWR_RATING_RO_ROLLUP],0),MATCH(D$9,MMWR_RATING_RO_ROLLUP[#Headers],0)),"ERROR"))</f>
        <v>74.608448030399998</v>
      </c>
      <c r="E44" s="157">
        <f>IF($B44=" ","",IFERROR(INDEX(MMWR_RATING_RO_ROLLUP[],MATCH($B44,MMWR_RATING_RO_ROLLUP[MMWR_RATING_RO_ROLLUP],0),MATCH(E$9,MMWR_RATING_RO_ROLLUP[#Headers],0))/$C44,"ERROR"))</f>
        <v>0.12861888941623162</v>
      </c>
      <c r="F44" s="155">
        <f>IF($B44=" ","",IFERROR(INDEX(MMWR_RATING_RO_ROLLUP[],MATCH($B44,MMWR_RATING_RO_ROLLUP[MMWR_RATING_RO_ROLLUP],0),MATCH(F$9,MMWR_RATING_RO_ROLLUP[#Headers],0)),"ERROR"))</f>
        <v>1577</v>
      </c>
      <c r="G44" s="155">
        <f>IF($B44=" ","",IFERROR(INDEX(MMWR_RATING_RO_ROLLUP[],MATCH($B44,MMWR_RATING_RO_ROLLUP[MMWR_RATING_RO_ROLLUP],0),MATCH(G$9,MMWR_RATING_RO_ROLLUP[#Headers],0)),"ERROR"))</f>
        <v>21090</v>
      </c>
      <c r="H44" s="156">
        <f>IF($B44=" ","",IFERROR(INDEX(MMWR_RATING_RO_ROLLUP[],MATCH($B44,MMWR_RATING_RO_ROLLUP[MMWR_RATING_RO_ROLLUP],0),MATCH(H$9,MMWR_RATING_RO_ROLLUP[#Headers],0)),"ERROR"))</f>
        <v>139.32213062779999</v>
      </c>
      <c r="I44" s="156">
        <f>IF($B44=" ","",IFERROR(INDEX(MMWR_RATING_RO_ROLLUP[],MATCH($B44,MMWR_RATING_RO_ROLLUP[MMWR_RATING_RO_ROLLUP],0),MATCH(I$9,MMWR_RATING_RO_ROLLUP[#Headers],0)),"ERROR"))</f>
        <v>153.1345187293</v>
      </c>
      <c r="J44" s="42"/>
      <c r="K44" s="42"/>
      <c r="L44" s="42"/>
      <c r="M44" s="42"/>
      <c r="N44" s="28"/>
    </row>
    <row r="45" spans="1:14" x14ac:dyDescent="0.2">
      <c r="A45" s="25"/>
      <c r="B45" s="45" t="s">
        <v>219</v>
      </c>
      <c r="C45" s="155">
        <f>IF($B45=" ","",IFERROR(INDEX(MMWR_RATING_RO_ROLLUP[],MATCH($B45,MMWR_RATING_RO_ROLLUP[MMWR_RATING_RO_ROLLUP],0),MATCH(C$9,MMWR_RATING_RO_ROLLUP[#Headers],0)),"ERROR"))</f>
        <v>3131</v>
      </c>
      <c r="D45" s="156">
        <f>IF($B45=" ","",IFERROR(INDEX(MMWR_RATING_RO_ROLLUP[],MATCH($B45,MMWR_RATING_RO_ROLLUP[MMWR_RATING_RO_ROLLUP],0),MATCH(D$9,MMWR_RATING_RO_ROLLUP[#Headers],0)),"ERROR"))</f>
        <v>74.919514532099996</v>
      </c>
      <c r="E45" s="157">
        <f>IF($B45=" ","",IFERROR(INDEX(MMWR_RATING_RO_ROLLUP[],MATCH($B45,MMWR_RATING_RO_ROLLUP[MMWR_RATING_RO_ROLLUP],0),MATCH(E$9,MMWR_RATING_RO_ROLLUP[#Headers],0))/$C45,"ERROR"))</f>
        <v>0.11881188118811881</v>
      </c>
      <c r="F45" s="155">
        <f>IF($B45=" ","",IFERROR(INDEX(MMWR_RATING_RO_ROLLUP[],MATCH($B45,MMWR_RATING_RO_ROLLUP[MMWR_RATING_RO_ROLLUP],0),MATCH(F$9,MMWR_RATING_RO_ROLLUP[#Headers],0)),"ERROR"))</f>
        <v>721</v>
      </c>
      <c r="G45" s="155">
        <f>IF($B45=" ","",IFERROR(INDEX(MMWR_RATING_RO_ROLLUP[],MATCH($B45,MMWR_RATING_RO_ROLLUP[MMWR_RATING_RO_ROLLUP],0),MATCH(G$9,MMWR_RATING_RO_ROLLUP[#Headers],0)),"ERROR"))</f>
        <v>10991</v>
      </c>
      <c r="H45" s="156">
        <f>IF($B45=" ","",IFERROR(INDEX(MMWR_RATING_RO_ROLLUP[],MATCH($B45,MMWR_RATING_RO_ROLLUP[MMWR_RATING_RO_ROLLUP],0),MATCH(H$9,MMWR_RATING_RO_ROLLUP[#Headers],0)),"ERROR"))</f>
        <v>138.0859916782</v>
      </c>
      <c r="I45" s="156">
        <f>IF($B45=" ","",IFERROR(INDEX(MMWR_RATING_RO_ROLLUP[],MATCH($B45,MMWR_RATING_RO_ROLLUP[MMWR_RATING_RO_ROLLUP],0),MATCH(I$9,MMWR_RATING_RO_ROLLUP[#Headers],0)),"ERROR"))</f>
        <v>171.5628241288</v>
      </c>
      <c r="J45" s="42"/>
      <c r="K45" s="42"/>
      <c r="L45" s="42"/>
      <c r="M45" s="42"/>
      <c r="N45" s="28"/>
    </row>
    <row r="46" spans="1:14" x14ac:dyDescent="0.2">
      <c r="A46" s="25"/>
      <c r="B46" s="45" t="s">
        <v>221</v>
      </c>
      <c r="C46" s="155">
        <f>IF($B46=" ","",IFERROR(INDEX(MMWR_RATING_RO_ROLLUP[],MATCH($B46,MMWR_RATING_RO_ROLLUP[MMWR_RATING_RO_ROLLUP],0),MATCH(C$9,MMWR_RATING_RO_ROLLUP[#Headers],0)),"ERROR"))</f>
        <v>3707</v>
      </c>
      <c r="D46" s="156">
        <f>IF($B46=" ","",IFERROR(INDEX(MMWR_RATING_RO_ROLLUP[],MATCH($B46,MMWR_RATING_RO_ROLLUP[MMWR_RATING_RO_ROLLUP],0),MATCH(D$9,MMWR_RATING_RO_ROLLUP[#Headers],0)),"ERROR"))</f>
        <v>75.473158888599997</v>
      </c>
      <c r="E46" s="157">
        <f>IF($B46=" ","",IFERROR(INDEX(MMWR_RATING_RO_ROLLUP[],MATCH($B46,MMWR_RATING_RO_ROLLUP[MMWR_RATING_RO_ROLLUP],0),MATCH(E$9,MMWR_RATING_RO_ROLLUP[#Headers],0))/$C46,"ERROR"))</f>
        <v>0.14108443485298083</v>
      </c>
      <c r="F46" s="155">
        <f>IF($B46=" ","",IFERROR(INDEX(MMWR_RATING_RO_ROLLUP[],MATCH($B46,MMWR_RATING_RO_ROLLUP[MMWR_RATING_RO_ROLLUP],0),MATCH(F$9,MMWR_RATING_RO_ROLLUP[#Headers],0)),"ERROR"))</f>
        <v>639</v>
      </c>
      <c r="G46" s="155">
        <f>IF($B46=" ","",IFERROR(INDEX(MMWR_RATING_RO_ROLLUP[],MATCH($B46,MMWR_RATING_RO_ROLLUP[MMWR_RATING_RO_ROLLUP],0),MATCH(G$9,MMWR_RATING_RO_ROLLUP[#Headers],0)),"ERROR"))</f>
        <v>8093</v>
      </c>
      <c r="H46" s="156">
        <f>IF($B46=" ","",IFERROR(INDEX(MMWR_RATING_RO_ROLLUP[],MATCH($B46,MMWR_RATING_RO_ROLLUP[MMWR_RATING_RO_ROLLUP],0),MATCH(H$9,MMWR_RATING_RO_ROLLUP[#Headers],0)),"ERROR"))</f>
        <v>144.7887323944</v>
      </c>
      <c r="I46" s="156">
        <f>IF($B46=" ","",IFERROR(INDEX(MMWR_RATING_RO_ROLLUP[],MATCH($B46,MMWR_RATING_RO_ROLLUP[MMWR_RATING_RO_ROLLUP],0),MATCH(I$9,MMWR_RATING_RO_ROLLUP[#Headers],0)),"ERROR"))</f>
        <v>129.80093908320001</v>
      </c>
      <c r="J46" s="42"/>
      <c r="K46" s="42"/>
      <c r="L46" s="42"/>
      <c r="M46" s="42"/>
      <c r="N46" s="28"/>
    </row>
    <row r="47" spans="1:14" x14ac:dyDescent="0.2">
      <c r="A47" s="25"/>
      <c r="B47" s="47" t="s">
        <v>317</v>
      </c>
      <c r="C47" s="155">
        <f>IF($B47=" ","",IFERROR(INDEX(MMWR_RATING_RO_ROLLUP[],MATCH($B47,MMWR_RATING_RO_ROLLUP[MMWR_RATING_RO_ROLLUP],0),MATCH(C$9,MMWR_RATING_RO_ROLLUP[#Headers],0)),"ERROR"))</f>
        <v>1590</v>
      </c>
      <c r="D47" s="156">
        <f>IF($B47=" ","",IFERROR(INDEX(MMWR_RATING_RO_ROLLUP[],MATCH($B47,MMWR_RATING_RO_ROLLUP[MMWR_RATING_RO_ROLLUP],0),MATCH(D$9,MMWR_RATING_RO_ROLLUP[#Headers],0)),"ERROR"))</f>
        <v>71.979874213800002</v>
      </c>
      <c r="E47" s="157">
        <f>IF($B47=" ","",IFERROR(INDEX(MMWR_RATING_RO_ROLLUP[],MATCH($B47,MMWR_RATING_RO_ROLLUP[MMWR_RATING_RO_ROLLUP],0),MATCH(E$9,MMWR_RATING_RO_ROLLUP[#Headers],0))/$C47,"ERROR"))</f>
        <v>0.11886792452830189</v>
      </c>
      <c r="F47" s="155">
        <f>IF($B47=" ","",IFERROR(INDEX(MMWR_RATING_RO_ROLLUP[],MATCH($B47,MMWR_RATING_RO_ROLLUP[MMWR_RATING_RO_ROLLUP],0),MATCH(F$9,MMWR_RATING_RO_ROLLUP[#Headers],0)),"ERROR"))</f>
        <v>217</v>
      </c>
      <c r="G47" s="155">
        <f>IF($B47=" ","",IFERROR(INDEX(MMWR_RATING_RO_ROLLUP[],MATCH($B47,MMWR_RATING_RO_ROLLUP[MMWR_RATING_RO_ROLLUP],0),MATCH(G$9,MMWR_RATING_RO_ROLLUP[#Headers],0)),"ERROR"))</f>
        <v>2006</v>
      </c>
      <c r="H47" s="156">
        <f>IF($B47=" ","",IFERROR(INDEX(MMWR_RATING_RO_ROLLUP[],MATCH($B47,MMWR_RATING_RO_ROLLUP[MMWR_RATING_RO_ROLLUP],0),MATCH(H$9,MMWR_RATING_RO_ROLLUP[#Headers],0)),"ERROR"))</f>
        <v>127.331797235</v>
      </c>
      <c r="I47" s="156">
        <f>IF($B47=" ","",IFERROR(INDEX(MMWR_RATING_RO_ROLLUP[],MATCH($B47,MMWR_RATING_RO_ROLLUP[MMWR_RATING_RO_ROLLUP],0),MATCH(I$9,MMWR_RATING_RO_ROLLUP[#Headers],0)),"ERROR"))</f>
        <v>146.30159521440001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3" t="s">
        <v>990</v>
      </c>
      <c r="D2" s="354"/>
      <c r="E2" s="354"/>
      <c r="F2" s="354"/>
      <c r="G2" s="354"/>
      <c r="H2" s="354"/>
      <c r="I2" s="354"/>
      <c r="J2" s="353" t="s">
        <v>309</v>
      </c>
      <c r="K2" s="354"/>
      <c r="L2" s="354"/>
      <c r="M2" s="355"/>
      <c r="N2" s="28"/>
    </row>
    <row r="3" spans="1:15" ht="24" customHeight="1" thickBot="1" x14ac:dyDescent="0.4">
      <c r="A3" s="25"/>
      <c r="B3" s="29"/>
      <c r="C3" s="356"/>
      <c r="D3" s="357"/>
      <c r="E3" s="357"/>
      <c r="F3" s="357"/>
      <c r="G3" s="357"/>
      <c r="H3" s="357"/>
      <c r="I3" s="357"/>
      <c r="J3" s="356" t="str">
        <f>Transformation!B4</f>
        <v>As of: July 25, 2015</v>
      </c>
      <c r="K3" s="357"/>
      <c r="L3" s="357"/>
      <c r="M3" s="358"/>
      <c r="N3" s="28"/>
    </row>
    <row r="4" spans="1:15" ht="51.75" customHeight="1" thickBot="1" x14ac:dyDescent="0.35">
      <c r="A4" s="30"/>
      <c r="B4" s="249" t="s">
        <v>465</v>
      </c>
      <c r="C4" s="359" t="s">
        <v>441</v>
      </c>
      <c r="D4" s="360"/>
      <c r="E4" s="360"/>
      <c r="F4" s="360"/>
      <c r="G4" s="360"/>
      <c r="H4" s="360"/>
      <c r="I4" s="360"/>
      <c r="J4" s="360"/>
      <c r="K4" s="360"/>
      <c r="L4" s="360"/>
      <c r="M4" s="361"/>
      <c r="N4" s="28"/>
    </row>
    <row r="5" spans="1:15" ht="27" customHeight="1" thickBot="1" x14ac:dyDescent="0.25">
      <c r="A5" s="30"/>
      <c r="B5" s="248" t="s">
        <v>379</v>
      </c>
      <c r="C5" s="362" t="s">
        <v>1054</v>
      </c>
      <c r="D5" s="363"/>
      <c r="E5" s="363"/>
      <c r="F5" s="363"/>
      <c r="G5" s="363"/>
      <c r="H5" s="363"/>
      <c r="I5" s="363"/>
      <c r="J5" s="363"/>
      <c r="K5" s="363"/>
      <c r="L5" s="363"/>
      <c r="M5" s="363"/>
      <c r="N5" s="363"/>
      <c r="O5" s="364"/>
    </row>
    <row r="6" spans="1:15" ht="55.5" customHeight="1" x14ac:dyDescent="0.2">
      <c r="A6" s="30"/>
      <c r="B6" s="31"/>
      <c r="C6" s="32" t="s">
        <v>198</v>
      </c>
      <c r="D6" s="365" t="s">
        <v>16</v>
      </c>
      <c r="E6" s="366"/>
      <c r="F6" s="33" t="s">
        <v>201</v>
      </c>
      <c r="G6" s="365" t="s">
        <v>206</v>
      </c>
      <c r="H6" s="367"/>
      <c r="I6" s="33" t="s">
        <v>204</v>
      </c>
      <c r="J6" s="49" t="s">
        <v>14</v>
      </c>
      <c r="K6" s="33" t="s">
        <v>209</v>
      </c>
      <c r="L6" s="371" t="s">
        <v>88</v>
      </c>
      <c r="M6" s="384"/>
      <c r="N6" s="28"/>
    </row>
    <row r="7" spans="1:15" ht="51.75" customHeight="1" x14ac:dyDescent="0.2">
      <c r="A7" s="30"/>
      <c r="B7" s="34"/>
      <c r="C7" s="35" t="s">
        <v>199</v>
      </c>
      <c r="D7" s="341" t="s">
        <v>0</v>
      </c>
      <c r="E7" s="342"/>
      <c r="F7" s="36" t="s">
        <v>202</v>
      </c>
      <c r="G7" s="343" t="s">
        <v>207</v>
      </c>
      <c r="H7" s="343"/>
      <c r="I7" s="36" t="s">
        <v>205</v>
      </c>
      <c r="J7" s="50" t="s">
        <v>19</v>
      </c>
      <c r="K7" s="36" t="s">
        <v>210</v>
      </c>
      <c r="L7" s="385" t="s">
        <v>90</v>
      </c>
      <c r="M7" s="386"/>
      <c r="N7" s="28"/>
    </row>
    <row r="8" spans="1:15" ht="51.75" customHeight="1" thickBot="1" x14ac:dyDescent="0.25">
      <c r="A8" s="25"/>
      <c r="B8" s="28"/>
      <c r="C8" s="37" t="s">
        <v>200</v>
      </c>
      <c r="D8" s="344" t="s">
        <v>18</v>
      </c>
      <c r="E8" s="345"/>
      <c r="F8" s="38" t="s">
        <v>203</v>
      </c>
      <c r="G8" s="346" t="s">
        <v>17</v>
      </c>
      <c r="H8" s="346"/>
      <c r="I8" s="38" t="s">
        <v>208</v>
      </c>
      <c r="J8" s="51" t="s">
        <v>87</v>
      </c>
      <c r="K8" s="38" t="s">
        <v>211</v>
      </c>
      <c r="L8" s="387" t="s">
        <v>89</v>
      </c>
      <c r="M8" s="388"/>
      <c r="N8" s="28"/>
    </row>
    <row r="9" spans="1:15" x14ac:dyDescent="0.2">
      <c r="A9" s="28"/>
      <c r="B9" s="39"/>
      <c r="C9" s="39" t="s">
        <v>724</v>
      </c>
      <c r="D9" s="39" t="s">
        <v>726</v>
      </c>
      <c r="E9" s="39" t="s">
        <v>725</v>
      </c>
      <c r="F9" s="39" t="s">
        <v>728</v>
      </c>
      <c r="G9" s="39" t="s">
        <v>727</v>
      </c>
      <c r="H9" s="39" t="s">
        <v>730</v>
      </c>
      <c r="I9" s="39" t="s">
        <v>729</v>
      </c>
      <c r="J9" s="39"/>
      <c r="K9" s="39"/>
      <c r="L9" s="39"/>
      <c r="M9" s="39"/>
      <c r="N9" s="39"/>
    </row>
    <row r="10" spans="1:15" ht="15.75" customHeight="1" x14ac:dyDescent="0.2">
      <c r="A10" s="25"/>
      <c r="B10" s="26"/>
      <c r="C10" s="347" t="s">
        <v>302</v>
      </c>
      <c r="D10" s="347"/>
      <c r="E10" s="347"/>
      <c r="F10" s="347"/>
      <c r="G10" s="347"/>
      <c r="H10" s="347"/>
      <c r="I10" s="347"/>
      <c r="J10" s="347"/>
      <c r="K10" s="347"/>
      <c r="L10" s="347"/>
      <c r="M10" s="389"/>
      <c r="N10" s="28"/>
    </row>
    <row r="11" spans="1:15" ht="63.75" customHeight="1" x14ac:dyDescent="0.2">
      <c r="A11" s="25"/>
      <c r="B11" s="26"/>
      <c r="C11" s="52" t="s">
        <v>234</v>
      </c>
      <c r="D11" s="52" t="s">
        <v>140</v>
      </c>
      <c r="E11" s="52" t="s">
        <v>235</v>
      </c>
      <c r="F11" s="52" t="s">
        <v>195</v>
      </c>
      <c r="G11" s="52" t="s">
        <v>212</v>
      </c>
      <c r="H11" s="52" t="s">
        <v>214</v>
      </c>
      <c r="I11" s="52" t="s">
        <v>215</v>
      </c>
      <c r="J11" s="391" t="s">
        <v>984</v>
      </c>
      <c r="K11" s="392"/>
      <c r="L11" s="392"/>
      <c r="M11" s="393"/>
      <c r="N11" s="28"/>
    </row>
    <row r="12" spans="1:15" x14ac:dyDescent="0.2">
      <c r="A12" s="25"/>
      <c r="B12" s="41" t="s">
        <v>739</v>
      </c>
      <c r="C12" s="155">
        <f>IF($B12=" ","",IFERROR(INDEX(MMWR_RATING_STATE_ROLLUP_VSC[],MATCH($B12,MMWR_RATING_STATE_ROLLUP_VSC[MMWR_RATING_STATE_ROLLUP_VSC],0),MATCH(C$9,MMWR_RATING_STATE_ROLLUP_VSC[#Headers],0)),"ERROR"))</f>
        <v>375040</v>
      </c>
      <c r="D12" s="156">
        <f>IF($B12=" ","",IFERROR(INDEX(MMWR_RATING_STATE_ROLLUP_VSC[],MATCH($B12,MMWR_RATING_STATE_ROLLUP_VSC[MMWR_RATING_STATE_ROLLUP_VSC],0),MATCH(D$9,MMWR_RATING_STATE_ROLLUP_VSC[#Headers],0)),"ERROR"))</f>
        <v>114.3365321032</v>
      </c>
      <c r="E12" s="160">
        <f>IF($B12=" ","",IFERROR(INDEX(MMWR_RATING_STATE_ROLLUP_VSC[],MATCH($B12,MMWR_RATING_STATE_ROLLUP_VSC[MMWR_RATING_STATE_ROLLUP_VSC],0),MATCH(E$9,MMWR_RATING_STATE_ROLLUP_VSC[#Headers],0))/$C12,"ERROR"))</f>
        <v>0.30760718856655289</v>
      </c>
      <c r="F12" s="155">
        <f>IF($B12=" ","",IFERROR(INDEX(MMWR_RATING_STATE_ROLLUP_VSC[],MATCH($B12,MMWR_RATING_STATE_ROLLUP_VSC[MMWR_RATING_STATE_ROLLUP_VSC],0),MATCH(F$9,MMWR_RATING_STATE_ROLLUP_VSC[#Headers],0)),"ERROR"))</f>
        <v>90351</v>
      </c>
      <c r="G12" s="155">
        <f>IF($B12=" ","",IFERROR(INDEX(MMWR_RATING_STATE_ROLLUP_VSC[],MATCH($B12,MMWR_RATING_STATE_ROLLUP_VSC[MMWR_RATING_STATE_ROLLUP_VSC],0),MATCH(G$9,MMWR_RATING_STATE_ROLLUP_VSC[#Headers],0)),"ERROR"))</f>
        <v>1130909</v>
      </c>
      <c r="H12" s="156">
        <f>IF($B12=" ","",IFERROR(INDEX(MMWR_RATING_STATE_ROLLUP_VSC[],MATCH($B12,MMWR_RATING_STATE_ROLLUP_VSC[MMWR_RATING_STATE_ROLLUP_VSC],0),MATCH(H$9,MMWR_RATING_STATE_ROLLUP_VSC[#Headers],0)),"ERROR"))</f>
        <v>152.65131542540001</v>
      </c>
      <c r="I12" s="156">
        <f>IF($B12=" ","",IFERROR(INDEX(MMWR_RATING_STATE_ROLLUP_VSC[],MATCH($B12,MMWR_RATING_STATE_ROLLUP_VSC[MMWR_RATING_STATE_ROLLUP_VSC],0),MATCH(I$9,MMWR_RATING_STATE_ROLLUP_VSC[#Headers],0)),"ERROR"))</f>
        <v>174.36673861470001</v>
      </c>
      <c r="J12" s="42"/>
      <c r="K12" s="42"/>
      <c r="L12" s="42"/>
      <c r="M12" s="42"/>
      <c r="N12" s="28"/>
    </row>
    <row r="13" spans="1:15" x14ac:dyDescent="0.2">
      <c r="A13" s="25"/>
      <c r="B13" s="339" t="s">
        <v>970</v>
      </c>
      <c r="C13" s="340"/>
      <c r="D13" s="340"/>
      <c r="E13" s="340"/>
      <c r="F13" s="340"/>
      <c r="G13" s="340"/>
      <c r="H13" s="340"/>
      <c r="I13" s="340"/>
      <c r="J13" s="340"/>
      <c r="K13" s="340"/>
      <c r="L13" s="340"/>
      <c r="M13" s="390"/>
      <c r="N13" s="28"/>
    </row>
    <row r="14" spans="1:15" x14ac:dyDescent="0.2">
      <c r="A14" s="25"/>
      <c r="B14" s="41" t="s">
        <v>1048</v>
      </c>
      <c r="C14" s="155">
        <f>IF($B14=" ","",IFERROR(INDEX(MMWR_RATING_STATE_ROLLUP_VSC[],MATCH($B14,MMWR_RATING_STATE_ROLLUP_VSC[MMWR_RATING_STATE_ROLLUP_VSC],0),MATCH(C$9,MMWR_RATING_STATE_ROLLUP_VSC[#Headers],0)),"ERROR"))</f>
        <v>339945</v>
      </c>
      <c r="D14" s="156">
        <f>IF($B14=" ","",IFERROR(INDEX(MMWR_RATING_STATE_ROLLUP_VSC[],MATCH($B14,MMWR_RATING_STATE_ROLLUP_VSC[MMWR_RATING_STATE_ROLLUP_VSC],0),MATCH(D$9,MMWR_RATING_STATE_ROLLUP_VSC[#Headers],0)),"ERROR"))</f>
        <v>119.0660518613</v>
      </c>
      <c r="E14" s="157">
        <f>IF($B14=" ","",IFERROR(INDEX(MMWR_RATING_STATE_ROLLUP_VSC[],MATCH($B14,MMWR_RATING_STATE_ROLLUP_VSC[MMWR_RATING_STATE_ROLLUP_VSC],0),MATCH(E$9,MMWR_RATING_STATE_ROLLUP_VSC[#Headers],0))/$C14,"ERROR"))</f>
        <v>0.32686169821588784</v>
      </c>
      <c r="F14" s="155">
        <f>IF($B14=" ","",IFERROR(INDEX(MMWR_RATING_STATE_ROLLUP_VSC[],MATCH($B14,MMWR_RATING_STATE_ROLLUP_VSC[MMWR_RATING_STATE_ROLLUP_VSC],0),MATCH(F$9,MMWR_RATING_STATE_ROLLUP_VSC[#Headers],0)),"ERROR"))</f>
        <v>77999</v>
      </c>
      <c r="G14" s="155">
        <f>IF($B14=" ","",IFERROR(INDEX(MMWR_RATING_STATE_ROLLUP_VSC[],MATCH($B14,MMWR_RATING_STATE_ROLLUP_VSC[MMWR_RATING_STATE_ROLLUP_VSC],0),MATCH(G$9,MMWR_RATING_STATE_ROLLUP_VSC[#Headers],0)),"ERROR"))</f>
        <v>963943</v>
      </c>
      <c r="H14" s="156">
        <f>IF($B14=" ","",IFERROR(INDEX(MMWR_RATING_STATE_ROLLUP_VSC[],MATCH($B14,MMWR_RATING_STATE_ROLLUP_VSC[MMWR_RATING_STATE_ROLLUP_VSC],0),MATCH(H$9,MMWR_RATING_STATE_ROLLUP_VSC[#Headers],0)),"ERROR"))</f>
        <v>163.8051769894</v>
      </c>
      <c r="I14" s="156">
        <f>IF($B14=" ","",IFERROR(INDEX(MMWR_RATING_STATE_ROLLUP_VSC[],MATCH($B14,MMWR_RATING_STATE_ROLLUP_VSC[MMWR_RATING_STATE_ROLLUP_VSC],0),MATCH(I$9,MMWR_RATING_STATE_ROLLUP_VSC[#Headers],0)),"ERROR"))</f>
        <v>189.93693506770001</v>
      </c>
      <c r="J14" s="42"/>
      <c r="K14" s="42"/>
      <c r="L14" s="42"/>
      <c r="M14" s="42"/>
      <c r="N14" s="28"/>
    </row>
    <row r="15" spans="1:15" x14ac:dyDescent="0.2">
      <c r="A15" s="25"/>
      <c r="B15" s="251" t="str">
        <f>INDEX(DISTRICT_STATES[],MATCH($B$5,DISTRICT_RO[District],0),1)</f>
        <v>North Atlantic</v>
      </c>
      <c r="C15" s="155">
        <f>IF($B15=" ","",IFERROR(INDEX(MMWR_RATING_STATE_ROLLUP_VSC[],MATCH($B15,MMWR_RATING_STATE_ROLLUP_VSC[MMWR_RATING_STATE_ROLLUP_VSC],0),MATCH(C$9,MMWR_RATING_STATE_ROLLUP_VSC[#Headers],0)),"ERROR"))</f>
        <v>73434</v>
      </c>
      <c r="D15" s="156">
        <f>IF($B15=" ","",IFERROR(INDEX(MMWR_RATING_STATE_ROLLUP_VSC[],MATCH($B15,MMWR_RATING_STATE_ROLLUP_VSC[MMWR_RATING_STATE_ROLLUP_VSC],0),MATCH(D$9,MMWR_RATING_STATE_ROLLUP_VSC[#Headers],0)),"ERROR"))</f>
        <v>119.7078873546</v>
      </c>
      <c r="E15" s="157">
        <f>IF($B15=" ","",IFERROR(INDEX(MMWR_RATING_STATE_ROLLUP_VSC[],MATCH($B15,MMWR_RATING_STATE_ROLLUP_VSC[MMWR_RATING_STATE_ROLLUP_VSC],0),MATCH(E$9,MMWR_RATING_STATE_ROLLUP_VSC[#Headers],0))/$C15,"ERROR"))</f>
        <v>0.32544870223602146</v>
      </c>
      <c r="F15" s="155">
        <f>IF($B15=" ","",IFERROR(INDEX(MMWR_RATING_STATE_ROLLUP_VSC[],MATCH($B15,MMWR_RATING_STATE_ROLLUP_VSC[MMWR_RATING_STATE_ROLLUP_VSC],0),MATCH(F$9,MMWR_RATING_STATE_ROLLUP_VSC[#Headers],0)),"ERROR"))</f>
        <v>16783</v>
      </c>
      <c r="G15" s="155">
        <f>IF($B15=" ","",IFERROR(INDEX(MMWR_RATING_STATE_ROLLUP_VSC[],MATCH($B15,MMWR_RATING_STATE_ROLLUP_VSC[MMWR_RATING_STATE_ROLLUP_VSC],0),MATCH(G$9,MMWR_RATING_STATE_ROLLUP_VSC[#Headers],0)),"ERROR"))</f>
        <v>206964</v>
      </c>
      <c r="H15" s="156">
        <f>IF($B15=" ","",IFERROR(INDEX(MMWR_RATING_STATE_ROLLUP_VSC[],MATCH($B15,MMWR_RATING_STATE_ROLLUP_VSC[MMWR_RATING_STATE_ROLLUP_VSC],0),MATCH(H$9,MMWR_RATING_STATE_ROLLUP_VSC[#Headers],0)),"ERROR"))</f>
        <v>169.44777453379999</v>
      </c>
      <c r="I15" s="156">
        <f>IF($B15=" ","",IFERROR(INDEX(MMWR_RATING_STATE_ROLLUP_VSC[],MATCH($B15,MMWR_RATING_STATE_ROLLUP_VSC[MMWR_RATING_STATE_ROLLUP_VSC],0),MATCH(I$9,MMWR_RATING_STATE_ROLLUP_VSC[#Headers],0)),"ERROR"))</f>
        <v>199.20574592680001</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1962</v>
      </c>
      <c r="D16" s="156">
        <f>IF($B16=" ","",IFERROR(INDEX(MMWR_RATING_STATE_ROLLUP_VSC[],MATCH($B16,MMWR_RATING_STATE_ROLLUP_VSC[MMWR_RATING_STATE_ROLLUP_VSC],0),MATCH(D$9,MMWR_RATING_STATE_ROLLUP_VSC[#Headers],0)),"ERROR"))</f>
        <v>101.118756371</v>
      </c>
      <c r="E16" s="157">
        <f>IF($B16=" ","",IFERROR(INDEX(MMWR_RATING_STATE_ROLLUP_VSC[],MATCH($B16,MMWR_RATING_STATE_ROLLUP_VSC[MMWR_RATING_STATE_ROLLUP_VSC],0),MATCH(E$9,MMWR_RATING_STATE_ROLLUP_VSC[#Headers],0))/$C16,"ERROR"))</f>
        <v>0.2762487257900102</v>
      </c>
      <c r="F16" s="155">
        <f>IF($B16=" ","",IFERROR(INDEX(MMWR_RATING_STATE_ROLLUP_VSC[],MATCH($B16,MMWR_RATING_STATE_ROLLUP_VSC[MMWR_RATING_STATE_ROLLUP_VSC],0),MATCH(F$9,MMWR_RATING_STATE_ROLLUP_VSC[#Headers],0)),"ERROR"))</f>
        <v>396</v>
      </c>
      <c r="G16" s="155">
        <f>IF($B16=" ","",IFERROR(INDEX(MMWR_RATING_STATE_ROLLUP_VSC[],MATCH($B16,MMWR_RATING_STATE_ROLLUP_VSC[MMWR_RATING_STATE_ROLLUP_VSC],0),MATCH(G$9,MMWR_RATING_STATE_ROLLUP_VSC[#Headers],0)),"ERROR"))</f>
        <v>5564</v>
      </c>
      <c r="H16" s="156">
        <f>IF($B16=" ","",IFERROR(INDEX(MMWR_RATING_STATE_ROLLUP_VSC[],MATCH($B16,MMWR_RATING_STATE_ROLLUP_VSC[MMWR_RATING_STATE_ROLLUP_VSC],0),MATCH(H$9,MMWR_RATING_STATE_ROLLUP_VSC[#Headers],0)),"ERROR"))</f>
        <v>135.70454545449999</v>
      </c>
      <c r="I16" s="156">
        <f>IF($B16=" ","",IFERROR(INDEX(MMWR_RATING_STATE_ROLLUP_VSC[],MATCH($B16,MMWR_RATING_STATE_ROLLUP_VSC[MMWR_RATING_STATE_ROLLUP_VSC],0),MATCH(I$9,MMWR_RATING_STATE_ROLLUP_VSC[#Headers],0)),"ERROR"))</f>
        <v>152.53396836810001</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980</v>
      </c>
      <c r="D17" s="156">
        <f>IF($B17=" ","",IFERROR(INDEX(MMWR_RATING_STATE_ROLLUP_VSC[],MATCH($B17,MMWR_RATING_STATE_ROLLUP_VSC[MMWR_RATING_STATE_ROLLUP_VSC],0),MATCH(D$9,MMWR_RATING_STATE_ROLLUP_VSC[#Headers],0)),"ERROR"))</f>
        <v>135.0734693878</v>
      </c>
      <c r="E17" s="157">
        <f>IF($B17=" ","",IFERROR(INDEX(MMWR_RATING_STATE_ROLLUP_VSC[],MATCH($B17,MMWR_RATING_STATE_ROLLUP_VSC[MMWR_RATING_STATE_ROLLUP_VSC],0),MATCH(E$9,MMWR_RATING_STATE_ROLLUP_VSC[#Headers],0))/$C17,"ERROR"))</f>
        <v>0.37448979591836734</v>
      </c>
      <c r="F17" s="155">
        <f>IF($B17=" ","",IFERROR(INDEX(MMWR_RATING_STATE_ROLLUP_VSC[],MATCH($B17,MMWR_RATING_STATE_ROLLUP_VSC[MMWR_RATING_STATE_ROLLUP_VSC],0),MATCH(F$9,MMWR_RATING_STATE_ROLLUP_VSC[#Headers],0)),"ERROR"))</f>
        <v>176</v>
      </c>
      <c r="G17" s="155">
        <f>IF($B17=" ","",IFERROR(INDEX(MMWR_RATING_STATE_ROLLUP_VSC[],MATCH($B17,MMWR_RATING_STATE_ROLLUP_VSC[MMWR_RATING_STATE_ROLLUP_VSC],0),MATCH(G$9,MMWR_RATING_STATE_ROLLUP_VSC[#Headers],0)),"ERROR"))</f>
        <v>2679</v>
      </c>
      <c r="H17" s="156">
        <f>IF($B17=" ","",IFERROR(INDEX(MMWR_RATING_STATE_ROLLUP_VSC[],MATCH($B17,MMWR_RATING_STATE_ROLLUP_VSC[MMWR_RATING_STATE_ROLLUP_VSC],0),MATCH(H$9,MMWR_RATING_STATE_ROLLUP_VSC[#Headers],0)),"ERROR"))</f>
        <v>211.625</v>
      </c>
      <c r="I17" s="156">
        <f>IF($B17=" ","",IFERROR(INDEX(MMWR_RATING_STATE_ROLLUP_VSC[],MATCH($B17,MMWR_RATING_STATE_ROLLUP_VSC[MMWR_RATING_STATE_ROLLUP_VSC],0),MATCH(I$9,MMWR_RATING_STATE_ROLLUP_VSC[#Headers],0)),"ERROR"))</f>
        <v>220.13885778279999</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496</v>
      </c>
      <c r="D18" s="156">
        <f>IF($B18=" ","",IFERROR(INDEX(MMWR_RATING_STATE_ROLLUP_VSC[],MATCH($B18,MMWR_RATING_STATE_ROLLUP_VSC[MMWR_RATING_STATE_ROLLUP_VSC],0),MATCH(D$9,MMWR_RATING_STATE_ROLLUP_VSC[#Headers],0)),"ERROR"))</f>
        <v>133.29838709680001</v>
      </c>
      <c r="E18" s="157">
        <f>IF($B18=" ","",IFERROR(INDEX(MMWR_RATING_STATE_ROLLUP_VSC[],MATCH($B18,MMWR_RATING_STATE_ROLLUP_VSC[MMWR_RATING_STATE_ROLLUP_VSC],0),MATCH(E$9,MMWR_RATING_STATE_ROLLUP_VSC[#Headers],0))/$C18,"ERROR"))</f>
        <v>0.39314516129032256</v>
      </c>
      <c r="F18" s="155">
        <f>IF($B18=" ","",IFERROR(INDEX(MMWR_RATING_STATE_ROLLUP_VSC[],MATCH($B18,MMWR_RATING_STATE_ROLLUP_VSC[MMWR_RATING_STATE_ROLLUP_VSC],0),MATCH(F$9,MMWR_RATING_STATE_ROLLUP_VSC[#Headers],0)),"ERROR"))</f>
        <v>124</v>
      </c>
      <c r="G18" s="155">
        <f>IF($B18=" ","",IFERROR(INDEX(MMWR_RATING_STATE_ROLLUP_VSC[],MATCH($B18,MMWR_RATING_STATE_ROLLUP_VSC[MMWR_RATING_STATE_ROLLUP_VSC],0),MATCH(G$9,MMWR_RATING_STATE_ROLLUP_VSC[#Headers],0)),"ERROR"))</f>
        <v>1333</v>
      </c>
      <c r="H18" s="156">
        <f>IF($B18=" ","",IFERROR(INDEX(MMWR_RATING_STATE_ROLLUP_VSC[],MATCH($B18,MMWR_RATING_STATE_ROLLUP_VSC[MMWR_RATING_STATE_ROLLUP_VSC],0),MATCH(H$9,MMWR_RATING_STATE_ROLLUP_VSC[#Headers],0)),"ERROR"))</f>
        <v>195.22580645159999</v>
      </c>
      <c r="I18" s="156">
        <f>IF($B18=" ","",IFERROR(INDEX(MMWR_RATING_STATE_ROLLUP_VSC[],MATCH($B18,MMWR_RATING_STATE_ROLLUP_VSC[MMWR_RATING_STATE_ROLLUP_VSC],0),MATCH(I$9,MMWR_RATING_STATE_ROLLUP_VSC[#Headers],0)),"ERROR"))</f>
        <v>215.59489872469999</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1472</v>
      </c>
      <c r="D19" s="156">
        <f>IF($B19=" ","",IFERROR(INDEX(MMWR_RATING_STATE_ROLLUP_VSC[],MATCH($B19,MMWR_RATING_STATE_ROLLUP_VSC[MMWR_RATING_STATE_ROLLUP_VSC],0),MATCH(D$9,MMWR_RATING_STATE_ROLLUP_VSC[#Headers],0)),"ERROR"))</f>
        <v>81.959239130399993</v>
      </c>
      <c r="E19" s="157">
        <f>IF($B19=" ","",IFERROR(INDEX(MMWR_RATING_STATE_ROLLUP_VSC[],MATCH($B19,MMWR_RATING_STATE_ROLLUP_VSC[MMWR_RATING_STATE_ROLLUP_VSC],0),MATCH(E$9,MMWR_RATING_STATE_ROLLUP_VSC[#Headers],0))/$C19,"ERROR"))</f>
        <v>0.14945652173913043</v>
      </c>
      <c r="F19" s="155">
        <f>IF($B19=" ","",IFERROR(INDEX(MMWR_RATING_STATE_ROLLUP_VSC[],MATCH($B19,MMWR_RATING_STATE_ROLLUP_VSC[MMWR_RATING_STATE_ROLLUP_VSC],0),MATCH(F$9,MMWR_RATING_STATE_ROLLUP_VSC[#Headers],0)),"ERROR"))</f>
        <v>280</v>
      </c>
      <c r="G19" s="155">
        <f>IF($B19=" ","",IFERROR(INDEX(MMWR_RATING_STATE_ROLLUP_VSC[],MATCH($B19,MMWR_RATING_STATE_ROLLUP_VSC[MMWR_RATING_STATE_ROLLUP_VSC],0),MATCH(G$9,MMWR_RATING_STATE_ROLLUP_VSC[#Headers],0)),"ERROR"))</f>
        <v>3671</v>
      </c>
      <c r="H19" s="156">
        <f>IF($B19=" ","",IFERROR(INDEX(MMWR_RATING_STATE_ROLLUP_VSC[],MATCH($B19,MMWR_RATING_STATE_ROLLUP_VSC[MMWR_RATING_STATE_ROLLUP_VSC],0),MATCH(H$9,MMWR_RATING_STATE_ROLLUP_VSC[#Headers],0)),"ERROR"))</f>
        <v>143.91428571430001</v>
      </c>
      <c r="I19" s="156">
        <f>IF($B19=" ","",IFERROR(INDEX(MMWR_RATING_STATE_ROLLUP_VSC[],MATCH($B19,MMWR_RATING_STATE_ROLLUP_VSC[MMWR_RATING_STATE_ROLLUP_VSC],0),MATCH(I$9,MMWR_RATING_STATE_ROLLUP_VSC[#Headers],0)),"ERROR"))</f>
        <v>127.4336692999</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5552</v>
      </c>
      <c r="D20" s="156">
        <f>IF($B20=" ","",IFERROR(INDEX(MMWR_RATING_STATE_ROLLUP_VSC[],MATCH($B20,MMWR_RATING_STATE_ROLLUP_VSC[MMWR_RATING_STATE_ROLLUP_VSC],0),MATCH(D$9,MMWR_RATING_STATE_ROLLUP_VSC[#Headers],0)),"ERROR"))</f>
        <v>135.26548991350001</v>
      </c>
      <c r="E20" s="157">
        <f>IF($B20=" ","",IFERROR(INDEX(MMWR_RATING_STATE_ROLLUP_VSC[],MATCH($B20,MMWR_RATING_STATE_ROLLUP_VSC[MMWR_RATING_STATE_ROLLUP_VSC],0),MATCH(E$9,MMWR_RATING_STATE_ROLLUP_VSC[#Headers],0))/$C20,"ERROR"))</f>
        <v>0.35302593659942361</v>
      </c>
      <c r="F20" s="155">
        <f>IF($B20=" ","",IFERROR(INDEX(MMWR_RATING_STATE_ROLLUP_VSC[],MATCH($B20,MMWR_RATING_STATE_ROLLUP_VSC[MMWR_RATING_STATE_ROLLUP_VSC],0),MATCH(F$9,MMWR_RATING_STATE_ROLLUP_VSC[#Headers],0)),"ERROR"))</f>
        <v>1660</v>
      </c>
      <c r="G20" s="155">
        <f>IF($B20=" ","",IFERROR(INDEX(MMWR_RATING_STATE_ROLLUP_VSC[],MATCH($B20,MMWR_RATING_STATE_ROLLUP_VSC[MMWR_RATING_STATE_ROLLUP_VSC],0),MATCH(G$9,MMWR_RATING_STATE_ROLLUP_VSC[#Headers],0)),"ERROR"))</f>
        <v>17642</v>
      </c>
      <c r="H20" s="156">
        <f>IF($B20=" ","",IFERROR(INDEX(MMWR_RATING_STATE_ROLLUP_VSC[],MATCH($B20,MMWR_RATING_STATE_ROLLUP_VSC[MMWR_RATING_STATE_ROLLUP_VSC],0),MATCH(H$9,MMWR_RATING_STATE_ROLLUP_VSC[#Headers],0)),"ERROR"))</f>
        <v>189.6445783133</v>
      </c>
      <c r="I20" s="156">
        <f>IF($B20=" ","",IFERROR(INDEX(MMWR_RATING_STATE_ROLLUP_VSC[],MATCH($B20,MMWR_RATING_STATE_ROLLUP_VSC[MMWR_RATING_STATE_ROLLUP_VSC],0),MATCH(I$9,MMWR_RATING_STATE_ROLLUP_VSC[#Headers],0)),"ERROR"))</f>
        <v>237.91996372290001</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4612</v>
      </c>
      <c r="D21" s="156">
        <f>IF($B21=" ","",IFERROR(INDEX(MMWR_RATING_STATE_ROLLUP_VSC[],MATCH($B21,MMWR_RATING_STATE_ROLLUP_VSC[MMWR_RATING_STATE_ROLLUP_VSC],0),MATCH(D$9,MMWR_RATING_STATE_ROLLUP_VSC[#Headers],0)),"ERROR"))</f>
        <v>112.96118820469999</v>
      </c>
      <c r="E21" s="157">
        <f>IF($B21=" ","",IFERROR(INDEX(MMWR_RATING_STATE_ROLLUP_VSC[],MATCH($B21,MMWR_RATING_STATE_ROLLUP_VSC[MMWR_RATING_STATE_ROLLUP_VSC],0),MATCH(E$9,MMWR_RATING_STATE_ROLLUP_VSC[#Headers],0))/$C21,"ERROR"))</f>
        <v>0.28924544666088464</v>
      </c>
      <c r="F21" s="155">
        <f>IF($B21=" ","",IFERROR(INDEX(MMWR_RATING_STATE_ROLLUP_VSC[],MATCH($B21,MMWR_RATING_STATE_ROLLUP_VSC[MMWR_RATING_STATE_ROLLUP_VSC],0),MATCH(F$9,MMWR_RATING_STATE_ROLLUP_VSC[#Headers],0)),"ERROR"))</f>
        <v>977</v>
      </c>
      <c r="G21" s="155">
        <f>IF($B21=" ","",IFERROR(INDEX(MMWR_RATING_STATE_ROLLUP_VSC[],MATCH($B21,MMWR_RATING_STATE_ROLLUP_VSC[MMWR_RATING_STATE_ROLLUP_VSC],0),MATCH(G$9,MMWR_RATING_STATE_ROLLUP_VSC[#Headers],0)),"ERROR"))</f>
        <v>12485</v>
      </c>
      <c r="H21" s="156">
        <f>IF($B21=" ","",IFERROR(INDEX(MMWR_RATING_STATE_ROLLUP_VSC[],MATCH($B21,MMWR_RATING_STATE_ROLLUP_VSC[MMWR_RATING_STATE_ROLLUP_VSC],0),MATCH(H$9,MMWR_RATING_STATE_ROLLUP_VSC[#Headers],0)),"ERROR"))</f>
        <v>167.56806550670001</v>
      </c>
      <c r="I21" s="156">
        <f>IF($B21=" ","",IFERROR(INDEX(MMWR_RATING_STATE_ROLLUP_VSC[],MATCH($B21,MMWR_RATING_STATE_ROLLUP_VSC[MMWR_RATING_STATE_ROLLUP_VSC],0),MATCH(I$9,MMWR_RATING_STATE_ROLLUP_VSC[#Headers],0)),"ERROR"))</f>
        <v>198.23243892670001</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1340</v>
      </c>
      <c r="D22" s="156">
        <f>IF($B22=" ","",IFERROR(INDEX(MMWR_RATING_STATE_ROLLUP_VSC[],MATCH($B22,MMWR_RATING_STATE_ROLLUP_VSC[MMWR_RATING_STATE_ROLLUP_VSC],0),MATCH(D$9,MMWR_RATING_STATE_ROLLUP_VSC[#Headers],0)),"ERROR"))</f>
        <v>101.7156716418</v>
      </c>
      <c r="E22" s="157">
        <f>IF($B22=" ","",IFERROR(INDEX(MMWR_RATING_STATE_ROLLUP_VSC[],MATCH($B22,MMWR_RATING_STATE_ROLLUP_VSC[MMWR_RATING_STATE_ROLLUP_VSC],0),MATCH(E$9,MMWR_RATING_STATE_ROLLUP_VSC[#Headers],0))/$C22,"ERROR"))</f>
        <v>0.24402985074626865</v>
      </c>
      <c r="F22" s="155">
        <f>IF($B22=" ","",IFERROR(INDEX(MMWR_RATING_STATE_ROLLUP_VSC[],MATCH($B22,MMWR_RATING_STATE_ROLLUP_VSC[MMWR_RATING_STATE_ROLLUP_VSC],0),MATCH(F$9,MMWR_RATING_STATE_ROLLUP_VSC[#Headers],0)),"ERROR"))</f>
        <v>266</v>
      </c>
      <c r="G22" s="155">
        <f>IF($B22=" ","",IFERROR(INDEX(MMWR_RATING_STATE_ROLLUP_VSC[],MATCH($B22,MMWR_RATING_STATE_ROLLUP_VSC[MMWR_RATING_STATE_ROLLUP_VSC],0),MATCH(G$9,MMWR_RATING_STATE_ROLLUP_VSC[#Headers],0)),"ERROR"))</f>
        <v>3383</v>
      </c>
      <c r="H22" s="156">
        <f>IF($B22=" ","",IFERROR(INDEX(MMWR_RATING_STATE_ROLLUP_VSC[],MATCH($B22,MMWR_RATING_STATE_ROLLUP_VSC[MMWR_RATING_STATE_ROLLUP_VSC],0),MATCH(H$9,MMWR_RATING_STATE_ROLLUP_VSC[#Headers],0)),"ERROR"))</f>
        <v>154.72180451130001</v>
      </c>
      <c r="I22" s="156">
        <f>IF($B22=" ","",IFERROR(INDEX(MMWR_RATING_STATE_ROLLUP_VSC[],MATCH($B22,MMWR_RATING_STATE_ROLLUP_VSC[MMWR_RATING_STATE_ROLLUP_VSC],0),MATCH(I$9,MMWR_RATING_STATE_ROLLUP_VSC[#Headers],0)),"ERROR"))</f>
        <v>176.74164942359999</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4385</v>
      </c>
      <c r="D23" s="156">
        <f>IF($B23=" ","",IFERROR(INDEX(MMWR_RATING_STATE_ROLLUP_VSC[],MATCH($B23,MMWR_RATING_STATE_ROLLUP_VSC[MMWR_RATING_STATE_ROLLUP_VSC],0),MATCH(D$9,MMWR_RATING_STATE_ROLLUP_VSC[#Headers],0)),"ERROR"))</f>
        <v>121.0982896237</v>
      </c>
      <c r="E23" s="157">
        <f>IF($B23=" ","",IFERROR(INDEX(MMWR_RATING_STATE_ROLLUP_VSC[],MATCH($B23,MMWR_RATING_STATE_ROLLUP_VSC[MMWR_RATING_STATE_ROLLUP_VSC],0),MATCH(E$9,MMWR_RATING_STATE_ROLLUP_VSC[#Headers],0))/$C23,"ERROR"))</f>
        <v>0.3523375142531357</v>
      </c>
      <c r="F23" s="155">
        <f>IF($B23=" ","",IFERROR(INDEX(MMWR_RATING_STATE_ROLLUP_VSC[],MATCH($B23,MMWR_RATING_STATE_ROLLUP_VSC[MMWR_RATING_STATE_ROLLUP_VSC],0),MATCH(F$9,MMWR_RATING_STATE_ROLLUP_VSC[#Headers],0)),"ERROR"))</f>
        <v>879</v>
      </c>
      <c r="G23" s="155">
        <f>IF($B23=" ","",IFERROR(INDEX(MMWR_RATING_STATE_ROLLUP_VSC[],MATCH($B23,MMWR_RATING_STATE_ROLLUP_VSC[MMWR_RATING_STATE_ROLLUP_VSC],0),MATCH(G$9,MMWR_RATING_STATE_ROLLUP_VSC[#Headers],0)),"ERROR"))</f>
        <v>11221</v>
      </c>
      <c r="H23" s="156">
        <f>IF($B23=" ","",IFERROR(INDEX(MMWR_RATING_STATE_ROLLUP_VSC[],MATCH($B23,MMWR_RATING_STATE_ROLLUP_VSC[MMWR_RATING_STATE_ROLLUP_VSC],0),MATCH(H$9,MMWR_RATING_STATE_ROLLUP_VSC[#Headers],0)),"ERROR"))</f>
        <v>166.9317406143</v>
      </c>
      <c r="I23" s="156">
        <f>IF($B23=" ","",IFERROR(INDEX(MMWR_RATING_STATE_ROLLUP_VSC[],MATCH($B23,MMWR_RATING_STATE_ROLLUP_VSC[MMWR_RATING_STATE_ROLLUP_VSC],0),MATCH(I$9,MMWR_RATING_STATE_ROLLUP_VSC[#Headers],0)),"ERROR"))</f>
        <v>193.5493271544</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9744</v>
      </c>
      <c r="D24" s="156">
        <f>IF($B24=" ","",IFERROR(INDEX(MMWR_RATING_STATE_ROLLUP_VSC[],MATCH($B24,MMWR_RATING_STATE_ROLLUP_VSC[MMWR_RATING_STATE_ROLLUP_VSC],0),MATCH(D$9,MMWR_RATING_STATE_ROLLUP_VSC[#Headers],0)),"ERROR"))</f>
        <v>118.338772578</v>
      </c>
      <c r="E24" s="157">
        <f>IF($B24=" ","",IFERROR(INDEX(MMWR_RATING_STATE_ROLLUP_VSC[],MATCH($B24,MMWR_RATING_STATE_ROLLUP_VSC[MMWR_RATING_STATE_ROLLUP_VSC],0),MATCH(E$9,MMWR_RATING_STATE_ROLLUP_VSC[#Headers],0))/$C24,"ERROR"))</f>
        <v>0.32050492610837439</v>
      </c>
      <c r="F24" s="155">
        <f>IF($B24=" ","",IFERROR(INDEX(MMWR_RATING_STATE_ROLLUP_VSC[],MATCH($B24,MMWR_RATING_STATE_ROLLUP_VSC[MMWR_RATING_STATE_ROLLUP_VSC],0),MATCH(F$9,MMWR_RATING_STATE_ROLLUP_VSC[#Headers],0)),"ERROR"))</f>
        <v>2217</v>
      </c>
      <c r="G24" s="155">
        <f>IF($B24=" ","",IFERROR(INDEX(MMWR_RATING_STATE_ROLLUP_VSC[],MATCH($B24,MMWR_RATING_STATE_ROLLUP_VSC[MMWR_RATING_STATE_ROLLUP_VSC],0),MATCH(G$9,MMWR_RATING_STATE_ROLLUP_VSC[#Headers],0)),"ERROR"))</f>
        <v>26657</v>
      </c>
      <c r="H24" s="156">
        <f>IF($B24=" ","",IFERROR(INDEX(MMWR_RATING_STATE_ROLLUP_VSC[],MATCH($B24,MMWR_RATING_STATE_ROLLUP_VSC[MMWR_RATING_STATE_ROLLUP_VSC],0),MATCH(H$9,MMWR_RATING_STATE_ROLLUP_VSC[#Headers],0)),"ERROR"))</f>
        <v>177.95128552099999</v>
      </c>
      <c r="I24" s="156">
        <f>IF($B24=" ","",IFERROR(INDEX(MMWR_RATING_STATE_ROLLUP_VSC[],MATCH($B24,MMWR_RATING_STATE_ROLLUP_VSC[MMWR_RATING_STATE_ROLLUP_VSC],0),MATCH(I$9,MMWR_RATING_STATE_ROLLUP_VSC[#Headers],0)),"ERROR"))</f>
        <v>201.02761000859999</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17724</v>
      </c>
      <c r="D25" s="156">
        <f>IF($B25=" ","",IFERROR(INDEX(MMWR_RATING_STATE_ROLLUP_VSC[],MATCH($B25,MMWR_RATING_STATE_ROLLUP_VSC[MMWR_RATING_STATE_ROLLUP_VSC],0),MATCH(D$9,MMWR_RATING_STATE_ROLLUP_VSC[#Headers],0)),"ERROR"))</f>
        <v>126.0459828481</v>
      </c>
      <c r="E25" s="157">
        <f>IF($B25=" ","",IFERROR(INDEX(MMWR_RATING_STATE_ROLLUP_VSC[],MATCH($B25,MMWR_RATING_STATE_ROLLUP_VSC[MMWR_RATING_STATE_ROLLUP_VSC],0),MATCH(E$9,MMWR_RATING_STATE_ROLLUP_VSC[#Headers],0))/$C25,"ERROR"))</f>
        <v>0.3518957345971564</v>
      </c>
      <c r="F25" s="155">
        <f>IF($B25=" ","",IFERROR(INDEX(MMWR_RATING_STATE_ROLLUP_VSC[],MATCH($B25,MMWR_RATING_STATE_ROLLUP_VSC[MMWR_RATING_STATE_ROLLUP_VSC],0),MATCH(F$9,MMWR_RATING_STATE_ROLLUP_VSC[#Headers],0)),"ERROR"))</f>
        <v>3917</v>
      </c>
      <c r="G25" s="155">
        <f>IF($B25=" ","",IFERROR(INDEX(MMWR_RATING_STATE_ROLLUP_VSC[],MATCH($B25,MMWR_RATING_STATE_ROLLUP_VSC[MMWR_RATING_STATE_ROLLUP_VSC],0),MATCH(G$9,MMWR_RATING_STATE_ROLLUP_VSC[#Headers],0)),"ERROR"))</f>
        <v>48698</v>
      </c>
      <c r="H25" s="156">
        <f>IF($B25=" ","",IFERROR(INDEX(MMWR_RATING_STATE_ROLLUP_VSC[],MATCH($B25,MMWR_RATING_STATE_ROLLUP_VSC[MMWR_RATING_STATE_ROLLUP_VSC],0),MATCH(H$9,MMWR_RATING_STATE_ROLLUP_VSC[#Headers],0)),"ERROR"))</f>
        <v>172.29308143989999</v>
      </c>
      <c r="I25" s="156">
        <f>IF($B25=" ","",IFERROR(INDEX(MMWR_RATING_STATE_ROLLUP_VSC[],MATCH($B25,MMWR_RATING_STATE_ROLLUP_VSC[MMWR_RATING_STATE_ROLLUP_VSC],0),MATCH(I$9,MMWR_RATING_STATE_ROLLUP_VSC[#Headers],0)),"ERROR"))</f>
        <v>198.9319479239</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9487</v>
      </c>
      <c r="D26" s="156">
        <f>IF($B26=" ","",IFERROR(INDEX(MMWR_RATING_STATE_ROLLUP_VSC[],MATCH($B26,MMWR_RATING_STATE_ROLLUP_VSC[MMWR_RATING_STATE_ROLLUP_VSC],0),MATCH(D$9,MMWR_RATING_STATE_ROLLUP_VSC[#Headers],0)),"ERROR"))</f>
        <v>127.91915252450001</v>
      </c>
      <c r="E26" s="157">
        <f>IF($B26=" ","",IFERROR(INDEX(MMWR_RATING_STATE_ROLLUP_VSC[],MATCH($B26,MMWR_RATING_STATE_ROLLUP_VSC[MMWR_RATING_STATE_ROLLUP_VSC],0),MATCH(E$9,MMWR_RATING_STATE_ROLLUP_VSC[#Headers],0))/$C26,"ERROR"))</f>
        <v>0.35111204806577423</v>
      </c>
      <c r="F26" s="155">
        <f>IF($B26=" ","",IFERROR(INDEX(MMWR_RATING_STATE_ROLLUP_VSC[],MATCH($B26,MMWR_RATING_STATE_ROLLUP_VSC[MMWR_RATING_STATE_ROLLUP_VSC],0),MATCH(F$9,MMWR_RATING_STATE_ROLLUP_VSC[#Headers],0)),"ERROR"))</f>
        <v>1893</v>
      </c>
      <c r="G26" s="155">
        <f>IF($B26=" ","",IFERROR(INDEX(MMWR_RATING_STATE_ROLLUP_VSC[],MATCH($B26,MMWR_RATING_STATE_ROLLUP_VSC[MMWR_RATING_STATE_ROLLUP_VSC],0),MATCH(G$9,MMWR_RATING_STATE_ROLLUP_VSC[#Headers],0)),"ERROR"))</f>
        <v>27815</v>
      </c>
      <c r="H26" s="156">
        <f>IF($B26=" ","",IFERROR(INDEX(MMWR_RATING_STATE_ROLLUP_VSC[],MATCH($B26,MMWR_RATING_STATE_ROLLUP_VSC[MMWR_RATING_STATE_ROLLUP_VSC],0),MATCH(H$9,MMWR_RATING_STATE_ROLLUP_VSC[#Headers],0)),"ERROR"))</f>
        <v>172.68304278919999</v>
      </c>
      <c r="I26" s="156">
        <f>IF($B26=" ","",IFERROR(INDEX(MMWR_RATING_STATE_ROLLUP_VSC[],MATCH($B26,MMWR_RATING_STATE_ROLLUP_VSC[MMWR_RATING_STATE_ROLLUP_VSC],0),MATCH(I$9,MMWR_RATING_STATE_ROLLUP_VSC[#Headers],0)),"ERROR"))</f>
        <v>214.3453891785</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911</v>
      </c>
      <c r="D27" s="156">
        <f>IF($B27=" ","",IFERROR(INDEX(MMWR_RATING_STATE_ROLLUP_VSC[],MATCH($B27,MMWR_RATING_STATE_ROLLUP_VSC[MMWR_RATING_STATE_ROLLUP_VSC],0),MATCH(D$9,MMWR_RATING_STATE_ROLLUP_VSC[#Headers],0)),"ERROR"))</f>
        <v>97.306256860600001</v>
      </c>
      <c r="E27" s="157">
        <f>IF($B27=" ","",IFERROR(INDEX(MMWR_RATING_STATE_ROLLUP_VSC[],MATCH($B27,MMWR_RATING_STATE_ROLLUP_VSC[MMWR_RATING_STATE_ROLLUP_VSC],0),MATCH(E$9,MMWR_RATING_STATE_ROLLUP_VSC[#Headers],0))/$C27,"ERROR"))</f>
        <v>0.2513721185510428</v>
      </c>
      <c r="F27" s="155">
        <f>IF($B27=" ","",IFERROR(INDEX(MMWR_RATING_STATE_ROLLUP_VSC[],MATCH($B27,MMWR_RATING_STATE_ROLLUP_VSC[MMWR_RATING_STATE_ROLLUP_VSC],0),MATCH(F$9,MMWR_RATING_STATE_ROLLUP_VSC[#Headers],0)),"ERROR"))</f>
        <v>192</v>
      </c>
      <c r="G27" s="155">
        <f>IF($B27=" ","",IFERROR(INDEX(MMWR_RATING_STATE_ROLLUP_VSC[],MATCH($B27,MMWR_RATING_STATE_ROLLUP_VSC[MMWR_RATING_STATE_ROLLUP_VSC],0),MATCH(G$9,MMWR_RATING_STATE_ROLLUP_VSC[#Headers],0)),"ERROR"))</f>
        <v>2560</v>
      </c>
      <c r="H27" s="156">
        <f>IF($B27=" ","",IFERROR(INDEX(MMWR_RATING_STATE_ROLLUP_VSC[],MATCH($B27,MMWR_RATING_STATE_ROLLUP_VSC[MMWR_RATING_STATE_ROLLUP_VSC],0),MATCH(H$9,MMWR_RATING_STATE_ROLLUP_VSC[#Headers],0)),"ERROR"))</f>
        <v>111.84375</v>
      </c>
      <c r="I27" s="156">
        <f>IF($B27=" ","",IFERROR(INDEX(MMWR_RATING_STATE_ROLLUP_VSC[],MATCH($B27,MMWR_RATING_STATE_ROLLUP_VSC[MMWR_RATING_STATE_ROLLUP_VSC],0),MATCH(I$9,MMWR_RATING_STATE_ROLLUP_VSC[#Headers],0)),"ERROR"))</f>
        <v>115.64882812499999</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451</v>
      </c>
      <c r="D28" s="156">
        <f>IF($B28=" ","",IFERROR(INDEX(MMWR_RATING_STATE_ROLLUP_VSC[],MATCH($B28,MMWR_RATING_STATE_ROLLUP_VSC[MMWR_RATING_STATE_ROLLUP_VSC],0),MATCH(D$9,MMWR_RATING_STATE_ROLLUP_VSC[#Headers],0)),"ERROR"))</f>
        <v>99.066518846999998</v>
      </c>
      <c r="E28" s="157">
        <f>IF($B28=" ","",IFERROR(INDEX(MMWR_RATING_STATE_ROLLUP_VSC[],MATCH($B28,MMWR_RATING_STATE_ROLLUP_VSC[MMWR_RATING_STATE_ROLLUP_VSC],0),MATCH(E$9,MMWR_RATING_STATE_ROLLUP_VSC[#Headers],0))/$C28,"ERROR"))</f>
        <v>0.2616407982261641</v>
      </c>
      <c r="F28" s="155">
        <f>IF($B28=" ","",IFERROR(INDEX(MMWR_RATING_STATE_ROLLUP_VSC[],MATCH($B28,MMWR_RATING_STATE_ROLLUP_VSC[MMWR_RATING_STATE_ROLLUP_VSC],0),MATCH(F$9,MMWR_RATING_STATE_ROLLUP_VSC[#Headers],0)),"ERROR"))</f>
        <v>79</v>
      </c>
      <c r="G28" s="155">
        <f>IF($B28=" ","",IFERROR(INDEX(MMWR_RATING_STATE_ROLLUP_VSC[],MATCH($B28,MMWR_RATING_STATE_ROLLUP_VSC[MMWR_RATING_STATE_ROLLUP_VSC],0),MATCH(G$9,MMWR_RATING_STATE_ROLLUP_VSC[#Headers],0)),"ERROR"))</f>
        <v>1263</v>
      </c>
      <c r="H28" s="156">
        <f>IF($B28=" ","",IFERROR(INDEX(MMWR_RATING_STATE_ROLLUP_VSC[],MATCH($B28,MMWR_RATING_STATE_ROLLUP_VSC[MMWR_RATING_STATE_ROLLUP_VSC],0),MATCH(H$9,MMWR_RATING_STATE_ROLLUP_VSC[#Headers],0)),"ERROR"))</f>
        <v>154.88607594940001</v>
      </c>
      <c r="I28" s="156">
        <f>IF($B28=" ","",IFERROR(INDEX(MMWR_RATING_STATE_ROLLUP_VSC[],MATCH($B28,MMWR_RATING_STATE_ROLLUP_VSC[MMWR_RATING_STATE_ROLLUP_VSC],0),MATCH(I$9,MMWR_RATING_STATE_ROLLUP_VSC[#Headers],0)),"ERROR"))</f>
        <v>167.66508313540001</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11832</v>
      </c>
      <c r="D29" s="156">
        <f>IF($B29=" ","",IFERROR(INDEX(MMWR_RATING_STATE_ROLLUP_VSC[],MATCH($B29,MMWR_RATING_STATE_ROLLUP_VSC[MMWR_RATING_STATE_ROLLUP_VSC],0),MATCH(D$9,MMWR_RATING_STATE_ROLLUP_VSC[#Headers],0)),"ERROR"))</f>
        <v>114.30983772819999</v>
      </c>
      <c r="E29" s="157">
        <f>IF($B29=" ","",IFERROR(INDEX(MMWR_RATING_STATE_ROLLUP_VSC[],MATCH($B29,MMWR_RATING_STATE_ROLLUP_VSC[MMWR_RATING_STATE_ROLLUP_VSC],0),MATCH(E$9,MMWR_RATING_STATE_ROLLUP_VSC[#Headers],0))/$C29,"ERROR"))</f>
        <v>0.31854293441514536</v>
      </c>
      <c r="F29" s="155">
        <f>IF($B29=" ","",IFERROR(INDEX(MMWR_RATING_STATE_ROLLUP_VSC[],MATCH($B29,MMWR_RATING_STATE_ROLLUP_VSC[MMWR_RATING_STATE_ROLLUP_VSC],0),MATCH(F$9,MMWR_RATING_STATE_ROLLUP_VSC[#Headers],0)),"ERROR"))</f>
        <v>2884</v>
      </c>
      <c r="G29" s="155">
        <f>IF($B29=" ","",IFERROR(INDEX(MMWR_RATING_STATE_ROLLUP_VSC[],MATCH($B29,MMWR_RATING_STATE_ROLLUP_VSC[MMWR_RATING_STATE_ROLLUP_VSC],0),MATCH(G$9,MMWR_RATING_STATE_ROLLUP_VSC[#Headers],0)),"ERROR"))</f>
        <v>34146</v>
      </c>
      <c r="H29" s="156">
        <f>IF($B29=" ","",IFERROR(INDEX(MMWR_RATING_STATE_ROLLUP_VSC[],MATCH($B29,MMWR_RATING_STATE_ROLLUP_VSC[MMWR_RATING_STATE_ROLLUP_VSC],0),MATCH(H$9,MMWR_RATING_STATE_ROLLUP_VSC[#Headers],0)),"ERROR"))</f>
        <v>165.02288488209999</v>
      </c>
      <c r="I29" s="156">
        <f>IF($B29=" ","",IFERROR(INDEX(MMWR_RATING_STATE_ROLLUP_VSC[],MATCH($B29,MMWR_RATING_STATE_ROLLUP_VSC[MMWR_RATING_STATE_ROLLUP_VSC],0),MATCH(I$9,MMWR_RATING_STATE_ROLLUP_VSC[#Headers],0)),"ERROR"))</f>
        <v>202.05877701630001</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2486</v>
      </c>
      <c r="D30" s="156">
        <f>IF($B30=" ","",IFERROR(INDEX(MMWR_RATING_STATE_ROLLUP_VSC[],MATCH($B30,MMWR_RATING_STATE_ROLLUP_VSC[MMWR_RATING_STATE_ROLLUP_VSC],0),MATCH(D$9,MMWR_RATING_STATE_ROLLUP_VSC[#Headers],0)),"ERROR"))</f>
        <v>99.467417538199996</v>
      </c>
      <c r="E30" s="157">
        <f>IF($B30=" ","",IFERROR(INDEX(MMWR_RATING_STATE_ROLLUP_VSC[],MATCH($B30,MMWR_RATING_STATE_ROLLUP_VSC[MMWR_RATING_STATE_ROLLUP_VSC],0),MATCH(E$9,MMWR_RATING_STATE_ROLLUP_VSC[#Headers],0))/$C30,"ERROR"))</f>
        <v>0.24215607401448108</v>
      </c>
      <c r="F30" s="155">
        <f>IF($B30=" ","",IFERROR(INDEX(MMWR_RATING_STATE_ROLLUP_VSC[],MATCH($B30,MMWR_RATING_STATE_ROLLUP_VSC[MMWR_RATING_STATE_ROLLUP_VSC],0),MATCH(F$9,MMWR_RATING_STATE_ROLLUP_VSC[#Headers],0)),"ERROR"))</f>
        <v>843</v>
      </c>
      <c r="G30" s="155">
        <f>IF($B30=" ","",IFERROR(INDEX(MMWR_RATING_STATE_ROLLUP_VSC[],MATCH($B30,MMWR_RATING_STATE_ROLLUP_VSC[MMWR_RATING_STATE_ROLLUP_VSC],0),MATCH(G$9,MMWR_RATING_STATE_ROLLUP_VSC[#Headers],0)),"ERROR"))</f>
        <v>7847</v>
      </c>
      <c r="H30" s="156">
        <f>IF($B30=" ","",IFERROR(INDEX(MMWR_RATING_STATE_ROLLUP_VSC[],MATCH($B30,MMWR_RATING_STATE_ROLLUP_VSC[MMWR_RATING_STATE_ROLLUP_VSC],0),MATCH(H$9,MMWR_RATING_STATE_ROLLUP_VSC[#Headers],0)),"ERROR"))</f>
        <v>137.6334519573</v>
      </c>
      <c r="I30" s="156">
        <f>IF($B30=" ","",IFERROR(INDEX(MMWR_RATING_STATE_ROLLUP_VSC[],MATCH($B30,MMWR_RATING_STATE_ROLLUP_VSC[MMWR_RATING_STATE_ROLLUP_VSC],0),MATCH(I$9,MMWR_RATING_STATE_ROLLUP_VSC[#Headers],0)),"ERROR"))</f>
        <v>149.9937555754</v>
      </c>
      <c r="J30" s="42"/>
      <c r="K30" s="42"/>
      <c r="L30" s="42"/>
      <c r="M30" s="42"/>
      <c r="N30" s="28"/>
    </row>
    <row r="31" spans="1:14" x14ac:dyDescent="0.2">
      <c r="A31" s="25"/>
      <c r="B31" s="339" t="s">
        <v>971</v>
      </c>
      <c r="C31" s="340"/>
      <c r="D31" s="340"/>
      <c r="E31" s="340"/>
      <c r="F31" s="340"/>
      <c r="G31" s="340"/>
      <c r="H31" s="340"/>
      <c r="I31" s="340"/>
      <c r="J31" s="340"/>
      <c r="K31" s="340"/>
      <c r="L31" s="340"/>
      <c r="M31" s="390"/>
      <c r="N31" s="28"/>
    </row>
    <row r="32" spans="1:14" x14ac:dyDescent="0.2">
      <c r="A32" s="25"/>
      <c r="B32" s="41" t="s">
        <v>1050</v>
      </c>
      <c r="C32" s="155">
        <f>IF($B32=" ","",IFERROR(INDEX(MMWR_RATING_STATE_ROLLUP_PMC[],MATCH($B32,MMWR_RATING_STATE_ROLLUP_PMC[MMWR_RATING_STATE_ROLLUP_PMC],0),MATCH(C$9,MMWR_RATING_STATE_ROLLUP_PMC[#Headers],0)),"ERROR"))</f>
        <v>18538</v>
      </c>
      <c r="D32" s="156">
        <f>IF($B32=" ","",IFERROR(INDEX(MMWR_RATING_STATE_ROLLUP_PMC[],MATCH($B32,MMWR_RATING_STATE_ROLLUP_PMC[MMWR_RATING_STATE_ROLLUP_PMC],0),MATCH(D$9,MMWR_RATING_STATE_ROLLUP_PMC[#Headers],0)),"ERROR"))</f>
        <v>63.4223756608</v>
      </c>
      <c r="E32" s="157">
        <f>IF($B32=" ","",IFERROR(INDEX(MMWR_RATING_STATE_ROLLUP_PMC[],MATCH($B32,MMWR_RATING_STATE_ROLLUP_PMC[MMWR_RATING_STATE_ROLLUP_PMC],0),MATCH(E$9,MMWR_RATING_STATE_ROLLUP_PMC[#Headers],0))/$C32,"ERROR"))</f>
        <v>0.10497356780666739</v>
      </c>
      <c r="F32" s="155">
        <f>IF($B32=" ","",IFERROR(INDEX(MMWR_RATING_STATE_ROLLUP_PMC[],MATCH($B32,MMWR_RATING_STATE_ROLLUP_PMC[MMWR_RATING_STATE_ROLLUP_PMC],0),MATCH(F$9,MMWR_RATING_STATE_ROLLUP_PMC[#Headers],0)),"ERROR"))</f>
        <v>9164</v>
      </c>
      <c r="G32" s="155">
        <f>IF($B32=" ","",IFERROR(INDEX(MMWR_RATING_STATE_ROLLUP_PMC[],MATCH($B32,MMWR_RATING_STATE_ROLLUP_PMC[MMWR_RATING_STATE_ROLLUP_PMC],0),MATCH(G$9,MMWR_RATING_STATE_ROLLUP_PMC[#Headers],0)),"ERROR"))</f>
        <v>124867</v>
      </c>
      <c r="H32" s="156">
        <f>IF($B32=" ","",IFERROR(INDEX(MMWR_RATING_STATE_ROLLUP_PMC[],MATCH($B32,MMWR_RATING_STATE_ROLLUP_PMC[MMWR_RATING_STATE_ROLLUP_PMC],0),MATCH(H$9,MMWR_RATING_STATE_ROLLUP_PMC[#Headers],0)),"ERROR"))</f>
        <v>64.808271497199996</v>
      </c>
      <c r="I32" s="156">
        <f>IF($B32=" ","",IFERROR(INDEX(MMWR_RATING_STATE_ROLLUP_PMC[],MATCH($B32,MMWR_RATING_STATE_ROLLUP_PMC[MMWR_RATING_STATE_ROLLUP_PMC],0),MATCH(I$9,MMWR_RATING_STATE_ROLLUP_PMC[#Headers],0)),"ERROR"))</f>
        <v>64.464205915099996</v>
      </c>
      <c r="J32" s="42"/>
      <c r="K32" s="42"/>
      <c r="L32" s="42"/>
      <c r="M32" s="42"/>
      <c r="N32" s="28"/>
    </row>
    <row r="33" spans="1:14" x14ac:dyDescent="0.2">
      <c r="A33" s="25"/>
      <c r="B33" s="251" t="str">
        <f>INDEX(DISTRICT_STATES[],MATCH($B$5,DISTRICT_RO[District],0),1)</f>
        <v>North Atlantic</v>
      </c>
      <c r="C33" s="155">
        <f>IF($B33=" ","",IFERROR(INDEX(MMWR_RATING_STATE_ROLLUP_PMC[],MATCH($B33,MMWR_RATING_STATE_ROLLUP_PMC[MMWR_RATING_STATE_ROLLUP_PMC],0),MATCH(C$9,MMWR_RATING_STATE_ROLLUP_PMC[#Headers],0)),"ERROR"))</f>
        <v>3311</v>
      </c>
      <c r="D33" s="156">
        <f>IF($B33=" ","",IFERROR(INDEX(MMWR_RATING_STATE_ROLLUP_PMC[],MATCH($B33,MMWR_RATING_STATE_ROLLUP_PMC[MMWR_RATING_STATE_ROLLUP_PMC],0),MATCH(D$9,MMWR_RATING_STATE_ROLLUP_PMC[#Headers],0)),"ERROR"))</f>
        <v>72.682271217199997</v>
      </c>
      <c r="E33" s="157">
        <f>IF($B33=" ","",IFERROR(INDEX(MMWR_RATING_STATE_ROLLUP_PMC[],MATCH($B33,MMWR_RATING_STATE_ROLLUP_PMC[MMWR_RATING_STATE_ROLLUP_PMC],0),MATCH(E$9,MMWR_RATING_STATE_ROLLUP_PMC[#Headers],0))/$C33,"ERROR"))</f>
        <v>0.14738749622470554</v>
      </c>
      <c r="F33" s="155">
        <f>IF($B33=" ","",IFERROR(INDEX(MMWR_RATING_STATE_ROLLUP_PMC[],MATCH($B33,MMWR_RATING_STATE_ROLLUP_PMC[MMWR_RATING_STATE_ROLLUP_PMC],0),MATCH(F$9,MMWR_RATING_STATE_ROLLUP_PMC[#Headers],0)),"ERROR"))</f>
        <v>1892</v>
      </c>
      <c r="G33" s="155">
        <f>IF($B33=" ","",IFERROR(INDEX(MMWR_RATING_STATE_ROLLUP_PMC[],MATCH($B33,MMWR_RATING_STATE_ROLLUP_PMC[MMWR_RATING_STATE_ROLLUP_PMC],0),MATCH(G$9,MMWR_RATING_STATE_ROLLUP_PMC[#Headers],0)),"ERROR"))</f>
        <v>24246</v>
      </c>
      <c r="H33" s="156">
        <f>IF($B33=" ","",IFERROR(INDEX(MMWR_RATING_STATE_ROLLUP_PMC[],MATCH($B33,MMWR_RATING_STATE_ROLLUP_PMC[MMWR_RATING_STATE_ROLLUP_PMC],0),MATCH(H$9,MMWR_RATING_STATE_ROLLUP_PMC[#Headers],0)),"ERROR"))</f>
        <v>73.890591966200006</v>
      </c>
      <c r="I33" s="156">
        <f>IF($B33=" ","",IFERROR(INDEX(MMWR_RATING_STATE_ROLLUP_PMC[],MATCH($B33,MMWR_RATING_STATE_ROLLUP_PMC[MMWR_RATING_STATE_ROLLUP_PMC],0),MATCH(I$9,MMWR_RATING_STATE_ROLLUP_PMC[#Headers],0)),"ERROR"))</f>
        <v>74.614121917000006</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95</v>
      </c>
      <c r="D34" s="156">
        <f>IF($B34=" ","",IFERROR(INDEX(MMWR_RATING_STATE_ROLLUP_PMC[],MATCH($B34,MMWR_RATING_STATE_ROLLUP_PMC[MMWR_RATING_STATE_ROLLUP_PMC],0),MATCH(D$9,MMWR_RATING_STATE_ROLLUP_PMC[#Headers],0)),"ERROR"))</f>
        <v>78.231578947399996</v>
      </c>
      <c r="E34" s="157">
        <f>IF($B34=" ","",IFERROR(INDEX(MMWR_RATING_STATE_ROLLUP_PMC[],MATCH($B34,MMWR_RATING_STATE_ROLLUP_PMC[MMWR_RATING_STATE_ROLLUP_PMC],0),MATCH(E$9,MMWR_RATING_STATE_ROLLUP_PMC[#Headers],0))/$C34,"ERROR"))</f>
        <v>0.14736842105263157</v>
      </c>
      <c r="F34" s="155">
        <f>IF($B34=" ","",IFERROR(INDEX(MMWR_RATING_STATE_ROLLUP_PMC[],MATCH($B34,MMWR_RATING_STATE_ROLLUP_PMC[MMWR_RATING_STATE_ROLLUP_PMC],0),MATCH(F$9,MMWR_RATING_STATE_ROLLUP_PMC[#Headers],0)),"ERROR"))</f>
        <v>63</v>
      </c>
      <c r="G34" s="155">
        <f>IF($B34=" ","",IFERROR(INDEX(MMWR_RATING_STATE_ROLLUP_PMC[],MATCH($B34,MMWR_RATING_STATE_ROLLUP_PMC[MMWR_RATING_STATE_ROLLUP_PMC],0),MATCH(G$9,MMWR_RATING_STATE_ROLLUP_PMC[#Headers],0)),"ERROR"))</f>
        <v>740</v>
      </c>
      <c r="H34" s="156">
        <f>IF($B34=" ","",IFERROR(INDEX(MMWR_RATING_STATE_ROLLUP_PMC[],MATCH($B34,MMWR_RATING_STATE_ROLLUP_PMC[MMWR_RATING_STATE_ROLLUP_PMC],0),MATCH(H$9,MMWR_RATING_STATE_ROLLUP_PMC[#Headers],0)),"ERROR"))</f>
        <v>85.904761904799997</v>
      </c>
      <c r="I34" s="156">
        <f>IF($B34=" ","",IFERROR(INDEX(MMWR_RATING_STATE_ROLLUP_PMC[],MATCH($B34,MMWR_RATING_STATE_ROLLUP_PMC[MMWR_RATING_STATE_ROLLUP_PMC],0),MATCH(I$9,MMWR_RATING_STATE_ROLLUP_PMC[#Headers],0)),"ERROR"))</f>
        <v>75.464864864899994</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29</v>
      </c>
      <c r="D35" s="156">
        <f>IF($B35=" ","",IFERROR(INDEX(MMWR_RATING_STATE_ROLLUP_PMC[],MATCH($B35,MMWR_RATING_STATE_ROLLUP_PMC[MMWR_RATING_STATE_ROLLUP_PMC],0),MATCH(D$9,MMWR_RATING_STATE_ROLLUP_PMC[#Headers],0)),"ERROR"))</f>
        <v>76.310344827600005</v>
      </c>
      <c r="E35" s="157">
        <f>IF($B35=" ","",IFERROR(INDEX(MMWR_RATING_STATE_ROLLUP_PMC[],MATCH($B35,MMWR_RATING_STATE_ROLLUP_PMC[MMWR_RATING_STATE_ROLLUP_PMC],0),MATCH(E$9,MMWR_RATING_STATE_ROLLUP_PMC[#Headers],0))/$C35,"ERROR"))</f>
        <v>0.10344827586206896</v>
      </c>
      <c r="F35" s="155">
        <f>IF($B35=" ","",IFERROR(INDEX(MMWR_RATING_STATE_ROLLUP_PMC[],MATCH($B35,MMWR_RATING_STATE_ROLLUP_PMC[MMWR_RATING_STATE_ROLLUP_PMC],0),MATCH(F$9,MMWR_RATING_STATE_ROLLUP_PMC[#Headers],0)),"ERROR"))</f>
        <v>24</v>
      </c>
      <c r="G35" s="155">
        <f>IF($B35=" ","",IFERROR(INDEX(MMWR_RATING_STATE_ROLLUP_PMC[],MATCH($B35,MMWR_RATING_STATE_ROLLUP_PMC[MMWR_RATING_STATE_ROLLUP_PMC],0),MATCH(G$9,MMWR_RATING_STATE_ROLLUP_PMC[#Headers],0)),"ERROR"))</f>
        <v>267</v>
      </c>
      <c r="H35" s="156">
        <f>IF($B35=" ","",IFERROR(INDEX(MMWR_RATING_STATE_ROLLUP_PMC[],MATCH($B35,MMWR_RATING_STATE_ROLLUP_PMC[MMWR_RATING_STATE_ROLLUP_PMC],0),MATCH(H$9,MMWR_RATING_STATE_ROLLUP_PMC[#Headers],0)),"ERROR"))</f>
        <v>147.0833333333</v>
      </c>
      <c r="I35" s="156">
        <f>IF($B35=" ","",IFERROR(INDEX(MMWR_RATING_STATE_ROLLUP_PMC[],MATCH($B35,MMWR_RATING_STATE_ROLLUP_PMC[MMWR_RATING_STATE_ROLLUP_PMC],0),MATCH(I$9,MMWR_RATING_STATE_ROLLUP_PMC[#Headers],0)),"ERROR"))</f>
        <v>82.677902621699999</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30</v>
      </c>
      <c r="D36" s="156">
        <f>IF($B36=" ","",IFERROR(INDEX(MMWR_RATING_STATE_ROLLUP_PMC[],MATCH($B36,MMWR_RATING_STATE_ROLLUP_PMC[MMWR_RATING_STATE_ROLLUP_PMC],0),MATCH(D$9,MMWR_RATING_STATE_ROLLUP_PMC[#Headers],0)),"ERROR"))</f>
        <v>75.166666666699996</v>
      </c>
      <c r="E36" s="157">
        <f>IF($B36=" ","",IFERROR(INDEX(MMWR_RATING_STATE_ROLLUP_PMC[],MATCH($B36,MMWR_RATING_STATE_ROLLUP_PMC[MMWR_RATING_STATE_ROLLUP_PMC],0),MATCH(E$9,MMWR_RATING_STATE_ROLLUP_PMC[#Headers],0))/$C36,"ERROR"))</f>
        <v>6.6666666666666666E-2</v>
      </c>
      <c r="F36" s="155">
        <f>IF($B36=" ","",IFERROR(INDEX(MMWR_RATING_STATE_ROLLUP_PMC[],MATCH($B36,MMWR_RATING_STATE_ROLLUP_PMC[MMWR_RATING_STATE_ROLLUP_PMC],0),MATCH(F$9,MMWR_RATING_STATE_ROLLUP_PMC[#Headers],0)),"ERROR"))</f>
        <v>15</v>
      </c>
      <c r="G36" s="155">
        <f>IF($B36=" ","",IFERROR(INDEX(MMWR_RATING_STATE_ROLLUP_PMC[],MATCH($B36,MMWR_RATING_STATE_ROLLUP_PMC[MMWR_RATING_STATE_ROLLUP_PMC],0),MATCH(G$9,MMWR_RATING_STATE_ROLLUP_PMC[#Headers],0)),"ERROR"))</f>
        <v>152</v>
      </c>
      <c r="H36" s="156">
        <f>IF($B36=" ","",IFERROR(INDEX(MMWR_RATING_STATE_ROLLUP_PMC[],MATCH($B36,MMWR_RATING_STATE_ROLLUP_PMC[MMWR_RATING_STATE_ROLLUP_PMC],0),MATCH(H$9,MMWR_RATING_STATE_ROLLUP_PMC[#Headers],0)),"ERROR"))</f>
        <v>93.533333333300007</v>
      </c>
      <c r="I36" s="156">
        <f>IF($B36=" ","",IFERROR(INDEX(MMWR_RATING_STATE_ROLLUP_PMC[],MATCH($B36,MMWR_RATING_STATE_ROLLUP_PMC[MMWR_RATING_STATE_ROLLUP_PMC],0),MATCH(I$9,MMWR_RATING_STATE_ROLLUP_PMC[#Headers],0)),"ERROR"))</f>
        <v>86.717105263199997</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47</v>
      </c>
      <c r="D37" s="156">
        <f>IF($B37=" ","",IFERROR(INDEX(MMWR_RATING_STATE_ROLLUP_PMC[],MATCH($B37,MMWR_RATING_STATE_ROLLUP_PMC[MMWR_RATING_STATE_ROLLUP_PMC],0),MATCH(D$9,MMWR_RATING_STATE_ROLLUP_PMC[#Headers],0)),"ERROR"))</f>
        <v>57.872340425499999</v>
      </c>
      <c r="E37" s="157">
        <f>IF($B37=" ","",IFERROR(INDEX(MMWR_RATING_STATE_ROLLUP_PMC[],MATCH($B37,MMWR_RATING_STATE_ROLLUP_PMC[MMWR_RATING_STATE_ROLLUP_PMC],0),MATCH(E$9,MMWR_RATING_STATE_ROLLUP_PMC[#Headers],0))/$C37,"ERROR"))</f>
        <v>8.5106382978723402E-2</v>
      </c>
      <c r="F37" s="155">
        <f>IF($B37=" ","",IFERROR(INDEX(MMWR_RATING_STATE_ROLLUP_PMC[],MATCH($B37,MMWR_RATING_STATE_ROLLUP_PMC[MMWR_RATING_STATE_ROLLUP_PMC],0),MATCH(F$9,MMWR_RATING_STATE_ROLLUP_PMC[#Headers],0)),"ERROR"))</f>
        <v>30</v>
      </c>
      <c r="G37" s="155">
        <f>IF($B37=" ","",IFERROR(INDEX(MMWR_RATING_STATE_ROLLUP_PMC[],MATCH($B37,MMWR_RATING_STATE_ROLLUP_PMC[MMWR_RATING_STATE_ROLLUP_PMC],0),MATCH(G$9,MMWR_RATING_STATE_ROLLUP_PMC[#Headers],0)),"ERROR"))</f>
        <v>461</v>
      </c>
      <c r="H37" s="156">
        <f>IF($B37=" ","",IFERROR(INDEX(MMWR_RATING_STATE_ROLLUP_PMC[],MATCH($B37,MMWR_RATING_STATE_ROLLUP_PMC[MMWR_RATING_STATE_ROLLUP_PMC],0),MATCH(H$9,MMWR_RATING_STATE_ROLLUP_PMC[#Headers],0)),"ERROR"))</f>
        <v>71.166666666699996</v>
      </c>
      <c r="I37" s="156">
        <f>IF($B37=" ","",IFERROR(INDEX(MMWR_RATING_STATE_ROLLUP_PMC[],MATCH($B37,MMWR_RATING_STATE_ROLLUP_PMC[MMWR_RATING_STATE_ROLLUP_PMC],0),MATCH(I$9,MMWR_RATING_STATE_ROLLUP_PMC[#Headers],0)),"ERROR"))</f>
        <v>64.498915401299996</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229</v>
      </c>
      <c r="D38" s="156">
        <f>IF($B38=" ","",IFERROR(INDEX(MMWR_RATING_STATE_ROLLUP_PMC[],MATCH($B38,MMWR_RATING_STATE_ROLLUP_PMC[MMWR_RATING_STATE_ROLLUP_PMC],0),MATCH(D$9,MMWR_RATING_STATE_ROLLUP_PMC[#Headers],0)),"ERROR"))</f>
        <v>78.799126637599997</v>
      </c>
      <c r="E38" s="157">
        <f>IF($B38=" ","",IFERROR(INDEX(MMWR_RATING_STATE_ROLLUP_PMC[],MATCH($B38,MMWR_RATING_STATE_ROLLUP_PMC[MMWR_RATING_STATE_ROLLUP_PMC],0),MATCH(E$9,MMWR_RATING_STATE_ROLLUP_PMC[#Headers],0))/$C38,"ERROR"))</f>
        <v>0.15720524017467249</v>
      </c>
      <c r="F38" s="155">
        <f>IF($B38=" ","",IFERROR(INDEX(MMWR_RATING_STATE_ROLLUP_PMC[],MATCH($B38,MMWR_RATING_STATE_ROLLUP_PMC[MMWR_RATING_STATE_ROLLUP_PMC],0),MATCH(F$9,MMWR_RATING_STATE_ROLLUP_PMC[#Headers],0)),"ERROR"))</f>
        <v>136</v>
      </c>
      <c r="G38" s="155">
        <f>IF($B38=" ","",IFERROR(INDEX(MMWR_RATING_STATE_ROLLUP_PMC[],MATCH($B38,MMWR_RATING_STATE_ROLLUP_PMC[MMWR_RATING_STATE_ROLLUP_PMC],0),MATCH(G$9,MMWR_RATING_STATE_ROLLUP_PMC[#Headers],0)),"ERROR"))</f>
        <v>1571</v>
      </c>
      <c r="H38" s="156">
        <f>IF($B38=" ","",IFERROR(INDEX(MMWR_RATING_STATE_ROLLUP_PMC[],MATCH($B38,MMWR_RATING_STATE_ROLLUP_PMC[MMWR_RATING_STATE_ROLLUP_PMC],0),MATCH(H$9,MMWR_RATING_STATE_ROLLUP_PMC[#Headers],0)),"ERROR"))</f>
        <v>90.051470588200004</v>
      </c>
      <c r="I38" s="156">
        <f>IF($B38=" ","",IFERROR(INDEX(MMWR_RATING_STATE_ROLLUP_PMC[],MATCH($B38,MMWR_RATING_STATE_ROLLUP_PMC[MMWR_RATING_STATE_ROLLUP_PMC],0),MATCH(I$9,MMWR_RATING_STATE_ROLLUP_PMC[#Headers],0)),"ERROR"))</f>
        <v>86.413112667099995</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176</v>
      </c>
      <c r="D39" s="156">
        <f>IF($B39=" ","",IFERROR(INDEX(MMWR_RATING_STATE_ROLLUP_PMC[],MATCH($B39,MMWR_RATING_STATE_ROLLUP_PMC[MMWR_RATING_STATE_ROLLUP_PMC],0),MATCH(D$9,MMWR_RATING_STATE_ROLLUP_PMC[#Headers],0)),"ERROR"))</f>
        <v>70.914772727300004</v>
      </c>
      <c r="E39" s="157">
        <f>IF($B39=" ","",IFERROR(INDEX(MMWR_RATING_STATE_ROLLUP_PMC[],MATCH($B39,MMWR_RATING_STATE_ROLLUP_PMC[MMWR_RATING_STATE_ROLLUP_PMC],0),MATCH(E$9,MMWR_RATING_STATE_ROLLUP_PMC[#Headers],0))/$C39,"ERROR"))</f>
        <v>0.14204545454545456</v>
      </c>
      <c r="F39" s="155">
        <f>IF($B39=" ","",IFERROR(INDEX(MMWR_RATING_STATE_ROLLUP_PMC[],MATCH($B39,MMWR_RATING_STATE_ROLLUP_PMC[MMWR_RATING_STATE_ROLLUP_PMC],0),MATCH(F$9,MMWR_RATING_STATE_ROLLUP_PMC[#Headers],0)),"ERROR"))</f>
        <v>98</v>
      </c>
      <c r="G39" s="155">
        <f>IF($B39=" ","",IFERROR(INDEX(MMWR_RATING_STATE_ROLLUP_PMC[],MATCH($B39,MMWR_RATING_STATE_ROLLUP_PMC[MMWR_RATING_STATE_ROLLUP_PMC],0),MATCH(G$9,MMWR_RATING_STATE_ROLLUP_PMC[#Headers],0)),"ERROR"))</f>
        <v>1382</v>
      </c>
      <c r="H39" s="156">
        <f>IF($B39=" ","",IFERROR(INDEX(MMWR_RATING_STATE_ROLLUP_PMC[],MATCH($B39,MMWR_RATING_STATE_ROLLUP_PMC[MMWR_RATING_STATE_ROLLUP_PMC],0),MATCH(H$9,MMWR_RATING_STATE_ROLLUP_PMC[#Headers],0)),"ERROR"))</f>
        <v>73.489795918400006</v>
      </c>
      <c r="I39" s="156">
        <f>IF($B39=" ","",IFERROR(INDEX(MMWR_RATING_STATE_ROLLUP_PMC[],MATCH($B39,MMWR_RATING_STATE_ROLLUP_PMC[MMWR_RATING_STATE_ROLLUP_PMC],0),MATCH(I$9,MMWR_RATING_STATE_ROLLUP_PMC[#Headers],0)),"ERROR"))</f>
        <v>70.077424023199995</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57</v>
      </c>
      <c r="D40" s="156">
        <f>IF($B40=" ","",IFERROR(INDEX(MMWR_RATING_STATE_ROLLUP_PMC[],MATCH($B40,MMWR_RATING_STATE_ROLLUP_PMC[MMWR_RATING_STATE_ROLLUP_PMC],0),MATCH(D$9,MMWR_RATING_STATE_ROLLUP_PMC[#Headers],0)),"ERROR"))</f>
        <v>64.526315789500003</v>
      </c>
      <c r="E40" s="157">
        <f>IF($B40=" ","",IFERROR(INDEX(MMWR_RATING_STATE_ROLLUP_PMC[],MATCH($B40,MMWR_RATING_STATE_ROLLUP_PMC[MMWR_RATING_STATE_ROLLUP_PMC],0),MATCH(E$9,MMWR_RATING_STATE_ROLLUP_PMC[#Headers],0))/$C40,"ERROR"))</f>
        <v>7.0175438596491224E-2</v>
      </c>
      <c r="F40" s="155">
        <f>IF($B40=" ","",IFERROR(INDEX(MMWR_RATING_STATE_ROLLUP_PMC[],MATCH($B40,MMWR_RATING_STATE_ROLLUP_PMC[MMWR_RATING_STATE_ROLLUP_PMC],0),MATCH(F$9,MMWR_RATING_STATE_ROLLUP_PMC[#Headers],0)),"ERROR"))</f>
        <v>34</v>
      </c>
      <c r="G40" s="155">
        <f>IF($B40=" ","",IFERROR(INDEX(MMWR_RATING_STATE_ROLLUP_PMC[],MATCH($B40,MMWR_RATING_STATE_ROLLUP_PMC[MMWR_RATING_STATE_ROLLUP_PMC],0),MATCH(G$9,MMWR_RATING_STATE_ROLLUP_PMC[#Headers],0)),"ERROR"))</f>
        <v>393</v>
      </c>
      <c r="H40" s="156">
        <f>IF($B40=" ","",IFERROR(INDEX(MMWR_RATING_STATE_ROLLUP_PMC[],MATCH($B40,MMWR_RATING_STATE_ROLLUP_PMC[MMWR_RATING_STATE_ROLLUP_PMC],0),MATCH(H$9,MMWR_RATING_STATE_ROLLUP_PMC[#Headers],0)),"ERROR"))</f>
        <v>62.5</v>
      </c>
      <c r="I40" s="156">
        <f>IF($B40=" ","",IFERROR(INDEX(MMWR_RATING_STATE_ROLLUP_PMC[],MATCH($B40,MMWR_RATING_STATE_ROLLUP_PMC[MMWR_RATING_STATE_ROLLUP_PMC],0),MATCH(I$9,MMWR_RATING_STATE_ROLLUP_PMC[#Headers],0)),"ERROR"))</f>
        <v>73.508905852400005</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222</v>
      </c>
      <c r="D41" s="156">
        <f>IF($B41=" ","",IFERROR(INDEX(MMWR_RATING_STATE_ROLLUP_PMC[],MATCH($B41,MMWR_RATING_STATE_ROLLUP_PMC[MMWR_RATING_STATE_ROLLUP_PMC],0),MATCH(D$9,MMWR_RATING_STATE_ROLLUP_PMC[#Headers],0)),"ERROR"))</f>
        <v>75.004504504500005</v>
      </c>
      <c r="E41" s="157">
        <f>IF($B41=" ","",IFERROR(INDEX(MMWR_RATING_STATE_ROLLUP_PMC[],MATCH($B41,MMWR_RATING_STATE_ROLLUP_PMC[MMWR_RATING_STATE_ROLLUP_PMC],0),MATCH(E$9,MMWR_RATING_STATE_ROLLUP_PMC[#Headers],0))/$C41,"ERROR"))</f>
        <v>0.1891891891891892</v>
      </c>
      <c r="F41" s="155">
        <f>IF($B41=" ","",IFERROR(INDEX(MMWR_RATING_STATE_ROLLUP_PMC[],MATCH($B41,MMWR_RATING_STATE_ROLLUP_PMC[MMWR_RATING_STATE_ROLLUP_PMC],0),MATCH(F$9,MMWR_RATING_STATE_ROLLUP_PMC[#Headers],0)),"ERROR"))</f>
        <v>131</v>
      </c>
      <c r="G41" s="155">
        <f>IF($B41=" ","",IFERROR(INDEX(MMWR_RATING_STATE_ROLLUP_PMC[],MATCH($B41,MMWR_RATING_STATE_ROLLUP_PMC[MMWR_RATING_STATE_ROLLUP_PMC],0),MATCH(G$9,MMWR_RATING_STATE_ROLLUP_PMC[#Headers],0)),"ERROR"))</f>
        <v>1742</v>
      </c>
      <c r="H41" s="156">
        <f>IF($B41=" ","",IFERROR(INDEX(MMWR_RATING_STATE_ROLLUP_PMC[],MATCH($B41,MMWR_RATING_STATE_ROLLUP_PMC[MMWR_RATING_STATE_ROLLUP_PMC],0),MATCH(H$9,MMWR_RATING_STATE_ROLLUP_PMC[#Headers],0)),"ERROR"))</f>
        <v>72.519083969500002</v>
      </c>
      <c r="I41" s="156">
        <f>IF($B41=" ","",IFERROR(INDEX(MMWR_RATING_STATE_ROLLUP_PMC[],MATCH($B41,MMWR_RATING_STATE_ROLLUP_PMC[MMWR_RATING_STATE_ROLLUP_PMC],0),MATCH(I$9,MMWR_RATING_STATE_ROLLUP_PMC[#Headers],0)),"ERROR"))</f>
        <v>78.330654420200005</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571</v>
      </c>
      <c r="D42" s="156">
        <f>IF($B42=" ","",IFERROR(INDEX(MMWR_RATING_STATE_ROLLUP_PMC[],MATCH($B42,MMWR_RATING_STATE_ROLLUP_PMC[MMWR_RATING_STATE_ROLLUP_PMC],0),MATCH(D$9,MMWR_RATING_STATE_ROLLUP_PMC[#Headers],0)),"ERROR"))</f>
        <v>71.206654991199997</v>
      </c>
      <c r="E42" s="157">
        <f>IF($B42=" ","",IFERROR(INDEX(MMWR_RATING_STATE_ROLLUP_PMC[],MATCH($B42,MMWR_RATING_STATE_ROLLUP_PMC[MMWR_RATING_STATE_ROLLUP_PMC],0),MATCH(E$9,MMWR_RATING_STATE_ROLLUP_PMC[#Headers],0))/$C42,"ERROR"))</f>
        <v>0.1295971978984238</v>
      </c>
      <c r="F42" s="155">
        <f>IF($B42=" ","",IFERROR(INDEX(MMWR_RATING_STATE_ROLLUP_PMC[],MATCH($B42,MMWR_RATING_STATE_ROLLUP_PMC[MMWR_RATING_STATE_ROLLUP_PMC],0),MATCH(F$9,MMWR_RATING_STATE_ROLLUP_PMC[#Headers],0)),"ERROR"))</f>
        <v>327</v>
      </c>
      <c r="G42" s="155">
        <f>IF($B42=" ","",IFERROR(INDEX(MMWR_RATING_STATE_ROLLUP_PMC[],MATCH($B42,MMWR_RATING_STATE_ROLLUP_PMC[MMWR_RATING_STATE_ROLLUP_PMC],0),MATCH(G$9,MMWR_RATING_STATE_ROLLUP_PMC[#Headers],0)),"ERROR"))</f>
        <v>4131</v>
      </c>
      <c r="H42" s="156">
        <f>IF($B42=" ","",IFERROR(INDEX(MMWR_RATING_STATE_ROLLUP_PMC[],MATCH($B42,MMWR_RATING_STATE_ROLLUP_PMC[MMWR_RATING_STATE_ROLLUP_PMC],0),MATCH(H$9,MMWR_RATING_STATE_ROLLUP_PMC[#Headers],0)),"ERROR"))</f>
        <v>72.666666666699996</v>
      </c>
      <c r="I42" s="156">
        <f>IF($B42=" ","",IFERROR(INDEX(MMWR_RATING_STATE_ROLLUP_PMC[],MATCH($B42,MMWR_RATING_STATE_ROLLUP_PMC[MMWR_RATING_STATE_ROLLUP_PMC],0),MATCH(I$9,MMWR_RATING_STATE_ROLLUP_PMC[#Headers],0)),"ERROR"))</f>
        <v>69.999031711499995</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627</v>
      </c>
      <c r="D43" s="156">
        <f>IF($B43=" ","",IFERROR(INDEX(MMWR_RATING_STATE_ROLLUP_PMC[],MATCH($B43,MMWR_RATING_STATE_ROLLUP_PMC[MMWR_RATING_STATE_ROLLUP_PMC],0),MATCH(D$9,MMWR_RATING_STATE_ROLLUP_PMC[#Headers],0)),"ERROR"))</f>
        <v>75.652312599699997</v>
      </c>
      <c r="E43" s="157">
        <f>IF($B43=" ","",IFERROR(INDEX(MMWR_RATING_STATE_ROLLUP_PMC[],MATCH($B43,MMWR_RATING_STATE_ROLLUP_PMC[MMWR_RATING_STATE_ROLLUP_PMC],0),MATCH(E$9,MMWR_RATING_STATE_ROLLUP_PMC[#Headers],0))/$C43,"ERROR"))</f>
        <v>0.16586921850079744</v>
      </c>
      <c r="F43" s="155">
        <f>IF($B43=" ","",IFERROR(INDEX(MMWR_RATING_STATE_ROLLUP_PMC[],MATCH($B43,MMWR_RATING_STATE_ROLLUP_PMC[MMWR_RATING_STATE_ROLLUP_PMC],0),MATCH(F$9,MMWR_RATING_STATE_ROLLUP_PMC[#Headers],0)),"ERROR"))</f>
        <v>336</v>
      </c>
      <c r="G43" s="155">
        <f>IF($B43=" ","",IFERROR(INDEX(MMWR_RATING_STATE_ROLLUP_PMC[],MATCH($B43,MMWR_RATING_STATE_ROLLUP_PMC[MMWR_RATING_STATE_ROLLUP_PMC],0),MATCH(G$9,MMWR_RATING_STATE_ROLLUP_PMC[#Headers],0)),"ERROR"))</f>
        <v>4438</v>
      </c>
      <c r="H43" s="156">
        <f>IF($B43=" ","",IFERROR(INDEX(MMWR_RATING_STATE_ROLLUP_PMC[],MATCH($B43,MMWR_RATING_STATE_ROLLUP_PMC[MMWR_RATING_STATE_ROLLUP_PMC],0),MATCH(H$9,MMWR_RATING_STATE_ROLLUP_PMC[#Headers],0)),"ERROR"))</f>
        <v>67.815476190499993</v>
      </c>
      <c r="I43" s="156">
        <f>IF($B43=" ","",IFERROR(INDEX(MMWR_RATING_STATE_ROLLUP_PMC[],MATCH($B43,MMWR_RATING_STATE_ROLLUP_PMC[MMWR_RATING_STATE_ROLLUP_PMC],0),MATCH(I$9,MMWR_RATING_STATE_ROLLUP_PMC[#Headers],0)),"ERROR"))</f>
        <v>76.613114015299999</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646</v>
      </c>
      <c r="D44" s="156">
        <f>IF($B44=" ","",IFERROR(INDEX(MMWR_RATING_STATE_ROLLUP_PMC[],MATCH($B44,MMWR_RATING_STATE_ROLLUP_PMC[MMWR_RATING_STATE_ROLLUP_PMC],0),MATCH(D$9,MMWR_RATING_STATE_ROLLUP_PMC[#Headers],0)),"ERROR"))</f>
        <v>66.147058823500004</v>
      </c>
      <c r="E44" s="157">
        <f>IF($B44=" ","",IFERROR(INDEX(MMWR_RATING_STATE_ROLLUP_PMC[],MATCH($B44,MMWR_RATING_STATE_ROLLUP_PMC[MMWR_RATING_STATE_ROLLUP_PMC],0),MATCH(E$9,MMWR_RATING_STATE_ROLLUP_PMC[#Headers],0))/$C44,"ERROR"))</f>
        <v>0.12538699690402477</v>
      </c>
      <c r="F44" s="155">
        <f>IF($B44=" ","",IFERROR(INDEX(MMWR_RATING_STATE_ROLLUP_PMC[],MATCH($B44,MMWR_RATING_STATE_ROLLUP_PMC[MMWR_RATING_STATE_ROLLUP_PMC],0),MATCH(F$9,MMWR_RATING_STATE_ROLLUP_PMC[#Headers],0)),"ERROR"))</f>
        <v>363</v>
      </c>
      <c r="G44" s="155">
        <f>IF($B44=" ","",IFERROR(INDEX(MMWR_RATING_STATE_ROLLUP_PMC[],MATCH($B44,MMWR_RATING_STATE_ROLLUP_PMC[MMWR_RATING_STATE_ROLLUP_PMC],0),MATCH(G$9,MMWR_RATING_STATE_ROLLUP_PMC[#Headers],0)),"ERROR"))</f>
        <v>5014</v>
      </c>
      <c r="H44" s="156">
        <f>IF($B44=" ","",IFERROR(INDEX(MMWR_RATING_STATE_ROLLUP_PMC[],MATCH($B44,MMWR_RATING_STATE_ROLLUP_PMC[MMWR_RATING_STATE_ROLLUP_PMC],0),MATCH(H$9,MMWR_RATING_STATE_ROLLUP_PMC[#Headers],0)),"ERROR"))</f>
        <v>68.380165289299995</v>
      </c>
      <c r="I44" s="156">
        <f>IF($B44=" ","",IFERROR(INDEX(MMWR_RATING_STATE_ROLLUP_PMC[],MATCH($B44,MMWR_RATING_STATE_ROLLUP_PMC[MMWR_RATING_STATE_ROLLUP_PMC],0),MATCH(I$9,MMWR_RATING_STATE_ROLLUP_PMC[#Headers],0)),"ERROR"))</f>
        <v>68.4918228959</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46</v>
      </c>
      <c r="D45" s="156">
        <f>IF($B45=" ","",IFERROR(INDEX(MMWR_RATING_STATE_ROLLUP_PMC[],MATCH($B45,MMWR_RATING_STATE_ROLLUP_PMC[MMWR_RATING_STATE_ROLLUP_PMC],0),MATCH(D$9,MMWR_RATING_STATE_ROLLUP_PMC[#Headers],0)),"ERROR"))</f>
        <v>53.652173912999999</v>
      </c>
      <c r="E45" s="157">
        <f>IF($B45=" ","",IFERROR(INDEX(MMWR_RATING_STATE_ROLLUP_PMC[],MATCH($B45,MMWR_RATING_STATE_ROLLUP_PMC[MMWR_RATING_STATE_ROLLUP_PMC],0),MATCH(E$9,MMWR_RATING_STATE_ROLLUP_PMC[#Headers],0))/$C45,"ERROR"))</f>
        <v>2.1739130434782608E-2</v>
      </c>
      <c r="F45" s="155">
        <f>IF($B45=" ","",IFERROR(INDEX(MMWR_RATING_STATE_ROLLUP_PMC[],MATCH($B45,MMWR_RATING_STATE_ROLLUP_PMC[MMWR_RATING_STATE_ROLLUP_PMC],0),MATCH(F$9,MMWR_RATING_STATE_ROLLUP_PMC[#Headers],0)),"ERROR"))</f>
        <v>47</v>
      </c>
      <c r="G45" s="155">
        <f>IF($B45=" ","",IFERROR(INDEX(MMWR_RATING_STATE_ROLLUP_PMC[],MATCH($B45,MMWR_RATING_STATE_ROLLUP_PMC[MMWR_RATING_STATE_ROLLUP_PMC],0),MATCH(G$9,MMWR_RATING_STATE_ROLLUP_PMC[#Headers],0)),"ERROR"))</f>
        <v>298</v>
      </c>
      <c r="H45" s="156">
        <f>IF($B45=" ","",IFERROR(INDEX(MMWR_RATING_STATE_ROLLUP_PMC[],MATCH($B45,MMWR_RATING_STATE_ROLLUP_PMC[MMWR_RATING_STATE_ROLLUP_PMC],0),MATCH(H$9,MMWR_RATING_STATE_ROLLUP_PMC[#Headers],0)),"ERROR"))</f>
        <v>66.148936170200002</v>
      </c>
      <c r="I45" s="156">
        <f>IF($B45=" ","",IFERROR(INDEX(MMWR_RATING_STATE_ROLLUP_PMC[],MATCH($B45,MMWR_RATING_STATE_ROLLUP_PMC[MMWR_RATING_STATE_ROLLUP_PMC],0),MATCH(I$9,MMWR_RATING_STATE_ROLLUP_PMC[#Headers],0)),"ERROR"))</f>
        <v>69.798657718100003</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13</v>
      </c>
      <c r="D46" s="156">
        <f>IF($B46=" ","",IFERROR(INDEX(MMWR_RATING_STATE_ROLLUP_PMC[],MATCH($B46,MMWR_RATING_STATE_ROLLUP_PMC[MMWR_RATING_STATE_ROLLUP_PMC],0),MATCH(D$9,MMWR_RATING_STATE_ROLLUP_PMC[#Headers],0)),"ERROR"))</f>
        <v>84.538461538500002</v>
      </c>
      <c r="E46" s="157">
        <f>IF($B46=" ","",IFERROR(INDEX(MMWR_RATING_STATE_ROLLUP_PMC[],MATCH($B46,MMWR_RATING_STATE_ROLLUP_PMC[MMWR_RATING_STATE_ROLLUP_PMC],0),MATCH(E$9,MMWR_RATING_STATE_ROLLUP_PMC[#Headers],0))/$C46,"ERROR"))</f>
        <v>0.15384615384615385</v>
      </c>
      <c r="F46" s="155">
        <f>IF($B46=" ","",IFERROR(INDEX(MMWR_RATING_STATE_ROLLUP_PMC[],MATCH($B46,MMWR_RATING_STATE_ROLLUP_PMC[MMWR_RATING_STATE_ROLLUP_PMC],0),MATCH(F$9,MMWR_RATING_STATE_ROLLUP_PMC[#Headers],0)),"ERROR"))</f>
        <v>9</v>
      </c>
      <c r="G46" s="155">
        <f>IF($B46=" ","",IFERROR(INDEX(MMWR_RATING_STATE_ROLLUP_PMC[],MATCH($B46,MMWR_RATING_STATE_ROLLUP_PMC[MMWR_RATING_STATE_ROLLUP_PMC],0),MATCH(G$9,MMWR_RATING_STATE_ROLLUP_PMC[#Headers],0)),"ERROR"))</f>
        <v>111</v>
      </c>
      <c r="H46" s="156">
        <f>IF($B46=" ","",IFERROR(INDEX(MMWR_RATING_STATE_ROLLUP_PMC[],MATCH($B46,MMWR_RATING_STATE_ROLLUP_PMC[MMWR_RATING_STATE_ROLLUP_PMC],0),MATCH(H$9,MMWR_RATING_STATE_ROLLUP_PMC[#Headers],0)),"ERROR"))</f>
        <v>106.44444444440001</v>
      </c>
      <c r="I46" s="156">
        <f>IF($B46=" ","",IFERROR(INDEX(MMWR_RATING_STATE_ROLLUP_PMC[],MATCH($B46,MMWR_RATING_STATE_ROLLUP_PMC[MMWR_RATING_STATE_ROLLUP_PMC],0),MATCH(I$9,MMWR_RATING_STATE_ROLLUP_PMC[#Headers],0)),"ERROR"))</f>
        <v>85.261261261300007</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402</v>
      </c>
      <c r="D47" s="156">
        <f>IF($B47=" ","",IFERROR(INDEX(MMWR_RATING_STATE_ROLLUP_PMC[],MATCH($B47,MMWR_RATING_STATE_ROLLUP_PMC[MMWR_RATING_STATE_ROLLUP_PMC],0),MATCH(D$9,MMWR_RATING_STATE_ROLLUP_PMC[#Headers],0)),"ERROR"))</f>
        <v>76.778606965199998</v>
      </c>
      <c r="E47" s="157">
        <f>IF($B47=" ","",IFERROR(INDEX(MMWR_RATING_STATE_ROLLUP_PMC[],MATCH($B47,MMWR_RATING_STATE_ROLLUP_PMC[MMWR_RATING_STATE_ROLLUP_PMC],0),MATCH(E$9,MMWR_RATING_STATE_ROLLUP_PMC[#Headers],0))/$C47,"ERROR"))</f>
        <v>0.17661691542288557</v>
      </c>
      <c r="F47" s="155">
        <f>IF($B47=" ","",IFERROR(INDEX(MMWR_RATING_STATE_ROLLUP_PMC[],MATCH($B47,MMWR_RATING_STATE_ROLLUP_PMC[MMWR_RATING_STATE_ROLLUP_PMC],0),MATCH(F$9,MMWR_RATING_STATE_ROLLUP_PMC[#Headers],0)),"ERROR"))</f>
        <v>210</v>
      </c>
      <c r="G47" s="155">
        <f>IF($B47=" ","",IFERROR(INDEX(MMWR_RATING_STATE_ROLLUP_PMC[],MATCH($B47,MMWR_RATING_STATE_ROLLUP_PMC[MMWR_RATING_STATE_ROLLUP_PMC],0),MATCH(G$9,MMWR_RATING_STATE_ROLLUP_PMC[#Headers],0)),"ERROR"))</f>
        <v>2757</v>
      </c>
      <c r="H47" s="156">
        <f>IF($B47=" ","",IFERROR(INDEX(MMWR_RATING_STATE_ROLLUP_PMC[],MATCH($B47,MMWR_RATING_STATE_ROLLUP_PMC[MMWR_RATING_STATE_ROLLUP_PMC],0),MATCH(H$9,MMWR_RATING_STATE_ROLLUP_PMC[#Headers],0)),"ERROR"))</f>
        <v>79.990476190500004</v>
      </c>
      <c r="I47" s="156">
        <f>IF($B47=" ","",IFERROR(INDEX(MMWR_RATING_STATE_ROLLUP_PMC[],MATCH($B47,MMWR_RATING_STATE_ROLLUP_PMC[MMWR_RATING_STATE_ROLLUP_PMC],0),MATCH(I$9,MMWR_RATING_STATE_ROLLUP_PMC[#Headers],0)),"ERROR"))</f>
        <v>81.961915125100006</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121</v>
      </c>
      <c r="D48" s="156">
        <f>IF($B48=" ","",IFERROR(INDEX(MMWR_RATING_STATE_ROLLUP_PMC[],MATCH($B48,MMWR_RATING_STATE_ROLLUP_PMC[MMWR_RATING_STATE_ROLLUP_PMC],0),MATCH(D$9,MMWR_RATING_STATE_ROLLUP_PMC[#Headers],0)),"ERROR"))</f>
        <v>81.983471074400001</v>
      </c>
      <c r="E48" s="157">
        <f>IF($B48=" ","",IFERROR(INDEX(MMWR_RATING_STATE_ROLLUP_PMC[],MATCH($B48,MMWR_RATING_STATE_ROLLUP_PMC[MMWR_RATING_STATE_ROLLUP_PMC],0),MATCH(E$9,MMWR_RATING_STATE_ROLLUP_PMC[#Headers],0))/$C48,"ERROR"))</f>
        <v>0.20661157024793389</v>
      </c>
      <c r="F48" s="155">
        <f>IF($B48=" ","",IFERROR(INDEX(MMWR_RATING_STATE_ROLLUP_PMC[],MATCH($B48,MMWR_RATING_STATE_ROLLUP_PMC[MMWR_RATING_STATE_ROLLUP_PMC],0),MATCH(F$9,MMWR_RATING_STATE_ROLLUP_PMC[#Headers],0)),"ERROR"))</f>
        <v>69</v>
      </c>
      <c r="G48" s="155">
        <f>IF($B48=" ","",IFERROR(INDEX(MMWR_RATING_STATE_ROLLUP_PMC[],MATCH($B48,MMWR_RATING_STATE_ROLLUP_PMC[MMWR_RATING_STATE_ROLLUP_PMC],0),MATCH(G$9,MMWR_RATING_STATE_ROLLUP_PMC[#Headers],0)),"ERROR"))</f>
        <v>789</v>
      </c>
      <c r="H48" s="156">
        <f>IF($B48=" ","",IFERROR(INDEX(MMWR_RATING_STATE_ROLLUP_PMC[],MATCH($B48,MMWR_RATING_STATE_ROLLUP_PMC[MMWR_RATING_STATE_ROLLUP_PMC],0),MATCH(H$9,MMWR_RATING_STATE_ROLLUP_PMC[#Headers],0)),"ERROR"))</f>
        <v>58.144927536200001</v>
      </c>
      <c r="I48" s="156">
        <f>IF($B48=" ","",IFERROR(INDEX(MMWR_RATING_STATE_ROLLUP_PMC[],MATCH($B48,MMWR_RATING_STATE_ROLLUP_PMC[MMWR_RATING_STATE_ROLLUP_PMC],0),MATCH(I$9,MMWR_RATING_STATE_ROLLUP_PMC[#Headers],0)),"ERROR"))</f>
        <v>77.935361216700002</v>
      </c>
      <c r="J48" s="42"/>
      <c r="K48" s="42"/>
      <c r="L48" s="42"/>
      <c r="M48" s="42"/>
      <c r="N48" s="28"/>
    </row>
    <row r="49" spans="1:14" x14ac:dyDescent="0.2">
      <c r="A49" s="25"/>
      <c r="B49" s="339" t="s">
        <v>1052</v>
      </c>
      <c r="C49" s="340"/>
      <c r="D49" s="340"/>
      <c r="E49" s="340"/>
      <c r="F49" s="340"/>
      <c r="G49" s="340"/>
      <c r="H49" s="340"/>
      <c r="I49" s="340"/>
      <c r="J49" s="340"/>
      <c r="K49" s="340"/>
      <c r="L49" s="340"/>
      <c r="M49" s="390"/>
      <c r="N49" s="28"/>
    </row>
    <row r="50" spans="1:14" x14ac:dyDescent="0.2">
      <c r="A50" s="25"/>
      <c r="B50" s="41" t="s">
        <v>1051</v>
      </c>
      <c r="C50" s="155">
        <f>IF($B50=" ","",IFERROR(INDEX(MMWR_RATING_STATE_ROLLUP_QST[],MATCH($B50,MMWR_RATING_STATE_ROLLUP_QST[MMWR_RATING_STATE_ROLLUP_QST],0),MATCH(C$9,MMWR_RATING_STATE_ROLLUP_QST[#Headers],0)),"ERROR"))</f>
        <v>8129</v>
      </c>
      <c r="D50" s="156">
        <f>IF($B50=" ","",IFERROR(INDEX(MMWR_RATING_STATE_ROLLUP_QST[],MATCH($B50,MMWR_RATING_STATE_ROLLUP_QST[MMWR_RATING_STATE_ROLLUP_QST],0),MATCH(D$9,MMWR_RATING_STATE_ROLLUP_QST[#Headers],0)),"ERROR"))</f>
        <v>73.851642268399999</v>
      </c>
      <c r="E50" s="157">
        <f>IF($B50=" ","",IFERROR(INDEX(MMWR_RATING_STATE_ROLLUP_QST[],MATCH($B50,MMWR_RATING_STATE_ROLLUP_QST[MMWR_RATING_STATE_ROLLUP_QST],0),MATCH(E$9,MMWR_RATING_STATE_ROLLUP_QST[#Headers],0))/$C50,"ERROR"))</f>
        <v>0.15007996063476442</v>
      </c>
      <c r="F50" s="155">
        <f>IF($B50=" ","",IFERROR(INDEX(MMWR_RATING_STATE_ROLLUP_QST[],MATCH($B50,MMWR_RATING_STATE_ROLLUP_QST[MMWR_RATING_STATE_ROLLUP_QST],0),MATCH(F$9,MMWR_RATING_STATE_ROLLUP_QST[#Headers],0)),"ERROR"))</f>
        <v>1611</v>
      </c>
      <c r="G50" s="155">
        <f>IF($B50=" ","",IFERROR(INDEX(MMWR_RATING_STATE_ROLLUP_QST[],MATCH($B50,MMWR_RATING_STATE_ROLLUP_QST[MMWR_RATING_STATE_ROLLUP_QST],0),MATCH(G$9,MMWR_RATING_STATE_ROLLUP_QST[#Headers],0)),"ERROR"))</f>
        <v>21009</v>
      </c>
      <c r="H50" s="156">
        <f>IF($B50=" ","",IFERROR(INDEX(MMWR_RATING_STATE_ROLLUP_QST[],MATCH($B50,MMWR_RATING_STATE_ROLLUP_QST[MMWR_RATING_STATE_ROLLUP_QST],0),MATCH(H$9,MMWR_RATING_STATE_ROLLUP_QST[#Headers],0)),"ERROR"))</f>
        <v>125.3538175047</v>
      </c>
      <c r="I50" s="156">
        <f>IF($B50=" ","",IFERROR(INDEX(MMWR_RATING_STATE_ROLLUP_QST[],MATCH($B50,MMWR_RATING_STATE_ROLLUP_QST[MMWR_RATING_STATE_ROLLUP_QST],0),MATCH(I$9,MMWR_RATING_STATE_ROLLUP_QST[#Headers],0)),"ERROR"))</f>
        <v>134.488838117</v>
      </c>
      <c r="J50" s="42"/>
      <c r="K50" s="42"/>
      <c r="L50" s="42"/>
      <c r="M50" s="42"/>
      <c r="N50" s="28"/>
    </row>
    <row r="51" spans="1:14" x14ac:dyDescent="0.2">
      <c r="A51" s="25"/>
      <c r="B51" s="251" t="str">
        <f>INDEX(DISTRICT_STATES[],MATCH($B$5,DISTRICT_RO[District],0),1)</f>
        <v>North Atlantic</v>
      </c>
      <c r="C51" s="155">
        <f>IF($B51=" ","",IFERROR(INDEX(MMWR_RATING_STATE_ROLLUP_QST[],MATCH($B51,MMWR_RATING_STATE_ROLLUP_QST[MMWR_RATING_STATE_ROLLUP_QST],0),MATCH(C$9,MMWR_RATING_STATE_ROLLUP_QST[#Headers],0)),"ERROR"))</f>
        <v>1908</v>
      </c>
      <c r="D51" s="156">
        <f>IF($B51=" ","",IFERROR(INDEX(MMWR_RATING_STATE_ROLLUP_QST[],MATCH($B51,MMWR_RATING_STATE_ROLLUP_QST[MMWR_RATING_STATE_ROLLUP_QST],0),MATCH(D$9,MMWR_RATING_STATE_ROLLUP_QST[#Headers],0)),"ERROR"))</f>
        <v>75.088574423500006</v>
      </c>
      <c r="E51" s="157">
        <f>IF($B51=" ","",IFERROR(INDEX(MMWR_RATING_STATE_ROLLUP_QST[],MATCH($B51,MMWR_RATING_STATE_ROLLUP_QST[MMWR_RATING_STATE_ROLLUP_QST],0),MATCH(E$9,MMWR_RATING_STATE_ROLLUP_QST[#Headers],0))/$C51,"ERROR"))</f>
        <v>0.1441299790356394</v>
      </c>
      <c r="F51" s="155">
        <f>IF($B51=" ","",IFERROR(INDEX(MMWR_RATING_STATE_ROLLUP_QST[],MATCH($B51,MMWR_RATING_STATE_ROLLUP_QST[MMWR_RATING_STATE_ROLLUP_QST],0),MATCH(F$9,MMWR_RATING_STATE_ROLLUP_QST[#Headers],0)),"ERROR"))</f>
        <v>348</v>
      </c>
      <c r="G51" s="155">
        <f>IF($B51=" ","",IFERROR(INDEX(MMWR_RATING_STATE_ROLLUP_QST[],MATCH($B51,MMWR_RATING_STATE_ROLLUP_QST[MMWR_RATING_STATE_ROLLUP_QST],0),MATCH(G$9,MMWR_RATING_STATE_ROLLUP_QST[#Headers],0)),"ERROR"))</f>
        <v>4511</v>
      </c>
      <c r="H51" s="156">
        <f>IF($B51=" ","",IFERROR(INDEX(MMWR_RATING_STATE_ROLLUP_QST[],MATCH($B51,MMWR_RATING_STATE_ROLLUP_QST[MMWR_RATING_STATE_ROLLUP_QST],0),MATCH(H$9,MMWR_RATING_STATE_ROLLUP_QST[#Headers],0)),"ERROR"))</f>
        <v>136.433908046</v>
      </c>
      <c r="I51" s="156">
        <f>IF($B51=" ","",IFERROR(INDEX(MMWR_RATING_STATE_ROLLUP_QST[],MATCH($B51,MMWR_RATING_STATE_ROLLUP_QST[MMWR_RATING_STATE_ROLLUP_QST],0),MATCH(I$9,MMWR_RATING_STATE_ROLLUP_QST[#Headers],0)),"ERROR"))</f>
        <v>141.102637996</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45</v>
      </c>
      <c r="D52" s="156">
        <f>IF($B52=" ","",IFERROR(INDEX(MMWR_RATING_STATE_ROLLUP_QST[],MATCH($B52,MMWR_RATING_STATE_ROLLUP_QST[MMWR_RATING_STATE_ROLLUP_QST],0),MATCH(D$9,MMWR_RATING_STATE_ROLLUP_QST[#Headers],0)),"ERROR"))</f>
        <v>63.5111111111</v>
      </c>
      <c r="E52" s="157">
        <f>IF($B52=" ","",IFERROR(INDEX(MMWR_RATING_STATE_ROLLUP_QST[],MATCH($B52,MMWR_RATING_STATE_ROLLUP_QST[MMWR_RATING_STATE_ROLLUP_QST],0),MATCH(E$9,MMWR_RATING_STATE_ROLLUP_QST[#Headers],0))/$C52,"ERROR"))</f>
        <v>2.2222222222222223E-2</v>
      </c>
      <c r="F52" s="155">
        <f>IF($B52=" ","",IFERROR(INDEX(MMWR_RATING_STATE_ROLLUP_QST[],MATCH($B52,MMWR_RATING_STATE_ROLLUP_QST[MMWR_RATING_STATE_ROLLUP_QST],0),MATCH(F$9,MMWR_RATING_STATE_ROLLUP_QST[#Headers],0)),"ERROR"))</f>
        <v>12</v>
      </c>
      <c r="G52" s="155">
        <f>IF($B52=" ","",IFERROR(INDEX(MMWR_RATING_STATE_ROLLUP_QST[],MATCH($B52,MMWR_RATING_STATE_ROLLUP_QST[MMWR_RATING_STATE_ROLLUP_QST],0),MATCH(G$9,MMWR_RATING_STATE_ROLLUP_QST[#Headers],0)),"ERROR"))</f>
        <v>123</v>
      </c>
      <c r="H52" s="156">
        <f>IF($B52=" ","",IFERROR(INDEX(MMWR_RATING_STATE_ROLLUP_QST[],MATCH($B52,MMWR_RATING_STATE_ROLLUP_QST[MMWR_RATING_STATE_ROLLUP_QST],0),MATCH(H$9,MMWR_RATING_STATE_ROLLUP_QST[#Headers],0)),"ERROR"))</f>
        <v>102.5</v>
      </c>
      <c r="I52" s="156">
        <f>IF($B52=" ","",IFERROR(INDEX(MMWR_RATING_STATE_ROLLUP_QST[],MATCH($B52,MMWR_RATING_STATE_ROLLUP_QST[MMWR_RATING_STATE_ROLLUP_QST],0),MATCH(I$9,MMWR_RATING_STATE_ROLLUP_QST[#Headers],0)),"ERROR"))</f>
        <v>139.0731707317</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16</v>
      </c>
      <c r="D53" s="156">
        <f>IF($B53=" ","",IFERROR(INDEX(MMWR_RATING_STATE_ROLLUP_QST[],MATCH($B53,MMWR_RATING_STATE_ROLLUP_QST[MMWR_RATING_STATE_ROLLUP_QST],0),MATCH(D$9,MMWR_RATING_STATE_ROLLUP_QST[#Headers],0)),"ERROR"))</f>
        <v>72</v>
      </c>
      <c r="E53" s="157">
        <f>IF($B53=" ","",IFERROR(INDEX(MMWR_RATING_STATE_ROLLUP_QST[],MATCH($B53,MMWR_RATING_STATE_ROLLUP_QST[MMWR_RATING_STATE_ROLLUP_QST],0),MATCH(E$9,MMWR_RATING_STATE_ROLLUP_QST[#Headers],0))/$C53,"ERROR"))</f>
        <v>0.125</v>
      </c>
      <c r="F53" s="155">
        <f>IF($B53=" ","",IFERROR(INDEX(MMWR_RATING_STATE_ROLLUP_QST[],MATCH($B53,MMWR_RATING_STATE_ROLLUP_QST[MMWR_RATING_STATE_ROLLUP_QST],0),MATCH(F$9,MMWR_RATING_STATE_ROLLUP_QST[#Headers],0)),"ERROR"))</f>
        <v>2</v>
      </c>
      <c r="G53" s="155">
        <f>IF($B53=" ","",IFERROR(INDEX(MMWR_RATING_STATE_ROLLUP_QST[],MATCH($B53,MMWR_RATING_STATE_ROLLUP_QST[MMWR_RATING_STATE_ROLLUP_QST],0),MATCH(G$9,MMWR_RATING_STATE_ROLLUP_QST[#Headers],0)),"ERROR"))</f>
        <v>38</v>
      </c>
      <c r="H53" s="156">
        <f>IF($B53=" ","",IFERROR(INDEX(MMWR_RATING_STATE_ROLLUP_QST[],MATCH($B53,MMWR_RATING_STATE_ROLLUP_QST[MMWR_RATING_STATE_ROLLUP_QST],0),MATCH(H$9,MMWR_RATING_STATE_ROLLUP_QST[#Headers],0)),"ERROR"))</f>
        <v>124</v>
      </c>
      <c r="I53" s="156">
        <f>IF($B53=" ","",IFERROR(INDEX(MMWR_RATING_STATE_ROLLUP_QST[],MATCH($B53,MMWR_RATING_STATE_ROLLUP_QST[MMWR_RATING_STATE_ROLLUP_QST],0),MATCH(I$9,MMWR_RATING_STATE_ROLLUP_QST[#Headers],0)),"ERROR"))</f>
        <v>118.92105263160001</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13</v>
      </c>
      <c r="D54" s="156">
        <f>IF($B54=" ","",IFERROR(INDEX(MMWR_RATING_STATE_ROLLUP_QST[],MATCH($B54,MMWR_RATING_STATE_ROLLUP_QST[MMWR_RATING_STATE_ROLLUP_QST],0),MATCH(D$9,MMWR_RATING_STATE_ROLLUP_QST[#Headers],0)),"ERROR"))</f>
        <v>57.153846153800004</v>
      </c>
      <c r="E54" s="157">
        <f>IF($B54=" ","",IFERROR(INDEX(MMWR_RATING_STATE_ROLLUP_QST[],MATCH($B54,MMWR_RATING_STATE_ROLLUP_QST[MMWR_RATING_STATE_ROLLUP_QST],0),MATCH(E$9,MMWR_RATING_STATE_ROLLUP_QST[#Headers],0))/$C54,"ERROR"))</f>
        <v>0</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41</v>
      </c>
      <c r="H54" s="156">
        <f>IF($B54=" ","",IFERROR(INDEX(MMWR_RATING_STATE_ROLLUP_QST[],MATCH($B54,MMWR_RATING_STATE_ROLLUP_QST[MMWR_RATING_STATE_ROLLUP_QST],0),MATCH(H$9,MMWR_RATING_STATE_ROLLUP_QST[#Headers],0)),"ERROR"))</f>
        <v>153</v>
      </c>
      <c r="I54" s="156">
        <f>IF($B54=" ","",IFERROR(INDEX(MMWR_RATING_STATE_ROLLUP_QST[],MATCH($B54,MMWR_RATING_STATE_ROLLUP_QST[MMWR_RATING_STATE_ROLLUP_QST],0),MATCH(I$9,MMWR_RATING_STATE_ROLLUP_QST[#Headers],0)),"ERROR"))</f>
        <v>143.0731707317</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18</v>
      </c>
      <c r="D55" s="156">
        <f>IF($B55=" ","",IFERROR(INDEX(MMWR_RATING_STATE_ROLLUP_QST[],MATCH($B55,MMWR_RATING_STATE_ROLLUP_QST[MMWR_RATING_STATE_ROLLUP_QST],0),MATCH(D$9,MMWR_RATING_STATE_ROLLUP_QST[#Headers],0)),"ERROR"))</f>
        <v>60.111111111100001</v>
      </c>
      <c r="E55" s="157">
        <f>IF($B55=" ","",IFERROR(INDEX(MMWR_RATING_STATE_ROLLUP_QST[],MATCH($B55,MMWR_RATING_STATE_ROLLUP_QST[MMWR_RATING_STATE_ROLLUP_QST],0),MATCH(E$9,MMWR_RATING_STATE_ROLLUP_QST[#Headers],0))/$C55,"ERROR"))</f>
        <v>0.1111111111111111</v>
      </c>
      <c r="F55" s="155">
        <f>IF($B55=" ","",IFERROR(INDEX(MMWR_RATING_STATE_ROLLUP_QST[],MATCH($B55,MMWR_RATING_STATE_ROLLUP_QST[MMWR_RATING_STATE_ROLLUP_QST],0),MATCH(F$9,MMWR_RATING_STATE_ROLLUP_QST[#Headers],0)),"ERROR"))</f>
        <v>3</v>
      </c>
      <c r="G55" s="155">
        <f>IF($B55=" ","",IFERROR(INDEX(MMWR_RATING_STATE_ROLLUP_QST[],MATCH($B55,MMWR_RATING_STATE_ROLLUP_QST[MMWR_RATING_STATE_ROLLUP_QST],0),MATCH(G$9,MMWR_RATING_STATE_ROLLUP_QST[#Headers],0)),"ERROR"))</f>
        <v>59</v>
      </c>
      <c r="H55" s="156">
        <f>IF($B55=" ","",IFERROR(INDEX(MMWR_RATING_STATE_ROLLUP_QST[],MATCH($B55,MMWR_RATING_STATE_ROLLUP_QST[MMWR_RATING_STATE_ROLLUP_QST],0),MATCH(H$9,MMWR_RATING_STATE_ROLLUP_QST[#Headers],0)),"ERROR"))</f>
        <v>149.6666666667</v>
      </c>
      <c r="I55" s="156">
        <f>IF($B55=" ","",IFERROR(INDEX(MMWR_RATING_STATE_ROLLUP_QST[],MATCH($B55,MMWR_RATING_STATE_ROLLUP_QST[MMWR_RATING_STATE_ROLLUP_QST],0),MATCH(I$9,MMWR_RATING_STATE_ROLLUP_QST[#Headers],0)),"ERROR"))</f>
        <v>130.64406779660001</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205</v>
      </c>
      <c r="D56" s="156">
        <f>IF($B56=" ","",IFERROR(INDEX(MMWR_RATING_STATE_ROLLUP_QST[],MATCH($B56,MMWR_RATING_STATE_ROLLUP_QST[MMWR_RATING_STATE_ROLLUP_QST],0),MATCH(D$9,MMWR_RATING_STATE_ROLLUP_QST[#Headers],0)),"ERROR"))</f>
        <v>73.892682926800006</v>
      </c>
      <c r="E56" s="157">
        <f>IF($B56=" ","",IFERROR(INDEX(MMWR_RATING_STATE_ROLLUP_QST[],MATCH($B56,MMWR_RATING_STATE_ROLLUP_QST[MMWR_RATING_STATE_ROLLUP_QST],0),MATCH(E$9,MMWR_RATING_STATE_ROLLUP_QST[#Headers],0))/$C56,"ERROR"))</f>
        <v>0.14634146341463414</v>
      </c>
      <c r="F56" s="155">
        <f>IF($B56=" ","",IFERROR(INDEX(MMWR_RATING_STATE_ROLLUP_QST[],MATCH($B56,MMWR_RATING_STATE_ROLLUP_QST[MMWR_RATING_STATE_ROLLUP_QST],0),MATCH(F$9,MMWR_RATING_STATE_ROLLUP_QST[#Headers],0)),"ERROR"))</f>
        <v>32</v>
      </c>
      <c r="G56" s="155">
        <f>IF($B56=" ","",IFERROR(INDEX(MMWR_RATING_STATE_ROLLUP_QST[],MATCH($B56,MMWR_RATING_STATE_ROLLUP_QST[MMWR_RATING_STATE_ROLLUP_QST],0),MATCH(G$9,MMWR_RATING_STATE_ROLLUP_QST[#Headers],0)),"ERROR"))</f>
        <v>467</v>
      </c>
      <c r="H56" s="156">
        <f>IF($B56=" ","",IFERROR(INDEX(MMWR_RATING_STATE_ROLLUP_QST[],MATCH($B56,MMWR_RATING_STATE_ROLLUP_QST[MMWR_RATING_STATE_ROLLUP_QST],0),MATCH(H$9,MMWR_RATING_STATE_ROLLUP_QST[#Headers],0)),"ERROR"))</f>
        <v>132.59375</v>
      </c>
      <c r="I56" s="156">
        <f>IF($B56=" ","",IFERROR(INDEX(MMWR_RATING_STATE_ROLLUP_QST[],MATCH($B56,MMWR_RATING_STATE_ROLLUP_QST[MMWR_RATING_STATE_ROLLUP_QST],0),MATCH(I$9,MMWR_RATING_STATE_ROLLUP_QST[#Headers],0)),"ERROR"))</f>
        <v>143.3832976445</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82</v>
      </c>
      <c r="D57" s="156">
        <f>IF($B57=" ","",IFERROR(INDEX(MMWR_RATING_STATE_ROLLUP_QST[],MATCH($B57,MMWR_RATING_STATE_ROLLUP_QST[MMWR_RATING_STATE_ROLLUP_QST],0),MATCH(D$9,MMWR_RATING_STATE_ROLLUP_QST[#Headers],0)),"ERROR"))</f>
        <v>58.3292682927</v>
      </c>
      <c r="E57" s="157">
        <f>IF($B57=" ","",IFERROR(INDEX(MMWR_RATING_STATE_ROLLUP_QST[],MATCH($B57,MMWR_RATING_STATE_ROLLUP_QST[MMWR_RATING_STATE_ROLLUP_QST],0),MATCH(E$9,MMWR_RATING_STATE_ROLLUP_QST[#Headers],0))/$C57,"ERROR"))</f>
        <v>8.5365853658536592E-2</v>
      </c>
      <c r="F57" s="155">
        <f>IF($B57=" ","",IFERROR(INDEX(MMWR_RATING_STATE_ROLLUP_QST[],MATCH($B57,MMWR_RATING_STATE_ROLLUP_QST[MMWR_RATING_STATE_ROLLUP_QST],0),MATCH(F$9,MMWR_RATING_STATE_ROLLUP_QST[#Headers],0)),"ERROR"))</f>
        <v>15</v>
      </c>
      <c r="G57" s="155">
        <f>IF($B57=" ","",IFERROR(INDEX(MMWR_RATING_STATE_ROLLUP_QST[],MATCH($B57,MMWR_RATING_STATE_ROLLUP_QST[MMWR_RATING_STATE_ROLLUP_QST],0),MATCH(G$9,MMWR_RATING_STATE_ROLLUP_QST[#Headers],0)),"ERROR"))</f>
        <v>188</v>
      </c>
      <c r="H57" s="156">
        <f>IF($B57=" ","",IFERROR(INDEX(MMWR_RATING_STATE_ROLLUP_QST[],MATCH($B57,MMWR_RATING_STATE_ROLLUP_QST[MMWR_RATING_STATE_ROLLUP_QST],0),MATCH(H$9,MMWR_RATING_STATE_ROLLUP_QST[#Headers],0)),"ERROR"))</f>
        <v>148.26666666669999</v>
      </c>
      <c r="I57" s="156">
        <f>IF($B57=" ","",IFERROR(INDEX(MMWR_RATING_STATE_ROLLUP_QST[],MATCH($B57,MMWR_RATING_STATE_ROLLUP_QST[MMWR_RATING_STATE_ROLLUP_QST],0),MATCH(I$9,MMWR_RATING_STATE_ROLLUP_QST[#Headers],0)),"ERROR"))</f>
        <v>132.63297872339999</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18</v>
      </c>
      <c r="D58" s="156">
        <f>IF($B58=" ","",IFERROR(INDEX(MMWR_RATING_STATE_ROLLUP_QST[],MATCH($B58,MMWR_RATING_STATE_ROLLUP_QST[MMWR_RATING_STATE_ROLLUP_QST],0),MATCH(D$9,MMWR_RATING_STATE_ROLLUP_QST[#Headers],0)),"ERROR"))</f>
        <v>73.333333333300004</v>
      </c>
      <c r="E58" s="157">
        <f>IF($B58=" ","",IFERROR(INDEX(MMWR_RATING_STATE_ROLLUP_QST[],MATCH($B58,MMWR_RATING_STATE_ROLLUP_QST[MMWR_RATING_STATE_ROLLUP_QST],0),MATCH(E$9,MMWR_RATING_STATE_ROLLUP_QST[#Headers],0))/$C58,"ERROR"))</f>
        <v>5.5555555555555552E-2</v>
      </c>
      <c r="F58" s="155">
        <f>IF($B58=" ","",IFERROR(INDEX(MMWR_RATING_STATE_ROLLUP_QST[],MATCH($B58,MMWR_RATING_STATE_ROLLUP_QST[MMWR_RATING_STATE_ROLLUP_QST],0),MATCH(F$9,MMWR_RATING_STATE_ROLLUP_QST[#Headers],0)),"ERROR"))</f>
        <v>4</v>
      </c>
      <c r="G58" s="155">
        <f>IF($B58=" ","",IFERROR(INDEX(MMWR_RATING_STATE_ROLLUP_QST[],MATCH($B58,MMWR_RATING_STATE_ROLLUP_QST[MMWR_RATING_STATE_ROLLUP_QST],0),MATCH(G$9,MMWR_RATING_STATE_ROLLUP_QST[#Headers],0)),"ERROR"))</f>
        <v>54</v>
      </c>
      <c r="H58" s="156">
        <f>IF($B58=" ","",IFERROR(INDEX(MMWR_RATING_STATE_ROLLUP_QST[],MATCH($B58,MMWR_RATING_STATE_ROLLUP_QST[MMWR_RATING_STATE_ROLLUP_QST],0),MATCH(H$9,MMWR_RATING_STATE_ROLLUP_QST[#Headers],0)),"ERROR"))</f>
        <v>189.75</v>
      </c>
      <c r="I58" s="156">
        <f>IF($B58=" ","",IFERROR(INDEX(MMWR_RATING_STATE_ROLLUP_QST[],MATCH($B58,MMWR_RATING_STATE_ROLLUP_QST[MMWR_RATING_STATE_ROLLUP_QST],0),MATCH(I$9,MMWR_RATING_STATE_ROLLUP_QST[#Headers],0)),"ERROR"))</f>
        <v>123.75925925929999</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80</v>
      </c>
      <c r="D59" s="156">
        <f>IF($B59=" ","",IFERROR(INDEX(MMWR_RATING_STATE_ROLLUP_QST[],MATCH($B59,MMWR_RATING_STATE_ROLLUP_QST[MMWR_RATING_STATE_ROLLUP_QST],0),MATCH(D$9,MMWR_RATING_STATE_ROLLUP_QST[#Headers],0)),"ERROR"))</f>
        <v>68.362499999999997</v>
      </c>
      <c r="E59" s="157">
        <f>IF($B59=" ","",IFERROR(INDEX(MMWR_RATING_STATE_ROLLUP_QST[],MATCH($B59,MMWR_RATING_STATE_ROLLUP_QST[MMWR_RATING_STATE_ROLLUP_QST],0),MATCH(E$9,MMWR_RATING_STATE_ROLLUP_QST[#Headers],0))/$C59,"ERROR"))</f>
        <v>0.1125</v>
      </c>
      <c r="F59" s="155">
        <f>IF($B59=" ","",IFERROR(INDEX(MMWR_RATING_STATE_ROLLUP_QST[],MATCH($B59,MMWR_RATING_STATE_ROLLUP_QST[MMWR_RATING_STATE_ROLLUP_QST],0),MATCH(F$9,MMWR_RATING_STATE_ROLLUP_QST[#Headers],0)),"ERROR"))</f>
        <v>17</v>
      </c>
      <c r="G59" s="155">
        <f>IF($B59=" ","",IFERROR(INDEX(MMWR_RATING_STATE_ROLLUP_QST[],MATCH($B59,MMWR_RATING_STATE_ROLLUP_QST[MMWR_RATING_STATE_ROLLUP_QST],0),MATCH(G$9,MMWR_RATING_STATE_ROLLUP_QST[#Headers],0)),"ERROR"))</f>
        <v>187</v>
      </c>
      <c r="H59" s="156">
        <f>IF($B59=" ","",IFERROR(INDEX(MMWR_RATING_STATE_ROLLUP_QST[],MATCH($B59,MMWR_RATING_STATE_ROLLUP_QST[MMWR_RATING_STATE_ROLLUP_QST],0),MATCH(H$9,MMWR_RATING_STATE_ROLLUP_QST[#Headers],0)),"ERROR"))</f>
        <v>138.1764705882</v>
      </c>
      <c r="I59" s="156">
        <f>IF($B59=" ","",IFERROR(INDEX(MMWR_RATING_STATE_ROLLUP_QST[],MATCH($B59,MMWR_RATING_STATE_ROLLUP_QST[MMWR_RATING_STATE_ROLLUP_QST],0),MATCH(I$9,MMWR_RATING_STATE_ROLLUP_QST[#Headers],0)),"ERROR"))</f>
        <v>139.66310160430001</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196</v>
      </c>
      <c r="D60" s="156">
        <f>IF($B60=" ","",IFERROR(INDEX(MMWR_RATING_STATE_ROLLUP_QST[],MATCH($B60,MMWR_RATING_STATE_ROLLUP_QST[MMWR_RATING_STATE_ROLLUP_QST],0),MATCH(D$9,MMWR_RATING_STATE_ROLLUP_QST[#Headers],0)),"ERROR"))</f>
        <v>67.688775510200003</v>
      </c>
      <c r="E60" s="157">
        <f>IF($B60=" ","",IFERROR(INDEX(MMWR_RATING_STATE_ROLLUP_QST[],MATCH($B60,MMWR_RATING_STATE_ROLLUP_QST[MMWR_RATING_STATE_ROLLUP_QST],0),MATCH(E$9,MMWR_RATING_STATE_ROLLUP_QST[#Headers],0))/$C60,"ERROR"))</f>
        <v>0.12755102040816327</v>
      </c>
      <c r="F60" s="155">
        <f>IF($B60=" ","",IFERROR(INDEX(MMWR_RATING_STATE_ROLLUP_QST[],MATCH($B60,MMWR_RATING_STATE_ROLLUP_QST[MMWR_RATING_STATE_ROLLUP_QST],0),MATCH(F$9,MMWR_RATING_STATE_ROLLUP_QST[#Headers],0)),"ERROR"))</f>
        <v>51</v>
      </c>
      <c r="G60" s="155">
        <f>IF($B60=" ","",IFERROR(INDEX(MMWR_RATING_STATE_ROLLUP_QST[],MATCH($B60,MMWR_RATING_STATE_ROLLUP_QST[MMWR_RATING_STATE_ROLLUP_QST],0),MATCH(G$9,MMWR_RATING_STATE_ROLLUP_QST[#Headers],0)),"ERROR"))</f>
        <v>470</v>
      </c>
      <c r="H60" s="156">
        <f>IF($B60=" ","",IFERROR(INDEX(MMWR_RATING_STATE_ROLLUP_QST[],MATCH($B60,MMWR_RATING_STATE_ROLLUP_QST[MMWR_RATING_STATE_ROLLUP_QST],0),MATCH(H$9,MMWR_RATING_STATE_ROLLUP_QST[#Headers],0)),"ERROR"))</f>
        <v>123.8823529412</v>
      </c>
      <c r="I60" s="156">
        <f>IF($B60=" ","",IFERROR(INDEX(MMWR_RATING_STATE_ROLLUP_QST[],MATCH($B60,MMWR_RATING_STATE_ROLLUP_QST[MMWR_RATING_STATE_ROLLUP_QST],0),MATCH(I$9,MMWR_RATING_STATE_ROLLUP_QST[#Headers],0)),"ERROR"))</f>
        <v>136.25531914890001</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502</v>
      </c>
      <c r="D61" s="156">
        <f>IF($B61=" ","",IFERROR(INDEX(MMWR_RATING_STATE_ROLLUP_QST[],MATCH($B61,MMWR_RATING_STATE_ROLLUP_QST[MMWR_RATING_STATE_ROLLUP_QST],0),MATCH(D$9,MMWR_RATING_STATE_ROLLUP_QST[#Headers],0)),"ERROR"))</f>
        <v>76.986055776900002</v>
      </c>
      <c r="E61" s="157">
        <f>IF($B61=" ","",IFERROR(INDEX(MMWR_RATING_STATE_ROLLUP_QST[],MATCH($B61,MMWR_RATING_STATE_ROLLUP_QST[MMWR_RATING_STATE_ROLLUP_QST],0),MATCH(E$9,MMWR_RATING_STATE_ROLLUP_QST[#Headers],0))/$C61,"ERROR"))</f>
        <v>0.15139442231075698</v>
      </c>
      <c r="F61" s="155">
        <f>IF($B61=" ","",IFERROR(INDEX(MMWR_RATING_STATE_ROLLUP_QST[],MATCH($B61,MMWR_RATING_STATE_ROLLUP_QST[MMWR_RATING_STATE_ROLLUP_QST],0),MATCH(F$9,MMWR_RATING_STATE_ROLLUP_QST[#Headers],0)),"ERROR"))</f>
        <v>80</v>
      </c>
      <c r="G61" s="155">
        <f>IF($B61=" ","",IFERROR(INDEX(MMWR_RATING_STATE_ROLLUP_QST[],MATCH($B61,MMWR_RATING_STATE_ROLLUP_QST[MMWR_RATING_STATE_ROLLUP_QST],0),MATCH(G$9,MMWR_RATING_STATE_ROLLUP_QST[#Headers],0)),"ERROR"))</f>
        <v>1089</v>
      </c>
      <c r="H61" s="156">
        <f>IF($B61=" ","",IFERROR(INDEX(MMWR_RATING_STATE_ROLLUP_QST[],MATCH($B61,MMWR_RATING_STATE_ROLLUP_QST[MMWR_RATING_STATE_ROLLUP_QST],0),MATCH(H$9,MMWR_RATING_STATE_ROLLUP_QST[#Headers],0)),"ERROR"))</f>
        <v>133.13749999999999</v>
      </c>
      <c r="I61" s="156">
        <f>IF($B61=" ","",IFERROR(INDEX(MMWR_RATING_STATE_ROLLUP_QST[],MATCH($B61,MMWR_RATING_STATE_ROLLUP_QST[MMWR_RATING_STATE_ROLLUP_QST],0),MATCH(I$9,MMWR_RATING_STATE_ROLLUP_QST[#Headers],0)),"ERROR"))</f>
        <v>141.83011937559999</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172</v>
      </c>
      <c r="D62" s="156">
        <f>IF($B62=" ","",IFERROR(INDEX(MMWR_RATING_STATE_ROLLUP_QST[],MATCH($B62,MMWR_RATING_STATE_ROLLUP_QST[MMWR_RATING_STATE_ROLLUP_QST],0),MATCH(D$9,MMWR_RATING_STATE_ROLLUP_QST[#Headers],0)),"ERROR"))</f>
        <v>70.494186046500005</v>
      </c>
      <c r="E62" s="157">
        <f>IF($B62=" ","",IFERROR(INDEX(MMWR_RATING_STATE_ROLLUP_QST[],MATCH($B62,MMWR_RATING_STATE_ROLLUP_QST[MMWR_RATING_STATE_ROLLUP_QST],0),MATCH(E$9,MMWR_RATING_STATE_ROLLUP_QST[#Headers],0))/$C62,"ERROR"))</f>
        <v>0.13953488372093023</v>
      </c>
      <c r="F62" s="155">
        <f>IF($B62=" ","",IFERROR(INDEX(MMWR_RATING_STATE_ROLLUP_QST[],MATCH($B62,MMWR_RATING_STATE_ROLLUP_QST[MMWR_RATING_STATE_ROLLUP_QST],0),MATCH(F$9,MMWR_RATING_STATE_ROLLUP_QST[#Headers],0)),"ERROR"))</f>
        <v>27</v>
      </c>
      <c r="G62" s="155">
        <f>IF($B62=" ","",IFERROR(INDEX(MMWR_RATING_STATE_ROLLUP_QST[],MATCH($B62,MMWR_RATING_STATE_ROLLUP_QST[MMWR_RATING_STATE_ROLLUP_QST],0),MATCH(G$9,MMWR_RATING_STATE_ROLLUP_QST[#Headers],0)),"ERROR"))</f>
        <v>421</v>
      </c>
      <c r="H62" s="156">
        <f>IF($B62=" ","",IFERROR(INDEX(MMWR_RATING_STATE_ROLLUP_QST[],MATCH($B62,MMWR_RATING_STATE_ROLLUP_QST[MMWR_RATING_STATE_ROLLUP_QST],0),MATCH(H$9,MMWR_RATING_STATE_ROLLUP_QST[#Headers],0)),"ERROR"))</f>
        <v>145.5185185185</v>
      </c>
      <c r="I62" s="156">
        <f>IF($B62=" ","",IFERROR(INDEX(MMWR_RATING_STATE_ROLLUP_QST[],MATCH($B62,MMWR_RATING_STATE_ROLLUP_QST[MMWR_RATING_STATE_ROLLUP_QST],0),MATCH(I$9,MMWR_RATING_STATE_ROLLUP_QST[#Headers],0)),"ERROR"))</f>
        <v>132.7672209026</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7</v>
      </c>
      <c r="D63" s="156">
        <f>IF($B63=" ","",IFERROR(INDEX(MMWR_RATING_STATE_ROLLUP_QST[],MATCH($B63,MMWR_RATING_STATE_ROLLUP_QST[MMWR_RATING_STATE_ROLLUP_QST],0),MATCH(D$9,MMWR_RATING_STATE_ROLLUP_QST[#Headers],0)),"ERROR"))</f>
        <v>46.714285714299997</v>
      </c>
      <c r="E63" s="157">
        <f>IF($B63=" ","",IFERROR(INDEX(MMWR_RATING_STATE_ROLLUP_QST[],MATCH($B63,MMWR_RATING_STATE_ROLLUP_QST[MMWR_RATING_STATE_ROLLUP_QST],0),MATCH(E$9,MMWR_RATING_STATE_ROLLUP_QST[#Headers],0))/$C63,"ERROR"))</f>
        <v>0.14285714285714285</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28</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100.3928571429</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1</v>
      </c>
      <c r="D64" s="156">
        <f>IF($B64=" ","",IFERROR(INDEX(MMWR_RATING_STATE_ROLLUP_QST[],MATCH($B64,MMWR_RATING_STATE_ROLLUP_QST[MMWR_RATING_STATE_ROLLUP_QST],0),MATCH(D$9,MMWR_RATING_STATE_ROLLUP_QST[#Headers],0)),"ERROR"))</f>
        <v>15</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2</v>
      </c>
      <c r="G64" s="155">
        <f>IF($B64=" ","",IFERROR(INDEX(MMWR_RATING_STATE_ROLLUP_QST[],MATCH($B64,MMWR_RATING_STATE_ROLLUP_QST[MMWR_RATING_STATE_ROLLUP_QST],0),MATCH(G$9,MMWR_RATING_STATE_ROLLUP_QST[#Headers],0)),"ERROR"))</f>
        <v>22</v>
      </c>
      <c r="H64" s="156">
        <f>IF($B64=" ","",IFERROR(INDEX(MMWR_RATING_STATE_ROLLUP_QST[],MATCH($B64,MMWR_RATING_STATE_ROLLUP_QST[MMWR_RATING_STATE_ROLLUP_QST],0),MATCH(H$9,MMWR_RATING_STATE_ROLLUP_QST[#Headers],0)),"ERROR"))</f>
        <v>97.5</v>
      </c>
      <c r="I64" s="156">
        <f>IF($B64=" ","",IFERROR(INDEX(MMWR_RATING_STATE_ROLLUP_QST[],MATCH($B64,MMWR_RATING_STATE_ROLLUP_QST[MMWR_RATING_STATE_ROLLUP_QST],0),MATCH(I$9,MMWR_RATING_STATE_ROLLUP_QST[#Headers],0)),"ERROR"))</f>
        <v>134.9090909091</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540</v>
      </c>
      <c r="D65" s="156">
        <f>IF($B65=" ","",IFERROR(INDEX(MMWR_RATING_STATE_ROLLUP_QST[],MATCH($B65,MMWR_RATING_STATE_ROLLUP_QST[MMWR_RATING_STATE_ROLLUP_QST],0),MATCH(D$9,MMWR_RATING_STATE_ROLLUP_QST[#Headers],0)),"ERROR"))</f>
        <v>84.416666666699996</v>
      </c>
      <c r="E65" s="157">
        <f>IF($B65=" ","",IFERROR(INDEX(MMWR_RATING_STATE_ROLLUP_QST[],MATCH($B65,MMWR_RATING_STATE_ROLLUP_QST[MMWR_RATING_STATE_ROLLUP_QST],0),MATCH(E$9,MMWR_RATING_STATE_ROLLUP_QST[#Headers],0))/$C65,"ERROR"))</f>
        <v>0.17962962962962964</v>
      </c>
      <c r="F65" s="155">
        <f>IF($B65=" ","",IFERROR(INDEX(MMWR_RATING_STATE_ROLLUP_QST[],MATCH($B65,MMWR_RATING_STATE_ROLLUP_QST[MMWR_RATING_STATE_ROLLUP_QST],0),MATCH(F$9,MMWR_RATING_STATE_ROLLUP_QST[#Headers],0)),"ERROR"))</f>
        <v>96</v>
      </c>
      <c r="G65" s="155">
        <f>IF($B65=" ","",IFERROR(INDEX(MMWR_RATING_STATE_ROLLUP_QST[],MATCH($B65,MMWR_RATING_STATE_ROLLUP_QST[MMWR_RATING_STATE_ROLLUP_QST],0),MATCH(G$9,MMWR_RATING_STATE_ROLLUP_QST[#Headers],0)),"ERROR"))</f>
        <v>1263</v>
      </c>
      <c r="H65" s="156">
        <f>IF($B65=" ","",IFERROR(INDEX(MMWR_RATING_STATE_ROLLUP_QST[],MATCH($B65,MMWR_RATING_STATE_ROLLUP_QST[MMWR_RATING_STATE_ROLLUP_QST],0),MATCH(H$9,MMWR_RATING_STATE_ROLLUP_QST[#Headers],0)),"ERROR"))</f>
        <v>146.15625</v>
      </c>
      <c r="I65" s="156">
        <f>IF($B65=" ","",IFERROR(INDEX(MMWR_RATING_STATE_ROLLUP_QST[],MATCH($B65,MMWR_RATING_STATE_ROLLUP_QST[MMWR_RATING_STATE_ROLLUP_QST],0),MATCH(I$9,MMWR_RATING_STATE_ROLLUP_QST[#Headers],0)),"ERROR"))</f>
        <v>149.41567695960001</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13</v>
      </c>
      <c r="D66" s="156">
        <f>IF($B66=" ","",IFERROR(INDEX(MMWR_RATING_STATE_ROLLUP_QST[],MATCH($B66,MMWR_RATING_STATE_ROLLUP_QST[MMWR_RATING_STATE_ROLLUP_QST],0),MATCH(D$9,MMWR_RATING_STATE_ROLLUP_QST[#Headers],0)),"ERROR"))</f>
        <v>57.538461538500002</v>
      </c>
      <c r="E66" s="157">
        <f>IF($B66=" ","",IFERROR(INDEX(MMWR_RATING_STATE_ROLLUP_QST[],MATCH($B66,MMWR_RATING_STATE_ROLLUP_QST[MMWR_RATING_STATE_ROLLUP_QST],0),MATCH(E$9,MMWR_RATING_STATE_ROLLUP_QST[#Headers],0))/$C66,"ERROR"))</f>
        <v>0</v>
      </c>
      <c r="F66" s="155">
        <f>IF($B66=" ","",IFERROR(INDEX(MMWR_RATING_STATE_ROLLUP_QST[],MATCH($B66,MMWR_RATING_STATE_ROLLUP_QST[MMWR_RATING_STATE_ROLLUP_QST],0),MATCH(F$9,MMWR_RATING_STATE_ROLLUP_QST[#Headers],0)),"ERROR"))</f>
        <v>6</v>
      </c>
      <c r="G66" s="155">
        <f>IF($B66=" ","",IFERROR(INDEX(MMWR_RATING_STATE_ROLLUP_QST[],MATCH($B66,MMWR_RATING_STATE_ROLLUP_QST[MMWR_RATING_STATE_ROLLUP_QST],0),MATCH(G$9,MMWR_RATING_STATE_ROLLUP_QST[#Headers],0)),"ERROR"))</f>
        <v>61</v>
      </c>
      <c r="H66" s="156">
        <f>IF($B66=" ","",IFERROR(INDEX(MMWR_RATING_STATE_ROLLUP_QST[],MATCH($B66,MMWR_RATING_STATE_ROLLUP_QST[MMWR_RATING_STATE_ROLLUP_QST],0),MATCH(H$9,MMWR_RATING_STATE_ROLLUP_QST[#Headers],0)),"ERROR"))</f>
        <v>116.6666666667</v>
      </c>
      <c r="I66" s="156">
        <f>IF($B66=" ","",IFERROR(INDEX(MMWR_RATING_STATE_ROLLUP_QST[],MATCH($B66,MMWR_RATING_STATE_ROLLUP_QST[MMWR_RATING_STATE_ROLLUP_QST],0),MATCH(I$9,MMWR_RATING_STATE_ROLLUP_QST[#Headers],0)),"ERROR"))</f>
        <v>126.90163934429999</v>
      </c>
      <c r="J66" s="42"/>
      <c r="K66" s="42"/>
      <c r="L66" s="42"/>
      <c r="M66" s="42"/>
      <c r="N66" s="28"/>
    </row>
    <row r="67" spans="1:14" x14ac:dyDescent="0.2">
      <c r="A67" s="25"/>
      <c r="B67" s="339" t="s">
        <v>1053</v>
      </c>
      <c r="C67" s="340"/>
      <c r="D67" s="340"/>
      <c r="E67" s="340"/>
      <c r="F67" s="340"/>
      <c r="G67" s="340"/>
      <c r="H67" s="340"/>
      <c r="I67" s="340"/>
      <c r="J67" s="340"/>
      <c r="K67" s="340"/>
      <c r="L67" s="340"/>
      <c r="M67" s="390"/>
      <c r="N67" s="28"/>
    </row>
    <row r="68" spans="1:14" ht="25.5" x14ac:dyDescent="0.2">
      <c r="A68" s="25"/>
      <c r="B68" s="253" t="s">
        <v>1049</v>
      </c>
      <c r="C68" s="155">
        <f>IF($B68=" ","",IFERROR(INDEX(MMWR_RATING_STATE_ROLLUP_BDD[],MATCH($B68,MMWR_RATING_STATE_ROLLUP_BDD[MMWR_RATING_STATE_ROLLUP_BDD],0),MATCH(C$9,MMWR_RATING_STATE_ROLLUP_BDD[#Headers],0)),"ERROR"))</f>
        <v>8428</v>
      </c>
      <c r="D68" s="156">
        <f>IF($B68=" ","",IFERROR(INDEX(MMWR_RATING_STATE_ROLLUP_BDD[],MATCH($B68,MMWR_RATING_STATE_ROLLUP_BDD[MMWR_RATING_STATE_ROLLUP_BDD],0),MATCH(D$9,MMWR_RATING_STATE_ROLLUP_BDD[#Headers],0)),"ERROR"))</f>
        <v>74.608448030399998</v>
      </c>
      <c r="E68" s="157">
        <f>IF($B68=" ","",IFERROR(INDEX(MMWR_RATING_STATE_ROLLUP_BDD[],MATCH($B68,MMWR_RATING_STATE_ROLLUP_BDD[MMWR_RATING_STATE_ROLLUP_BDD],0),MATCH(E$9,MMWR_RATING_STATE_ROLLUP_BDD[#Headers],0))/$C68,"ERROR"))</f>
        <v>0.12861888941623162</v>
      </c>
      <c r="F68" s="155">
        <f>IF($B68=" ","",IFERROR(INDEX(MMWR_RATING_STATE_ROLLUP_BDD[],MATCH($B68,MMWR_RATING_STATE_ROLLUP_BDD[MMWR_RATING_STATE_ROLLUP_BDD],0),MATCH(F$9,MMWR_RATING_STATE_ROLLUP_BDD[#Headers],0)),"ERROR"))</f>
        <v>1577</v>
      </c>
      <c r="G68" s="155">
        <f>IF($B68=" ","",IFERROR(INDEX(MMWR_RATING_STATE_ROLLUP_BDD[],MATCH($B68,MMWR_RATING_STATE_ROLLUP_BDD[MMWR_RATING_STATE_ROLLUP_BDD],0),MATCH(G$9,MMWR_RATING_STATE_ROLLUP_BDD[#Headers],0)),"ERROR"))</f>
        <v>21090</v>
      </c>
      <c r="H68" s="156">
        <f>IF($B68=" ","",IFERROR(INDEX(MMWR_RATING_STATE_ROLLUP_BDD[],MATCH($B68,MMWR_RATING_STATE_ROLLUP_BDD[MMWR_RATING_STATE_ROLLUP_BDD],0),MATCH(H$9,MMWR_RATING_STATE_ROLLUP_BDD[#Headers],0)),"ERROR"))</f>
        <v>139.32213062779999</v>
      </c>
      <c r="I68" s="156">
        <f>IF($B68=" ","",IFERROR(INDEX(MMWR_RATING_STATE_ROLLUP_BDD[],MATCH($B68,MMWR_RATING_STATE_ROLLUP_BDD[MMWR_RATING_STATE_ROLLUP_BDD],0),MATCH(I$9,MMWR_RATING_STATE_ROLLUP_BDD[#Headers],0)),"ERROR"))</f>
        <v>153.1345187293</v>
      </c>
      <c r="J68" s="42"/>
      <c r="K68" s="42"/>
      <c r="L68" s="42"/>
      <c r="M68" s="42"/>
      <c r="N68" s="28"/>
    </row>
    <row r="69" spans="1:14" x14ac:dyDescent="0.2">
      <c r="A69" s="25"/>
      <c r="B69" s="251" t="str">
        <f>INDEX(DISTRICT_STATES[],MATCH($B$5,DISTRICT_RO[District],0),1)</f>
        <v>North Atlantic</v>
      </c>
      <c r="C69" s="155">
        <f>IF($B69=" ","",IFERROR(INDEX(MMWR_RATING_STATE_ROLLUP_BDD[],MATCH($B69,MMWR_RATING_STATE_ROLLUP_BDD[MMWR_RATING_STATE_ROLLUP_BDD],0),MATCH(C$9,MMWR_RATING_STATE_ROLLUP_BDD[#Headers],0)),"ERROR"))</f>
        <v>2424</v>
      </c>
      <c r="D69" s="156">
        <f>IF($B69=" ","",IFERROR(INDEX(MMWR_RATING_STATE_ROLLUP_BDD[],MATCH($B69,MMWR_RATING_STATE_ROLLUP_BDD[MMWR_RATING_STATE_ROLLUP_BDD],0),MATCH(D$9,MMWR_RATING_STATE_ROLLUP_BDD[#Headers],0)),"ERROR"))</f>
        <v>72.503300330000002</v>
      </c>
      <c r="E69" s="157">
        <f>IF($B69=" ","",IFERROR(INDEX(MMWR_RATING_STATE_ROLLUP_BDD[],MATCH($B69,MMWR_RATING_STATE_ROLLUP_BDD[MMWR_RATING_STATE_ROLLUP_BDD],0),MATCH(E$9,MMWR_RATING_STATE_ROLLUP_BDD[#Headers],0))/$C69,"ERROR"))</f>
        <v>0.11963696369636964</v>
      </c>
      <c r="F69" s="155">
        <f>IF($B69=" ","",IFERROR(INDEX(MMWR_RATING_STATE_ROLLUP_BDD[],MATCH($B69,MMWR_RATING_STATE_ROLLUP_BDD[MMWR_RATING_STATE_ROLLUP_BDD],0),MATCH(F$9,MMWR_RATING_STATE_ROLLUP_BDD[#Headers],0)),"ERROR"))</f>
        <v>376</v>
      </c>
      <c r="G69" s="155">
        <f>IF($B69=" ","",IFERROR(INDEX(MMWR_RATING_STATE_ROLLUP_BDD[],MATCH($B69,MMWR_RATING_STATE_ROLLUP_BDD[MMWR_RATING_STATE_ROLLUP_BDD],0),MATCH(G$9,MMWR_RATING_STATE_ROLLUP_BDD[#Headers],0)),"ERROR"))</f>
        <v>4687</v>
      </c>
      <c r="H69" s="156">
        <f>IF($B69=" ","",IFERROR(INDEX(MMWR_RATING_STATE_ROLLUP_BDD[],MATCH($B69,MMWR_RATING_STATE_ROLLUP_BDD[MMWR_RATING_STATE_ROLLUP_BDD],0),MATCH(H$9,MMWR_RATING_STATE_ROLLUP_BDD[#Headers],0)),"ERROR"))</f>
        <v>143.6542553191</v>
      </c>
      <c r="I69" s="156">
        <f>IF($B69=" ","",IFERROR(INDEX(MMWR_RATING_STATE_ROLLUP_BDD[],MATCH($B69,MMWR_RATING_STATE_ROLLUP_BDD[MMWR_RATING_STATE_ROLLUP_BDD],0),MATCH(I$9,MMWR_RATING_STATE_ROLLUP_BDD[#Headers],0)),"ERROR"))</f>
        <v>139.79709835720001</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41</v>
      </c>
      <c r="D70" s="156">
        <f>IF($B70=" ","",IFERROR(INDEX(MMWR_RATING_STATE_ROLLUP_BDD[],MATCH($B70,MMWR_RATING_STATE_ROLLUP_BDD[MMWR_RATING_STATE_ROLLUP_BDD],0),MATCH(D$9,MMWR_RATING_STATE_ROLLUP_BDD[#Headers],0)),"ERROR"))</f>
        <v>55.487804877999999</v>
      </c>
      <c r="E70" s="157">
        <f>IF($B70=" ","",IFERROR(INDEX(MMWR_RATING_STATE_ROLLUP_BDD[],MATCH($B70,MMWR_RATING_STATE_ROLLUP_BDD[MMWR_RATING_STATE_ROLLUP_BDD],0),MATCH(E$9,MMWR_RATING_STATE_ROLLUP_BDD[#Headers],0))/$C70,"ERROR"))</f>
        <v>2.4390243902439025E-2</v>
      </c>
      <c r="F70" s="155">
        <f>IF($B70=" ","",IFERROR(INDEX(MMWR_RATING_STATE_ROLLUP_BDD[],MATCH($B70,MMWR_RATING_STATE_ROLLUP_BDD[MMWR_RATING_STATE_ROLLUP_BDD],0),MATCH(F$9,MMWR_RATING_STATE_ROLLUP_BDD[#Headers],0)),"ERROR"))</f>
        <v>4</v>
      </c>
      <c r="G70" s="155">
        <f>IF($B70=" ","",IFERROR(INDEX(MMWR_RATING_STATE_ROLLUP_BDD[],MATCH($B70,MMWR_RATING_STATE_ROLLUP_BDD[MMWR_RATING_STATE_ROLLUP_BDD],0),MATCH(G$9,MMWR_RATING_STATE_ROLLUP_BDD[#Headers],0)),"ERROR"))</f>
        <v>60</v>
      </c>
      <c r="H70" s="156">
        <f>IF($B70=" ","",IFERROR(INDEX(MMWR_RATING_STATE_ROLLUP_BDD[],MATCH($B70,MMWR_RATING_STATE_ROLLUP_BDD[MMWR_RATING_STATE_ROLLUP_BDD],0),MATCH(H$9,MMWR_RATING_STATE_ROLLUP_BDD[#Headers],0)),"ERROR"))</f>
        <v>118.75</v>
      </c>
      <c r="I70" s="156">
        <f>IF($B70=" ","",IFERROR(INDEX(MMWR_RATING_STATE_ROLLUP_BDD[],MATCH($B70,MMWR_RATING_STATE_ROLLUP_BDD[MMWR_RATING_STATE_ROLLUP_BDD],0),MATCH(I$9,MMWR_RATING_STATE_ROLLUP_BDD[#Headers],0)),"ERROR"))</f>
        <v>116.55</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16</v>
      </c>
      <c r="D71" s="156">
        <f>IF($B71=" ","",IFERROR(INDEX(MMWR_RATING_STATE_ROLLUP_BDD[],MATCH($B71,MMWR_RATING_STATE_ROLLUP_BDD[MMWR_RATING_STATE_ROLLUP_BDD],0),MATCH(D$9,MMWR_RATING_STATE_ROLLUP_BDD[#Headers],0)),"ERROR"))</f>
        <v>86.25</v>
      </c>
      <c r="E71" s="157">
        <f>IF($B71=" ","",IFERROR(INDEX(MMWR_RATING_STATE_ROLLUP_BDD[],MATCH($B71,MMWR_RATING_STATE_ROLLUP_BDD[MMWR_RATING_STATE_ROLLUP_BDD],0),MATCH(E$9,MMWR_RATING_STATE_ROLLUP_BDD[#Headers],0))/$C71,"ERROR"))</f>
        <v>0.125</v>
      </c>
      <c r="F71" s="155">
        <f>IF($B71=" ","",IFERROR(INDEX(MMWR_RATING_STATE_ROLLUP_BDD[],MATCH($B71,MMWR_RATING_STATE_ROLLUP_BDD[MMWR_RATING_STATE_ROLLUP_BDD],0),MATCH(F$9,MMWR_RATING_STATE_ROLLUP_BDD[#Headers],0)),"ERROR"))</f>
        <v>3</v>
      </c>
      <c r="G71" s="155">
        <f>IF($B71=" ","",IFERROR(INDEX(MMWR_RATING_STATE_ROLLUP_BDD[],MATCH($B71,MMWR_RATING_STATE_ROLLUP_BDD[MMWR_RATING_STATE_ROLLUP_BDD],0),MATCH(G$9,MMWR_RATING_STATE_ROLLUP_BDD[#Headers],0)),"ERROR"))</f>
        <v>32</v>
      </c>
      <c r="H71" s="156">
        <f>IF($B71=" ","",IFERROR(INDEX(MMWR_RATING_STATE_ROLLUP_BDD[],MATCH($B71,MMWR_RATING_STATE_ROLLUP_BDD[MMWR_RATING_STATE_ROLLUP_BDD],0),MATCH(H$9,MMWR_RATING_STATE_ROLLUP_BDD[#Headers],0)),"ERROR"))</f>
        <v>124.3333333333</v>
      </c>
      <c r="I71" s="156">
        <f>IF($B71=" ","",IFERROR(INDEX(MMWR_RATING_STATE_ROLLUP_BDD[],MATCH($B71,MMWR_RATING_STATE_ROLLUP_BDD[MMWR_RATING_STATE_ROLLUP_BDD],0),MATCH(I$9,MMWR_RATING_STATE_ROLLUP_BDD[#Headers],0)),"ERROR"))</f>
        <v>117.34375</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20</v>
      </c>
      <c r="D72" s="156">
        <f>IF($B72=" ","",IFERROR(INDEX(MMWR_RATING_STATE_ROLLUP_BDD[],MATCH($B72,MMWR_RATING_STATE_ROLLUP_BDD[MMWR_RATING_STATE_ROLLUP_BDD],0),MATCH(D$9,MMWR_RATING_STATE_ROLLUP_BDD[#Headers],0)),"ERROR"))</f>
        <v>63.75</v>
      </c>
      <c r="E72" s="157">
        <f>IF($B72=" ","",IFERROR(INDEX(MMWR_RATING_STATE_ROLLUP_BDD[],MATCH($B72,MMWR_RATING_STATE_ROLLUP_BDD[MMWR_RATING_STATE_ROLLUP_BDD],0),MATCH(E$9,MMWR_RATING_STATE_ROLLUP_BDD[#Headers],0))/$C72,"ERROR"))</f>
        <v>0.1</v>
      </c>
      <c r="F72" s="155">
        <f>IF($B72=" ","",IFERROR(INDEX(MMWR_RATING_STATE_ROLLUP_BDD[],MATCH($B72,MMWR_RATING_STATE_ROLLUP_BDD[MMWR_RATING_STATE_ROLLUP_BDD],0),MATCH(F$9,MMWR_RATING_STATE_ROLLUP_BDD[#Headers],0)),"ERROR"))</f>
        <v>1</v>
      </c>
      <c r="G72" s="155">
        <f>IF($B72=" ","",IFERROR(INDEX(MMWR_RATING_STATE_ROLLUP_BDD[],MATCH($B72,MMWR_RATING_STATE_ROLLUP_BDD[MMWR_RATING_STATE_ROLLUP_BDD],0),MATCH(G$9,MMWR_RATING_STATE_ROLLUP_BDD[#Headers],0)),"ERROR"))</f>
        <v>26</v>
      </c>
      <c r="H72" s="156">
        <f>IF($B72=" ","",IFERROR(INDEX(MMWR_RATING_STATE_ROLLUP_BDD[],MATCH($B72,MMWR_RATING_STATE_ROLLUP_BDD[MMWR_RATING_STATE_ROLLUP_BDD],0),MATCH(H$9,MMWR_RATING_STATE_ROLLUP_BDD[#Headers],0)),"ERROR"))</f>
        <v>130</v>
      </c>
      <c r="I72" s="156">
        <f>IF($B72=" ","",IFERROR(INDEX(MMWR_RATING_STATE_ROLLUP_BDD[],MATCH($B72,MMWR_RATING_STATE_ROLLUP_BDD[MMWR_RATING_STATE_ROLLUP_BDD],0),MATCH(I$9,MMWR_RATING_STATE_ROLLUP_BDD[#Headers],0)),"ERROR"))</f>
        <v>125.26923076920001</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12</v>
      </c>
      <c r="D73" s="156">
        <f>IF($B73=" ","",IFERROR(INDEX(MMWR_RATING_STATE_ROLLUP_BDD[],MATCH($B73,MMWR_RATING_STATE_ROLLUP_BDD[MMWR_RATING_STATE_ROLLUP_BDD],0),MATCH(D$9,MMWR_RATING_STATE_ROLLUP_BDD[#Headers],0)),"ERROR"))</f>
        <v>57.583333333299997</v>
      </c>
      <c r="E73" s="157">
        <f>IF($B73=" ","",IFERROR(INDEX(MMWR_RATING_STATE_ROLLUP_BDD[],MATCH($B73,MMWR_RATING_STATE_ROLLUP_BDD[MMWR_RATING_STATE_ROLLUP_BDD],0),MATCH(E$9,MMWR_RATING_STATE_ROLLUP_BDD[#Headers],0))/$C73,"ERROR"))</f>
        <v>8.3333333333333329E-2</v>
      </c>
      <c r="F73" s="155">
        <f>IF($B73=" ","",IFERROR(INDEX(MMWR_RATING_STATE_ROLLUP_BDD[],MATCH($B73,MMWR_RATING_STATE_ROLLUP_BDD[MMWR_RATING_STATE_ROLLUP_BDD],0),MATCH(F$9,MMWR_RATING_STATE_ROLLUP_BDD[#Headers],0)),"ERROR"))</f>
        <v>0</v>
      </c>
      <c r="G73" s="155">
        <f>IF($B73=" ","",IFERROR(INDEX(MMWR_RATING_STATE_ROLLUP_BDD[],MATCH($B73,MMWR_RATING_STATE_ROLLUP_BDD[MMWR_RATING_STATE_ROLLUP_BDD],0),MATCH(G$9,MMWR_RATING_STATE_ROLLUP_BDD[#Headers],0)),"ERROR"))</f>
        <v>29</v>
      </c>
      <c r="H73" s="156">
        <f>IF($B73=" ","",IFERROR(INDEX(MMWR_RATING_STATE_ROLLUP_BDD[],MATCH($B73,MMWR_RATING_STATE_ROLLUP_BDD[MMWR_RATING_STATE_ROLLUP_BDD],0),MATCH(H$9,MMWR_RATING_STATE_ROLLUP_BDD[#Headers],0)),"ERROR"))</f>
        <v>0</v>
      </c>
      <c r="I73" s="156">
        <f>IF($B73=" ","",IFERROR(INDEX(MMWR_RATING_STATE_ROLLUP_BDD[],MATCH($B73,MMWR_RATING_STATE_ROLLUP_BDD[MMWR_RATING_STATE_ROLLUP_BDD],0),MATCH(I$9,MMWR_RATING_STATE_ROLLUP_BDD[#Headers],0)),"ERROR"))</f>
        <v>122.82758620689999</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250</v>
      </c>
      <c r="D74" s="156">
        <f>IF($B74=" ","",IFERROR(INDEX(MMWR_RATING_STATE_ROLLUP_BDD[],MATCH($B74,MMWR_RATING_STATE_ROLLUP_BDD[MMWR_RATING_STATE_ROLLUP_BDD],0),MATCH(D$9,MMWR_RATING_STATE_ROLLUP_BDD[#Headers],0)),"ERROR"))</f>
        <v>76.3</v>
      </c>
      <c r="E74" s="157">
        <f>IF($B74=" ","",IFERROR(INDEX(MMWR_RATING_STATE_ROLLUP_BDD[],MATCH($B74,MMWR_RATING_STATE_ROLLUP_BDD[MMWR_RATING_STATE_ROLLUP_BDD],0),MATCH(E$9,MMWR_RATING_STATE_ROLLUP_BDD[#Headers],0))/$C74,"ERROR"))</f>
        <v>0.14000000000000001</v>
      </c>
      <c r="F74" s="155">
        <f>IF($B74=" ","",IFERROR(INDEX(MMWR_RATING_STATE_ROLLUP_BDD[],MATCH($B74,MMWR_RATING_STATE_ROLLUP_BDD[MMWR_RATING_STATE_ROLLUP_BDD],0),MATCH(F$9,MMWR_RATING_STATE_ROLLUP_BDD[#Headers],0)),"ERROR"))</f>
        <v>39</v>
      </c>
      <c r="G74" s="155">
        <f>IF($B74=" ","",IFERROR(INDEX(MMWR_RATING_STATE_ROLLUP_BDD[],MATCH($B74,MMWR_RATING_STATE_ROLLUP_BDD[MMWR_RATING_STATE_ROLLUP_BDD],0),MATCH(G$9,MMWR_RATING_STATE_ROLLUP_BDD[#Headers],0)),"ERROR"))</f>
        <v>535</v>
      </c>
      <c r="H74" s="156">
        <f>IF($B74=" ","",IFERROR(INDEX(MMWR_RATING_STATE_ROLLUP_BDD[],MATCH($B74,MMWR_RATING_STATE_ROLLUP_BDD[MMWR_RATING_STATE_ROLLUP_BDD],0),MATCH(H$9,MMWR_RATING_STATE_ROLLUP_BDD[#Headers],0)),"ERROR"))</f>
        <v>155.641025641</v>
      </c>
      <c r="I74" s="156">
        <f>IF($B74=" ","",IFERROR(INDEX(MMWR_RATING_STATE_ROLLUP_BDD[],MATCH($B74,MMWR_RATING_STATE_ROLLUP_BDD[MMWR_RATING_STATE_ROLLUP_BDD],0),MATCH(I$9,MMWR_RATING_STATE_ROLLUP_BDD[#Headers],0)),"ERROR"))</f>
        <v>149.8579439252</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30</v>
      </c>
      <c r="D75" s="156">
        <f>IF($B75=" ","",IFERROR(INDEX(MMWR_RATING_STATE_ROLLUP_BDD[],MATCH($B75,MMWR_RATING_STATE_ROLLUP_BDD[MMWR_RATING_STATE_ROLLUP_BDD],0),MATCH(D$9,MMWR_RATING_STATE_ROLLUP_BDD[#Headers],0)),"ERROR"))</f>
        <v>76.633333333300001</v>
      </c>
      <c r="E75" s="157">
        <f>IF($B75=" ","",IFERROR(INDEX(MMWR_RATING_STATE_ROLLUP_BDD[],MATCH($B75,MMWR_RATING_STATE_ROLLUP_BDD[MMWR_RATING_STATE_ROLLUP_BDD],0),MATCH(E$9,MMWR_RATING_STATE_ROLLUP_BDD[#Headers],0))/$C75,"ERROR"))</f>
        <v>0.16666666666666666</v>
      </c>
      <c r="F75" s="155">
        <f>IF($B75=" ","",IFERROR(INDEX(MMWR_RATING_STATE_ROLLUP_BDD[],MATCH($B75,MMWR_RATING_STATE_ROLLUP_BDD[MMWR_RATING_STATE_ROLLUP_BDD],0),MATCH(F$9,MMWR_RATING_STATE_ROLLUP_BDD[#Headers],0)),"ERROR"))</f>
        <v>6</v>
      </c>
      <c r="G75" s="155">
        <f>IF($B75=" ","",IFERROR(INDEX(MMWR_RATING_STATE_ROLLUP_BDD[],MATCH($B75,MMWR_RATING_STATE_ROLLUP_BDD[MMWR_RATING_STATE_ROLLUP_BDD],0),MATCH(G$9,MMWR_RATING_STATE_ROLLUP_BDD[#Headers],0)),"ERROR"))</f>
        <v>111</v>
      </c>
      <c r="H75" s="156">
        <f>IF($B75=" ","",IFERROR(INDEX(MMWR_RATING_STATE_ROLLUP_BDD[],MATCH($B75,MMWR_RATING_STATE_ROLLUP_BDD[MMWR_RATING_STATE_ROLLUP_BDD],0),MATCH(H$9,MMWR_RATING_STATE_ROLLUP_BDD[#Headers],0)),"ERROR"))</f>
        <v>92.666666666699996</v>
      </c>
      <c r="I75" s="156">
        <f>IF($B75=" ","",IFERROR(INDEX(MMWR_RATING_STATE_ROLLUP_BDD[],MATCH($B75,MMWR_RATING_STATE_ROLLUP_BDD[MMWR_RATING_STATE_ROLLUP_BDD],0),MATCH(I$9,MMWR_RATING_STATE_ROLLUP_BDD[#Headers],0)),"ERROR"))</f>
        <v>159.07207207210001</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15</v>
      </c>
      <c r="D76" s="156">
        <f>IF($B76=" ","",IFERROR(INDEX(MMWR_RATING_STATE_ROLLUP_BDD[],MATCH($B76,MMWR_RATING_STATE_ROLLUP_BDD[MMWR_RATING_STATE_ROLLUP_BDD],0),MATCH(D$9,MMWR_RATING_STATE_ROLLUP_BDD[#Headers],0)),"ERROR"))</f>
        <v>84.866666666699999</v>
      </c>
      <c r="E76" s="157">
        <f>IF($B76=" ","",IFERROR(INDEX(MMWR_RATING_STATE_ROLLUP_BDD[],MATCH($B76,MMWR_RATING_STATE_ROLLUP_BDD[MMWR_RATING_STATE_ROLLUP_BDD],0),MATCH(E$9,MMWR_RATING_STATE_ROLLUP_BDD[#Headers],0))/$C76,"ERROR"))</f>
        <v>0.13333333333333333</v>
      </c>
      <c r="F76" s="155">
        <f>IF($B76=" ","",IFERROR(INDEX(MMWR_RATING_STATE_ROLLUP_BDD[],MATCH($B76,MMWR_RATING_STATE_ROLLUP_BDD[MMWR_RATING_STATE_ROLLUP_BDD],0),MATCH(F$9,MMWR_RATING_STATE_ROLLUP_BDD[#Headers],0)),"ERROR"))</f>
        <v>0</v>
      </c>
      <c r="G76" s="155">
        <f>IF($B76=" ","",IFERROR(INDEX(MMWR_RATING_STATE_ROLLUP_BDD[],MATCH($B76,MMWR_RATING_STATE_ROLLUP_BDD[MMWR_RATING_STATE_ROLLUP_BDD],0),MATCH(G$9,MMWR_RATING_STATE_ROLLUP_BDD[#Headers],0)),"ERROR"))</f>
        <v>23</v>
      </c>
      <c r="H76" s="156">
        <f>IF($B76=" ","",IFERROR(INDEX(MMWR_RATING_STATE_ROLLUP_BDD[],MATCH($B76,MMWR_RATING_STATE_ROLLUP_BDD[MMWR_RATING_STATE_ROLLUP_BDD],0),MATCH(H$9,MMWR_RATING_STATE_ROLLUP_BDD[#Headers],0)),"ERROR"))</f>
        <v>0</v>
      </c>
      <c r="I76" s="156">
        <f>IF($B76=" ","",IFERROR(INDEX(MMWR_RATING_STATE_ROLLUP_BDD[],MATCH($B76,MMWR_RATING_STATE_ROLLUP_BDD[MMWR_RATING_STATE_ROLLUP_BDD],0),MATCH(I$9,MMWR_RATING_STATE_ROLLUP_BDD[#Headers],0)),"ERROR"))</f>
        <v>159.0434782609</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56</v>
      </c>
      <c r="D77" s="156">
        <f>IF($B77=" ","",IFERROR(INDEX(MMWR_RATING_STATE_ROLLUP_BDD[],MATCH($B77,MMWR_RATING_STATE_ROLLUP_BDD[MMWR_RATING_STATE_ROLLUP_BDD],0),MATCH(D$9,MMWR_RATING_STATE_ROLLUP_BDD[#Headers],0)),"ERROR"))</f>
        <v>68.053571428599994</v>
      </c>
      <c r="E77" s="157">
        <f>IF($B77=" ","",IFERROR(INDEX(MMWR_RATING_STATE_ROLLUP_BDD[],MATCH($B77,MMWR_RATING_STATE_ROLLUP_BDD[MMWR_RATING_STATE_ROLLUP_BDD],0),MATCH(E$9,MMWR_RATING_STATE_ROLLUP_BDD[#Headers],0))/$C77,"ERROR"))</f>
        <v>8.9285714285714288E-2</v>
      </c>
      <c r="F77" s="155">
        <f>IF($B77=" ","",IFERROR(INDEX(MMWR_RATING_STATE_ROLLUP_BDD[],MATCH($B77,MMWR_RATING_STATE_ROLLUP_BDD[MMWR_RATING_STATE_ROLLUP_BDD],0),MATCH(F$9,MMWR_RATING_STATE_ROLLUP_BDD[#Headers],0)),"ERROR"))</f>
        <v>11</v>
      </c>
      <c r="G77" s="155">
        <f>IF($B77=" ","",IFERROR(INDEX(MMWR_RATING_STATE_ROLLUP_BDD[],MATCH($B77,MMWR_RATING_STATE_ROLLUP_BDD[MMWR_RATING_STATE_ROLLUP_BDD],0),MATCH(G$9,MMWR_RATING_STATE_ROLLUP_BDD[#Headers],0)),"ERROR"))</f>
        <v>159</v>
      </c>
      <c r="H77" s="156">
        <f>IF($B77=" ","",IFERROR(INDEX(MMWR_RATING_STATE_ROLLUP_BDD[],MATCH($B77,MMWR_RATING_STATE_ROLLUP_BDD[MMWR_RATING_STATE_ROLLUP_BDD],0),MATCH(H$9,MMWR_RATING_STATE_ROLLUP_BDD[#Headers],0)),"ERROR"))</f>
        <v>108.0909090909</v>
      </c>
      <c r="I77" s="156">
        <f>IF($B77=" ","",IFERROR(INDEX(MMWR_RATING_STATE_ROLLUP_BDD[],MATCH($B77,MMWR_RATING_STATE_ROLLUP_BDD[MMWR_RATING_STATE_ROLLUP_BDD],0),MATCH(I$9,MMWR_RATING_STATE_ROLLUP_BDD[#Headers],0)),"ERROR"))</f>
        <v>143.10062893080001</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128</v>
      </c>
      <c r="D78" s="156">
        <f>IF($B78=" ","",IFERROR(INDEX(MMWR_RATING_STATE_ROLLUP_BDD[],MATCH($B78,MMWR_RATING_STATE_ROLLUP_BDD[MMWR_RATING_STATE_ROLLUP_BDD],0),MATCH(D$9,MMWR_RATING_STATE_ROLLUP_BDD[#Headers],0)),"ERROR"))</f>
        <v>76.3828125</v>
      </c>
      <c r="E78" s="157">
        <f>IF($B78=" ","",IFERROR(INDEX(MMWR_RATING_STATE_ROLLUP_BDD[],MATCH($B78,MMWR_RATING_STATE_ROLLUP_BDD[MMWR_RATING_STATE_ROLLUP_BDD],0),MATCH(E$9,MMWR_RATING_STATE_ROLLUP_BDD[#Headers],0))/$C78,"ERROR"))</f>
        <v>0.125</v>
      </c>
      <c r="F78" s="155">
        <f>IF($B78=" ","",IFERROR(INDEX(MMWR_RATING_STATE_ROLLUP_BDD[],MATCH($B78,MMWR_RATING_STATE_ROLLUP_BDD[MMWR_RATING_STATE_ROLLUP_BDD],0),MATCH(F$9,MMWR_RATING_STATE_ROLLUP_BDD[#Headers],0)),"ERROR"))</f>
        <v>24</v>
      </c>
      <c r="G78" s="155">
        <f>IF($B78=" ","",IFERROR(INDEX(MMWR_RATING_STATE_ROLLUP_BDD[],MATCH($B78,MMWR_RATING_STATE_ROLLUP_BDD[MMWR_RATING_STATE_ROLLUP_BDD],0),MATCH(G$9,MMWR_RATING_STATE_ROLLUP_BDD[#Headers],0)),"ERROR"))</f>
        <v>376</v>
      </c>
      <c r="H78" s="156">
        <f>IF($B78=" ","",IFERROR(INDEX(MMWR_RATING_STATE_ROLLUP_BDD[],MATCH($B78,MMWR_RATING_STATE_ROLLUP_BDD[MMWR_RATING_STATE_ROLLUP_BDD],0),MATCH(H$9,MMWR_RATING_STATE_ROLLUP_BDD[#Headers],0)),"ERROR"))</f>
        <v>132.0833333333</v>
      </c>
      <c r="I78" s="156">
        <f>IF($B78=" ","",IFERROR(INDEX(MMWR_RATING_STATE_ROLLUP_BDD[],MATCH($B78,MMWR_RATING_STATE_ROLLUP_BDD[MMWR_RATING_STATE_ROLLUP_BDD],0),MATCH(I$9,MMWR_RATING_STATE_ROLLUP_BDD[#Headers],0)),"ERROR"))</f>
        <v>150.52393617019999</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979</v>
      </c>
      <c r="D79" s="156">
        <f>IF($B79=" ","",IFERROR(INDEX(MMWR_RATING_STATE_ROLLUP_BDD[],MATCH($B79,MMWR_RATING_STATE_ROLLUP_BDD[MMWR_RATING_STATE_ROLLUP_BDD],0),MATCH(D$9,MMWR_RATING_STATE_ROLLUP_BDD[#Headers],0)),"ERROR"))</f>
        <v>68.225740551599998</v>
      </c>
      <c r="E79" s="157">
        <f>IF($B79=" ","",IFERROR(INDEX(MMWR_RATING_STATE_ROLLUP_BDD[],MATCH($B79,MMWR_RATING_STATE_ROLLUP_BDD[MMWR_RATING_STATE_ROLLUP_BDD],0),MATCH(E$9,MMWR_RATING_STATE_ROLLUP_BDD[#Headers],0))/$C79,"ERROR"))</f>
        <v>0.10010214504596528</v>
      </c>
      <c r="F79" s="155">
        <f>IF($B79=" ","",IFERROR(INDEX(MMWR_RATING_STATE_ROLLUP_BDD[],MATCH($B79,MMWR_RATING_STATE_ROLLUP_BDD[MMWR_RATING_STATE_ROLLUP_BDD],0),MATCH(F$9,MMWR_RATING_STATE_ROLLUP_BDD[#Headers],0)),"ERROR"))</f>
        <v>135</v>
      </c>
      <c r="G79" s="155">
        <f>IF($B79=" ","",IFERROR(INDEX(MMWR_RATING_STATE_ROLLUP_BDD[],MATCH($B79,MMWR_RATING_STATE_ROLLUP_BDD[MMWR_RATING_STATE_ROLLUP_BDD],0),MATCH(G$9,MMWR_RATING_STATE_ROLLUP_BDD[#Headers],0)),"ERROR"))</f>
        <v>1465</v>
      </c>
      <c r="H79" s="156">
        <f>IF($B79=" ","",IFERROR(INDEX(MMWR_RATING_STATE_ROLLUP_BDD[],MATCH($B79,MMWR_RATING_STATE_ROLLUP_BDD[MMWR_RATING_STATE_ROLLUP_BDD],0),MATCH(H$9,MMWR_RATING_STATE_ROLLUP_BDD[#Headers],0)),"ERROR"))</f>
        <v>137.4740740741</v>
      </c>
      <c r="I79" s="156">
        <f>IF($B79=" ","",IFERROR(INDEX(MMWR_RATING_STATE_ROLLUP_BDD[],MATCH($B79,MMWR_RATING_STATE_ROLLUP_BDD[MMWR_RATING_STATE_ROLLUP_BDD],0),MATCH(I$9,MMWR_RATING_STATE_ROLLUP_BDD[#Headers],0)),"ERROR"))</f>
        <v>128.6075085324</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94</v>
      </c>
      <c r="D80" s="156">
        <f>IF($B80=" ","",IFERROR(INDEX(MMWR_RATING_STATE_ROLLUP_BDD[],MATCH($B80,MMWR_RATING_STATE_ROLLUP_BDD[MMWR_RATING_STATE_ROLLUP_BDD],0),MATCH(D$9,MMWR_RATING_STATE_ROLLUP_BDD[#Headers],0)),"ERROR"))</f>
        <v>82.904255319100002</v>
      </c>
      <c r="E80" s="157">
        <f>IF($B80=" ","",IFERROR(INDEX(MMWR_RATING_STATE_ROLLUP_BDD[],MATCH($B80,MMWR_RATING_STATE_ROLLUP_BDD[MMWR_RATING_STATE_ROLLUP_BDD],0),MATCH(E$9,MMWR_RATING_STATE_ROLLUP_BDD[#Headers],0))/$C80,"ERROR"))</f>
        <v>0.18085106382978725</v>
      </c>
      <c r="F80" s="155">
        <f>IF($B80=" ","",IFERROR(INDEX(MMWR_RATING_STATE_ROLLUP_BDD[],MATCH($B80,MMWR_RATING_STATE_ROLLUP_BDD[MMWR_RATING_STATE_ROLLUP_BDD],0),MATCH(F$9,MMWR_RATING_STATE_ROLLUP_BDD[#Headers],0)),"ERROR"))</f>
        <v>19</v>
      </c>
      <c r="G80" s="155">
        <f>IF($B80=" ","",IFERROR(INDEX(MMWR_RATING_STATE_ROLLUP_BDD[],MATCH($B80,MMWR_RATING_STATE_ROLLUP_BDD[MMWR_RATING_STATE_ROLLUP_BDD],0),MATCH(G$9,MMWR_RATING_STATE_ROLLUP_BDD[#Headers],0)),"ERROR"))</f>
        <v>281</v>
      </c>
      <c r="H80" s="156">
        <f>IF($B80=" ","",IFERROR(INDEX(MMWR_RATING_STATE_ROLLUP_BDD[],MATCH($B80,MMWR_RATING_STATE_ROLLUP_BDD[MMWR_RATING_STATE_ROLLUP_BDD],0),MATCH(H$9,MMWR_RATING_STATE_ROLLUP_BDD[#Headers],0)),"ERROR"))</f>
        <v>157.47368421050001</v>
      </c>
      <c r="I80" s="156">
        <f>IF($B80=" ","",IFERROR(INDEX(MMWR_RATING_STATE_ROLLUP_BDD[],MATCH($B80,MMWR_RATING_STATE_ROLLUP_BDD[MMWR_RATING_STATE_ROLLUP_BDD],0),MATCH(I$9,MMWR_RATING_STATE_ROLLUP_BDD[#Headers],0)),"ERROR"))</f>
        <v>152.82206405689999</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3</v>
      </c>
      <c r="D81" s="156">
        <f>IF($B81=" ","",IFERROR(INDEX(MMWR_RATING_STATE_ROLLUP_BDD[],MATCH($B81,MMWR_RATING_STATE_ROLLUP_BDD[MMWR_RATING_STATE_ROLLUP_BDD],0),MATCH(D$9,MMWR_RATING_STATE_ROLLUP_BDD[#Headers],0)),"ERROR"))</f>
        <v>50.333333333299997</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0</v>
      </c>
      <c r="G81" s="155">
        <f>IF($B81=" ","",IFERROR(INDEX(MMWR_RATING_STATE_ROLLUP_BDD[],MATCH($B81,MMWR_RATING_STATE_ROLLUP_BDD[MMWR_RATING_STATE_ROLLUP_BDD],0),MATCH(G$9,MMWR_RATING_STATE_ROLLUP_BDD[#Headers],0)),"ERROR"))</f>
        <v>13</v>
      </c>
      <c r="H81" s="156">
        <f>IF($B81=" ","",IFERROR(INDEX(MMWR_RATING_STATE_ROLLUP_BDD[],MATCH($B81,MMWR_RATING_STATE_ROLLUP_BDD[MMWR_RATING_STATE_ROLLUP_BDD],0),MATCH(H$9,MMWR_RATING_STATE_ROLLUP_BDD[#Headers],0)),"ERROR"))</f>
        <v>0</v>
      </c>
      <c r="I81" s="156">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2</v>
      </c>
      <c r="D82" s="156">
        <f>IF($B82=" ","",IFERROR(INDEX(MMWR_RATING_STATE_ROLLUP_BDD[],MATCH($B82,MMWR_RATING_STATE_ROLLUP_BDD[MMWR_RATING_STATE_ROLLUP_BDD],0),MATCH(D$9,MMWR_RATING_STATE_ROLLUP_BDD[#Headers],0)),"ERROR"))</f>
        <v>73.5</v>
      </c>
      <c r="E82" s="157">
        <f>IF($B82=" ","",IFERROR(INDEX(MMWR_RATING_STATE_ROLLUP_BDD[],MATCH($B82,MMWR_RATING_STATE_ROLLUP_BDD[MMWR_RATING_STATE_ROLLUP_BDD],0),MATCH(E$9,MMWR_RATING_STATE_ROLLUP_BDD[#Headers],0))/$C82,"ERROR"))</f>
        <v>0</v>
      </c>
      <c r="F82" s="155">
        <f>IF($B82=" ","",IFERROR(INDEX(MMWR_RATING_STATE_ROLLUP_BDD[],MATCH($B82,MMWR_RATING_STATE_ROLLUP_BDD[MMWR_RATING_STATE_ROLLUP_BDD],0),MATCH(F$9,MMWR_RATING_STATE_ROLLUP_BDD[#Headers],0)),"ERROR"))</f>
        <v>2</v>
      </c>
      <c r="G82" s="155">
        <f>IF($B82=" ","",IFERROR(INDEX(MMWR_RATING_STATE_ROLLUP_BDD[],MATCH($B82,MMWR_RATING_STATE_ROLLUP_BDD[MMWR_RATING_STATE_ROLLUP_BDD],0),MATCH(G$9,MMWR_RATING_STATE_ROLLUP_BDD[#Headers],0)),"ERROR"))</f>
        <v>16</v>
      </c>
      <c r="H82" s="156">
        <f>IF($B82=" ","",IFERROR(INDEX(MMWR_RATING_STATE_ROLLUP_BDD[],MATCH($B82,MMWR_RATING_STATE_ROLLUP_BDD[MMWR_RATING_STATE_ROLLUP_BDD],0),MATCH(H$9,MMWR_RATING_STATE_ROLLUP_BDD[#Headers],0)),"ERROR"))</f>
        <v>108</v>
      </c>
      <c r="I82" s="156">
        <f>IF($B82=" ","",IFERROR(INDEX(MMWR_RATING_STATE_ROLLUP_BDD[],MATCH($B82,MMWR_RATING_STATE_ROLLUP_BDD[MMWR_RATING_STATE_ROLLUP_BDD],0),MATCH(I$9,MMWR_RATING_STATE_ROLLUP_BDD[#Headers],0)),"ERROR"))</f>
        <v>154</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759</v>
      </c>
      <c r="D83" s="156">
        <f>IF($B83=" ","",IFERROR(INDEX(MMWR_RATING_STATE_ROLLUP_BDD[],MATCH($B83,MMWR_RATING_STATE_ROLLUP_BDD[MMWR_RATING_STATE_ROLLUP_BDD],0),MATCH(D$9,MMWR_RATING_STATE_ROLLUP_BDD[#Headers],0)),"ERROR"))</f>
        <v>76.094861660099994</v>
      </c>
      <c r="E83" s="157">
        <f>IF($B83=" ","",IFERROR(INDEX(MMWR_RATING_STATE_ROLLUP_BDD[],MATCH($B83,MMWR_RATING_STATE_ROLLUP_BDD[MMWR_RATING_STATE_ROLLUP_BDD],0),MATCH(E$9,MMWR_RATING_STATE_ROLLUP_BDD[#Headers],0))/$C83,"ERROR"))</f>
        <v>0.1370223978919631</v>
      </c>
      <c r="F83" s="155">
        <f>IF($B83=" ","",IFERROR(INDEX(MMWR_RATING_STATE_ROLLUP_BDD[],MATCH($B83,MMWR_RATING_STATE_ROLLUP_BDD[MMWR_RATING_STATE_ROLLUP_BDD],0),MATCH(F$9,MMWR_RATING_STATE_ROLLUP_BDD[#Headers],0)),"ERROR"))</f>
        <v>129</v>
      </c>
      <c r="G83" s="155">
        <f>IF($B83=" ","",IFERROR(INDEX(MMWR_RATING_STATE_ROLLUP_BDD[],MATCH($B83,MMWR_RATING_STATE_ROLLUP_BDD[MMWR_RATING_STATE_ROLLUP_BDD],0),MATCH(G$9,MMWR_RATING_STATE_ROLLUP_BDD[#Headers],0)),"ERROR"))</f>
        <v>1506</v>
      </c>
      <c r="H83" s="156">
        <f>IF($B83=" ","",IFERROR(INDEX(MMWR_RATING_STATE_ROLLUP_BDD[],MATCH($B83,MMWR_RATING_STATE_ROLLUP_BDD[MMWR_RATING_STATE_ROLLUP_BDD],0),MATCH(H$9,MMWR_RATING_STATE_ROLLUP_BDD[#Headers],0)),"ERROR"))</f>
        <v>154.0465116279</v>
      </c>
      <c r="I83" s="156">
        <f>IF($B83=" ","",IFERROR(INDEX(MMWR_RATING_STATE_ROLLUP_BDD[],MATCH($B83,MMWR_RATING_STATE_ROLLUP_BDD[MMWR_RATING_STATE_ROLLUP_BDD],0),MATCH(I$9,MMWR_RATING_STATE_ROLLUP_BDD[#Headers],0)),"ERROR"))</f>
        <v>141.0172642762</v>
      </c>
      <c r="J83" s="42"/>
      <c r="K83" s="42"/>
      <c r="L83" s="42"/>
      <c r="M83" s="42"/>
      <c r="N83" s="28"/>
    </row>
    <row r="84" spans="1:14" x14ac:dyDescent="0.2">
      <c r="A84" s="25"/>
      <c r="B84" s="252" t="str">
        <f>VLOOKUP($B$15,DISTRICT_STATES[],16,0)</f>
        <v>West Virginia</v>
      </c>
      <c r="C84" s="155">
        <f>IF($B84=" ","",IFERROR(INDEX(MMWR_RATING_STATE_ROLLUP_BDD[],MATCH($B84,MMWR_RATING_STATE_ROLLUP_BDD[MMWR_RATING_STATE_ROLLUP_BDD],0),MATCH(C$9,MMWR_RATING_STATE_ROLLUP_BDD[#Headers],0)),"ERROR"))</f>
        <v>19</v>
      </c>
      <c r="D84" s="156">
        <f>IF($B84=" ","",IFERROR(INDEX(MMWR_RATING_STATE_ROLLUP_BDD[],MATCH($B84,MMWR_RATING_STATE_ROLLUP_BDD[MMWR_RATING_STATE_ROLLUP_BDD],0),MATCH(D$9,MMWR_RATING_STATE_ROLLUP_BDD[#Headers],0)),"ERROR"))</f>
        <v>65.894736842100002</v>
      </c>
      <c r="E84" s="157">
        <f>IF($B84=" ","",IFERROR(INDEX(MMWR_RATING_STATE_ROLLUP_BDD[],MATCH($B84,MMWR_RATING_STATE_ROLLUP_BDD[MMWR_RATING_STATE_ROLLUP_BDD],0),MATCH(E$9,MMWR_RATING_STATE_ROLLUP_BDD[#Headers],0))/$C84,"ERROR"))</f>
        <v>0.10526315789473684</v>
      </c>
      <c r="F84" s="155">
        <f>IF($B84=" ","",IFERROR(INDEX(MMWR_RATING_STATE_ROLLUP_BDD[],MATCH($B84,MMWR_RATING_STATE_ROLLUP_BDD[MMWR_RATING_STATE_ROLLUP_BDD],0),MATCH(F$9,MMWR_RATING_STATE_ROLLUP_BDD[#Headers],0)),"ERROR"))</f>
        <v>3</v>
      </c>
      <c r="G84" s="155">
        <f>IF($B84=" ","",IFERROR(INDEX(MMWR_RATING_STATE_ROLLUP_BDD[],MATCH($B84,MMWR_RATING_STATE_ROLLUP_BDD[MMWR_RATING_STATE_ROLLUP_BDD],0),MATCH(G$9,MMWR_RATING_STATE_ROLLUP_BDD[#Headers],0)),"ERROR"))</f>
        <v>55</v>
      </c>
      <c r="H84" s="156">
        <f>IF($B84=" ","",IFERROR(INDEX(MMWR_RATING_STATE_ROLLUP_BDD[],MATCH($B84,MMWR_RATING_STATE_ROLLUP_BDD[MMWR_RATING_STATE_ROLLUP_BDD],0),MATCH(H$9,MMWR_RATING_STATE_ROLLUP_BDD[#Headers],0)),"ERROR"))</f>
        <v>137.3333333333</v>
      </c>
      <c r="I84" s="156">
        <f>IF($B84=" ","",IFERROR(INDEX(MMWR_RATING_STATE_ROLLUP_BDD[],MATCH($B84,MMWR_RATING_STATE_ROLLUP_BDD[MMWR_RATING_STATE_ROLLUP_BDD],0),MATCH(I$9,MMWR_RATING_STATE_ROLLUP_BDD[#Headers],0)),"ERROR"))</f>
        <v>158.8545454545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0" t="s">
        <v>305</v>
      </c>
      <c r="C2" s="421"/>
      <c r="D2" s="421"/>
      <c r="E2" s="421"/>
      <c r="F2" s="421"/>
      <c r="G2" s="421"/>
      <c r="H2" s="421"/>
      <c r="I2" s="421"/>
      <c r="J2" s="421"/>
      <c r="K2" s="421"/>
      <c r="L2" s="421"/>
      <c r="M2" s="421"/>
      <c r="N2" s="421"/>
      <c r="O2" s="421"/>
      <c r="P2" s="421"/>
      <c r="Q2" s="421"/>
      <c r="R2" s="421"/>
      <c r="S2" s="421"/>
      <c r="T2" s="421"/>
      <c r="U2" s="422"/>
      <c r="V2" s="25"/>
    </row>
    <row r="3" spans="1:22" s="1" customFormat="1" ht="63" customHeight="1" thickBot="1" x14ac:dyDescent="0.25">
      <c r="A3" s="25"/>
      <c r="B3" s="429" t="s">
        <v>320</v>
      </c>
      <c r="C3" s="430"/>
      <c r="D3" s="430"/>
      <c r="E3" s="430"/>
      <c r="F3" s="430"/>
      <c r="G3" s="430"/>
      <c r="H3" s="430"/>
      <c r="I3" s="430"/>
      <c r="J3" s="430"/>
      <c r="K3" s="430"/>
      <c r="L3" s="430"/>
      <c r="M3" s="430"/>
      <c r="N3" s="430"/>
      <c r="O3" s="430"/>
      <c r="P3" s="430"/>
      <c r="Q3" s="430"/>
      <c r="R3" s="430"/>
      <c r="S3" s="430"/>
      <c r="T3" s="430"/>
      <c r="U3" s="431"/>
      <c r="V3" s="25"/>
    </row>
    <row r="4" spans="1:22" s="1" customFormat="1" ht="32.25" customHeight="1" thickBot="1" x14ac:dyDescent="0.25">
      <c r="A4" s="25"/>
      <c r="B4" s="426" t="str">
        <f>Transformation!B4</f>
        <v>As of: July 25, 2015</v>
      </c>
      <c r="C4" s="427"/>
      <c r="D4" s="427"/>
      <c r="E4" s="427"/>
      <c r="F4" s="427"/>
      <c r="G4" s="427"/>
      <c r="H4" s="427"/>
      <c r="I4" s="427"/>
      <c r="J4" s="427"/>
      <c r="K4" s="427"/>
      <c r="L4" s="427"/>
      <c r="M4" s="427"/>
      <c r="N4" s="427"/>
      <c r="O4" s="427"/>
      <c r="P4" s="427"/>
      <c r="Q4" s="427"/>
      <c r="R4" s="427"/>
      <c r="S4" s="427"/>
      <c r="T4" s="427"/>
      <c r="U4" s="428"/>
      <c r="V4" s="25"/>
    </row>
    <row r="5" spans="1:22" s="1" customFormat="1" ht="27" customHeight="1" thickBot="1" x14ac:dyDescent="0.45">
      <c r="A5" s="25"/>
      <c r="B5" s="432" t="s">
        <v>247</v>
      </c>
      <c r="C5" s="433"/>
      <c r="D5" s="433"/>
      <c r="E5" s="433"/>
      <c r="F5" s="433"/>
      <c r="G5" s="433"/>
      <c r="H5" s="434"/>
      <c r="I5" s="55"/>
      <c r="J5" s="432" t="s">
        <v>244</v>
      </c>
      <c r="K5" s="433"/>
      <c r="L5" s="433"/>
      <c r="M5" s="433"/>
      <c r="N5" s="434"/>
      <c r="O5" s="56"/>
      <c r="P5" s="404" t="s">
        <v>11</v>
      </c>
      <c r="Q5" s="405"/>
      <c r="R5" s="405"/>
      <c r="S5" s="405"/>
      <c r="T5" s="405"/>
      <c r="U5" s="406"/>
      <c r="V5" s="25"/>
    </row>
    <row r="6" spans="1:22" s="1" customFormat="1" ht="65.25" customHeight="1" thickBot="1" x14ac:dyDescent="0.25">
      <c r="A6" s="25"/>
      <c r="B6" s="423" t="s">
        <v>288</v>
      </c>
      <c r="C6" s="424"/>
      <c r="D6" s="424"/>
      <c r="E6" s="425"/>
      <c r="F6" s="57" t="s">
        <v>12</v>
      </c>
      <c r="G6" s="58" t="s">
        <v>3</v>
      </c>
      <c r="H6" s="59" t="s">
        <v>4</v>
      </c>
      <c r="I6" s="25"/>
      <c r="J6" s="443" t="s">
        <v>288</v>
      </c>
      <c r="K6" s="444"/>
      <c r="L6" s="60" t="s">
        <v>12</v>
      </c>
      <c r="M6" s="61" t="s">
        <v>3</v>
      </c>
      <c r="N6" s="62" t="s">
        <v>4</v>
      </c>
      <c r="O6" s="63"/>
      <c r="P6" s="435" t="s">
        <v>288</v>
      </c>
      <c r="Q6" s="436"/>
      <c r="R6" s="64" t="s">
        <v>498</v>
      </c>
      <c r="S6" s="438" t="s">
        <v>288</v>
      </c>
      <c r="T6" s="439"/>
      <c r="U6" s="65" t="s">
        <v>140</v>
      </c>
      <c r="V6" s="25"/>
    </row>
    <row r="7" spans="1:22" s="1" customFormat="1" ht="32.25" customHeight="1" thickBot="1" x14ac:dyDescent="0.25">
      <c r="A7" s="25"/>
      <c r="B7" s="407" t="s">
        <v>307</v>
      </c>
      <c r="C7" s="408"/>
      <c r="D7" s="408"/>
      <c r="E7" s="408"/>
      <c r="F7" s="169">
        <f>SUM(F8:F10)</f>
        <v>132583</v>
      </c>
      <c r="G7" s="170">
        <f>SUM(G8:G10)</f>
        <v>49018</v>
      </c>
      <c r="H7" s="171">
        <f t="shared" ref="H7:H44" si="0">IF(G7="--", 0, G7/F7)</f>
        <v>0.36971557439490732</v>
      </c>
      <c r="I7" s="25"/>
      <c r="J7" s="407" t="s">
        <v>273</v>
      </c>
      <c r="K7" s="408"/>
      <c r="L7" s="170">
        <f>SUM(L8:L10)</f>
        <v>23644</v>
      </c>
      <c r="M7" s="170">
        <f>SUM(M8:M10)</f>
        <v>2837</v>
      </c>
      <c r="N7" s="181">
        <f>IF(M7="--", 0, M7/L7)</f>
        <v>0.11998815767213669</v>
      </c>
      <c r="O7" s="66"/>
      <c r="P7" s="407" t="s">
        <v>978</v>
      </c>
      <c r="Q7" s="408"/>
      <c r="R7" s="182">
        <f>R8+R9+R10+R11+R12</f>
        <v>310182</v>
      </c>
      <c r="S7" s="407"/>
      <c r="T7" s="408"/>
      <c r="U7" s="67"/>
      <c r="V7" s="25"/>
    </row>
    <row r="8" spans="1:22" s="1" customFormat="1" ht="51" customHeight="1" x14ac:dyDescent="0.2">
      <c r="A8" s="25"/>
      <c r="B8" s="321" t="s">
        <v>257</v>
      </c>
      <c r="C8" s="322"/>
      <c r="D8" s="322"/>
      <c r="E8" s="400"/>
      <c r="F8" s="172">
        <f>IFERROR(VLOOKUP(MID(B8,4,3),MMWR_TRAD_AGG_NATIONAL[],2,0),"--")</f>
        <v>330</v>
      </c>
      <c r="G8" s="173">
        <f>IFERROR(VLOOKUP(MID(B8,4,3),MMWR_TRAD_AGG_NATIONAL[],3,0),"--")</f>
        <v>218</v>
      </c>
      <c r="H8" s="174">
        <f t="shared" si="0"/>
        <v>0.66060606060606064</v>
      </c>
      <c r="I8" s="25"/>
      <c r="J8" s="418" t="s">
        <v>275</v>
      </c>
      <c r="K8" s="437"/>
      <c r="L8" s="172">
        <f>IFERROR(VLOOKUP(MID(J8,4,3),MMWR_TRAD_AGG_NATIONAL[],2,0),"--")</f>
        <v>5039</v>
      </c>
      <c r="M8" s="173">
        <f>IFERROR(VLOOKUP(MID(J8,4,3),MMWR_TRAD_AGG_NATIONAL[],3,0),"--")</f>
        <v>289</v>
      </c>
      <c r="N8" s="174">
        <f>IF(M8="--", 0, M8/L8)</f>
        <v>5.7352649335185552E-2</v>
      </c>
      <c r="O8" s="68" t="s">
        <v>319</v>
      </c>
      <c r="P8" s="440" t="s">
        <v>248</v>
      </c>
      <c r="Q8" s="441"/>
      <c r="R8" s="183">
        <f>VLOOKUP(P8,MMWR_APP_NATIONAL[],2,0)</f>
        <v>215578</v>
      </c>
      <c r="S8" s="442" t="s">
        <v>237</v>
      </c>
      <c r="T8" s="419"/>
      <c r="U8" s="184">
        <f>VLOOKUP(P8,MMWR_APP_NATIONAL[],3,0)</f>
        <v>397.60932469919999</v>
      </c>
      <c r="V8" s="25"/>
    </row>
    <row r="9" spans="1:22" s="1" customFormat="1" ht="45" customHeight="1" x14ac:dyDescent="0.2">
      <c r="A9" s="25"/>
      <c r="B9" s="321" t="s">
        <v>255</v>
      </c>
      <c r="C9" s="322"/>
      <c r="D9" s="322"/>
      <c r="E9" s="400"/>
      <c r="F9" s="172">
        <f>IFERROR(VLOOKUP(MID(B9,4,3),MMWR_TRAD_AGG_NATIONAL[],2,0),"--")</f>
        <v>41015</v>
      </c>
      <c r="G9" s="173">
        <f>IFERROR(VLOOKUP(MID(B9,4,3),MMWR_TRAD_AGG_NATIONAL[],3,0),"--")</f>
        <v>15963</v>
      </c>
      <c r="H9" s="174">
        <f t="shared" si="0"/>
        <v>0.38919907350969157</v>
      </c>
      <c r="I9" s="68" t="s">
        <v>319</v>
      </c>
      <c r="J9" s="321" t="s">
        <v>274</v>
      </c>
      <c r="K9" s="322"/>
      <c r="L9" s="172">
        <f>IFERROR(VLOOKUP(MID(J9,4,3),MMWR_TRAD_AGG_NATIONAL[],2,0),"--")</f>
        <v>5420</v>
      </c>
      <c r="M9" s="173">
        <f>IFERROR(VLOOKUP(MID(J9,4,3),MMWR_TRAD_AGG_NATIONAL[],3,0),"--")</f>
        <v>280</v>
      </c>
      <c r="N9" s="174">
        <f>IF(M9="--", 0, M9/L9)</f>
        <v>5.1660516605166053E-2</v>
      </c>
      <c r="O9" s="68" t="s">
        <v>319</v>
      </c>
      <c r="P9" s="398" t="s">
        <v>249</v>
      </c>
      <c r="Q9" s="399"/>
      <c r="R9" s="185">
        <f>VLOOKUP(P9,MMWR_APP_NATIONAL[],2,0)</f>
        <v>57826</v>
      </c>
      <c r="S9" s="394" t="s">
        <v>238</v>
      </c>
      <c r="T9" s="395"/>
      <c r="U9" s="186">
        <f>VLOOKUP(P9,MMWR_APP_NATIONAL[],3,0)</f>
        <v>614.54027600040001</v>
      </c>
      <c r="V9" s="25"/>
    </row>
    <row r="10" spans="1:22" s="1" customFormat="1" ht="63" customHeight="1" thickBot="1" x14ac:dyDescent="0.25">
      <c r="A10" s="25"/>
      <c r="B10" s="321" t="s">
        <v>256</v>
      </c>
      <c r="C10" s="322"/>
      <c r="D10" s="322"/>
      <c r="E10" s="400"/>
      <c r="F10" s="172">
        <f>IFERROR(VLOOKUP(MID(B10,4,3),MMWR_TRAD_AGG_NATIONAL[],2,0),"--")</f>
        <v>91238</v>
      </c>
      <c r="G10" s="173">
        <f>IFERROR(VLOOKUP(MID(B10,4,3),MMWR_TRAD_AGG_NATIONAL[],3,0),"--")</f>
        <v>32837</v>
      </c>
      <c r="H10" s="174">
        <f t="shared" si="0"/>
        <v>0.35990486420131962</v>
      </c>
      <c r="I10" s="68" t="s">
        <v>319</v>
      </c>
      <c r="J10" s="323" t="s">
        <v>276</v>
      </c>
      <c r="K10" s="324"/>
      <c r="L10" s="172">
        <f>IFERROR(VLOOKUP(MID(J10,4,3),MMWR_TRAD_AGG_NATIONAL[],2,0),"--")</f>
        <v>13185</v>
      </c>
      <c r="M10" s="173">
        <f>IFERROR(VLOOKUP(MID(J10,4,3),MMWR_TRAD_AGG_NATIONAL[],3,0),"--")</f>
        <v>2268</v>
      </c>
      <c r="N10" s="174">
        <f>IF(M10="--", 0, M10/L10)</f>
        <v>0.17201365187713311</v>
      </c>
      <c r="O10" s="69"/>
      <c r="P10" s="398" t="s">
        <v>250</v>
      </c>
      <c r="Q10" s="399"/>
      <c r="R10" s="185">
        <f>VLOOKUP(P10,MMWR_APP_NATIONAL[],2,0)</f>
        <v>23418</v>
      </c>
      <c r="S10" s="394" t="s">
        <v>239</v>
      </c>
      <c r="T10" s="395"/>
      <c r="U10" s="186">
        <f>VLOOKUP(P10,MMWR_APP_NATIONAL[],3,0)</f>
        <v>525.86151678199997</v>
      </c>
      <c r="V10" s="25"/>
    </row>
    <row r="11" spans="1:22" s="1" customFormat="1" ht="45" customHeight="1" thickBot="1" x14ac:dyDescent="0.25">
      <c r="A11" s="25"/>
      <c r="B11" s="407" t="s">
        <v>308</v>
      </c>
      <c r="C11" s="408"/>
      <c r="D11" s="408"/>
      <c r="E11" s="408"/>
      <c r="F11" s="169">
        <f>SUM(F12:F13)</f>
        <v>6948</v>
      </c>
      <c r="G11" s="170">
        <f>SUM(G12:G13)</f>
        <v>1524</v>
      </c>
      <c r="H11" s="171">
        <f t="shared" si="0"/>
        <v>0.21934369602763384</v>
      </c>
      <c r="I11" s="25"/>
      <c r="J11" s="407" t="s">
        <v>245</v>
      </c>
      <c r="K11" s="408"/>
      <c r="L11" s="169">
        <f>SUM(L12:L17)</f>
        <v>31159</v>
      </c>
      <c r="M11" s="169">
        <f>SUM(M12:M17)</f>
        <v>6469</v>
      </c>
      <c r="N11" s="162">
        <f>IF(M11="--", 0, M11/L11)</f>
        <v>0.2076125677974261</v>
      </c>
      <c r="O11" s="69"/>
      <c r="P11" s="398" t="s">
        <v>979</v>
      </c>
      <c r="Q11" s="399"/>
      <c r="R11" s="185">
        <f>VLOOKUP(P11,MMWR_APP_NATIONAL[],2,0)</f>
        <v>12953</v>
      </c>
      <c r="S11" s="394" t="s">
        <v>240</v>
      </c>
      <c r="T11" s="395"/>
      <c r="U11" s="186">
        <f>VLOOKUP(P11,MMWR_APP_NATIONAL[],3,0)</f>
        <v>181.0614529453</v>
      </c>
      <c r="V11" s="25"/>
    </row>
    <row r="12" spans="1:22" s="1" customFormat="1" ht="46.5" customHeight="1" thickBot="1" x14ac:dyDescent="0.25">
      <c r="A12" s="25"/>
      <c r="B12" s="401" t="s">
        <v>278</v>
      </c>
      <c r="C12" s="402"/>
      <c r="D12" s="402"/>
      <c r="E12" s="403"/>
      <c r="F12" s="172">
        <f>IFERROR(VLOOKUP(MID(B12,4,3),MMWR_TRAD_AGG_NATIONAL[],2,0),"--")</f>
        <v>6433</v>
      </c>
      <c r="G12" s="173">
        <f>IFERROR(VLOOKUP(MID(B12,4,3),MMWR_TRAD_AGG_NATIONAL[],3,0),"--")</f>
        <v>1105</v>
      </c>
      <c r="H12" s="174">
        <f t="shared" si="0"/>
        <v>0.1717705580600031</v>
      </c>
      <c r="I12" s="68" t="s">
        <v>319</v>
      </c>
      <c r="J12" s="323" t="s">
        <v>268</v>
      </c>
      <c r="K12" s="395"/>
      <c r="L12" s="172">
        <f>IFERROR(VLOOKUP(MID(J12,4,3)&amp;"p",MMWR_TRAD_AGG_NATIONAL[],2,0),"--")</f>
        <v>900</v>
      </c>
      <c r="M12" s="173">
        <f>IFERROR(VLOOKUP(MID(J12,4,3)&amp;"p",MMWR_TRAD_AGG_NATIONAL[],3,0),"--")</f>
        <v>47</v>
      </c>
      <c r="N12" s="174">
        <f t="shared" ref="N12:N17" si="1">IF(L12="--", 0,M12/L12)</f>
        <v>5.2222222222222225E-2</v>
      </c>
      <c r="O12" s="69"/>
      <c r="P12" s="398" t="s">
        <v>960</v>
      </c>
      <c r="Q12" s="399"/>
      <c r="R12" s="185">
        <f>VLOOKUP(P12,MMWR_APP_NATIONAL[],2,0)</f>
        <v>407</v>
      </c>
      <c r="S12" s="396" t="s">
        <v>977</v>
      </c>
      <c r="T12" s="397"/>
      <c r="U12" s="186">
        <f>VLOOKUP(P12,MMWR_APP_NATIONAL[],3,0)</f>
        <v>466.23587223589999</v>
      </c>
      <c r="V12" s="25"/>
    </row>
    <row r="13" spans="1:22" s="1" customFormat="1" ht="49.5" customHeight="1" thickBot="1" x14ac:dyDescent="0.25">
      <c r="A13" s="25"/>
      <c r="B13" s="401" t="s">
        <v>258</v>
      </c>
      <c r="C13" s="402"/>
      <c r="D13" s="402"/>
      <c r="E13" s="403"/>
      <c r="F13" s="172">
        <f>IFERROR(VLOOKUP(MID(B13,4,3),MMWR_TRAD_AGG_NATIONAL[],2,0),"--")</f>
        <v>515</v>
      </c>
      <c r="G13" s="173">
        <f>IFERROR(VLOOKUP(MID(B13,4,3),MMWR_TRAD_AGG_NATIONAL[],3,0),"--")</f>
        <v>419</v>
      </c>
      <c r="H13" s="174">
        <f t="shared" si="0"/>
        <v>0.81359223300970873</v>
      </c>
      <c r="I13" s="25"/>
      <c r="J13" s="323" t="s">
        <v>277</v>
      </c>
      <c r="K13" s="395"/>
      <c r="L13" s="172">
        <f>IFERROR(VLOOKUP(MID(J13,4,3),MMWR_TRAD_AGG_NATIONAL[],2,0),"--")</f>
        <v>3877</v>
      </c>
      <c r="M13" s="173">
        <f>IFERROR(VLOOKUP(MID(J13,4,3),MMWR_TRAD_AGG_NATIONAL[],3,0),"--")</f>
        <v>755</v>
      </c>
      <c r="N13" s="174">
        <f t="shared" si="1"/>
        <v>0.19473819963889605</v>
      </c>
      <c r="O13" s="69"/>
      <c r="P13" s="407" t="s">
        <v>989</v>
      </c>
      <c r="Q13" s="408"/>
      <c r="R13" s="409"/>
      <c r="S13" s="410">
        <f>VLOOKUP(P13,MMWR_APP_NATIONAL[],2,0)</f>
        <v>21691</v>
      </c>
      <c r="T13" s="411"/>
      <c r="U13" s="412"/>
      <c r="V13" s="25"/>
    </row>
    <row r="14" spans="1:22" s="1" customFormat="1" ht="45" customHeight="1" thickBot="1" x14ac:dyDescent="0.25">
      <c r="A14" s="25"/>
      <c r="B14" s="407" t="s">
        <v>1</v>
      </c>
      <c r="C14" s="408"/>
      <c r="D14" s="408"/>
      <c r="E14" s="408"/>
      <c r="F14" s="169">
        <f>SUM(F15:F21)</f>
        <v>210171</v>
      </c>
      <c r="G14" s="170">
        <f>SUM(G15:G21)</f>
        <v>62672</v>
      </c>
      <c r="H14" s="171">
        <f t="shared" si="0"/>
        <v>0.29819527908227111</v>
      </c>
      <c r="I14" s="25"/>
      <c r="J14" s="323" t="s">
        <v>279</v>
      </c>
      <c r="K14" s="395"/>
      <c r="L14" s="172">
        <f>IFERROR(VLOOKUP(MID(J14,4,3),MMWR_TRAD_AGG_NATIONAL[],2,0),"--")</f>
        <v>12302</v>
      </c>
      <c r="M14" s="173">
        <f>IFERROR(VLOOKUP(MID(J14,4,3),MMWR_TRAD_AGG_NATIONAL[],3,0),"--")</f>
        <v>2557</v>
      </c>
      <c r="N14" s="174">
        <f t="shared" si="1"/>
        <v>0.20785238172654852</v>
      </c>
      <c r="O14" s="69"/>
      <c r="P14" s="21"/>
      <c r="Q14" s="21"/>
      <c r="R14" s="21"/>
      <c r="S14" s="28"/>
      <c r="T14" s="28"/>
      <c r="U14" s="70"/>
      <c r="V14" s="25"/>
    </row>
    <row r="15" spans="1:22" s="1" customFormat="1" ht="44.25" customHeight="1" thickBot="1" x14ac:dyDescent="0.25">
      <c r="A15" s="25"/>
      <c r="B15" s="321" t="s">
        <v>259</v>
      </c>
      <c r="C15" s="322"/>
      <c r="D15" s="322"/>
      <c r="E15" s="400"/>
      <c r="F15" s="172">
        <f>IFERROR(VLOOKUP(MID(B15,4,3),MMWR_TRAD_AGG_NATIONAL[],2,0),"--")</f>
        <v>209702</v>
      </c>
      <c r="G15" s="173">
        <f>IFERROR(VLOOKUP(MID(B15,4,3),MMWR_TRAD_AGG_NATIONAL[],3,0),"--")</f>
        <v>62520</v>
      </c>
      <c r="H15" s="174">
        <f t="shared" si="0"/>
        <v>0.29813735682063119</v>
      </c>
      <c r="I15" s="68" t="s">
        <v>319</v>
      </c>
      <c r="J15" s="323" t="s">
        <v>280</v>
      </c>
      <c r="K15" s="395"/>
      <c r="L15" s="172">
        <f>IFERROR(VLOOKUP(MID(J15,4,3),MMWR_TRAD_AGG_NATIONAL[],2,0),"--")</f>
        <v>1</v>
      </c>
      <c r="M15" s="173">
        <f>IFERROR(VLOOKUP(MID(J15,4,3),MMWR_TRAD_AGG_NATIONAL[],3,0),"--")</f>
        <v>1</v>
      </c>
      <c r="N15" s="174">
        <f t="shared" si="1"/>
        <v>1</v>
      </c>
      <c r="O15" s="69"/>
      <c r="P15" s="25"/>
      <c r="Q15" s="25"/>
      <c r="R15" s="25"/>
      <c r="S15" s="25"/>
      <c r="T15" s="28"/>
      <c r="U15" s="71"/>
      <c r="V15" s="25"/>
    </row>
    <row r="16" spans="1:22" s="1" customFormat="1" ht="57.75" customHeight="1" thickBot="1" x14ac:dyDescent="0.25">
      <c r="A16" s="25"/>
      <c r="B16" s="323" t="s">
        <v>260</v>
      </c>
      <c r="C16" s="324"/>
      <c r="D16" s="324"/>
      <c r="E16" s="395"/>
      <c r="F16" s="172">
        <f>IFERROR(VLOOKUP(MID(B16,4,3),MMWR_TRAD_AGG_NATIONAL[],2,0),"--")</f>
        <v>255</v>
      </c>
      <c r="G16" s="173">
        <f>IFERROR(VLOOKUP(MID(B16,4,3),MMWR_TRAD_AGG_NATIONAL[],3,0),"--")</f>
        <v>38</v>
      </c>
      <c r="H16" s="174">
        <f t="shared" si="0"/>
        <v>0.14901960784313725</v>
      </c>
      <c r="I16" s="68" t="s">
        <v>319</v>
      </c>
      <c r="J16" s="323" t="s">
        <v>281</v>
      </c>
      <c r="K16" s="395"/>
      <c r="L16" s="172">
        <f>IFERROR(VLOOKUP(MID(J16,4,3),MMWR_TRAD_AGG_NATIONAL[],2,0),"--")</f>
        <v>3645</v>
      </c>
      <c r="M16" s="173">
        <f>IFERROR(VLOOKUP(MID(J16,4,3),MMWR_TRAD_AGG_NATIONAL[],3,0),"--")</f>
        <v>744</v>
      </c>
      <c r="N16" s="174">
        <f t="shared" si="1"/>
        <v>0.20411522633744855</v>
      </c>
      <c r="O16" s="69"/>
      <c r="P16" s="404" t="s">
        <v>961</v>
      </c>
      <c r="Q16" s="405"/>
      <c r="R16" s="405"/>
      <c r="S16" s="406"/>
      <c r="T16" s="28"/>
      <c r="U16" s="71"/>
      <c r="V16" s="25"/>
    </row>
    <row r="17" spans="1:22" s="1" customFormat="1" ht="31.5" customHeight="1" thickBot="1" x14ac:dyDescent="0.25">
      <c r="A17" s="25"/>
      <c r="B17" s="323" t="s">
        <v>261</v>
      </c>
      <c r="C17" s="324"/>
      <c r="D17" s="324"/>
      <c r="E17" s="395"/>
      <c r="F17" s="172">
        <f>IFERROR(VLOOKUP(MID(B17,4,3),MMWR_TRAD_AGG_NATIONAL[],2,0),"--")</f>
        <v>169</v>
      </c>
      <c r="G17" s="173">
        <f>IFERROR(VLOOKUP(MID(B17,4,3),MMWR_TRAD_AGG_NATIONAL[],3,0),"--")</f>
        <v>106</v>
      </c>
      <c r="H17" s="174">
        <f t="shared" si="0"/>
        <v>0.62721893491124259</v>
      </c>
      <c r="I17" s="25"/>
      <c r="J17" s="323" t="s">
        <v>282</v>
      </c>
      <c r="K17" s="395"/>
      <c r="L17" s="172">
        <f>IFERROR(VLOOKUP(MID(J17,4,3),MMWR_TRAD_AGG_NATIONAL[],2,0),"--")</f>
        <v>10434</v>
      </c>
      <c r="M17" s="173">
        <f>IFERROR(VLOOKUP(MID(J17,4,3),MMWR_TRAD_AGG_NATIONAL[],3,0),"--")</f>
        <v>2365</v>
      </c>
      <c r="N17" s="174">
        <f t="shared" si="1"/>
        <v>0.22666283304581178</v>
      </c>
      <c r="O17" s="72"/>
      <c r="P17" s="413" t="s">
        <v>253</v>
      </c>
      <c r="Q17" s="414"/>
      <c r="R17" s="414"/>
      <c r="S17" s="187">
        <f>IFERROR(VLOOKUP("160",MMWR_TRAD_AGG_NATIONAL[],2,0),"--")</f>
        <v>19049</v>
      </c>
      <c r="T17" s="28"/>
      <c r="U17" s="71"/>
      <c r="V17" s="25"/>
    </row>
    <row r="18" spans="1:22" s="1" customFormat="1" ht="32.25" customHeight="1" thickBot="1" x14ac:dyDescent="0.25">
      <c r="A18" s="25"/>
      <c r="B18" s="323" t="s">
        <v>262</v>
      </c>
      <c r="C18" s="324"/>
      <c r="D18" s="324"/>
      <c r="E18" s="395"/>
      <c r="F18" s="172">
        <f>IFERROR(VLOOKUP(MID(B18,4,3),MMWR_TRAD_AGG_NATIONAL[],2,0),"--")</f>
        <v>15</v>
      </c>
      <c r="G18" s="173">
        <f>IFERROR(VLOOKUP(MID(B18,4,3),MMWR_TRAD_AGG_NATIONAL[],3,0),"--")</f>
        <v>7</v>
      </c>
      <c r="H18" s="174">
        <f t="shared" si="0"/>
        <v>0.46666666666666667</v>
      </c>
      <c r="I18" s="68" t="s">
        <v>319</v>
      </c>
      <c r="J18" s="407" t="s">
        <v>15</v>
      </c>
      <c r="K18" s="408"/>
      <c r="L18" s="169">
        <f>SUM(L19:L21)</f>
        <v>776</v>
      </c>
      <c r="M18" s="169">
        <f>SUM(M19:M21)</f>
        <v>751</v>
      </c>
      <c r="N18" s="162">
        <f t="shared" ref="N18:N26" si="2">IF(M18="--", 0, M18/L18)</f>
        <v>0.96778350515463918</v>
      </c>
      <c r="O18" s="73"/>
      <c r="P18" s="415" t="s">
        <v>254</v>
      </c>
      <c r="Q18" s="416"/>
      <c r="R18" s="416"/>
      <c r="S18" s="188">
        <f>IFERROR(VLOOKUP("165",MMWR_TRAD_AGG_NATIONAL[],2,0),"--")</f>
        <v>9312</v>
      </c>
      <c r="T18" s="28"/>
      <c r="U18" s="71"/>
      <c r="V18" s="25"/>
    </row>
    <row r="19" spans="1:22" s="1" customFormat="1" ht="41.25" customHeight="1" x14ac:dyDescent="0.4">
      <c r="A19" s="25"/>
      <c r="B19" s="323" t="s">
        <v>263</v>
      </c>
      <c r="C19" s="324"/>
      <c r="D19" s="324"/>
      <c r="E19" s="395"/>
      <c r="F19" s="172">
        <f>IFERROR(VLOOKUP(MID(B19,4,3),MMWR_TRAD_AGG_NATIONAL[],2,0),"--")</f>
        <v>1</v>
      </c>
      <c r="G19" s="173">
        <f>IFERROR(VLOOKUP(MID(B19,4,3),MMWR_TRAD_AGG_NATIONAL[],3,0),"--")</f>
        <v>1</v>
      </c>
      <c r="H19" s="174">
        <f t="shared" si="0"/>
        <v>1</v>
      </c>
      <c r="I19" s="68" t="s">
        <v>319</v>
      </c>
      <c r="J19" s="323" t="s">
        <v>283</v>
      </c>
      <c r="K19" s="395"/>
      <c r="L19" s="172">
        <f>IFERROR(VLOOKUP(MID(J19,4,3),MMWR_TRAD_AGG_NATIONAL[],2,0),"--")</f>
        <v>560</v>
      </c>
      <c r="M19" s="173">
        <f>IFERROR(VLOOKUP(MID(J19,4,3),MMWR_TRAD_AGG_NATIONAL[],3,0),"--")</f>
        <v>552</v>
      </c>
      <c r="N19" s="174">
        <f t="shared" si="2"/>
        <v>0.98571428571428577</v>
      </c>
      <c r="O19" s="56"/>
      <c r="P19" s="25"/>
      <c r="Q19" s="25"/>
      <c r="R19" s="25"/>
      <c r="S19" s="25"/>
      <c r="T19" s="28"/>
      <c r="U19" s="71"/>
      <c r="V19" s="25"/>
    </row>
    <row r="20" spans="1:22" s="1" customFormat="1" ht="40.5" customHeight="1" x14ac:dyDescent="0.4">
      <c r="A20" s="25"/>
      <c r="B20" s="323" t="s">
        <v>264</v>
      </c>
      <c r="C20" s="324"/>
      <c r="D20" s="324"/>
      <c r="E20" s="395"/>
      <c r="F20" s="172">
        <f>IFERROR(VLOOKUP(MID(B20,4,3),MMWR_TRAD_AGG_NATIONAL[],2,0),"--")</f>
        <v>23</v>
      </c>
      <c r="G20" s="173">
        <f>IFERROR(VLOOKUP(MID(B20,4,3),MMWR_TRAD_AGG_NATIONAL[],3,0),"--")</f>
        <v>0</v>
      </c>
      <c r="H20" s="174">
        <f t="shared" si="0"/>
        <v>0</v>
      </c>
      <c r="I20" s="68" t="s">
        <v>319</v>
      </c>
      <c r="J20" s="323" t="s">
        <v>306</v>
      </c>
      <c r="K20" s="395"/>
      <c r="L20" s="172">
        <f>IFERROR(VLOOKUP(MID(J20,4,3),MMWR_TRAD_AGG_NATIONAL[],2,0),"--")</f>
        <v>205</v>
      </c>
      <c r="M20" s="173">
        <f>IFERROR(VLOOKUP(MID(J20,4,3),MMWR_TRAD_AGG_NATIONAL[],3,0),"--")</f>
        <v>195</v>
      </c>
      <c r="N20" s="174">
        <f t="shared" si="2"/>
        <v>0.95121951219512191</v>
      </c>
      <c r="O20" s="56"/>
      <c r="P20" s="56"/>
      <c r="Q20" s="56"/>
      <c r="R20" s="56"/>
      <c r="S20" s="56"/>
      <c r="T20" s="56"/>
      <c r="U20" s="74"/>
      <c r="V20" s="25"/>
    </row>
    <row r="21" spans="1:22" s="1" customFormat="1" ht="39" customHeight="1" thickBot="1" x14ac:dyDescent="0.45">
      <c r="A21" s="25"/>
      <c r="B21" s="323" t="s">
        <v>265</v>
      </c>
      <c r="C21" s="324"/>
      <c r="D21" s="324"/>
      <c r="E21" s="395"/>
      <c r="F21" s="172">
        <f>IFERROR(VLOOKUP(MID(B21,4,3),MMWR_TRAD_AGG_NATIONAL[],2,0),"--")</f>
        <v>6</v>
      </c>
      <c r="G21" s="173">
        <f>IFERROR(VLOOKUP(MID(B21,4,3),MMWR_TRAD_AGG_NATIONAL[],3,0),"--")</f>
        <v>0</v>
      </c>
      <c r="H21" s="174">
        <f t="shared" si="0"/>
        <v>0</v>
      </c>
      <c r="I21" s="68" t="s">
        <v>319</v>
      </c>
      <c r="J21" s="323" t="s">
        <v>284</v>
      </c>
      <c r="K21" s="395"/>
      <c r="L21" s="172">
        <f>IFERROR(VLOOKUP(MID(J21,4,3),MMWR_TRAD_AGG_NATIONAL[],2,0),"--")</f>
        <v>11</v>
      </c>
      <c r="M21" s="173">
        <f>IFERROR(VLOOKUP(MID(J21,4,3),MMWR_TRAD_AGG_NATIONAL[],3,0),"--")</f>
        <v>4</v>
      </c>
      <c r="N21" s="174">
        <f t="shared" si="2"/>
        <v>0.36363636363636365</v>
      </c>
      <c r="O21" s="56"/>
      <c r="P21" s="56"/>
      <c r="Q21" s="56"/>
      <c r="R21" s="56"/>
      <c r="S21" s="56"/>
      <c r="T21" s="56"/>
      <c r="U21" s="74"/>
      <c r="V21" s="25"/>
    </row>
    <row r="22" spans="1:22" s="1" customFormat="1" ht="32.25" customHeight="1" thickBot="1" x14ac:dyDescent="0.45">
      <c r="A22" s="25"/>
      <c r="B22" s="407" t="s">
        <v>13</v>
      </c>
      <c r="C22" s="408"/>
      <c r="D22" s="408"/>
      <c r="E22" s="408"/>
      <c r="F22" s="169">
        <f>SUM(F23:F29)</f>
        <v>504128</v>
      </c>
      <c r="G22" s="170">
        <f>SUM(G23:G29)</f>
        <v>314458</v>
      </c>
      <c r="H22" s="171">
        <f t="shared" si="0"/>
        <v>0.62376618636536751</v>
      </c>
      <c r="I22" s="25"/>
      <c r="J22" s="407" t="s">
        <v>232</v>
      </c>
      <c r="K22" s="408"/>
      <c r="L22" s="169">
        <f>SUM(L23:L26)</f>
        <v>6124</v>
      </c>
      <c r="M22" s="169">
        <f>SUM(M23:M26)</f>
        <v>1046</v>
      </c>
      <c r="N22" s="162">
        <f t="shared" si="2"/>
        <v>0.17080339647289353</v>
      </c>
      <c r="O22" s="56"/>
      <c r="P22" s="25"/>
      <c r="Q22" s="25"/>
      <c r="R22" s="25"/>
      <c r="S22" s="25"/>
      <c r="T22" s="56"/>
      <c r="U22" s="74"/>
      <c r="V22" s="25"/>
    </row>
    <row r="23" spans="1:22" s="1" customFormat="1" ht="26.25" customHeight="1" x14ac:dyDescent="0.4">
      <c r="A23" s="25"/>
      <c r="B23" s="401" t="s">
        <v>266</v>
      </c>
      <c r="C23" s="402"/>
      <c r="D23" s="402"/>
      <c r="E23" s="403"/>
      <c r="F23" s="172">
        <f>IFERROR(VLOOKUP(MID(B23,4,3),MMWR_TRAD_AGG_NATIONAL[],2,0),"--")</f>
        <v>220028</v>
      </c>
      <c r="G23" s="173">
        <f>IFERROR(VLOOKUP(MID(B23,4,3),MMWR_TRAD_AGG_NATIONAL[],3,0),"--")</f>
        <v>165067</v>
      </c>
      <c r="H23" s="174">
        <f t="shared" si="0"/>
        <v>0.75020906430090717</v>
      </c>
      <c r="I23" s="25"/>
      <c r="J23" s="418" t="s">
        <v>287</v>
      </c>
      <c r="K23" s="419"/>
      <c r="L23" s="175">
        <f>IFERROR(VLOOKUP(MID(J23,4,3),MMWR_TRAD_AGG_NATIONAL[],2,0),"--")</f>
        <v>5020</v>
      </c>
      <c r="M23" s="176">
        <f>IFERROR(VLOOKUP(MID(J23,4,3),MMWR_TRAD_AGG_NATIONAL[],3,0),"--")</f>
        <v>700</v>
      </c>
      <c r="N23" s="177">
        <f t="shared" si="2"/>
        <v>0.1394422310756972</v>
      </c>
      <c r="O23" s="56"/>
      <c r="P23" s="25"/>
      <c r="Q23" s="25"/>
      <c r="R23" s="25"/>
      <c r="S23" s="25"/>
      <c r="T23" s="56"/>
      <c r="U23" s="74"/>
      <c r="V23" s="25"/>
    </row>
    <row r="24" spans="1:22" s="1" customFormat="1" ht="39.75" customHeight="1" x14ac:dyDescent="0.4">
      <c r="A24" s="25"/>
      <c r="B24" s="401" t="s">
        <v>267</v>
      </c>
      <c r="C24" s="402"/>
      <c r="D24" s="402"/>
      <c r="E24" s="403"/>
      <c r="F24" s="172">
        <f>IFERROR(VLOOKUP(MID(B24,4,3),MMWR_TRAD_AGG_NATIONAL[],2,0),"--")</f>
        <v>185</v>
      </c>
      <c r="G24" s="173">
        <f>IFERROR(VLOOKUP(MID(B24,4,3),MMWR_TRAD_AGG_NATIONAL[],3,0),"--")</f>
        <v>102</v>
      </c>
      <c r="H24" s="174">
        <f t="shared" si="0"/>
        <v>0.55135135135135138</v>
      </c>
      <c r="I24" s="25"/>
      <c r="J24" s="323" t="s">
        <v>286</v>
      </c>
      <c r="K24" s="395"/>
      <c r="L24" s="172">
        <f>IFERROR(VLOOKUP(MID(J24,4,3),MMWR_TRAD_AGG_NATIONAL[],2,0),"--")</f>
        <v>439</v>
      </c>
      <c r="M24" s="173">
        <f>IFERROR(VLOOKUP(MID(J24,4,3),MMWR_TRAD_AGG_NATIONAL[],3,0),"--")</f>
        <v>15</v>
      </c>
      <c r="N24" s="174">
        <f t="shared" si="2"/>
        <v>3.4168564920273349E-2</v>
      </c>
      <c r="O24" s="56"/>
      <c r="P24" s="25"/>
      <c r="Q24" s="25"/>
      <c r="R24" s="25"/>
      <c r="S24" s="25"/>
      <c r="T24" s="56"/>
      <c r="U24" s="74"/>
      <c r="V24" s="25"/>
    </row>
    <row r="25" spans="1:22" s="1" customFormat="1" ht="37.5" customHeight="1" x14ac:dyDescent="0.4">
      <c r="A25" s="25"/>
      <c r="B25" s="401" t="s">
        <v>268</v>
      </c>
      <c r="C25" s="402"/>
      <c r="D25" s="402"/>
      <c r="E25" s="403"/>
      <c r="F25" s="172">
        <f>IFERROR(VLOOKUP(MID(B25,4,3),MMWR_TRAD_AGG_NATIONAL[],2,0),"--")</f>
        <v>239</v>
      </c>
      <c r="G25" s="173">
        <f>IFERROR(VLOOKUP(MID(B25,4,3),MMWR_TRAD_AGG_NATIONAL[],3,0),"--")</f>
        <v>173</v>
      </c>
      <c r="H25" s="174">
        <f t="shared" si="0"/>
        <v>0.72384937238493718</v>
      </c>
      <c r="I25" s="25"/>
      <c r="J25" s="323" t="s">
        <v>285</v>
      </c>
      <c r="K25" s="395"/>
      <c r="L25" s="172">
        <f>IFERROR(VLOOKUP(MID(J25,4,3),MMWR_TRAD_AGG_NATIONAL[],2,0),"--")</f>
        <v>623</v>
      </c>
      <c r="M25" s="173">
        <f>IFERROR(VLOOKUP(MID(J25,4,3),MMWR_TRAD_AGG_NATIONAL[],3,0),"--")</f>
        <v>306</v>
      </c>
      <c r="N25" s="174">
        <f t="shared" si="2"/>
        <v>0.4911717495987159</v>
      </c>
      <c r="O25" s="56"/>
      <c r="P25" s="56"/>
      <c r="Q25" s="56"/>
      <c r="R25" s="56"/>
      <c r="S25" s="56"/>
      <c r="T25" s="56"/>
      <c r="U25" s="74"/>
      <c r="V25" s="25"/>
    </row>
    <row r="26" spans="1:22" s="1" customFormat="1" ht="37.5" customHeight="1" thickBot="1" x14ac:dyDescent="0.45">
      <c r="A26" s="25"/>
      <c r="B26" s="401" t="s">
        <v>269</v>
      </c>
      <c r="C26" s="402"/>
      <c r="D26" s="402"/>
      <c r="E26" s="403"/>
      <c r="F26" s="172">
        <f>IFERROR(VLOOKUP(MID(B26,4,3),MMWR_TRAD_AGG_NATIONAL[],2,0),"--")</f>
        <v>142058</v>
      </c>
      <c r="G26" s="173">
        <f>IFERROR(VLOOKUP(MID(B26,4,3),MMWR_TRAD_AGG_NATIONAL[],3,0),"--")</f>
        <v>92586</v>
      </c>
      <c r="H26" s="174">
        <f t="shared" si="0"/>
        <v>0.6517478776274479</v>
      </c>
      <c r="I26" s="56"/>
      <c r="J26" s="325" t="s">
        <v>322</v>
      </c>
      <c r="K26" s="397"/>
      <c r="L26" s="178">
        <f>IFERROR(VLOOKUP(MID(J26,4,3),MMWR_TRAD_AGG_NATIONAL[],2,0),"--")</f>
        <v>42</v>
      </c>
      <c r="M26" s="179">
        <f>IFERROR(VLOOKUP(MID(J26,4,3),MMWR_TRAD_AGG_NATIONAL[],3,0),"--")</f>
        <v>25</v>
      </c>
      <c r="N26" s="180">
        <f t="shared" si="2"/>
        <v>0.59523809523809523</v>
      </c>
      <c r="O26" s="56"/>
      <c r="P26" s="56"/>
      <c r="Q26" s="56"/>
      <c r="R26" s="56"/>
      <c r="S26" s="56"/>
      <c r="T26" s="56"/>
      <c r="U26" s="74"/>
      <c r="V26" s="25"/>
    </row>
    <row r="27" spans="1:22" s="1" customFormat="1" ht="26.25" customHeight="1" thickBot="1" x14ac:dyDescent="0.45">
      <c r="A27" s="25"/>
      <c r="B27" s="401" t="s">
        <v>270</v>
      </c>
      <c r="C27" s="402"/>
      <c r="D27" s="402"/>
      <c r="E27" s="403"/>
      <c r="F27" s="172">
        <f>IFERROR(VLOOKUP(MID(B27,4,3),MMWR_TRAD_AGG_NATIONAL[],2,0),"--")</f>
        <v>18</v>
      </c>
      <c r="G27" s="173">
        <f>IFERROR(VLOOKUP(MID(B27,4,3),MMWR_TRAD_AGG_NATIONAL[],3,0),"--")</f>
        <v>5</v>
      </c>
      <c r="H27" s="174">
        <f t="shared" si="0"/>
        <v>0.27777777777777779</v>
      </c>
      <c r="I27" s="56"/>
      <c r="J27" s="56"/>
      <c r="K27" s="56"/>
      <c r="L27" s="56"/>
      <c r="M27" s="56"/>
      <c r="N27" s="56"/>
      <c r="O27" s="56"/>
      <c r="P27" s="56"/>
      <c r="Q27" s="56"/>
      <c r="R27" s="56"/>
      <c r="S27" s="56"/>
      <c r="T27" s="56"/>
      <c r="U27" s="74"/>
      <c r="V27" s="25"/>
    </row>
    <row r="28" spans="1:22" s="1" customFormat="1" ht="32.25" customHeight="1" x14ac:dyDescent="0.4">
      <c r="A28" s="25"/>
      <c r="B28" s="401" t="s">
        <v>271</v>
      </c>
      <c r="C28" s="402"/>
      <c r="D28" s="402"/>
      <c r="E28" s="403"/>
      <c r="F28" s="172">
        <f>IFERROR(VLOOKUP(MID(B28,4,3),MMWR_TRAD_AGG_NATIONAL[],2,0),"--")</f>
        <v>15893</v>
      </c>
      <c r="G28" s="173">
        <f>IFERROR(VLOOKUP(MID(B28,4,3),MMWR_TRAD_AGG_NATIONAL[],3,0),"--")</f>
        <v>2325</v>
      </c>
      <c r="H28" s="174">
        <f t="shared" si="0"/>
        <v>0.14629081985779904</v>
      </c>
      <c r="I28" s="68" t="s">
        <v>319</v>
      </c>
      <c r="J28" s="445" t="s">
        <v>321</v>
      </c>
      <c r="K28" s="446"/>
      <c r="L28" s="446"/>
      <c r="M28" s="446"/>
      <c r="N28" s="447"/>
      <c r="O28" s="417" t="s">
        <v>319</v>
      </c>
      <c r="P28" s="75"/>
      <c r="Q28" s="56"/>
      <c r="R28" s="56"/>
      <c r="S28" s="56"/>
      <c r="T28" s="56"/>
      <c r="U28" s="74"/>
      <c r="V28" s="25"/>
    </row>
    <row r="29" spans="1:22" s="1" customFormat="1" ht="27" customHeight="1" thickBot="1" x14ac:dyDescent="0.45">
      <c r="A29" s="25"/>
      <c r="B29" s="401" t="s">
        <v>272</v>
      </c>
      <c r="C29" s="402"/>
      <c r="D29" s="402"/>
      <c r="E29" s="403"/>
      <c r="F29" s="172">
        <f>IFERROR(VLOOKUP(MID(B29,4,3),MMWR_TRAD_AGG_NATIONAL[],2,0),"--")</f>
        <v>125707</v>
      </c>
      <c r="G29" s="173">
        <f>IFERROR(VLOOKUP(MID(B29,4,3),MMWR_TRAD_AGG_NATIONAL[],3,0),"--")</f>
        <v>54200</v>
      </c>
      <c r="H29" s="174">
        <f t="shared" si="0"/>
        <v>0.43116135139650141</v>
      </c>
      <c r="I29" s="56"/>
      <c r="J29" s="448"/>
      <c r="K29" s="449"/>
      <c r="L29" s="449"/>
      <c r="M29" s="449"/>
      <c r="N29" s="450"/>
      <c r="O29" s="417"/>
      <c r="P29" s="76"/>
      <c r="Q29" s="56"/>
      <c r="R29" s="56"/>
      <c r="S29" s="56"/>
      <c r="T29" s="56"/>
      <c r="U29" s="74"/>
      <c r="V29" s="25"/>
    </row>
    <row r="30" spans="1:22" s="1" customFormat="1" ht="32.25" customHeight="1" thickBot="1" x14ac:dyDescent="0.45">
      <c r="A30" s="25"/>
      <c r="B30" s="407" t="s">
        <v>32</v>
      </c>
      <c r="C30" s="408"/>
      <c r="D30" s="408"/>
      <c r="E30" s="408"/>
      <c r="F30" s="170">
        <f>SUM(F31:F37)</f>
        <v>78096</v>
      </c>
      <c r="G30" s="170">
        <f>SUM(G31:G37)</f>
        <v>61449</v>
      </c>
      <c r="H30" s="162">
        <f t="shared" si="0"/>
        <v>0.78683927473878301</v>
      </c>
      <c r="I30" s="56"/>
      <c r="J30" s="28"/>
      <c r="K30" s="28"/>
      <c r="L30" s="28"/>
      <c r="M30" s="28"/>
      <c r="N30" s="28"/>
      <c r="O30" s="28"/>
      <c r="P30" s="56"/>
      <c r="Q30" s="56"/>
      <c r="R30" s="56"/>
      <c r="S30" s="56"/>
      <c r="T30" s="56"/>
      <c r="U30" s="74"/>
      <c r="V30" s="25"/>
    </row>
    <row r="31" spans="1:22" s="1" customFormat="1" ht="33.75" customHeight="1" x14ac:dyDescent="0.4">
      <c r="A31" s="25"/>
      <c r="B31" s="323" t="s">
        <v>289</v>
      </c>
      <c r="C31" s="324"/>
      <c r="D31" s="324"/>
      <c r="E31" s="395"/>
      <c r="F31" s="172">
        <f>IFERROR(VLOOKUP(MID(B31,4,3),MMWR_TRAD_AGG_NATIONAL[],2,0),"--")</f>
        <v>51</v>
      </c>
      <c r="G31" s="173">
        <f>IFERROR(VLOOKUP(MID(B31,4,3),MMWR_TRAD_AGG_NATIONAL[],3,0),"--")</f>
        <v>51</v>
      </c>
      <c r="H31" s="174">
        <f t="shared" si="0"/>
        <v>1</v>
      </c>
      <c r="I31" s="56"/>
      <c r="J31" s="56"/>
      <c r="K31" s="56"/>
      <c r="L31" s="56"/>
      <c r="M31" s="56"/>
      <c r="N31" s="56"/>
      <c r="O31" s="56"/>
      <c r="P31" s="56"/>
      <c r="Q31" s="56"/>
      <c r="R31" s="56"/>
      <c r="S31" s="56"/>
      <c r="T31" s="56"/>
      <c r="U31" s="74"/>
      <c r="V31" s="25"/>
    </row>
    <row r="32" spans="1:22" s="1" customFormat="1" ht="32.25" customHeight="1" x14ac:dyDescent="0.4">
      <c r="A32" s="25"/>
      <c r="B32" s="323" t="s">
        <v>290</v>
      </c>
      <c r="C32" s="324"/>
      <c r="D32" s="324"/>
      <c r="E32" s="395"/>
      <c r="F32" s="172">
        <f>IFERROR(VLOOKUP(MID(B32,4,3),MMWR_TRAD_AGG_NATIONAL[],2,0),"--")</f>
        <v>52</v>
      </c>
      <c r="G32" s="173">
        <f>IFERROR(VLOOKUP(MID(B32,4,3),MMWR_TRAD_AGG_NATIONAL[],3,0),"--")</f>
        <v>51</v>
      </c>
      <c r="H32" s="174">
        <f t="shared" si="0"/>
        <v>0.98076923076923073</v>
      </c>
      <c r="I32" s="56"/>
      <c r="J32" s="56"/>
      <c r="K32" s="56"/>
      <c r="L32" s="56"/>
      <c r="M32" s="56"/>
      <c r="N32" s="56"/>
      <c r="O32" s="56"/>
      <c r="P32" s="56"/>
      <c r="Q32" s="56"/>
      <c r="R32" s="56"/>
      <c r="S32" s="56"/>
      <c r="T32" s="56"/>
      <c r="U32" s="74"/>
      <c r="V32" s="25"/>
    </row>
    <row r="33" spans="1:22" s="1" customFormat="1" ht="32.25" customHeight="1" x14ac:dyDescent="0.4">
      <c r="A33" s="25"/>
      <c r="B33" s="323" t="s">
        <v>291</v>
      </c>
      <c r="C33" s="324"/>
      <c r="D33" s="324"/>
      <c r="E33" s="395"/>
      <c r="F33" s="172">
        <f>IFERROR(VLOOKUP(MID(B33,4,3),MMWR_TRAD_AGG_NATIONAL[],2,0),"--")</f>
        <v>731</v>
      </c>
      <c r="G33" s="173">
        <f>IFERROR(VLOOKUP(MID(B33,4,3),MMWR_TRAD_AGG_NATIONAL[],3,0),"--")</f>
        <v>654</v>
      </c>
      <c r="H33" s="174">
        <f t="shared" si="0"/>
        <v>0.89466484268125857</v>
      </c>
      <c r="I33" s="56"/>
      <c r="J33" s="56"/>
      <c r="K33" s="56"/>
      <c r="L33" s="28"/>
      <c r="M33" s="28"/>
      <c r="N33" s="28"/>
      <c r="O33" s="28"/>
      <c r="P33" s="28"/>
      <c r="Q33" s="28"/>
      <c r="R33" s="56"/>
      <c r="S33" s="56"/>
      <c r="T33" s="56"/>
      <c r="U33" s="74"/>
      <c r="V33" s="25"/>
    </row>
    <row r="34" spans="1:22" s="1" customFormat="1" ht="32.25" customHeight="1" x14ac:dyDescent="0.4">
      <c r="A34" s="25"/>
      <c r="B34" s="323" t="s">
        <v>292</v>
      </c>
      <c r="C34" s="324"/>
      <c r="D34" s="324"/>
      <c r="E34" s="395"/>
      <c r="F34" s="172">
        <f>IFERROR(VLOOKUP(MID(B34,4,3),MMWR_TRAD_AGG_NATIONAL[],2,0),"--")</f>
        <v>1452</v>
      </c>
      <c r="G34" s="173">
        <f>IFERROR(VLOOKUP(MID(B34,4,3),MMWR_TRAD_AGG_NATIONAL[],3,0),"--")</f>
        <v>358</v>
      </c>
      <c r="H34" s="174">
        <f t="shared" si="0"/>
        <v>0.24655647382920109</v>
      </c>
      <c r="I34" s="56"/>
      <c r="J34" s="56"/>
      <c r="K34" s="56"/>
      <c r="L34" s="28"/>
      <c r="M34" s="28"/>
      <c r="N34" s="28"/>
      <c r="O34" s="28"/>
      <c r="P34" s="28"/>
      <c r="Q34" s="28"/>
      <c r="R34" s="56"/>
      <c r="S34" s="56"/>
      <c r="T34" s="56"/>
      <c r="U34" s="74"/>
      <c r="V34" s="25"/>
    </row>
    <row r="35" spans="1:22" s="1" customFormat="1" ht="32.25" customHeight="1" x14ac:dyDescent="0.4">
      <c r="A35" s="25"/>
      <c r="B35" s="323" t="s">
        <v>293</v>
      </c>
      <c r="C35" s="324"/>
      <c r="D35" s="324"/>
      <c r="E35" s="395"/>
      <c r="F35" s="172">
        <f>IFERROR(VLOOKUP(MID(B35,4,3),MMWR_TRAD_AGG_NATIONAL[],2,0),"--")</f>
        <v>191</v>
      </c>
      <c r="G35" s="173">
        <f>IFERROR(VLOOKUP(MID(B35,4,3),MMWR_TRAD_AGG_NATIONAL[],3,0),"--")</f>
        <v>190</v>
      </c>
      <c r="H35" s="174">
        <f t="shared" si="0"/>
        <v>0.99476439790575921</v>
      </c>
      <c r="I35" s="56"/>
      <c r="J35" s="56"/>
      <c r="K35" s="56"/>
      <c r="L35" s="56"/>
      <c r="M35" s="56"/>
      <c r="N35" s="56"/>
      <c r="O35" s="56"/>
      <c r="P35" s="56"/>
      <c r="Q35" s="56"/>
      <c r="R35" s="56"/>
      <c r="S35" s="56"/>
      <c r="T35" s="56"/>
      <c r="U35" s="74"/>
      <c r="V35" s="25"/>
    </row>
    <row r="36" spans="1:22" s="1" customFormat="1" ht="32.25" customHeight="1" x14ac:dyDescent="0.4">
      <c r="A36" s="25"/>
      <c r="B36" s="323" t="s">
        <v>294</v>
      </c>
      <c r="C36" s="324"/>
      <c r="D36" s="324"/>
      <c r="E36" s="395"/>
      <c r="F36" s="172">
        <f>IFERROR(VLOOKUP(MID(B36,4,3),MMWR_TRAD_AGG_NATIONAL[],2,0),"--")</f>
        <v>16972</v>
      </c>
      <c r="G36" s="173">
        <f>IFERROR(VLOOKUP(MID(B36,4,3),MMWR_TRAD_AGG_NATIONAL[],3,0),"--")</f>
        <v>12829</v>
      </c>
      <c r="H36" s="174">
        <f t="shared" si="0"/>
        <v>0.75589205750648125</v>
      </c>
      <c r="I36" s="56"/>
      <c r="J36" s="56"/>
      <c r="K36" s="56"/>
      <c r="L36" s="56"/>
      <c r="M36" s="56"/>
      <c r="N36" s="56"/>
      <c r="O36" s="56"/>
      <c r="P36" s="56"/>
      <c r="Q36" s="56"/>
      <c r="R36" s="56"/>
      <c r="S36" s="56"/>
      <c r="T36" s="56"/>
      <c r="U36" s="74"/>
      <c r="V36" s="25"/>
    </row>
    <row r="37" spans="1:22" s="1" customFormat="1" ht="27" customHeight="1" thickBot="1" x14ac:dyDescent="0.45">
      <c r="A37" s="25"/>
      <c r="B37" s="323" t="s">
        <v>295</v>
      </c>
      <c r="C37" s="324"/>
      <c r="D37" s="324"/>
      <c r="E37" s="395"/>
      <c r="F37" s="172">
        <f>IFERROR(VLOOKUP(MID(B37,4,3)&amp;"G",MMWR_TRAD_AGG_NATIONAL[],2,0),"--")</f>
        <v>58647</v>
      </c>
      <c r="G37" s="173">
        <f>IFERROR(VLOOKUP(MID(B37,4,3)&amp;"G",MMWR_TRAD_AGG_NATIONAL[],3,0),"--")</f>
        <v>47316</v>
      </c>
      <c r="H37" s="174">
        <f t="shared" si="0"/>
        <v>0.80679318635224306</v>
      </c>
      <c r="I37" s="56"/>
      <c r="J37" s="56"/>
      <c r="K37" s="56"/>
      <c r="L37" s="56"/>
      <c r="M37" s="56"/>
      <c r="N37" s="56"/>
      <c r="O37" s="56"/>
      <c r="P37" s="56"/>
      <c r="Q37" s="56"/>
      <c r="R37" s="56"/>
      <c r="S37" s="56"/>
      <c r="T37" s="56"/>
      <c r="U37" s="74"/>
      <c r="V37" s="25"/>
    </row>
    <row r="38" spans="1:22" s="1" customFormat="1" ht="32.25" customHeight="1" thickBot="1" x14ac:dyDescent="0.45">
      <c r="A38" s="25"/>
      <c r="B38" s="407" t="s">
        <v>246</v>
      </c>
      <c r="C38" s="408"/>
      <c r="D38" s="408"/>
      <c r="E38" s="408"/>
      <c r="F38" s="169">
        <f>SUM(F39:F44)</f>
        <v>158560</v>
      </c>
      <c r="G38" s="170">
        <f>SUM(G39:G44)</f>
        <v>106079</v>
      </c>
      <c r="H38" s="171">
        <f t="shared" si="0"/>
        <v>0.66901488395560038</v>
      </c>
      <c r="I38" s="56"/>
      <c r="J38" s="56"/>
      <c r="K38" s="75"/>
      <c r="L38" s="75"/>
      <c r="M38" s="75"/>
      <c r="N38" s="75"/>
      <c r="O38" s="75"/>
      <c r="P38" s="56"/>
      <c r="Q38" s="56"/>
      <c r="R38" s="56"/>
      <c r="S38" s="56"/>
      <c r="T38" s="56"/>
      <c r="U38" s="74"/>
      <c r="V38" s="25"/>
    </row>
    <row r="39" spans="1:22" s="1" customFormat="1" ht="26.25" customHeight="1" x14ac:dyDescent="0.4">
      <c r="A39" s="25"/>
      <c r="B39" s="418" t="s">
        <v>296</v>
      </c>
      <c r="C39" s="437"/>
      <c r="D39" s="437"/>
      <c r="E39" s="419"/>
      <c r="F39" s="175">
        <f>IFERROR(VLOOKUP(MID(B39,4,3),MMWR_TRAD_AGG_NATIONAL[],2,0),"--")</f>
        <v>6332</v>
      </c>
      <c r="G39" s="176">
        <f>IFERROR(VLOOKUP(MID(B39,4,3),MMWR_TRAD_AGG_NATIONAL[],3,0),"--")</f>
        <v>4851</v>
      </c>
      <c r="H39" s="177">
        <f t="shared" si="0"/>
        <v>0.76610865445356913</v>
      </c>
      <c r="I39" s="56"/>
      <c r="J39" s="56"/>
      <c r="K39" s="75"/>
      <c r="L39" s="75"/>
      <c r="M39" s="75"/>
      <c r="N39" s="75"/>
      <c r="O39" s="75"/>
      <c r="P39" s="56"/>
      <c r="Q39" s="56"/>
      <c r="R39" s="56"/>
      <c r="S39" s="56"/>
      <c r="T39" s="56"/>
      <c r="U39" s="74"/>
      <c r="V39" s="25"/>
    </row>
    <row r="40" spans="1:22" s="1" customFormat="1" ht="26.25" customHeight="1" x14ac:dyDescent="0.4">
      <c r="A40" s="25"/>
      <c r="B40" s="323" t="s">
        <v>297</v>
      </c>
      <c r="C40" s="324"/>
      <c r="D40" s="324"/>
      <c r="E40" s="395"/>
      <c r="F40" s="172">
        <f>IFERROR(VLOOKUP(MID(B40,4,3),MMWR_TRAD_AGG_NATIONAL[],2,0),"--")</f>
        <v>104601</v>
      </c>
      <c r="G40" s="173">
        <f>IFERROR(VLOOKUP(MID(B40,4,3),MMWR_TRAD_AGG_NATIONAL[],3,0),"--")</f>
        <v>72694</v>
      </c>
      <c r="H40" s="174">
        <f t="shared" si="0"/>
        <v>0.69496467528991124</v>
      </c>
      <c r="I40" s="56"/>
      <c r="J40" s="56"/>
      <c r="K40" s="56"/>
      <c r="L40" s="56"/>
      <c r="M40" s="56"/>
      <c r="N40" s="56"/>
      <c r="O40" s="56"/>
      <c r="P40" s="56"/>
      <c r="Q40" s="56"/>
      <c r="R40" s="56"/>
      <c r="S40" s="56"/>
      <c r="T40" s="56"/>
      <c r="U40" s="74"/>
      <c r="V40" s="25"/>
    </row>
    <row r="41" spans="1:22" s="1" customFormat="1" ht="26.25" customHeight="1" x14ac:dyDescent="0.4">
      <c r="A41" s="25"/>
      <c r="B41" s="323" t="s">
        <v>298</v>
      </c>
      <c r="C41" s="324"/>
      <c r="D41" s="324"/>
      <c r="E41" s="395"/>
      <c r="F41" s="172">
        <f>IFERROR(VLOOKUP(MID(B41,4,3),MMWR_TRAD_AGG_NATIONAL[],2,0),"--")</f>
        <v>1691</v>
      </c>
      <c r="G41" s="173">
        <f>IFERROR(VLOOKUP(MID(B41,4,3),MMWR_TRAD_AGG_NATIONAL[],3,0),"--")</f>
        <v>412</v>
      </c>
      <c r="H41" s="174">
        <f t="shared" si="0"/>
        <v>0.24364281490242459</v>
      </c>
      <c r="I41" s="56"/>
      <c r="J41" s="56"/>
      <c r="K41" s="56"/>
      <c r="L41" s="56"/>
      <c r="M41" s="56"/>
      <c r="N41" s="56"/>
      <c r="O41" s="56"/>
      <c r="P41" s="56"/>
      <c r="Q41" s="56"/>
      <c r="R41" s="56"/>
      <c r="S41" s="56"/>
      <c r="T41" s="56"/>
      <c r="U41" s="74"/>
      <c r="V41" s="25"/>
    </row>
    <row r="42" spans="1:22" s="1" customFormat="1" ht="36" customHeight="1" x14ac:dyDescent="0.4">
      <c r="A42" s="25"/>
      <c r="B42" s="323" t="s">
        <v>299</v>
      </c>
      <c r="C42" s="324"/>
      <c r="D42" s="324"/>
      <c r="E42" s="395"/>
      <c r="F42" s="172">
        <f>IFERROR(VLOOKUP(MID(B42,4,3),MMWR_TRAD_AGG_NATIONAL[],2,0),"--")</f>
        <v>23951</v>
      </c>
      <c r="G42" s="173">
        <f>IFERROR(VLOOKUP(MID(B42,4,3),MMWR_TRAD_AGG_NATIONAL[],3,0),"--")</f>
        <v>9189</v>
      </c>
      <c r="H42" s="174">
        <f t="shared" si="0"/>
        <v>0.38365830236733328</v>
      </c>
      <c r="I42" s="56"/>
      <c r="J42" s="56"/>
      <c r="K42" s="56"/>
      <c r="L42" s="56"/>
      <c r="M42" s="56"/>
      <c r="N42" s="56"/>
      <c r="O42" s="56"/>
      <c r="P42" s="56"/>
      <c r="Q42" s="56"/>
      <c r="R42" s="56"/>
      <c r="S42" s="56"/>
      <c r="T42" s="56"/>
      <c r="U42" s="74"/>
      <c r="V42" s="25"/>
    </row>
    <row r="43" spans="1:22" s="1" customFormat="1" ht="33" customHeight="1" x14ac:dyDescent="0.4">
      <c r="A43" s="25"/>
      <c r="B43" s="323" t="s">
        <v>300</v>
      </c>
      <c r="C43" s="324"/>
      <c r="D43" s="324"/>
      <c r="E43" s="395"/>
      <c r="F43" s="172">
        <f>IFERROR(VLOOKUP(MID(B43,4,3),MMWR_TRAD_AGG_NATIONAL[],2,0),"--")</f>
        <v>21458</v>
      </c>
      <c r="G43" s="173">
        <f>IFERROR(VLOOKUP(MID(B43,4,3),MMWR_TRAD_AGG_NATIONAL[],3,0),"--")</f>
        <v>18448</v>
      </c>
      <c r="H43" s="174">
        <f t="shared" si="0"/>
        <v>0.8597259763258458</v>
      </c>
      <c r="I43" s="56"/>
      <c r="J43" s="56"/>
      <c r="K43" s="56"/>
      <c r="L43" s="56"/>
      <c r="M43" s="56"/>
      <c r="N43" s="56"/>
      <c r="O43" s="56"/>
      <c r="P43" s="56"/>
      <c r="Q43" s="56"/>
      <c r="R43" s="56"/>
      <c r="S43" s="56"/>
      <c r="T43" s="56"/>
      <c r="U43" s="74"/>
      <c r="V43" s="25"/>
    </row>
    <row r="44" spans="1:22" s="1" customFormat="1" ht="27" customHeight="1" thickBot="1" x14ac:dyDescent="0.45">
      <c r="A44" s="25"/>
      <c r="B44" s="325" t="s">
        <v>301</v>
      </c>
      <c r="C44" s="326"/>
      <c r="D44" s="326"/>
      <c r="E44" s="397"/>
      <c r="F44" s="178">
        <f>IFERROR(VLOOKUP(MID(B44,4,3),MMWR_TRAD_AGG_NATIONAL[],2,0),"--")</f>
        <v>527</v>
      </c>
      <c r="G44" s="179">
        <f>IFERROR(VLOOKUP(MID(B44,4,3),MMWR_TRAD_AGG_NATIONAL[],3,0),"--")</f>
        <v>485</v>
      </c>
      <c r="H44" s="180">
        <f t="shared" si="0"/>
        <v>0.92030360531309297</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1" t="str">
        <f>UPPER("INVENTORY BY REGIONAL OFFICE "&amp;Transformation!B4)</f>
        <v>INVENTORY BY REGIONAL OFFICE AS OF: JULY 25, 2015</v>
      </c>
      <c r="D2" s="452"/>
      <c r="E2" s="452"/>
      <c r="F2" s="452"/>
      <c r="G2" s="452"/>
      <c r="H2" s="452"/>
      <c r="I2" s="452"/>
      <c r="J2" s="452"/>
      <c r="K2" s="452"/>
      <c r="L2" s="452"/>
      <c r="M2" s="452"/>
      <c r="N2" s="452"/>
      <c r="O2" s="452"/>
      <c r="P2" s="452"/>
      <c r="Q2" s="452"/>
      <c r="R2" s="452"/>
      <c r="S2" s="453"/>
      <c r="T2" s="25"/>
    </row>
    <row r="3" spans="1:20" x14ac:dyDescent="0.2">
      <c r="A3" s="25"/>
      <c r="B3" s="26"/>
      <c r="C3" s="454" t="s">
        <v>233</v>
      </c>
      <c r="D3" s="455"/>
      <c r="E3" s="456" t="s">
        <v>213</v>
      </c>
      <c r="F3" s="457"/>
      <c r="G3" s="458"/>
      <c r="H3" s="456" t="s">
        <v>7</v>
      </c>
      <c r="I3" s="457"/>
      <c r="J3" s="458"/>
      <c r="K3" s="456" t="s">
        <v>33</v>
      </c>
      <c r="L3" s="457"/>
      <c r="M3" s="458"/>
      <c r="N3" s="456" t="s">
        <v>8</v>
      </c>
      <c r="O3" s="457"/>
      <c r="P3" s="458"/>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498</v>
      </c>
      <c r="T4" s="91"/>
    </row>
    <row r="5" spans="1:20" ht="26.25" x14ac:dyDescent="0.4">
      <c r="A5" s="25"/>
      <c r="B5" s="26"/>
      <c r="C5" s="451" t="s">
        <v>496</v>
      </c>
      <c r="D5" s="452"/>
      <c r="E5" s="452"/>
      <c r="F5" s="452"/>
      <c r="G5" s="452"/>
      <c r="H5" s="452"/>
      <c r="I5" s="452"/>
      <c r="J5" s="452"/>
      <c r="K5" s="452"/>
      <c r="L5" s="452"/>
      <c r="M5" s="452"/>
      <c r="N5" s="452"/>
      <c r="O5" s="452"/>
      <c r="P5" s="452"/>
      <c r="Q5" s="452"/>
      <c r="R5" s="452"/>
      <c r="S5" s="453"/>
      <c r="T5" s="25"/>
    </row>
    <row r="6" spans="1:20" x14ac:dyDescent="0.2">
      <c r="A6" s="92"/>
      <c r="B6" s="93" t="s">
        <v>471</v>
      </c>
      <c r="C6" s="211">
        <f>IFERROR(VLOOKUP($B6,MMWR_TRAD_AGG_DISTRICT_COMP[],C$1,0),"ERROR")</f>
        <v>362347</v>
      </c>
      <c r="D6" s="189">
        <f>IFERROR(VLOOKUP($B6,MMWR_TRAD_AGG_DISTRICT_COMP[],D$1,0),"ERROR")</f>
        <v>365.22501359189999</v>
      </c>
      <c r="E6" s="197">
        <f>IFERROR(VLOOKUP($B6,MMWR_TRAD_AGG_DISTRICT_COMP[],E$1,0),"ERROR")</f>
        <v>349702</v>
      </c>
      <c r="F6" s="191">
        <f>IFERROR(VLOOKUP($B6,MMWR_TRAD_AGG_DISTRICT_COMP[],F$1,0),"ERROR")</f>
        <v>113214</v>
      </c>
      <c r="G6" s="214">
        <f t="shared" ref="G6:G69" si="0">IFERROR(F6/E6,"0%")</f>
        <v>0.32374421650433799</v>
      </c>
      <c r="H6" s="190">
        <f>IFERROR(VLOOKUP($B6,MMWR_TRAD_AGG_DISTRICT_COMP[],H$1,0),"ERROR")</f>
        <v>504128</v>
      </c>
      <c r="I6" s="191">
        <f>IFERROR(VLOOKUP($B6,MMWR_TRAD_AGG_DISTRICT_COMP[],I$1,0),"ERROR")</f>
        <v>314458</v>
      </c>
      <c r="J6" s="214">
        <f t="shared" ref="J6:J69" si="1">IFERROR(I6/H6,"0%")</f>
        <v>0.62376618636536751</v>
      </c>
      <c r="K6" s="190">
        <f>IFERROR(VLOOKUP($B6,MMWR_TRAD_AGG_DISTRICT_COMP[],K$1,0),"ERROR")</f>
        <v>78096</v>
      </c>
      <c r="L6" s="191">
        <f>IFERROR(VLOOKUP($B6,MMWR_TRAD_AGG_DISTRICT_COMP[],L$1,0),"ERROR")</f>
        <v>61449</v>
      </c>
      <c r="M6" s="214">
        <f t="shared" ref="M6:M69" si="2">IFERROR(L6/K6,"0%")</f>
        <v>0.78683927473878301</v>
      </c>
      <c r="N6" s="190">
        <f>IFERROR(VLOOKUP($B6,MMWR_TRAD_AGG_DISTRICT_COMP[],N$1,0),"ERROR")</f>
        <v>158560</v>
      </c>
      <c r="O6" s="191">
        <f>IFERROR(VLOOKUP($B6,MMWR_TRAD_AGG_DISTRICT_COMP[],O$1,0),"ERROR")</f>
        <v>106079</v>
      </c>
      <c r="P6" s="214">
        <f t="shared" ref="P6:P69" si="3">IFERROR(O6/N6,"0%")</f>
        <v>0.66901488395560038</v>
      </c>
      <c r="Q6" s="203">
        <f>IFERROR(VLOOKUP($B6,MMWR_TRAD_AGG_DISTRICT_COMP[],Q$1,0),"ERROR")</f>
        <v>8417</v>
      </c>
      <c r="R6" s="203">
        <f>IFERROR(VLOOKUP($B6,MMWR_TRAD_AGG_DISTRICT_COMP[],R$1,0),"ERROR")</f>
        <v>4371</v>
      </c>
      <c r="S6" s="206">
        <f>S7+S25+S38+S49+S62+S70</f>
        <v>304233</v>
      </c>
      <c r="T6" s="25"/>
    </row>
    <row r="7" spans="1:20" x14ac:dyDescent="0.2">
      <c r="A7" s="92"/>
      <c r="B7" s="101" t="s">
        <v>379</v>
      </c>
      <c r="C7" s="215">
        <f>IFERROR(VLOOKUP($B7,MMWR_TRAD_AGG_DISTRICT_COMP[],C$1,0),"ERROR")</f>
        <v>109908</v>
      </c>
      <c r="D7" s="200">
        <f>IFERROR(VLOOKUP($B7,MMWR_TRAD_AGG_DISTRICT_COMP[],D$1,0),"ERROR")</f>
        <v>401.78710375949998</v>
      </c>
      <c r="E7" s="216">
        <f>IFERROR(VLOOKUP($B7,MMWR_TRAD_AGG_DISTRICT_COMP[],E$1,0),"ERROR")</f>
        <v>81676</v>
      </c>
      <c r="F7" s="215">
        <f>IFERROR(VLOOKUP($B7,MMWR_TRAD_AGG_DISTRICT_COMP[],F$1,0),"ERROR")</f>
        <v>25807</v>
      </c>
      <c r="G7" s="217">
        <f t="shared" si="0"/>
        <v>0.3159679710073951</v>
      </c>
      <c r="H7" s="215">
        <f>IFERROR(VLOOKUP($B7,MMWR_TRAD_AGG_DISTRICT_COMP[],H$1,0),"ERROR")</f>
        <v>138096</v>
      </c>
      <c r="I7" s="215">
        <f>IFERROR(VLOOKUP($B7,MMWR_TRAD_AGG_DISTRICT_COMP[],I$1,0),"ERROR")</f>
        <v>98772</v>
      </c>
      <c r="J7" s="217">
        <f t="shared" si="1"/>
        <v>0.71524157108098718</v>
      </c>
      <c r="K7" s="215">
        <f>IFERROR(VLOOKUP($B7,MMWR_TRAD_AGG_DISTRICT_COMP[],K$1,0),"ERROR")</f>
        <v>18196</v>
      </c>
      <c r="L7" s="215">
        <f>IFERROR(VLOOKUP($B7,MMWR_TRAD_AGG_DISTRICT_COMP[],L$1,0),"ERROR")</f>
        <v>13248</v>
      </c>
      <c r="M7" s="217">
        <f t="shared" si="2"/>
        <v>0.72807210375906795</v>
      </c>
      <c r="N7" s="215">
        <f>IFERROR(VLOOKUP($B7,MMWR_TRAD_AGG_DISTRICT_COMP[],N$1,0),"ERROR")</f>
        <v>37167</v>
      </c>
      <c r="O7" s="215">
        <f>IFERROR(VLOOKUP($B7,MMWR_TRAD_AGG_DISTRICT_COMP[],O$1,0),"ERROR")</f>
        <v>25486</v>
      </c>
      <c r="P7" s="217">
        <f t="shared" si="3"/>
        <v>0.68571582317647373</v>
      </c>
      <c r="Q7" s="215">
        <f>IFERROR(VLOOKUP($B7,MMWR_TRAD_AGG_DISTRICT_COMP[],Q$1,0),"ERROR")</f>
        <v>7618</v>
      </c>
      <c r="R7" s="218">
        <f>IFERROR(VLOOKUP($B7,MMWR_TRAD_AGG_DISTRICT_COMP[],R$1,0),"ERROR")</f>
        <v>101</v>
      </c>
      <c r="S7" s="218">
        <f>IFERROR(VLOOKUP($B7,MMWR_APP_RO[],S$1,0),"ERROR")</f>
        <v>53442</v>
      </c>
      <c r="T7" s="25"/>
    </row>
    <row r="8" spans="1:20" x14ac:dyDescent="0.2">
      <c r="A8" s="107"/>
      <c r="B8" s="108" t="s">
        <v>36</v>
      </c>
      <c r="C8" s="212">
        <f>IFERROR(VLOOKUP($B8,MMWR_TRAD_AGG_RO_COMP[],C$1,0),"ERROR")</f>
        <v>6930</v>
      </c>
      <c r="D8" s="201">
        <f>IFERROR(VLOOKUP($B8,MMWR_TRAD_AGG_RO_COMP[],D$1,0),"ERROR")</f>
        <v>617.38441558440002</v>
      </c>
      <c r="E8" s="198">
        <f>IFERROR(VLOOKUP($B8,MMWR_TRAD_AGG_RO_COMP[],E$1,0),"ERROR")</f>
        <v>5264</v>
      </c>
      <c r="F8" s="194">
        <f>IFERROR(VLOOKUP($B8,MMWR_TRAD_AGG_RO_COMP[],F$1,0),"ERROR")</f>
        <v>1892</v>
      </c>
      <c r="G8" s="219">
        <f t="shared" si="0"/>
        <v>0.35942249240121582</v>
      </c>
      <c r="H8" s="193">
        <f>IFERROR(VLOOKUP($B8,MMWR_TRAD_AGG_RO_COMP[],H$1,0),"ERROR")</f>
        <v>8215</v>
      </c>
      <c r="I8" s="194">
        <f>IFERROR(VLOOKUP($B8,MMWR_TRAD_AGG_RO_COMP[],I$1,0),"ERROR")</f>
        <v>6777</v>
      </c>
      <c r="J8" s="219">
        <f t="shared" si="1"/>
        <v>0.82495435179549603</v>
      </c>
      <c r="K8" s="207">
        <f>IFERROR(VLOOKUP($B8,MMWR_TRAD_AGG_RO_COMP[],K$1,0),"ERROR")</f>
        <v>1062</v>
      </c>
      <c r="L8" s="208">
        <f>IFERROR(VLOOKUP($B8,MMWR_TRAD_AGG_RO_COMP[],L$1,0),"ERROR")</f>
        <v>939</v>
      </c>
      <c r="M8" s="219">
        <f t="shared" si="2"/>
        <v>0.88418079096045199</v>
      </c>
      <c r="N8" s="207">
        <f>IFERROR(VLOOKUP($B8,MMWR_TRAD_AGG_RO_COMP[],N$1,0),"ERROR")</f>
        <v>6200</v>
      </c>
      <c r="O8" s="208">
        <f>IFERROR(VLOOKUP($B8,MMWR_TRAD_AGG_RO_COMP[],O$1,0),"ERROR")</f>
        <v>5350</v>
      </c>
      <c r="P8" s="219">
        <f t="shared" si="3"/>
        <v>0.86290322580645162</v>
      </c>
      <c r="Q8" s="204">
        <f>IFERROR(VLOOKUP($B8,MMWR_TRAD_AGG_RO_COMP[],Q$1,0),"ERROR")</f>
        <v>31</v>
      </c>
      <c r="R8" s="204">
        <f>IFERROR(VLOOKUP($B8,MMWR_TRAD_AGG_RO_COMP[],R$1,0),"ERROR")</f>
        <v>3</v>
      </c>
      <c r="S8" s="204">
        <f>IFERROR(VLOOKUP($B8,MMWR_APP_RO[],S$1,0),"ERROR")</f>
        <v>5361</v>
      </c>
      <c r="T8" s="25"/>
    </row>
    <row r="9" spans="1:20" x14ac:dyDescent="0.2">
      <c r="A9" s="107"/>
      <c r="B9" s="108" t="s">
        <v>38</v>
      </c>
      <c r="C9" s="212">
        <f>IFERROR(VLOOKUP($B9,MMWR_TRAD_AGG_RO_COMP[],C$1,0),"ERROR")</f>
        <v>4881</v>
      </c>
      <c r="D9" s="201">
        <f>IFERROR(VLOOKUP($B9,MMWR_TRAD_AGG_RO_COMP[],D$1,0),"ERROR")</f>
        <v>486.44232739189999</v>
      </c>
      <c r="E9" s="198">
        <f>IFERROR(VLOOKUP($B9,MMWR_TRAD_AGG_RO_COMP[],E$1,0),"ERROR")</f>
        <v>3655</v>
      </c>
      <c r="F9" s="194">
        <f>IFERROR(VLOOKUP($B9,MMWR_TRAD_AGG_RO_COMP[],F$1,0),"ERROR")</f>
        <v>1112</v>
      </c>
      <c r="G9" s="219">
        <f t="shared" si="0"/>
        <v>0.3042407660738714</v>
      </c>
      <c r="H9" s="193">
        <f>IFERROR(VLOOKUP($B9,MMWR_TRAD_AGG_RO_COMP[],H$1,0),"ERROR")</f>
        <v>6366</v>
      </c>
      <c r="I9" s="194">
        <f>IFERROR(VLOOKUP($B9,MMWR_TRAD_AGG_RO_COMP[],I$1,0),"ERROR")</f>
        <v>4498</v>
      </c>
      <c r="J9" s="219">
        <f t="shared" si="1"/>
        <v>0.70656613257932765</v>
      </c>
      <c r="K9" s="207">
        <f>IFERROR(VLOOKUP($B9,MMWR_TRAD_AGG_RO_COMP[],K$1,0),"ERROR")</f>
        <v>2104</v>
      </c>
      <c r="L9" s="208">
        <f>IFERROR(VLOOKUP($B9,MMWR_TRAD_AGG_RO_COMP[],L$1,0),"ERROR")</f>
        <v>1931</v>
      </c>
      <c r="M9" s="219">
        <f t="shared" si="2"/>
        <v>0.91777566539923949</v>
      </c>
      <c r="N9" s="207">
        <f>IFERROR(VLOOKUP($B9,MMWR_TRAD_AGG_RO_COMP[],N$1,0),"ERROR")</f>
        <v>857</v>
      </c>
      <c r="O9" s="208">
        <f>IFERROR(VLOOKUP($B9,MMWR_TRAD_AGG_RO_COMP[],O$1,0),"ERROR")</f>
        <v>736</v>
      </c>
      <c r="P9" s="219">
        <f t="shared" si="3"/>
        <v>0.85880980163360565</v>
      </c>
      <c r="Q9" s="204">
        <f>IFERROR(VLOOKUP($B9,MMWR_TRAD_AGG_RO_COMP[],Q$1,0),"ERROR")</f>
        <v>2</v>
      </c>
      <c r="R9" s="204">
        <f>IFERROR(VLOOKUP($B9,MMWR_TRAD_AGG_RO_COMP[],R$1,0),"ERROR")</f>
        <v>12</v>
      </c>
      <c r="S9" s="204">
        <f>IFERROR(VLOOKUP($B9,MMWR_APP_RO[],S$1,0),"ERROR")</f>
        <v>3446</v>
      </c>
      <c r="T9" s="25"/>
    </row>
    <row r="10" spans="1:20" x14ac:dyDescent="0.2">
      <c r="A10" s="107"/>
      <c r="B10" s="108" t="s">
        <v>24</v>
      </c>
      <c r="C10" s="212">
        <f>IFERROR(VLOOKUP($B10,MMWR_TRAD_AGG_RO_COMP[],C$1,0),"ERROR")</f>
        <v>1044</v>
      </c>
      <c r="D10" s="201">
        <f>IFERROR(VLOOKUP($B10,MMWR_TRAD_AGG_RO_COMP[],D$1,0),"ERROR")</f>
        <v>95.520114942500001</v>
      </c>
      <c r="E10" s="198">
        <f>IFERROR(VLOOKUP($B10,MMWR_TRAD_AGG_RO_COMP[],E$1,0),"ERROR")</f>
        <v>4648</v>
      </c>
      <c r="F10" s="194">
        <f>IFERROR(VLOOKUP($B10,MMWR_TRAD_AGG_RO_COMP[],F$1,0),"ERROR")</f>
        <v>1391</v>
      </c>
      <c r="G10" s="219">
        <f t="shared" si="0"/>
        <v>0.29926850258175558</v>
      </c>
      <c r="H10" s="193">
        <f>IFERROR(VLOOKUP($B10,MMWR_TRAD_AGG_RO_COMP[],H$1,0),"ERROR")</f>
        <v>1898</v>
      </c>
      <c r="I10" s="194">
        <f>IFERROR(VLOOKUP($B10,MMWR_TRAD_AGG_RO_COMP[],I$1,0),"ERROR")</f>
        <v>419</v>
      </c>
      <c r="J10" s="219">
        <f t="shared" si="1"/>
        <v>0.22075869336143308</v>
      </c>
      <c r="K10" s="207">
        <f>IFERROR(VLOOKUP($B10,MMWR_TRAD_AGG_RO_COMP[],K$1,0),"ERROR")</f>
        <v>146</v>
      </c>
      <c r="L10" s="208">
        <f>IFERROR(VLOOKUP($B10,MMWR_TRAD_AGG_RO_COMP[],L$1,0),"ERROR")</f>
        <v>44</v>
      </c>
      <c r="M10" s="219">
        <f t="shared" si="2"/>
        <v>0.30136986301369861</v>
      </c>
      <c r="N10" s="207">
        <f>IFERROR(VLOOKUP($B10,MMWR_TRAD_AGG_RO_COMP[],N$1,0),"ERROR")</f>
        <v>459</v>
      </c>
      <c r="O10" s="208">
        <f>IFERROR(VLOOKUP($B10,MMWR_TRAD_AGG_RO_COMP[],O$1,0),"ERROR")</f>
        <v>307</v>
      </c>
      <c r="P10" s="219">
        <f t="shared" si="3"/>
        <v>0.66884531590413943</v>
      </c>
      <c r="Q10" s="204">
        <f>IFERROR(VLOOKUP($B10,MMWR_TRAD_AGG_RO_COMP[],Q$1,0),"ERROR")</f>
        <v>0</v>
      </c>
      <c r="R10" s="204">
        <f>IFERROR(VLOOKUP($B10,MMWR_TRAD_AGG_RO_COMP[],R$1,0),"ERROR")</f>
        <v>0</v>
      </c>
      <c r="S10" s="204">
        <f>IFERROR(VLOOKUP($B10,MMWR_APP_RO[],S$1,0),"ERROR")</f>
        <v>1745</v>
      </c>
      <c r="T10" s="25"/>
    </row>
    <row r="11" spans="1:20" x14ac:dyDescent="0.2">
      <c r="A11" s="107"/>
      <c r="B11" s="108" t="s">
        <v>47</v>
      </c>
      <c r="C11" s="212">
        <f>IFERROR(VLOOKUP($B11,MMWR_TRAD_AGG_RO_COMP[],C$1,0),"ERROR")</f>
        <v>1996</v>
      </c>
      <c r="D11" s="201">
        <f>IFERROR(VLOOKUP($B11,MMWR_TRAD_AGG_RO_COMP[],D$1,0),"ERROR")</f>
        <v>215.2049098196</v>
      </c>
      <c r="E11" s="198">
        <f>IFERROR(VLOOKUP($B11,MMWR_TRAD_AGG_RO_COMP[],E$1,0),"ERROR")</f>
        <v>1887</v>
      </c>
      <c r="F11" s="194">
        <f>IFERROR(VLOOKUP($B11,MMWR_TRAD_AGG_RO_COMP[],F$1,0),"ERROR")</f>
        <v>518</v>
      </c>
      <c r="G11" s="219">
        <f t="shared" si="0"/>
        <v>0.27450980392156865</v>
      </c>
      <c r="H11" s="193">
        <f>IFERROR(VLOOKUP($B11,MMWR_TRAD_AGG_RO_COMP[],H$1,0),"ERROR")</f>
        <v>3372</v>
      </c>
      <c r="I11" s="194">
        <f>IFERROR(VLOOKUP($B11,MMWR_TRAD_AGG_RO_COMP[],I$1,0),"ERROR")</f>
        <v>1750</v>
      </c>
      <c r="J11" s="219">
        <f t="shared" si="1"/>
        <v>0.51897983392645319</v>
      </c>
      <c r="K11" s="207">
        <f>IFERROR(VLOOKUP($B11,MMWR_TRAD_AGG_RO_COMP[],K$1,0),"ERROR")</f>
        <v>348</v>
      </c>
      <c r="L11" s="208">
        <f>IFERROR(VLOOKUP($B11,MMWR_TRAD_AGG_RO_COMP[],L$1,0),"ERROR")</f>
        <v>280</v>
      </c>
      <c r="M11" s="219">
        <f t="shared" si="2"/>
        <v>0.8045977011494253</v>
      </c>
      <c r="N11" s="207">
        <f>IFERROR(VLOOKUP($B11,MMWR_TRAD_AGG_RO_COMP[],N$1,0),"ERROR")</f>
        <v>668</v>
      </c>
      <c r="O11" s="208">
        <f>IFERROR(VLOOKUP($B11,MMWR_TRAD_AGG_RO_COMP[],O$1,0),"ERROR")</f>
        <v>489</v>
      </c>
      <c r="P11" s="219">
        <f t="shared" si="3"/>
        <v>0.73203592814371254</v>
      </c>
      <c r="Q11" s="204">
        <f>IFERROR(VLOOKUP($B11,MMWR_TRAD_AGG_RO_COMP[],Q$1,0),"ERROR")</f>
        <v>0</v>
      </c>
      <c r="R11" s="204">
        <f>IFERROR(VLOOKUP($B11,MMWR_TRAD_AGG_RO_COMP[],R$1,0),"ERROR")</f>
        <v>3</v>
      </c>
      <c r="S11" s="204">
        <f>IFERROR(VLOOKUP($B11,MMWR_APP_RO[],S$1,0),"ERROR")</f>
        <v>823</v>
      </c>
      <c r="T11" s="25"/>
    </row>
    <row r="12" spans="1:20" x14ac:dyDescent="0.2">
      <c r="A12" s="107"/>
      <c r="B12" s="108" t="s">
        <v>50</v>
      </c>
      <c r="C12" s="212">
        <f>IFERROR(VLOOKUP($B12,MMWR_TRAD_AGG_RO_COMP[],C$1,0),"ERROR")</f>
        <v>2292</v>
      </c>
      <c r="D12" s="201">
        <f>IFERROR(VLOOKUP($B12,MMWR_TRAD_AGG_RO_COMP[],D$1,0),"ERROR")</f>
        <v>218.20506108199999</v>
      </c>
      <c r="E12" s="198">
        <f>IFERROR(VLOOKUP($B12,MMWR_TRAD_AGG_RO_COMP[],E$1,0),"ERROR")</f>
        <v>2247</v>
      </c>
      <c r="F12" s="194">
        <f>IFERROR(VLOOKUP($B12,MMWR_TRAD_AGG_RO_COMP[],F$1,0),"ERROR")</f>
        <v>555</v>
      </c>
      <c r="G12" s="219">
        <f t="shared" si="0"/>
        <v>0.24699599465954605</v>
      </c>
      <c r="H12" s="193">
        <f>IFERROR(VLOOKUP($B12,MMWR_TRAD_AGG_RO_COMP[],H$1,0),"ERROR")</f>
        <v>3536</v>
      </c>
      <c r="I12" s="194">
        <f>IFERROR(VLOOKUP($B12,MMWR_TRAD_AGG_RO_COMP[],I$1,0),"ERROR")</f>
        <v>1843</v>
      </c>
      <c r="J12" s="219">
        <f t="shared" si="1"/>
        <v>0.52121040723981904</v>
      </c>
      <c r="K12" s="207">
        <f>IFERROR(VLOOKUP($B12,MMWR_TRAD_AGG_RO_COMP[],K$1,0),"ERROR")</f>
        <v>242</v>
      </c>
      <c r="L12" s="208">
        <f>IFERROR(VLOOKUP($B12,MMWR_TRAD_AGG_RO_COMP[],L$1,0),"ERROR")</f>
        <v>223</v>
      </c>
      <c r="M12" s="219">
        <f t="shared" si="2"/>
        <v>0.92148760330578516</v>
      </c>
      <c r="N12" s="207">
        <f>IFERROR(VLOOKUP($B12,MMWR_TRAD_AGG_RO_COMP[],N$1,0),"ERROR")</f>
        <v>1075</v>
      </c>
      <c r="O12" s="208">
        <f>IFERROR(VLOOKUP($B12,MMWR_TRAD_AGG_RO_COMP[],O$1,0),"ERROR")</f>
        <v>800</v>
      </c>
      <c r="P12" s="219">
        <f t="shared" si="3"/>
        <v>0.7441860465116279</v>
      </c>
      <c r="Q12" s="204">
        <f>IFERROR(VLOOKUP($B12,MMWR_TRAD_AGG_RO_COMP[],Q$1,0),"ERROR")</f>
        <v>2</v>
      </c>
      <c r="R12" s="204">
        <f>IFERROR(VLOOKUP($B12,MMWR_TRAD_AGG_RO_COMP[],R$1,0),"ERROR")</f>
        <v>17</v>
      </c>
      <c r="S12" s="204">
        <f>IFERROR(VLOOKUP($B12,MMWR_APP_RO[],S$1,0),"ERROR")</f>
        <v>1949</v>
      </c>
      <c r="T12" s="25"/>
    </row>
    <row r="13" spans="1:20" x14ac:dyDescent="0.2">
      <c r="A13" s="107"/>
      <c r="B13" s="108" t="s">
        <v>57</v>
      </c>
      <c r="C13" s="212">
        <f>IFERROR(VLOOKUP($B13,MMWR_TRAD_AGG_RO_COMP[],C$1,0),"ERROR")</f>
        <v>1945</v>
      </c>
      <c r="D13" s="201">
        <f>IFERROR(VLOOKUP($B13,MMWR_TRAD_AGG_RO_COMP[],D$1,0),"ERROR")</f>
        <v>360.37172236499998</v>
      </c>
      <c r="E13" s="198">
        <f>IFERROR(VLOOKUP($B13,MMWR_TRAD_AGG_RO_COMP[],E$1,0),"ERROR")</f>
        <v>1195</v>
      </c>
      <c r="F13" s="194">
        <f>IFERROR(VLOOKUP($B13,MMWR_TRAD_AGG_RO_COMP[],F$1,0),"ERROR")</f>
        <v>291</v>
      </c>
      <c r="G13" s="219">
        <f t="shared" si="0"/>
        <v>0.24351464435146444</v>
      </c>
      <c r="H13" s="193">
        <f>IFERROR(VLOOKUP($B13,MMWR_TRAD_AGG_RO_COMP[],H$1,0),"ERROR")</f>
        <v>2386</v>
      </c>
      <c r="I13" s="194">
        <f>IFERROR(VLOOKUP($B13,MMWR_TRAD_AGG_RO_COMP[],I$1,0),"ERROR")</f>
        <v>1624</v>
      </c>
      <c r="J13" s="219">
        <f t="shared" si="1"/>
        <v>0.68063704945515502</v>
      </c>
      <c r="K13" s="207">
        <f>IFERROR(VLOOKUP($B13,MMWR_TRAD_AGG_RO_COMP[],K$1,0),"ERROR")</f>
        <v>589</v>
      </c>
      <c r="L13" s="208">
        <f>IFERROR(VLOOKUP($B13,MMWR_TRAD_AGG_RO_COMP[],L$1,0),"ERROR")</f>
        <v>576</v>
      </c>
      <c r="M13" s="219">
        <f t="shared" si="2"/>
        <v>0.97792869269949068</v>
      </c>
      <c r="N13" s="207">
        <f>IFERROR(VLOOKUP($B13,MMWR_TRAD_AGG_RO_COMP[],N$1,0),"ERROR")</f>
        <v>107</v>
      </c>
      <c r="O13" s="208">
        <f>IFERROR(VLOOKUP($B13,MMWR_TRAD_AGG_RO_COMP[],O$1,0),"ERROR")</f>
        <v>83</v>
      </c>
      <c r="P13" s="219">
        <f t="shared" si="3"/>
        <v>0.77570093457943923</v>
      </c>
      <c r="Q13" s="204">
        <f>IFERROR(VLOOKUP($B13,MMWR_TRAD_AGG_RO_COMP[],Q$1,0),"ERROR")</f>
        <v>0</v>
      </c>
      <c r="R13" s="204">
        <f>IFERROR(VLOOKUP($B13,MMWR_TRAD_AGG_RO_COMP[],R$1,0),"ERROR")</f>
        <v>1</v>
      </c>
      <c r="S13" s="204">
        <f>IFERROR(VLOOKUP($B13,MMWR_APP_RO[],S$1,0),"ERROR")</f>
        <v>653</v>
      </c>
      <c r="T13" s="25"/>
    </row>
    <row r="14" spans="1:20" x14ac:dyDescent="0.2">
      <c r="A14" s="107"/>
      <c r="B14" s="108" t="s">
        <v>63</v>
      </c>
      <c r="C14" s="212">
        <f>IFERROR(VLOOKUP($B14,MMWR_TRAD_AGG_RO_COMP[],C$1,0),"ERROR")</f>
        <v>3536</v>
      </c>
      <c r="D14" s="201">
        <f>IFERROR(VLOOKUP($B14,MMWR_TRAD_AGG_RO_COMP[],D$1,0),"ERROR")</f>
        <v>267.58908371040002</v>
      </c>
      <c r="E14" s="198">
        <f>IFERROR(VLOOKUP($B14,MMWR_TRAD_AGG_RO_COMP[],E$1,0),"ERROR")</f>
        <v>4790</v>
      </c>
      <c r="F14" s="194">
        <f>IFERROR(VLOOKUP($B14,MMWR_TRAD_AGG_RO_COMP[],F$1,0),"ERROR")</f>
        <v>1686</v>
      </c>
      <c r="G14" s="219">
        <f t="shared" si="0"/>
        <v>0.35198329853862215</v>
      </c>
      <c r="H14" s="193">
        <f>IFERROR(VLOOKUP($B14,MMWR_TRAD_AGG_RO_COMP[],H$1,0),"ERROR")</f>
        <v>5273</v>
      </c>
      <c r="I14" s="194">
        <f>IFERROR(VLOOKUP($B14,MMWR_TRAD_AGG_RO_COMP[],I$1,0),"ERROR")</f>
        <v>2950</v>
      </c>
      <c r="J14" s="219">
        <f t="shared" si="1"/>
        <v>0.55945382135406785</v>
      </c>
      <c r="K14" s="207">
        <f>IFERROR(VLOOKUP($B14,MMWR_TRAD_AGG_RO_COMP[],K$1,0),"ERROR")</f>
        <v>1625</v>
      </c>
      <c r="L14" s="208">
        <f>IFERROR(VLOOKUP($B14,MMWR_TRAD_AGG_RO_COMP[],L$1,0),"ERROR")</f>
        <v>1009</v>
      </c>
      <c r="M14" s="219">
        <f t="shared" si="2"/>
        <v>0.62092307692307691</v>
      </c>
      <c r="N14" s="207">
        <f>IFERROR(VLOOKUP($B14,MMWR_TRAD_AGG_RO_COMP[],N$1,0),"ERROR")</f>
        <v>288</v>
      </c>
      <c r="O14" s="208">
        <f>IFERROR(VLOOKUP($B14,MMWR_TRAD_AGG_RO_COMP[],O$1,0),"ERROR")</f>
        <v>209</v>
      </c>
      <c r="P14" s="219">
        <f t="shared" si="3"/>
        <v>0.72569444444444442</v>
      </c>
      <c r="Q14" s="204">
        <f>IFERROR(VLOOKUP($B14,MMWR_TRAD_AGG_RO_COMP[],Q$1,0),"ERROR")</f>
        <v>0</v>
      </c>
      <c r="R14" s="204">
        <f>IFERROR(VLOOKUP($B14,MMWR_TRAD_AGG_RO_COMP[],R$1,0),"ERROR")</f>
        <v>11</v>
      </c>
      <c r="S14" s="204">
        <f>IFERROR(VLOOKUP($B14,MMWR_APP_RO[],S$1,0),"ERROR")</f>
        <v>3272</v>
      </c>
      <c r="T14" s="25"/>
    </row>
    <row r="15" spans="1:20" x14ac:dyDescent="0.2">
      <c r="A15" s="107"/>
      <c r="B15" s="108" t="s">
        <v>64</v>
      </c>
      <c r="C15" s="212">
        <f>IFERROR(VLOOKUP($B15,MMWR_TRAD_AGG_RO_COMP[],C$1,0),"ERROR")</f>
        <v>777</v>
      </c>
      <c r="D15" s="201">
        <f>IFERROR(VLOOKUP($B15,MMWR_TRAD_AGG_RO_COMP[],D$1,0),"ERROR")</f>
        <v>120.0669240669</v>
      </c>
      <c r="E15" s="198">
        <f>IFERROR(VLOOKUP($B15,MMWR_TRAD_AGG_RO_COMP[],E$1,0),"ERROR")</f>
        <v>2711</v>
      </c>
      <c r="F15" s="194">
        <f>IFERROR(VLOOKUP($B15,MMWR_TRAD_AGG_RO_COMP[],F$1,0),"ERROR")</f>
        <v>862</v>
      </c>
      <c r="G15" s="219">
        <f t="shared" si="0"/>
        <v>0.31796385097749907</v>
      </c>
      <c r="H15" s="193">
        <f>IFERROR(VLOOKUP($B15,MMWR_TRAD_AGG_RO_COMP[],H$1,0),"ERROR")</f>
        <v>1486</v>
      </c>
      <c r="I15" s="194">
        <f>IFERROR(VLOOKUP($B15,MMWR_TRAD_AGG_RO_COMP[],I$1,0),"ERROR")</f>
        <v>474</v>
      </c>
      <c r="J15" s="219">
        <f t="shared" si="1"/>
        <v>0.31897711978465682</v>
      </c>
      <c r="K15" s="207">
        <f>IFERROR(VLOOKUP($B15,MMWR_TRAD_AGG_RO_COMP[],K$1,0),"ERROR")</f>
        <v>369</v>
      </c>
      <c r="L15" s="208">
        <f>IFERROR(VLOOKUP($B15,MMWR_TRAD_AGG_RO_COMP[],L$1,0),"ERROR")</f>
        <v>118</v>
      </c>
      <c r="M15" s="219">
        <f t="shared" si="2"/>
        <v>0.31978319783197834</v>
      </c>
      <c r="N15" s="207">
        <f>IFERROR(VLOOKUP($B15,MMWR_TRAD_AGG_RO_COMP[],N$1,0),"ERROR")</f>
        <v>2529</v>
      </c>
      <c r="O15" s="208">
        <f>IFERROR(VLOOKUP($B15,MMWR_TRAD_AGG_RO_COMP[],O$1,0),"ERROR")</f>
        <v>1323</v>
      </c>
      <c r="P15" s="219">
        <f t="shared" si="3"/>
        <v>0.52313167259786475</v>
      </c>
      <c r="Q15" s="204">
        <f>IFERROR(VLOOKUP($B15,MMWR_TRAD_AGG_RO_COMP[],Q$1,0),"ERROR")</f>
        <v>0</v>
      </c>
      <c r="R15" s="204">
        <f>IFERROR(VLOOKUP($B15,MMWR_TRAD_AGG_RO_COMP[],R$1,0),"ERROR")</f>
        <v>2</v>
      </c>
      <c r="S15" s="204">
        <f>IFERROR(VLOOKUP($B15,MMWR_APP_RO[],S$1,0),"ERROR")</f>
        <v>2706</v>
      </c>
      <c r="T15" s="25"/>
    </row>
    <row r="16" spans="1:20" x14ac:dyDescent="0.2">
      <c r="A16" s="107"/>
      <c r="B16" s="108" t="s">
        <v>66</v>
      </c>
      <c r="C16" s="212">
        <f>IFERROR(VLOOKUP($B16,MMWR_TRAD_AGG_RO_COMP[],C$1,0),"ERROR")</f>
        <v>5623</v>
      </c>
      <c r="D16" s="201">
        <f>IFERROR(VLOOKUP($B16,MMWR_TRAD_AGG_RO_COMP[],D$1,0),"ERROR")</f>
        <v>419.87231015470002</v>
      </c>
      <c r="E16" s="198">
        <f>IFERROR(VLOOKUP($B16,MMWR_TRAD_AGG_RO_COMP[],E$1,0),"ERROR")</f>
        <v>10230</v>
      </c>
      <c r="F16" s="194">
        <f>IFERROR(VLOOKUP($B16,MMWR_TRAD_AGG_RO_COMP[],F$1,0),"ERROR")</f>
        <v>3726</v>
      </c>
      <c r="G16" s="219">
        <f t="shared" si="0"/>
        <v>0.36422287390029323</v>
      </c>
      <c r="H16" s="193">
        <f>IFERROR(VLOOKUP($B16,MMWR_TRAD_AGG_RO_COMP[],H$1,0),"ERROR")</f>
        <v>8479</v>
      </c>
      <c r="I16" s="194">
        <f>IFERROR(VLOOKUP($B16,MMWR_TRAD_AGG_RO_COMP[],I$1,0),"ERROR")</f>
        <v>5581</v>
      </c>
      <c r="J16" s="219">
        <f t="shared" si="1"/>
        <v>0.65821441207689591</v>
      </c>
      <c r="K16" s="207">
        <f>IFERROR(VLOOKUP($B16,MMWR_TRAD_AGG_RO_COMP[],K$1,0),"ERROR")</f>
        <v>1627</v>
      </c>
      <c r="L16" s="208">
        <f>IFERROR(VLOOKUP($B16,MMWR_TRAD_AGG_RO_COMP[],L$1,0),"ERROR")</f>
        <v>489</v>
      </c>
      <c r="M16" s="219">
        <f t="shared" si="2"/>
        <v>0.30055316533497234</v>
      </c>
      <c r="N16" s="207">
        <f>IFERROR(VLOOKUP($B16,MMWR_TRAD_AGG_RO_COMP[],N$1,0),"ERROR")</f>
        <v>7970</v>
      </c>
      <c r="O16" s="208">
        <f>IFERROR(VLOOKUP($B16,MMWR_TRAD_AGG_RO_COMP[],O$1,0),"ERROR")</f>
        <v>4407</v>
      </c>
      <c r="P16" s="219">
        <f t="shared" si="3"/>
        <v>0.55294855708908408</v>
      </c>
      <c r="Q16" s="204">
        <f>IFERROR(VLOOKUP($B16,MMWR_TRAD_AGG_RO_COMP[],Q$1,0),"ERROR")</f>
        <v>7576</v>
      </c>
      <c r="R16" s="204">
        <f>IFERROR(VLOOKUP($B16,MMWR_TRAD_AGG_RO_COMP[],R$1,0),"ERROR")</f>
        <v>0</v>
      </c>
      <c r="S16" s="204">
        <f>IFERROR(VLOOKUP($B16,MMWR_APP_RO[],S$1,0),"ERROR")</f>
        <v>4721</v>
      </c>
      <c r="T16" s="25"/>
    </row>
    <row r="17" spans="1:20" x14ac:dyDescent="0.2">
      <c r="A17" s="107"/>
      <c r="B17" s="108" t="s">
        <v>68</v>
      </c>
      <c r="C17" s="212">
        <f>IFERROR(VLOOKUP($B17,MMWR_TRAD_AGG_RO_COMP[],C$1,0),"ERROR")</f>
        <v>4148</v>
      </c>
      <c r="D17" s="201">
        <f>IFERROR(VLOOKUP($B17,MMWR_TRAD_AGG_RO_COMP[],D$1,0),"ERROR")</f>
        <v>452.69455159109998</v>
      </c>
      <c r="E17" s="198">
        <f>IFERROR(VLOOKUP($B17,MMWR_TRAD_AGG_RO_COMP[],E$1,0),"ERROR")</f>
        <v>4802</v>
      </c>
      <c r="F17" s="194">
        <f>IFERROR(VLOOKUP($B17,MMWR_TRAD_AGG_RO_COMP[],F$1,0),"ERROR")</f>
        <v>1728</v>
      </c>
      <c r="G17" s="219">
        <f t="shared" si="0"/>
        <v>0.35985006247396917</v>
      </c>
      <c r="H17" s="193">
        <f>IFERROR(VLOOKUP($B17,MMWR_TRAD_AGG_RO_COMP[],H$1,0),"ERROR")</f>
        <v>5628</v>
      </c>
      <c r="I17" s="194">
        <f>IFERROR(VLOOKUP($B17,MMWR_TRAD_AGG_RO_COMP[],I$1,0),"ERROR")</f>
        <v>4249</v>
      </c>
      <c r="J17" s="219">
        <f t="shared" si="1"/>
        <v>0.75497512437810943</v>
      </c>
      <c r="K17" s="207">
        <f>IFERROR(VLOOKUP($B17,MMWR_TRAD_AGG_RO_COMP[],K$1,0),"ERROR")</f>
        <v>553</v>
      </c>
      <c r="L17" s="208">
        <f>IFERROR(VLOOKUP($B17,MMWR_TRAD_AGG_RO_COMP[],L$1,0),"ERROR")</f>
        <v>471</v>
      </c>
      <c r="M17" s="219">
        <f t="shared" si="2"/>
        <v>0.85171790235081379</v>
      </c>
      <c r="N17" s="207">
        <f>IFERROR(VLOOKUP($B17,MMWR_TRAD_AGG_RO_COMP[],N$1,0),"ERROR")</f>
        <v>1192</v>
      </c>
      <c r="O17" s="208">
        <f>IFERROR(VLOOKUP($B17,MMWR_TRAD_AGG_RO_COMP[],O$1,0),"ERROR")</f>
        <v>927</v>
      </c>
      <c r="P17" s="219">
        <f t="shared" si="3"/>
        <v>0.77768456375838924</v>
      </c>
      <c r="Q17" s="204">
        <f>IFERROR(VLOOKUP($B17,MMWR_TRAD_AGG_RO_COMP[],Q$1,0),"ERROR")</f>
        <v>1</v>
      </c>
      <c r="R17" s="204">
        <f>IFERROR(VLOOKUP($B17,MMWR_TRAD_AGG_RO_COMP[],R$1,0),"ERROR")</f>
        <v>4</v>
      </c>
      <c r="S17" s="204">
        <f>IFERROR(VLOOKUP($B17,MMWR_APP_RO[],S$1,0),"ERROR")</f>
        <v>4736</v>
      </c>
      <c r="T17" s="25"/>
    </row>
    <row r="18" spans="1:20" x14ac:dyDescent="0.2">
      <c r="A18" s="107"/>
      <c r="B18" s="108" t="s">
        <v>70</v>
      </c>
      <c r="C18" s="212">
        <f>IFERROR(VLOOKUP($B18,MMWR_TRAD_AGG_RO_COMP[],C$1,0),"ERROR")</f>
        <v>841</v>
      </c>
      <c r="D18" s="201">
        <f>IFERROR(VLOOKUP($B18,MMWR_TRAD_AGG_RO_COMP[],D$1,0),"ERROR")</f>
        <v>139.47324613559999</v>
      </c>
      <c r="E18" s="198">
        <f>IFERROR(VLOOKUP($B18,MMWR_TRAD_AGG_RO_COMP[],E$1,0),"ERROR")</f>
        <v>1897</v>
      </c>
      <c r="F18" s="194">
        <f>IFERROR(VLOOKUP($B18,MMWR_TRAD_AGG_RO_COMP[],F$1,0),"ERROR")</f>
        <v>458</v>
      </c>
      <c r="G18" s="219">
        <f t="shared" si="0"/>
        <v>0.24143384290985767</v>
      </c>
      <c r="H18" s="193">
        <f>IFERROR(VLOOKUP($B18,MMWR_TRAD_AGG_RO_COMP[],H$1,0),"ERROR")</f>
        <v>2911</v>
      </c>
      <c r="I18" s="194">
        <f>IFERROR(VLOOKUP($B18,MMWR_TRAD_AGG_RO_COMP[],I$1,0),"ERROR")</f>
        <v>677</v>
      </c>
      <c r="J18" s="219">
        <f t="shared" si="1"/>
        <v>0.2325661284781862</v>
      </c>
      <c r="K18" s="207">
        <f>IFERROR(VLOOKUP($B18,MMWR_TRAD_AGG_RO_COMP[],K$1,0),"ERROR")</f>
        <v>1114</v>
      </c>
      <c r="L18" s="208">
        <f>IFERROR(VLOOKUP($B18,MMWR_TRAD_AGG_RO_COMP[],L$1,0),"ERROR")</f>
        <v>279</v>
      </c>
      <c r="M18" s="219">
        <f t="shared" si="2"/>
        <v>0.25044883303411131</v>
      </c>
      <c r="N18" s="207">
        <f>IFERROR(VLOOKUP($B18,MMWR_TRAD_AGG_RO_COMP[],N$1,0),"ERROR")</f>
        <v>215</v>
      </c>
      <c r="O18" s="208">
        <f>IFERROR(VLOOKUP($B18,MMWR_TRAD_AGG_RO_COMP[],O$1,0),"ERROR")</f>
        <v>122</v>
      </c>
      <c r="P18" s="219">
        <f t="shared" si="3"/>
        <v>0.56744186046511624</v>
      </c>
      <c r="Q18" s="204">
        <f>IFERROR(VLOOKUP($B18,MMWR_TRAD_AGG_RO_COMP[],Q$1,0),"ERROR")</f>
        <v>0</v>
      </c>
      <c r="R18" s="204">
        <f>IFERROR(VLOOKUP($B18,MMWR_TRAD_AGG_RO_COMP[],R$1,0),"ERROR")</f>
        <v>4</v>
      </c>
      <c r="S18" s="204">
        <f>IFERROR(VLOOKUP($B18,MMWR_APP_RO[],S$1,0),"ERROR")</f>
        <v>473</v>
      </c>
      <c r="T18" s="25"/>
    </row>
    <row r="19" spans="1:20" x14ac:dyDescent="0.2">
      <c r="A19" s="107"/>
      <c r="B19" s="108" t="s">
        <v>72</v>
      </c>
      <c r="C19" s="212">
        <f>IFERROR(VLOOKUP($B19,MMWR_TRAD_AGG_RO_COMP[],C$1,0),"ERROR")</f>
        <v>13200</v>
      </c>
      <c r="D19" s="201">
        <f>IFERROR(VLOOKUP($B19,MMWR_TRAD_AGG_RO_COMP[],D$1,0),"ERROR")</f>
        <v>412.78310606060001</v>
      </c>
      <c r="E19" s="198">
        <f>IFERROR(VLOOKUP($B19,MMWR_TRAD_AGG_RO_COMP[],E$1,0),"ERROR")</f>
        <v>11331</v>
      </c>
      <c r="F19" s="194">
        <f>IFERROR(VLOOKUP($B19,MMWR_TRAD_AGG_RO_COMP[],F$1,0),"ERROR")</f>
        <v>3364</v>
      </c>
      <c r="G19" s="219">
        <f t="shared" si="0"/>
        <v>0.29688465272261938</v>
      </c>
      <c r="H19" s="193">
        <f>IFERROR(VLOOKUP($B19,MMWR_TRAD_AGG_RO_COMP[],H$1,0),"ERROR")</f>
        <v>15727</v>
      </c>
      <c r="I19" s="194">
        <f>IFERROR(VLOOKUP($B19,MMWR_TRAD_AGG_RO_COMP[],I$1,0),"ERROR")</f>
        <v>10337</v>
      </c>
      <c r="J19" s="219">
        <f t="shared" si="1"/>
        <v>0.6572772938259045</v>
      </c>
      <c r="K19" s="207">
        <f>IFERROR(VLOOKUP($B19,MMWR_TRAD_AGG_RO_COMP[],K$1,0),"ERROR")</f>
        <v>2598</v>
      </c>
      <c r="L19" s="208">
        <f>IFERROR(VLOOKUP($B19,MMWR_TRAD_AGG_RO_COMP[],L$1,0),"ERROR")</f>
        <v>2226</v>
      </c>
      <c r="M19" s="219">
        <f t="shared" si="2"/>
        <v>0.85681293302540418</v>
      </c>
      <c r="N19" s="207">
        <f>IFERROR(VLOOKUP($B19,MMWR_TRAD_AGG_RO_COMP[],N$1,0),"ERROR")</f>
        <v>5129</v>
      </c>
      <c r="O19" s="208">
        <f>IFERROR(VLOOKUP($B19,MMWR_TRAD_AGG_RO_COMP[],O$1,0),"ERROR")</f>
        <v>4325</v>
      </c>
      <c r="P19" s="219">
        <f t="shared" si="3"/>
        <v>0.84324429713394422</v>
      </c>
      <c r="Q19" s="204">
        <f>IFERROR(VLOOKUP($B19,MMWR_TRAD_AGG_RO_COMP[],Q$1,0),"ERROR")</f>
        <v>6</v>
      </c>
      <c r="R19" s="204">
        <f>IFERROR(VLOOKUP($B19,MMWR_TRAD_AGG_RO_COMP[],R$1,0),"ERROR")</f>
        <v>22</v>
      </c>
      <c r="S19" s="204">
        <f>IFERROR(VLOOKUP($B19,MMWR_APP_RO[],S$1,0),"ERROR")</f>
        <v>13661</v>
      </c>
      <c r="T19" s="25"/>
    </row>
    <row r="20" spans="1:20" x14ac:dyDescent="0.2">
      <c r="A20" s="107"/>
      <c r="B20" s="108" t="s">
        <v>81</v>
      </c>
      <c r="C20" s="212">
        <f>IFERROR(VLOOKUP($B20,MMWR_TRAD_AGG_RO_COMP[],C$1,0),"ERROR")</f>
        <v>1541</v>
      </c>
      <c r="D20" s="201">
        <f>IFERROR(VLOOKUP($B20,MMWR_TRAD_AGG_RO_COMP[],D$1,0),"ERROR")</f>
        <v>219.02660609989999</v>
      </c>
      <c r="E20" s="198">
        <f>IFERROR(VLOOKUP($B20,MMWR_TRAD_AGG_RO_COMP[],E$1,0),"ERROR")</f>
        <v>1267</v>
      </c>
      <c r="F20" s="194">
        <f>IFERROR(VLOOKUP($B20,MMWR_TRAD_AGG_RO_COMP[],F$1,0),"ERROR")</f>
        <v>208</v>
      </c>
      <c r="G20" s="219">
        <f t="shared" si="0"/>
        <v>0.16416732438831885</v>
      </c>
      <c r="H20" s="193">
        <f>IFERROR(VLOOKUP($B20,MMWR_TRAD_AGG_RO_COMP[],H$1,0),"ERROR")</f>
        <v>2236</v>
      </c>
      <c r="I20" s="194">
        <f>IFERROR(VLOOKUP($B20,MMWR_TRAD_AGG_RO_COMP[],I$1,0),"ERROR")</f>
        <v>1047</v>
      </c>
      <c r="J20" s="219">
        <f t="shared" si="1"/>
        <v>0.46824686940966009</v>
      </c>
      <c r="K20" s="207">
        <f>IFERROR(VLOOKUP($B20,MMWR_TRAD_AGG_RO_COMP[],K$1,0),"ERROR")</f>
        <v>943</v>
      </c>
      <c r="L20" s="208">
        <f>IFERROR(VLOOKUP($B20,MMWR_TRAD_AGG_RO_COMP[],L$1,0),"ERROR")</f>
        <v>530</v>
      </c>
      <c r="M20" s="219">
        <f t="shared" si="2"/>
        <v>0.56203605514316013</v>
      </c>
      <c r="N20" s="207">
        <f>IFERROR(VLOOKUP($B20,MMWR_TRAD_AGG_RO_COMP[],N$1,0),"ERROR")</f>
        <v>943</v>
      </c>
      <c r="O20" s="208">
        <f>IFERROR(VLOOKUP($B20,MMWR_TRAD_AGG_RO_COMP[],O$1,0),"ERROR")</f>
        <v>875</v>
      </c>
      <c r="P20" s="219">
        <f t="shared" si="3"/>
        <v>0.92788971367974549</v>
      </c>
      <c r="Q20" s="204">
        <f>IFERROR(VLOOKUP($B20,MMWR_TRAD_AGG_RO_COMP[],Q$1,0),"ERROR")</f>
        <v>0</v>
      </c>
      <c r="R20" s="204">
        <f>IFERROR(VLOOKUP($B20,MMWR_TRAD_AGG_RO_COMP[],R$1,0),"ERROR")</f>
        <v>0</v>
      </c>
      <c r="S20" s="204">
        <f>IFERROR(VLOOKUP($B20,MMWR_APP_RO[],S$1,0),"ERROR")</f>
        <v>352</v>
      </c>
      <c r="T20" s="25"/>
    </row>
    <row r="21" spans="1:20" x14ac:dyDescent="0.2">
      <c r="A21" s="107"/>
      <c r="B21" s="108" t="s">
        <v>440</v>
      </c>
      <c r="C21" s="212">
        <f>IFERROR(VLOOKUP($B21,MMWR_TRAD_AGG_RO_COMP[],C$1,0),"ERROR")</f>
        <v>43808</v>
      </c>
      <c r="D21" s="201">
        <f>IFERROR(VLOOKUP($B21,MMWR_TRAD_AGG_RO_COMP[],D$1,0),"ERROR")</f>
        <v>431.46916088389997</v>
      </c>
      <c r="E21" s="198">
        <f>IFERROR(VLOOKUP($B21,MMWR_TRAD_AGG_RO_COMP[],E$1,0),"ERROR")</f>
        <v>973</v>
      </c>
      <c r="F21" s="194">
        <f>IFERROR(VLOOKUP($B21,MMWR_TRAD_AGG_RO_COMP[],F$1,0),"ERROR")</f>
        <v>361</v>
      </c>
      <c r="G21" s="219">
        <f t="shared" si="0"/>
        <v>0.3710174717368962</v>
      </c>
      <c r="H21" s="193">
        <f>IFERROR(VLOOKUP($B21,MMWR_TRAD_AGG_RO_COMP[],H$1,0),"ERROR")</f>
        <v>44317</v>
      </c>
      <c r="I21" s="194">
        <f>IFERROR(VLOOKUP($B21,MMWR_TRAD_AGG_RO_COMP[],I$1,0),"ERROR")</f>
        <v>41623</v>
      </c>
      <c r="J21" s="219">
        <f t="shared" si="1"/>
        <v>0.93921068664395158</v>
      </c>
      <c r="K21" s="207">
        <f>IFERROR(VLOOKUP($B21,MMWR_TRAD_AGG_RO_COMP[],K$1,0),"ERROR")</f>
        <v>116</v>
      </c>
      <c r="L21" s="208">
        <f>IFERROR(VLOOKUP($B21,MMWR_TRAD_AGG_RO_COMP[],L$1,0),"ERROR")</f>
        <v>111</v>
      </c>
      <c r="M21" s="219">
        <f t="shared" si="2"/>
        <v>0.9568965517241379</v>
      </c>
      <c r="N21" s="207">
        <f>IFERROR(VLOOKUP($B21,MMWR_TRAD_AGG_RO_COMP[],N$1,0),"ERROR")</f>
        <v>1523</v>
      </c>
      <c r="O21" s="208">
        <f>IFERROR(VLOOKUP($B21,MMWR_TRAD_AGG_RO_COMP[],O$1,0),"ERROR")</f>
        <v>1370</v>
      </c>
      <c r="P21" s="219">
        <f t="shared" si="3"/>
        <v>0.89954038082731447</v>
      </c>
      <c r="Q21" s="204">
        <f>IFERROR(VLOOKUP($B21,MMWR_TRAD_AGG_RO_COMP[],Q$1,0),"ERROR")</f>
        <v>0</v>
      </c>
      <c r="R21" s="204">
        <f>IFERROR(VLOOKUP($B21,MMWR_TRAD_AGG_RO_COMP[],R$1,0),"ERROR")</f>
        <v>1</v>
      </c>
      <c r="S21" s="204">
        <f>IFERROR(VLOOKUP($B21,MMWR_APP_RO[],S$1,0),"ERROR")</f>
        <v>4</v>
      </c>
      <c r="T21" s="25"/>
    </row>
    <row r="22" spans="1:20" x14ac:dyDescent="0.2">
      <c r="A22" s="107"/>
      <c r="B22" s="108" t="s">
        <v>141</v>
      </c>
      <c r="C22" s="212">
        <f>IFERROR(VLOOKUP($B22,MMWR_TRAD_AGG_RO_COMP[],C$1,0),"ERROR")</f>
        <v>488</v>
      </c>
      <c r="D22" s="201">
        <f>IFERROR(VLOOKUP($B22,MMWR_TRAD_AGG_RO_COMP[],D$1,0),"ERROR")</f>
        <v>326.5963114754</v>
      </c>
      <c r="E22" s="198">
        <f>IFERROR(VLOOKUP($B22,MMWR_TRAD_AGG_RO_COMP[],E$1,0),"ERROR")</f>
        <v>421</v>
      </c>
      <c r="F22" s="194">
        <f>IFERROR(VLOOKUP($B22,MMWR_TRAD_AGG_RO_COMP[],F$1,0),"ERROR")</f>
        <v>125</v>
      </c>
      <c r="G22" s="219">
        <f t="shared" si="0"/>
        <v>0.29691211401425177</v>
      </c>
      <c r="H22" s="193">
        <f>IFERROR(VLOOKUP($B22,MMWR_TRAD_AGG_RO_COMP[],H$1,0),"ERROR")</f>
        <v>716</v>
      </c>
      <c r="I22" s="194">
        <f>IFERROR(VLOOKUP($B22,MMWR_TRAD_AGG_RO_COMP[],I$1,0),"ERROR")</f>
        <v>458</v>
      </c>
      <c r="J22" s="219">
        <f t="shared" si="1"/>
        <v>0.63966480446927376</v>
      </c>
      <c r="K22" s="207">
        <f>IFERROR(VLOOKUP($B22,MMWR_TRAD_AGG_RO_COMP[],K$1,0),"ERROR")</f>
        <v>79</v>
      </c>
      <c r="L22" s="208">
        <f>IFERROR(VLOOKUP($B22,MMWR_TRAD_AGG_RO_COMP[],L$1,0),"ERROR")</f>
        <v>69</v>
      </c>
      <c r="M22" s="219">
        <f t="shared" si="2"/>
        <v>0.87341772151898733</v>
      </c>
      <c r="N22" s="207">
        <f>IFERROR(VLOOKUP($B22,MMWR_TRAD_AGG_RO_COMP[],N$1,0),"ERROR")</f>
        <v>85</v>
      </c>
      <c r="O22" s="208">
        <f>IFERROR(VLOOKUP($B22,MMWR_TRAD_AGG_RO_COMP[],O$1,0),"ERROR")</f>
        <v>66</v>
      </c>
      <c r="P22" s="219">
        <f t="shared" si="3"/>
        <v>0.77647058823529413</v>
      </c>
      <c r="Q22" s="204">
        <f>IFERROR(VLOOKUP($B22,MMWR_TRAD_AGG_RO_COMP[],Q$1,0),"ERROR")</f>
        <v>0</v>
      </c>
      <c r="R22" s="204">
        <f>IFERROR(VLOOKUP($B22,MMWR_TRAD_AGG_RO_COMP[],R$1,0),"ERROR")</f>
        <v>1</v>
      </c>
      <c r="S22" s="204">
        <f>IFERROR(VLOOKUP($B22,MMWR_APP_RO[],S$1,0),"ERROR")</f>
        <v>189</v>
      </c>
      <c r="T22" s="25"/>
    </row>
    <row r="23" spans="1:20" x14ac:dyDescent="0.2">
      <c r="A23" s="107"/>
      <c r="B23" s="108" t="s">
        <v>85</v>
      </c>
      <c r="C23" s="212">
        <f>IFERROR(VLOOKUP($B23,MMWR_TRAD_AGG_RO_COMP[],C$1,0),"ERROR")</f>
        <v>849</v>
      </c>
      <c r="D23" s="201">
        <f>IFERROR(VLOOKUP($B23,MMWR_TRAD_AGG_RO_COMP[],D$1,0),"ERROR")</f>
        <v>308.53356890459997</v>
      </c>
      <c r="E23" s="198">
        <f>IFERROR(VLOOKUP($B23,MMWR_TRAD_AGG_RO_COMP[],E$1,0),"ERROR")</f>
        <v>845</v>
      </c>
      <c r="F23" s="194">
        <f>IFERROR(VLOOKUP($B23,MMWR_TRAD_AGG_RO_COMP[],F$1,0),"ERROR")</f>
        <v>291</v>
      </c>
      <c r="G23" s="219">
        <f t="shared" si="0"/>
        <v>0.34437869822485206</v>
      </c>
      <c r="H23" s="193">
        <f>IFERROR(VLOOKUP($B23,MMWR_TRAD_AGG_RO_COMP[],H$1,0),"ERROR")</f>
        <v>929</v>
      </c>
      <c r="I23" s="194">
        <f>IFERROR(VLOOKUP($B23,MMWR_TRAD_AGG_RO_COMP[],I$1,0),"ERROR")</f>
        <v>429</v>
      </c>
      <c r="J23" s="219">
        <f t="shared" si="1"/>
        <v>0.46178686759956944</v>
      </c>
      <c r="K23" s="207">
        <f>IFERROR(VLOOKUP($B23,MMWR_TRAD_AGG_RO_COMP[],K$1,0),"ERROR")</f>
        <v>10</v>
      </c>
      <c r="L23" s="208">
        <f>IFERROR(VLOOKUP($B23,MMWR_TRAD_AGG_RO_COMP[],L$1,0),"ERROR")</f>
        <v>8</v>
      </c>
      <c r="M23" s="219">
        <f t="shared" si="2"/>
        <v>0.8</v>
      </c>
      <c r="N23" s="207">
        <f>IFERROR(VLOOKUP($B23,MMWR_TRAD_AGG_RO_COMP[],N$1,0),"ERROR")</f>
        <v>352</v>
      </c>
      <c r="O23" s="208">
        <f>IFERROR(VLOOKUP($B23,MMWR_TRAD_AGG_RO_COMP[],O$1,0),"ERROR")</f>
        <v>146</v>
      </c>
      <c r="P23" s="219">
        <f t="shared" si="3"/>
        <v>0.41477272727272729</v>
      </c>
      <c r="Q23" s="204">
        <f>IFERROR(VLOOKUP($B23,MMWR_TRAD_AGG_RO_COMP[],Q$1,0),"ERROR")</f>
        <v>0</v>
      </c>
      <c r="R23" s="204">
        <f>IFERROR(VLOOKUP($B23,MMWR_TRAD_AGG_RO_COMP[],R$1,0),"ERROR")</f>
        <v>0</v>
      </c>
      <c r="S23" s="204">
        <f>IFERROR(VLOOKUP($B23,MMWR_APP_RO[],S$1,0),"ERROR")</f>
        <v>196</v>
      </c>
      <c r="T23" s="25"/>
    </row>
    <row r="24" spans="1:20" x14ac:dyDescent="0.2">
      <c r="A24" s="92"/>
      <c r="B24" s="116" t="s">
        <v>86</v>
      </c>
      <c r="C24" s="213">
        <f>IFERROR(VLOOKUP($B24,MMWR_TRAD_AGG_RO_COMP[],C$1,0),"ERROR")</f>
        <v>16009</v>
      </c>
      <c r="D24" s="202">
        <f>IFERROR(VLOOKUP($B24,MMWR_TRAD_AGG_RO_COMP[],D$1,0),"ERROR")</f>
        <v>329.29052408019999</v>
      </c>
      <c r="E24" s="199">
        <f>IFERROR(VLOOKUP($B24,MMWR_TRAD_AGG_RO_COMP[],E$1,0),"ERROR")</f>
        <v>23513</v>
      </c>
      <c r="F24" s="196">
        <f>IFERROR(VLOOKUP($B24,MMWR_TRAD_AGG_RO_COMP[],F$1,0),"ERROR")</f>
        <v>7239</v>
      </c>
      <c r="G24" s="220">
        <f t="shared" si="0"/>
        <v>0.3078722408880194</v>
      </c>
      <c r="H24" s="195">
        <f>IFERROR(VLOOKUP($B24,MMWR_TRAD_AGG_RO_COMP[],H$1,0),"ERROR")</f>
        <v>24621</v>
      </c>
      <c r="I24" s="196">
        <f>IFERROR(VLOOKUP($B24,MMWR_TRAD_AGG_RO_COMP[],I$1,0),"ERROR")</f>
        <v>14036</v>
      </c>
      <c r="J24" s="220">
        <f t="shared" si="1"/>
        <v>0.57008244994110724</v>
      </c>
      <c r="K24" s="209">
        <f>IFERROR(VLOOKUP($B24,MMWR_TRAD_AGG_RO_COMP[],K$1,0),"ERROR")</f>
        <v>4671</v>
      </c>
      <c r="L24" s="210">
        <f>IFERROR(VLOOKUP($B24,MMWR_TRAD_AGG_RO_COMP[],L$1,0),"ERROR")</f>
        <v>3945</v>
      </c>
      <c r="M24" s="220">
        <f t="shared" si="2"/>
        <v>0.84457289659601797</v>
      </c>
      <c r="N24" s="209">
        <f>IFERROR(VLOOKUP($B24,MMWR_TRAD_AGG_RO_COMP[],N$1,0),"ERROR")</f>
        <v>7575</v>
      </c>
      <c r="O24" s="210">
        <f>IFERROR(VLOOKUP($B24,MMWR_TRAD_AGG_RO_COMP[],O$1,0),"ERROR")</f>
        <v>3951</v>
      </c>
      <c r="P24" s="220">
        <f t="shared" si="3"/>
        <v>0.5215841584158416</v>
      </c>
      <c r="Q24" s="205">
        <f>IFERROR(VLOOKUP($B24,MMWR_TRAD_AGG_RO_COMP[],Q$1,0),"ERROR")</f>
        <v>0</v>
      </c>
      <c r="R24" s="205">
        <f>IFERROR(VLOOKUP($B24,MMWR_TRAD_AGG_RO_COMP[],R$1,0),"ERROR")</f>
        <v>20</v>
      </c>
      <c r="S24" s="204">
        <f>IFERROR(VLOOKUP($B24,MMWR_APP_RO[],S$1,0),"ERROR")</f>
        <v>9155</v>
      </c>
      <c r="T24" s="25"/>
    </row>
    <row r="25" spans="1:20" x14ac:dyDescent="0.2">
      <c r="A25" s="107"/>
      <c r="B25" s="101" t="s">
        <v>400</v>
      </c>
      <c r="C25" s="215">
        <f>IFERROR(VLOOKUP($B25,MMWR_TRAD_AGG_DISTRICT_COMP[],C$1,0),"ERROR")</f>
        <v>51009</v>
      </c>
      <c r="D25" s="200">
        <f>IFERROR(VLOOKUP($B25,MMWR_TRAD_AGG_DISTRICT_COMP[],D$1,0),"ERROR")</f>
        <v>355.51810464819999</v>
      </c>
      <c r="E25" s="216">
        <f>IFERROR(VLOOKUP($B25,MMWR_TRAD_AGG_DISTRICT_COMP[],E$1,0),"ERROR")</f>
        <v>57778</v>
      </c>
      <c r="F25" s="221">
        <f>IFERROR(VLOOKUP($B25,MMWR_TRAD_AGG_DISTRICT_COMP[],F$1,0),"ERROR")</f>
        <v>15880</v>
      </c>
      <c r="G25" s="217">
        <f t="shared" si="0"/>
        <v>0.27484509674962787</v>
      </c>
      <c r="H25" s="221">
        <f>IFERROR(VLOOKUP($B25,MMWR_TRAD_AGG_DISTRICT_COMP[],H$1,0),"ERROR")</f>
        <v>80654</v>
      </c>
      <c r="I25" s="221">
        <f>IFERROR(VLOOKUP($B25,MMWR_TRAD_AGG_DISTRICT_COMP[],I$1,0),"ERROR")</f>
        <v>41114</v>
      </c>
      <c r="J25" s="217">
        <f t="shared" si="1"/>
        <v>0.50975773055273144</v>
      </c>
      <c r="K25" s="215">
        <f>IFERROR(VLOOKUP($B25,MMWR_TRAD_AGG_DISTRICT_COMP[],K$1,0),"ERROR")</f>
        <v>9828</v>
      </c>
      <c r="L25" s="215">
        <f>IFERROR(VLOOKUP($B25,MMWR_TRAD_AGG_DISTRICT_COMP[],L$1,0),"ERROR")</f>
        <v>8164</v>
      </c>
      <c r="M25" s="217">
        <f t="shared" si="2"/>
        <v>0.8306878306878307</v>
      </c>
      <c r="N25" s="215">
        <f>IFERROR(VLOOKUP($B25,MMWR_TRAD_AGG_DISTRICT_COMP[],N$1,0),"ERROR")</f>
        <v>21727</v>
      </c>
      <c r="O25" s="215">
        <f>IFERROR(VLOOKUP($B25,MMWR_TRAD_AGG_DISTRICT_COMP[],O$1,0),"ERROR")</f>
        <v>16569</v>
      </c>
      <c r="P25" s="217">
        <f t="shared" si="3"/>
        <v>0.76259953053804019</v>
      </c>
      <c r="Q25" s="215">
        <f>IFERROR(VLOOKUP($B25,MMWR_TRAD_AGG_DISTRICT_COMP[],Q$1,0),"ERROR")</f>
        <v>177</v>
      </c>
      <c r="R25" s="218">
        <f>IFERROR(VLOOKUP($B25,MMWR_TRAD_AGG_DISTRICT_COMP[],R$1,0),"ERROR")</f>
        <v>1199</v>
      </c>
      <c r="S25" s="218">
        <f>IFERROR(VLOOKUP($B25,MMWR_APP_RO[],S$1,0),"ERROR")</f>
        <v>50830</v>
      </c>
      <c r="T25" s="25"/>
    </row>
    <row r="26" spans="1:20" x14ac:dyDescent="0.2">
      <c r="A26" s="107"/>
      <c r="B26" s="108" t="s">
        <v>40</v>
      </c>
      <c r="C26" s="212">
        <f>IFERROR(VLOOKUP($B26,MMWR_TRAD_AGG_RO_COMP[],C$1,0),"ERROR")</f>
        <v>6722</v>
      </c>
      <c r="D26" s="201">
        <f>IFERROR(VLOOKUP($B26,MMWR_TRAD_AGG_RO_COMP[],D$1,0),"ERROR")</f>
        <v>513.70856887829996</v>
      </c>
      <c r="E26" s="198">
        <f>IFERROR(VLOOKUP($B26,MMWR_TRAD_AGG_RO_COMP[],E$1,0),"ERROR")</f>
        <v>7242</v>
      </c>
      <c r="F26" s="194">
        <f>IFERROR(VLOOKUP($B26,MMWR_TRAD_AGG_RO_COMP[],F$1,0),"ERROR")</f>
        <v>2483</v>
      </c>
      <c r="G26" s="219">
        <f t="shared" si="0"/>
        <v>0.34286108809721072</v>
      </c>
      <c r="H26" s="193">
        <f>IFERROR(VLOOKUP($B26,MMWR_TRAD_AGG_RO_COMP[],H$1,0),"ERROR")</f>
        <v>8341</v>
      </c>
      <c r="I26" s="194">
        <f>IFERROR(VLOOKUP($B26,MMWR_TRAD_AGG_RO_COMP[],I$1,0),"ERROR")</f>
        <v>6410</v>
      </c>
      <c r="J26" s="219">
        <f t="shared" si="1"/>
        <v>0.76849298645246378</v>
      </c>
      <c r="K26" s="207">
        <f>IFERROR(VLOOKUP($B26,MMWR_TRAD_AGG_RO_COMP[],K$1,0),"ERROR")</f>
        <v>1385</v>
      </c>
      <c r="L26" s="208">
        <f>IFERROR(VLOOKUP($B26,MMWR_TRAD_AGG_RO_COMP[],L$1,0),"ERROR")</f>
        <v>1304</v>
      </c>
      <c r="M26" s="219">
        <f t="shared" si="2"/>
        <v>0.94151624548736457</v>
      </c>
      <c r="N26" s="207">
        <f>IFERROR(VLOOKUP($B26,MMWR_TRAD_AGG_RO_COMP[],N$1,0),"ERROR")</f>
        <v>2692</v>
      </c>
      <c r="O26" s="208">
        <f>IFERROR(VLOOKUP($B26,MMWR_TRAD_AGG_RO_COMP[],O$1,0),"ERROR")</f>
        <v>2221</v>
      </c>
      <c r="P26" s="219">
        <f t="shared" si="3"/>
        <v>0.82503714710252596</v>
      </c>
      <c r="Q26" s="204">
        <f>IFERROR(VLOOKUP($B26,MMWR_TRAD_AGG_RO_COMP[],Q$1,0),"ERROR")</f>
        <v>0</v>
      </c>
      <c r="R26" s="204">
        <f>IFERROR(VLOOKUP($B26,MMWR_TRAD_AGG_RO_COMP[],R$1,0),"ERROR")</f>
        <v>289</v>
      </c>
      <c r="S26" s="204">
        <f>IFERROR(VLOOKUP($B26,MMWR_APP_RO[],S$1,0),"ERROR")</f>
        <v>7417</v>
      </c>
      <c r="T26" s="25"/>
    </row>
    <row r="27" spans="1:20" x14ac:dyDescent="0.2">
      <c r="A27" s="107"/>
      <c r="B27" s="108" t="s">
        <v>41</v>
      </c>
      <c r="C27" s="212">
        <f>IFERROR(VLOOKUP($B27,MMWR_TRAD_AGG_RO_COMP[],C$1,0),"ERROR")</f>
        <v>9022</v>
      </c>
      <c r="D27" s="201">
        <f>IFERROR(VLOOKUP($B27,MMWR_TRAD_AGG_RO_COMP[],D$1,0),"ERROR")</f>
        <v>538.19585457769995</v>
      </c>
      <c r="E27" s="198">
        <f>IFERROR(VLOOKUP($B27,MMWR_TRAD_AGG_RO_COMP[],E$1,0),"ERROR")</f>
        <v>8461</v>
      </c>
      <c r="F27" s="194">
        <f>IFERROR(VLOOKUP($B27,MMWR_TRAD_AGG_RO_COMP[],F$1,0),"ERROR")</f>
        <v>2325</v>
      </c>
      <c r="G27" s="219">
        <f t="shared" si="0"/>
        <v>0.2747902139227042</v>
      </c>
      <c r="H27" s="193">
        <f>IFERROR(VLOOKUP($B27,MMWR_TRAD_AGG_RO_COMP[],H$1,0),"ERROR")</f>
        <v>11328</v>
      </c>
      <c r="I27" s="194">
        <f>IFERROR(VLOOKUP($B27,MMWR_TRAD_AGG_RO_COMP[],I$1,0),"ERROR")</f>
        <v>9325</v>
      </c>
      <c r="J27" s="219">
        <f t="shared" si="1"/>
        <v>0.82318149717514122</v>
      </c>
      <c r="K27" s="207">
        <f>IFERROR(VLOOKUP($B27,MMWR_TRAD_AGG_RO_COMP[],K$1,0),"ERROR")</f>
        <v>1593</v>
      </c>
      <c r="L27" s="208">
        <f>IFERROR(VLOOKUP($B27,MMWR_TRAD_AGG_RO_COMP[],L$1,0),"ERROR")</f>
        <v>1560</v>
      </c>
      <c r="M27" s="219">
        <f t="shared" si="2"/>
        <v>0.9792843691148776</v>
      </c>
      <c r="N27" s="207">
        <f>IFERROR(VLOOKUP($B27,MMWR_TRAD_AGG_RO_COMP[],N$1,0),"ERROR")</f>
        <v>5397</v>
      </c>
      <c r="O27" s="208">
        <f>IFERROR(VLOOKUP($B27,MMWR_TRAD_AGG_RO_COMP[],O$1,0),"ERROR")</f>
        <v>3981</v>
      </c>
      <c r="P27" s="219">
        <f t="shared" si="3"/>
        <v>0.73763201778765985</v>
      </c>
      <c r="Q27" s="204">
        <f>IFERROR(VLOOKUP($B27,MMWR_TRAD_AGG_RO_COMP[],Q$1,0),"ERROR")</f>
        <v>15</v>
      </c>
      <c r="R27" s="204">
        <f>IFERROR(VLOOKUP($B27,MMWR_TRAD_AGG_RO_COMP[],R$1,0),"ERROR")</f>
        <v>344</v>
      </c>
      <c r="S27" s="204">
        <f>IFERROR(VLOOKUP($B27,MMWR_APP_RO[],S$1,0),"ERROR")</f>
        <v>13680</v>
      </c>
      <c r="T27" s="25"/>
    </row>
    <row r="28" spans="1:20" x14ac:dyDescent="0.2">
      <c r="A28" s="107"/>
      <c r="B28" s="108" t="s">
        <v>44</v>
      </c>
      <c r="C28" s="212">
        <f>IFERROR(VLOOKUP($B28,MMWR_TRAD_AGG_RO_COMP[],C$1,0),"ERROR")</f>
        <v>1485</v>
      </c>
      <c r="D28" s="201">
        <f>IFERROR(VLOOKUP($B28,MMWR_TRAD_AGG_RO_COMP[],D$1,0),"ERROR")</f>
        <v>124.11043771040001</v>
      </c>
      <c r="E28" s="198">
        <f>IFERROR(VLOOKUP($B28,MMWR_TRAD_AGG_RO_COMP[],E$1,0),"ERROR")</f>
        <v>2418</v>
      </c>
      <c r="F28" s="194">
        <f>IFERROR(VLOOKUP($B28,MMWR_TRAD_AGG_RO_COMP[],F$1,0),"ERROR")</f>
        <v>576</v>
      </c>
      <c r="G28" s="219">
        <f t="shared" si="0"/>
        <v>0.23821339950372208</v>
      </c>
      <c r="H28" s="193">
        <f>IFERROR(VLOOKUP($B28,MMWR_TRAD_AGG_RO_COMP[],H$1,0),"ERROR")</f>
        <v>2638</v>
      </c>
      <c r="I28" s="194">
        <f>IFERROR(VLOOKUP($B28,MMWR_TRAD_AGG_RO_COMP[],I$1,0),"ERROR")</f>
        <v>839</v>
      </c>
      <c r="J28" s="219">
        <f t="shared" si="1"/>
        <v>0.3180439727065959</v>
      </c>
      <c r="K28" s="207">
        <f>IFERROR(VLOOKUP($B28,MMWR_TRAD_AGG_RO_COMP[],K$1,0),"ERROR")</f>
        <v>211</v>
      </c>
      <c r="L28" s="208">
        <f>IFERROR(VLOOKUP($B28,MMWR_TRAD_AGG_RO_COMP[],L$1,0),"ERROR")</f>
        <v>166</v>
      </c>
      <c r="M28" s="219">
        <f t="shared" si="2"/>
        <v>0.78672985781990523</v>
      </c>
      <c r="N28" s="207">
        <f>IFERROR(VLOOKUP($B28,MMWR_TRAD_AGG_RO_COMP[],N$1,0),"ERROR")</f>
        <v>2834</v>
      </c>
      <c r="O28" s="208">
        <f>IFERROR(VLOOKUP($B28,MMWR_TRAD_AGG_RO_COMP[],O$1,0),"ERROR")</f>
        <v>2710</v>
      </c>
      <c r="P28" s="219">
        <f t="shared" si="3"/>
        <v>0.95624558927311221</v>
      </c>
      <c r="Q28" s="204">
        <f>IFERROR(VLOOKUP($B28,MMWR_TRAD_AGG_RO_COMP[],Q$1,0),"ERROR")</f>
        <v>0</v>
      </c>
      <c r="R28" s="204">
        <f>IFERROR(VLOOKUP($B28,MMWR_TRAD_AGG_RO_COMP[],R$1,0),"ERROR")</f>
        <v>10</v>
      </c>
      <c r="S28" s="204">
        <f>IFERROR(VLOOKUP($B28,MMWR_APP_RO[],S$1,0),"ERROR")</f>
        <v>1114</v>
      </c>
      <c r="T28" s="25"/>
    </row>
    <row r="29" spans="1:20" x14ac:dyDescent="0.2">
      <c r="A29" s="107"/>
      <c r="B29" s="108" t="s">
        <v>45</v>
      </c>
      <c r="C29" s="212">
        <f>IFERROR(VLOOKUP($B29,MMWR_TRAD_AGG_RO_COMP[],C$1,0),"ERROR")</f>
        <v>2902</v>
      </c>
      <c r="D29" s="201">
        <f>IFERROR(VLOOKUP($B29,MMWR_TRAD_AGG_RO_COMP[],D$1,0),"ERROR")</f>
        <v>236.49862164020001</v>
      </c>
      <c r="E29" s="198">
        <f>IFERROR(VLOOKUP($B29,MMWR_TRAD_AGG_RO_COMP[],E$1,0),"ERROR")</f>
        <v>7757</v>
      </c>
      <c r="F29" s="194">
        <f>IFERROR(VLOOKUP($B29,MMWR_TRAD_AGG_RO_COMP[],F$1,0),"ERROR")</f>
        <v>2261</v>
      </c>
      <c r="G29" s="219">
        <f t="shared" si="0"/>
        <v>0.29147866443212583</v>
      </c>
      <c r="H29" s="193">
        <f>IFERROR(VLOOKUP($B29,MMWR_TRAD_AGG_RO_COMP[],H$1,0),"ERROR")</f>
        <v>5567</v>
      </c>
      <c r="I29" s="194">
        <f>IFERROR(VLOOKUP($B29,MMWR_TRAD_AGG_RO_COMP[],I$1,0),"ERROR")</f>
        <v>2535</v>
      </c>
      <c r="J29" s="219">
        <f t="shared" si="1"/>
        <v>0.45536195437398957</v>
      </c>
      <c r="K29" s="207">
        <f>IFERROR(VLOOKUP($B29,MMWR_TRAD_AGG_RO_COMP[],K$1,0),"ERROR")</f>
        <v>846</v>
      </c>
      <c r="L29" s="208">
        <f>IFERROR(VLOOKUP($B29,MMWR_TRAD_AGG_RO_COMP[],L$1,0),"ERROR")</f>
        <v>682</v>
      </c>
      <c r="M29" s="219">
        <f t="shared" si="2"/>
        <v>0.80614657210401897</v>
      </c>
      <c r="N29" s="207">
        <f>IFERROR(VLOOKUP($B29,MMWR_TRAD_AGG_RO_COMP[],N$1,0),"ERROR")</f>
        <v>798</v>
      </c>
      <c r="O29" s="208">
        <f>IFERROR(VLOOKUP($B29,MMWR_TRAD_AGG_RO_COMP[],O$1,0),"ERROR")</f>
        <v>567</v>
      </c>
      <c r="P29" s="219">
        <f t="shared" si="3"/>
        <v>0.71052631578947367</v>
      </c>
      <c r="Q29" s="204">
        <f>IFERROR(VLOOKUP($B29,MMWR_TRAD_AGG_RO_COMP[],Q$1,0),"ERROR")</f>
        <v>2</v>
      </c>
      <c r="R29" s="204">
        <f>IFERROR(VLOOKUP($B29,MMWR_TRAD_AGG_RO_COMP[],R$1,0),"ERROR")</f>
        <v>206</v>
      </c>
      <c r="S29" s="204">
        <f>IFERROR(VLOOKUP($B29,MMWR_APP_RO[],S$1,0),"ERROR")</f>
        <v>6100</v>
      </c>
      <c r="T29" s="25"/>
    </row>
    <row r="30" spans="1:20" x14ac:dyDescent="0.2">
      <c r="A30" s="107"/>
      <c r="B30" s="108" t="s">
        <v>46</v>
      </c>
      <c r="C30" s="212">
        <f>IFERROR(VLOOKUP($B30,MMWR_TRAD_AGG_RO_COMP[],C$1,0),"ERROR")</f>
        <v>154</v>
      </c>
      <c r="D30" s="201">
        <f>IFERROR(VLOOKUP($B30,MMWR_TRAD_AGG_RO_COMP[],D$1,0),"ERROR")</f>
        <v>65.071428571400006</v>
      </c>
      <c r="E30" s="198">
        <f>IFERROR(VLOOKUP($B30,MMWR_TRAD_AGG_RO_COMP[],E$1,0),"ERROR")</f>
        <v>893</v>
      </c>
      <c r="F30" s="194">
        <f>IFERROR(VLOOKUP($B30,MMWR_TRAD_AGG_RO_COMP[],F$1,0),"ERROR")</f>
        <v>201</v>
      </c>
      <c r="G30" s="219">
        <f t="shared" si="0"/>
        <v>0.22508398656215006</v>
      </c>
      <c r="H30" s="193">
        <f>IFERROR(VLOOKUP($B30,MMWR_TRAD_AGG_RO_COMP[],H$1,0),"ERROR")</f>
        <v>745</v>
      </c>
      <c r="I30" s="194">
        <f>IFERROR(VLOOKUP($B30,MMWR_TRAD_AGG_RO_COMP[],I$1,0),"ERROR")</f>
        <v>32</v>
      </c>
      <c r="J30" s="219">
        <f t="shared" si="1"/>
        <v>4.2953020134228186E-2</v>
      </c>
      <c r="K30" s="207">
        <f>IFERROR(VLOOKUP($B30,MMWR_TRAD_AGG_RO_COMP[],K$1,0),"ERROR")</f>
        <v>64</v>
      </c>
      <c r="L30" s="208">
        <f>IFERROR(VLOOKUP($B30,MMWR_TRAD_AGG_RO_COMP[],L$1,0),"ERROR")</f>
        <v>16</v>
      </c>
      <c r="M30" s="219">
        <f t="shared" si="2"/>
        <v>0.25</v>
      </c>
      <c r="N30" s="207">
        <f>IFERROR(VLOOKUP($B30,MMWR_TRAD_AGG_RO_COMP[],N$1,0),"ERROR")</f>
        <v>41</v>
      </c>
      <c r="O30" s="208">
        <f>IFERROR(VLOOKUP($B30,MMWR_TRAD_AGG_RO_COMP[],O$1,0),"ERROR")</f>
        <v>13</v>
      </c>
      <c r="P30" s="219">
        <f t="shared" si="3"/>
        <v>0.31707317073170732</v>
      </c>
      <c r="Q30" s="204">
        <f>IFERROR(VLOOKUP($B30,MMWR_TRAD_AGG_RO_COMP[],Q$1,0),"ERROR")</f>
        <v>0</v>
      </c>
      <c r="R30" s="204">
        <f>IFERROR(VLOOKUP($B30,MMWR_TRAD_AGG_RO_COMP[],R$1,0),"ERROR")</f>
        <v>0</v>
      </c>
      <c r="S30" s="204">
        <f>IFERROR(VLOOKUP($B30,MMWR_APP_RO[],S$1,0),"ERROR")</f>
        <v>478</v>
      </c>
      <c r="T30" s="25"/>
    </row>
    <row r="31" spans="1:20" x14ac:dyDescent="0.2">
      <c r="A31" s="107"/>
      <c r="B31" s="108" t="s">
        <v>51</v>
      </c>
      <c r="C31" s="212">
        <f>IFERROR(VLOOKUP($B31,MMWR_TRAD_AGG_RO_COMP[],C$1,0),"ERROR")</f>
        <v>9545</v>
      </c>
      <c r="D31" s="201">
        <f>IFERROR(VLOOKUP($B31,MMWR_TRAD_AGG_RO_COMP[],D$1,0),"ERROR")</f>
        <v>537.84347826090004</v>
      </c>
      <c r="E31" s="198">
        <f>IFERROR(VLOOKUP($B31,MMWR_TRAD_AGG_RO_COMP[],E$1,0),"ERROR")</f>
        <v>4797</v>
      </c>
      <c r="F31" s="194">
        <f>IFERROR(VLOOKUP($B31,MMWR_TRAD_AGG_RO_COMP[],F$1,0),"ERROR")</f>
        <v>1571</v>
      </c>
      <c r="G31" s="219">
        <f t="shared" si="0"/>
        <v>0.32749635188659582</v>
      </c>
      <c r="H31" s="193">
        <f>IFERROR(VLOOKUP($B31,MMWR_TRAD_AGG_RO_COMP[],H$1,0),"ERROR")</f>
        <v>15487</v>
      </c>
      <c r="I31" s="194">
        <f>IFERROR(VLOOKUP($B31,MMWR_TRAD_AGG_RO_COMP[],I$1,0),"ERROR")</f>
        <v>8934</v>
      </c>
      <c r="J31" s="219">
        <f t="shared" si="1"/>
        <v>0.57687092400077489</v>
      </c>
      <c r="K31" s="207">
        <f>IFERROR(VLOOKUP($B31,MMWR_TRAD_AGG_RO_COMP[],K$1,0),"ERROR")</f>
        <v>1053</v>
      </c>
      <c r="L31" s="208">
        <f>IFERROR(VLOOKUP($B31,MMWR_TRAD_AGG_RO_COMP[],L$1,0),"ERROR")</f>
        <v>908</v>
      </c>
      <c r="M31" s="219">
        <f t="shared" si="2"/>
        <v>0.86229819563152899</v>
      </c>
      <c r="N31" s="207">
        <f>IFERROR(VLOOKUP($B31,MMWR_TRAD_AGG_RO_COMP[],N$1,0),"ERROR")</f>
        <v>1983</v>
      </c>
      <c r="O31" s="208">
        <f>IFERROR(VLOOKUP($B31,MMWR_TRAD_AGG_RO_COMP[],O$1,0),"ERROR")</f>
        <v>1337</v>
      </c>
      <c r="P31" s="219">
        <f t="shared" si="3"/>
        <v>0.6742309631870903</v>
      </c>
      <c r="Q31" s="204">
        <f>IFERROR(VLOOKUP($B31,MMWR_TRAD_AGG_RO_COMP[],Q$1,0),"ERROR")</f>
        <v>3</v>
      </c>
      <c r="R31" s="204">
        <f>IFERROR(VLOOKUP($B31,MMWR_TRAD_AGG_RO_COMP[],R$1,0),"ERROR")</f>
        <v>207</v>
      </c>
      <c r="S31" s="204">
        <f>IFERROR(VLOOKUP($B31,MMWR_APP_RO[],S$1,0),"ERROR")</f>
        <v>8105</v>
      </c>
      <c r="T31" s="25"/>
    </row>
    <row r="32" spans="1:20" x14ac:dyDescent="0.2">
      <c r="A32" s="107"/>
      <c r="B32" s="108" t="s">
        <v>53</v>
      </c>
      <c r="C32" s="212">
        <f>IFERROR(VLOOKUP($B32,MMWR_TRAD_AGG_RO_COMP[],C$1,0),"ERROR")</f>
        <v>2534</v>
      </c>
      <c r="D32" s="201">
        <f>IFERROR(VLOOKUP($B32,MMWR_TRAD_AGG_RO_COMP[],D$1,0),"ERROR")</f>
        <v>131.0631412786</v>
      </c>
      <c r="E32" s="198">
        <f>IFERROR(VLOOKUP($B32,MMWR_TRAD_AGG_RO_COMP[],E$1,0),"ERROR")</f>
        <v>1982</v>
      </c>
      <c r="F32" s="194">
        <f>IFERROR(VLOOKUP($B32,MMWR_TRAD_AGG_RO_COMP[],F$1,0),"ERROR")</f>
        <v>379</v>
      </c>
      <c r="G32" s="219">
        <f t="shared" si="0"/>
        <v>0.19122098890010092</v>
      </c>
      <c r="H32" s="193">
        <f>IFERROR(VLOOKUP($B32,MMWR_TRAD_AGG_RO_COMP[],H$1,0),"ERROR")</f>
        <v>4936</v>
      </c>
      <c r="I32" s="194">
        <f>IFERROR(VLOOKUP($B32,MMWR_TRAD_AGG_RO_COMP[],I$1,0),"ERROR")</f>
        <v>1072</v>
      </c>
      <c r="J32" s="219">
        <f t="shared" si="1"/>
        <v>0.21717990275526741</v>
      </c>
      <c r="K32" s="207">
        <f>IFERROR(VLOOKUP($B32,MMWR_TRAD_AGG_RO_COMP[],K$1,0),"ERROR")</f>
        <v>601</v>
      </c>
      <c r="L32" s="208">
        <f>IFERROR(VLOOKUP($B32,MMWR_TRAD_AGG_RO_COMP[],L$1,0),"ERROR")</f>
        <v>486</v>
      </c>
      <c r="M32" s="219">
        <f t="shared" si="2"/>
        <v>0.80865224625623955</v>
      </c>
      <c r="N32" s="207">
        <f>IFERROR(VLOOKUP($B32,MMWR_TRAD_AGG_RO_COMP[],N$1,0),"ERROR")</f>
        <v>308</v>
      </c>
      <c r="O32" s="208">
        <f>IFERROR(VLOOKUP($B32,MMWR_TRAD_AGG_RO_COMP[],O$1,0),"ERROR")</f>
        <v>206</v>
      </c>
      <c r="P32" s="219">
        <f t="shared" si="3"/>
        <v>0.66883116883116878</v>
      </c>
      <c r="Q32" s="204">
        <f>IFERROR(VLOOKUP($B32,MMWR_TRAD_AGG_RO_COMP[],Q$1,0),"ERROR")</f>
        <v>0</v>
      </c>
      <c r="R32" s="204">
        <f>IFERROR(VLOOKUP($B32,MMWR_TRAD_AGG_RO_COMP[],R$1,0),"ERROR")</f>
        <v>16</v>
      </c>
      <c r="S32" s="204">
        <f>IFERROR(VLOOKUP($B32,MMWR_APP_RO[],S$1,0),"ERROR")</f>
        <v>1367</v>
      </c>
      <c r="T32" s="25"/>
    </row>
    <row r="33" spans="1:20" x14ac:dyDescent="0.2">
      <c r="A33" s="107"/>
      <c r="B33" s="108" t="s">
        <v>59</v>
      </c>
      <c r="C33" s="212">
        <f>IFERROR(VLOOKUP($B33,MMWR_TRAD_AGG_RO_COMP[],C$1,0),"ERROR")</f>
        <v>6681</v>
      </c>
      <c r="D33" s="201">
        <f>IFERROR(VLOOKUP($B33,MMWR_TRAD_AGG_RO_COMP[],D$1,0),"ERROR")</f>
        <v>182.11959287529999</v>
      </c>
      <c r="E33" s="198">
        <f>IFERROR(VLOOKUP($B33,MMWR_TRAD_AGG_RO_COMP[],E$1,0),"ERROR")</f>
        <v>5733</v>
      </c>
      <c r="F33" s="194">
        <f>IFERROR(VLOOKUP($B33,MMWR_TRAD_AGG_RO_COMP[],F$1,0),"ERROR")</f>
        <v>1407</v>
      </c>
      <c r="G33" s="219">
        <f t="shared" si="0"/>
        <v>0.24542124542124541</v>
      </c>
      <c r="H33" s="193">
        <f>IFERROR(VLOOKUP($B33,MMWR_TRAD_AGG_RO_COMP[],H$1,0),"ERROR")</f>
        <v>9043</v>
      </c>
      <c r="I33" s="194">
        <f>IFERROR(VLOOKUP($B33,MMWR_TRAD_AGG_RO_COMP[],I$1,0),"ERROR")</f>
        <v>3771</v>
      </c>
      <c r="J33" s="219">
        <f t="shared" si="1"/>
        <v>0.41700763021121312</v>
      </c>
      <c r="K33" s="207">
        <f>IFERROR(VLOOKUP($B33,MMWR_TRAD_AGG_RO_COMP[],K$1,0),"ERROR")</f>
        <v>297</v>
      </c>
      <c r="L33" s="208">
        <f>IFERROR(VLOOKUP($B33,MMWR_TRAD_AGG_RO_COMP[],L$1,0),"ERROR")</f>
        <v>224</v>
      </c>
      <c r="M33" s="219">
        <f t="shared" si="2"/>
        <v>0.75420875420875422</v>
      </c>
      <c r="N33" s="207">
        <f>IFERROR(VLOOKUP($B33,MMWR_TRAD_AGG_RO_COMP[],N$1,0),"ERROR")</f>
        <v>372</v>
      </c>
      <c r="O33" s="208">
        <f>IFERROR(VLOOKUP($B33,MMWR_TRAD_AGG_RO_COMP[],O$1,0),"ERROR")</f>
        <v>167</v>
      </c>
      <c r="P33" s="219">
        <f t="shared" si="3"/>
        <v>0.44892473118279569</v>
      </c>
      <c r="Q33" s="204">
        <f>IFERROR(VLOOKUP($B33,MMWR_TRAD_AGG_RO_COMP[],Q$1,0),"ERROR")</f>
        <v>99</v>
      </c>
      <c r="R33" s="204">
        <f>IFERROR(VLOOKUP($B33,MMWR_TRAD_AGG_RO_COMP[],R$1,0),"ERROR")</f>
        <v>0</v>
      </c>
      <c r="S33" s="204">
        <f>IFERROR(VLOOKUP($B33,MMWR_APP_RO[],S$1,0),"ERROR")</f>
        <v>2977</v>
      </c>
      <c r="T33" s="25"/>
    </row>
    <row r="34" spans="1:20" x14ac:dyDescent="0.2">
      <c r="A34" s="107"/>
      <c r="B34" s="108" t="s">
        <v>77</v>
      </c>
      <c r="C34" s="212">
        <f>IFERROR(VLOOKUP($B34,MMWR_TRAD_AGG_RO_COMP[],C$1,0),"ERROR")</f>
        <v>764</v>
      </c>
      <c r="D34" s="201">
        <f>IFERROR(VLOOKUP($B34,MMWR_TRAD_AGG_RO_COMP[],D$1,0),"ERROR")</f>
        <v>82.725130890100004</v>
      </c>
      <c r="E34" s="198">
        <f>IFERROR(VLOOKUP($B34,MMWR_TRAD_AGG_RO_COMP[],E$1,0),"ERROR")</f>
        <v>879</v>
      </c>
      <c r="F34" s="194">
        <f>IFERROR(VLOOKUP($B34,MMWR_TRAD_AGG_RO_COMP[],F$1,0),"ERROR")</f>
        <v>231</v>
      </c>
      <c r="G34" s="219">
        <f t="shared" si="0"/>
        <v>0.26279863481228671</v>
      </c>
      <c r="H34" s="193">
        <f>IFERROR(VLOOKUP($B34,MMWR_TRAD_AGG_RO_COMP[],H$1,0),"ERROR")</f>
        <v>1062</v>
      </c>
      <c r="I34" s="194">
        <f>IFERROR(VLOOKUP($B34,MMWR_TRAD_AGG_RO_COMP[],I$1,0),"ERROR")</f>
        <v>140</v>
      </c>
      <c r="J34" s="219">
        <f t="shared" si="1"/>
        <v>0.13182674199623351</v>
      </c>
      <c r="K34" s="207">
        <f>IFERROR(VLOOKUP($B34,MMWR_TRAD_AGG_RO_COMP[],K$1,0),"ERROR")</f>
        <v>711</v>
      </c>
      <c r="L34" s="208">
        <f>IFERROR(VLOOKUP($B34,MMWR_TRAD_AGG_RO_COMP[],L$1,0),"ERROR")</f>
        <v>107</v>
      </c>
      <c r="M34" s="219">
        <f t="shared" si="2"/>
        <v>0.15049226441631505</v>
      </c>
      <c r="N34" s="207">
        <f>IFERROR(VLOOKUP($B34,MMWR_TRAD_AGG_RO_COMP[],N$1,0),"ERROR")</f>
        <v>26</v>
      </c>
      <c r="O34" s="208">
        <f>IFERROR(VLOOKUP($B34,MMWR_TRAD_AGG_RO_COMP[],O$1,0),"ERROR")</f>
        <v>10</v>
      </c>
      <c r="P34" s="219">
        <f t="shared" si="3"/>
        <v>0.38461538461538464</v>
      </c>
      <c r="Q34" s="204">
        <f>IFERROR(VLOOKUP($B34,MMWR_TRAD_AGG_RO_COMP[],Q$1,0),"ERROR")</f>
        <v>0</v>
      </c>
      <c r="R34" s="204">
        <f>IFERROR(VLOOKUP($B34,MMWR_TRAD_AGG_RO_COMP[],R$1,0),"ERROR")</f>
        <v>2</v>
      </c>
      <c r="S34" s="204">
        <f>IFERROR(VLOOKUP($B34,MMWR_APP_RO[],S$1,0),"ERROR")</f>
        <v>228</v>
      </c>
      <c r="T34" s="25"/>
    </row>
    <row r="35" spans="1:20" x14ac:dyDescent="0.2">
      <c r="A35" s="107"/>
      <c r="B35" s="108" t="s">
        <v>78</v>
      </c>
      <c r="C35" s="212">
        <f>IFERROR(VLOOKUP($B35,MMWR_TRAD_AGG_RO_COMP[],C$1,0),"ERROR")</f>
        <v>4747</v>
      </c>
      <c r="D35" s="201">
        <f>IFERROR(VLOOKUP($B35,MMWR_TRAD_AGG_RO_COMP[],D$1,0),"ERROR")</f>
        <v>269.71771645249999</v>
      </c>
      <c r="E35" s="198">
        <f>IFERROR(VLOOKUP($B35,MMWR_TRAD_AGG_RO_COMP[],E$1,0),"ERROR")</f>
        <v>4768</v>
      </c>
      <c r="F35" s="194">
        <f>IFERROR(VLOOKUP($B35,MMWR_TRAD_AGG_RO_COMP[],F$1,0),"ERROR")</f>
        <v>1308</v>
      </c>
      <c r="G35" s="219">
        <f t="shared" si="0"/>
        <v>0.27432885906040266</v>
      </c>
      <c r="H35" s="193">
        <f>IFERROR(VLOOKUP($B35,MMWR_TRAD_AGG_RO_COMP[],H$1,0),"ERROR")</f>
        <v>7296</v>
      </c>
      <c r="I35" s="194">
        <f>IFERROR(VLOOKUP($B35,MMWR_TRAD_AGG_RO_COMP[],I$1,0),"ERROR")</f>
        <v>4705</v>
      </c>
      <c r="J35" s="219">
        <f t="shared" si="1"/>
        <v>0.64487390350877194</v>
      </c>
      <c r="K35" s="207">
        <f>IFERROR(VLOOKUP($B35,MMWR_TRAD_AGG_RO_COMP[],K$1,0),"ERROR")</f>
        <v>2314</v>
      </c>
      <c r="L35" s="208">
        <f>IFERROR(VLOOKUP($B35,MMWR_TRAD_AGG_RO_COMP[],L$1,0),"ERROR")</f>
        <v>2192</v>
      </c>
      <c r="M35" s="219">
        <f t="shared" si="2"/>
        <v>0.94727744165946415</v>
      </c>
      <c r="N35" s="207">
        <f>IFERROR(VLOOKUP($B35,MMWR_TRAD_AGG_RO_COMP[],N$1,0),"ERROR")</f>
        <v>5709</v>
      </c>
      <c r="O35" s="208">
        <f>IFERROR(VLOOKUP($B35,MMWR_TRAD_AGG_RO_COMP[],O$1,0),"ERROR")</f>
        <v>4709</v>
      </c>
      <c r="P35" s="219">
        <f t="shared" si="3"/>
        <v>0.82483797512699242</v>
      </c>
      <c r="Q35" s="204">
        <f>IFERROR(VLOOKUP($B35,MMWR_TRAD_AGG_RO_COMP[],Q$1,0),"ERROR")</f>
        <v>43</v>
      </c>
      <c r="R35" s="204">
        <f>IFERROR(VLOOKUP($B35,MMWR_TRAD_AGG_RO_COMP[],R$1,0),"ERROR")</f>
        <v>115</v>
      </c>
      <c r="S35" s="204">
        <f>IFERROR(VLOOKUP($B35,MMWR_APP_RO[],S$1,0),"ERROR")</f>
        <v>6260</v>
      </c>
      <c r="T35" s="25"/>
    </row>
    <row r="36" spans="1:20" x14ac:dyDescent="0.2">
      <c r="A36" s="28"/>
      <c r="B36" s="108" t="s">
        <v>79</v>
      </c>
      <c r="C36" s="222">
        <f>IFERROR(VLOOKUP($B36,MMWR_TRAD_AGG_RO_COMP[],C$1,0),"ERROR")</f>
        <v>4700</v>
      </c>
      <c r="D36" s="223">
        <f>IFERROR(VLOOKUP($B36,MMWR_TRAD_AGG_RO_COMP[],D$1,0),"ERROR")</f>
        <v>148.62659574470001</v>
      </c>
      <c r="E36" s="224">
        <f>IFERROR(VLOOKUP($B36,MMWR_TRAD_AGG_RO_COMP[],E$1,0),"ERROR")</f>
        <v>10277</v>
      </c>
      <c r="F36" s="225">
        <f>IFERROR(VLOOKUP($B36,MMWR_TRAD_AGG_RO_COMP[],F$1,0),"ERROR")</f>
        <v>2449</v>
      </c>
      <c r="G36" s="226">
        <f t="shared" si="0"/>
        <v>0.23829911452758587</v>
      </c>
      <c r="H36" s="227">
        <f>IFERROR(VLOOKUP($B36,MMWR_TRAD_AGG_RO_COMP[],H$1,0),"ERROR")</f>
        <v>11527</v>
      </c>
      <c r="I36" s="225">
        <f>IFERROR(VLOOKUP($B36,MMWR_TRAD_AGG_RO_COMP[],I$1,0),"ERROR")</f>
        <v>2388</v>
      </c>
      <c r="J36" s="226">
        <f t="shared" si="1"/>
        <v>0.20716578467944824</v>
      </c>
      <c r="K36" s="228">
        <f>IFERROR(VLOOKUP($B36,MMWR_TRAD_AGG_RO_COMP[],K$1,0),"ERROR")</f>
        <v>504</v>
      </c>
      <c r="L36" s="229">
        <f>IFERROR(VLOOKUP($B36,MMWR_TRAD_AGG_RO_COMP[],L$1,0),"ERROR")</f>
        <v>383</v>
      </c>
      <c r="M36" s="226">
        <f t="shared" si="2"/>
        <v>0.75992063492063489</v>
      </c>
      <c r="N36" s="228">
        <f>IFERROR(VLOOKUP($B36,MMWR_TRAD_AGG_RO_COMP[],N$1,0),"ERROR")</f>
        <v>1418</v>
      </c>
      <c r="O36" s="229">
        <f>IFERROR(VLOOKUP($B36,MMWR_TRAD_AGG_RO_COMP[],O$1,0),"ERROR")</f>
        <v>555</v>
      </c>
      <c r="P36" s="226">
        <f t="shared" si="3"/>
        <v>0.39139633286318759</v>
      </c>
      <c r="Q36" s="230">
        <f>IFERROR(VLOOKUP($B36,MMWR_TRAD_AGG_RO_COMP[],Q$1,0),"ERROR")</f>
        <v>15</v>
      </c>
      <c r="R36" s="230">
        <f>IFERROR(VLOOKUP($B36,MMWR_TRAD_AGG_RO_COMP[],R$1,0),"ERROR")</f>
        <v>0</v>
      </c>
      <c r="S36" s="204">
        <f>IFERROR(VLOOKUP($B36,MMWR_APP_RO[],S$1,0),"ERROR")</f>
        <v>1763</v>
      </c>
      <c r="T36" s="28"/>
    </row>
    <row r="37" spans="1:20" x14ac:dyDescent="0.2">
      <c r="A37" s="28"/>
      <c r="B37" s="116" t="s">
        <v>84</v>
      </c>
      <c r="C37" s="231">
        <f>IFERROR(VLOOKUP($B37,MMWR_TRAD_AGG_RO_COMP[],C$1,0),"ERROR")</f>
        <v>1753</v>
      </c>
      <c r="D37" s="232">
        <f>IFERROR(VLOOKUP($B37,MMWR_TRAD_AGG_RO_COMP[],D$1,0),"ERROR")</f>
        <v>125.81802624069999</v>
      </c>
      <c r="E37" s="233">
        <f>IFERROR(VLOOKUP($B37,MMWR_TRAD_AGG_RO_COMP[],E$1,0),"ERROR")</f>
        <v>2571</v>
      </c>
      <c r="F37" s="234">
        <f>IFERROR(VLOOKUP($B37,MMWR_TRAD_AGG_RO_COMP[],F$1,0),"ERROR")</f>
        <v>689</v>
      </c>
      <c r="G37" s="235">
        <f t="shared" si="0"/>
        <v>0.26798910929599379</v>
      </c>
      <c r="H37" s="236">
        <f>IFERROR(VLOOKUP($B37,MMWR_TRAD_AGG_RO_COMP[],H$1,0),"ERROR")</f>
        <v>2684</v>
      </c>
      <c r="I37" s="234">
        <f>IFERROR(VLOOKUP($B37,MMWR_TRAD_AGG_RO_COMP[],I$1,0),"ERROR")</f>
        <v>963</v>
      </c>
      <c r="J37" s="235">
        <f t="shared" si="1"/>
        <v>0.35879284649776455</v>
      </c>
      <c r="K37" s="237">
        <f>IFERROR(VLOOKUP($B37,MMWR_TRAD_AGG_RO_COMP[],K$1,0),"ERROR")</f>
        <v>249</v>
      </c>
      <c r="L37" s="238">
        <f>IFERROR(VLOOKUP($B37,MMWR_TRAD_AGG_RO_COMP[],L$1,0),"ERROR")</f>
        <v>136</v>
      </c>
      <c r="M37" s="235">
        <f t="shared" si="2"/>
        <v>0.54618473895582331</v>
      </c>
      <c r="N37" s="237">
        <f>IFERROR(VLOOKUP($B37,MMWR_TRAD_AGG_RO_COMP[],N$1,0),"ERROR")</f>
        <v>149</v>
      </c>
      <c r="O37" s="238">
        <f>IFERROR(VLOOKUP($B37,MMWR_TRAD_AGG_RO_COMP[],O$1,0),"ERROR")</f>
        <v>93</v>
      </c>
      <c r="P37" s="235">
        <f t="shared" si="3"/>
        <v>0.62416107382550334</v>
      </c>
      <c r="Q37" s="239">
        <f>IFERROR(VLOOKUP($B37,MMWR_TRAD_AGG_RO_COMP[],Q$1,0),"ERROR")</f>
        <v>0</v>
      </c>
      <c r="R37" s="239">
        <f>IFERROR(VLOOKUP($B37,MMWR_TRAD_AGG_RO_COMP[],R$1,0),"ERROR")</f>
        <v>10</v>
      </c>
      <c r="S37" s="204">
        <f>IFERROR(VLOOKUP($B37,MMWR_APP_RO[],S$1,0),"ERROR")</f>
        <v>1341</v>
      </c>
      <c r="T37" s="28"/>
    </row>
    <row r="38" spans="1:20" x14ac:dyDescent="0.2">
      <c r="A38" s="28"/>
      <c r="B38" s="101" t="s">
        <v>395</v>
      </c>
      <c r="C38" s="215">
        <f>IFERROR(VLOOKUP($B38,MMWR_TRAD_AGG_DISTRICT_COMP[],C$1,0),"ERROR")</f>
        <v>61827</v>
      </c>
      <c r="D38" s="200">
        <f>IFERROR(VLOOKUP($B38,MMWR_TRAD_AGG_DISTRICT_COMP[],D$1,0),"ERROR")</f>
        <v>326.64253481489999</v>
      </c>
      <c r="E38" s="216">
        <f>IFERROR(VLOOKUP($B38,MMWR_TRAD_AGG_DISTRICT_COMP[],E$1,0),"ERROR")</f>
        <v>69497</v>
      </c>
      <c r="F38" s="221">
        <f>IFERROR(VLOOKUP($B38,MMWR_TRAD_AGG_DISTRICT_COMP[],F$1,0),"ERROR")</f>
        <v>23329</v>
      </c>
      <c r="G38" s="217">
        <f t="shared" si="0"/>
        <v>0.33568355468581379</v>
      </c>
      <c r="H38" s="221">
        <f>IFERROR(VLOOKUP($B38,MMWR_TRAD_AGG_DISTRICT_COMP[],H$1,0),"ERROR")</f>
        <v>92338</v>
      </c>
      <c r="I38" s="221">
        <f>IFERROR(VLOOKUP($B38,MMWR_TRAD_AGG_DISTRICT_COMP[],I$1,0),"ERROR")</f>
        <v>52004</v>
      </c>
      <c r="J38" s="217">
        <f t="shared" si="1"/>
        <v>0.56319175204141303</v>
      </c>
      <c r="K38" s="215">
        <f>IFERROR(VLOOKUP($B38,MMWR_TRAD_AGG_DISTRICT_COMP[],K$1,0),"ERROR")</f>
        <v>13621</v>
      </c>
      <c r="L38" s="215">
        <f>IFERROR(VLOOKUP($B38,MMWR_TRAD_AGG_DISTRICT_COMP[],L$1,0),"ERROR")</f>
        <v>9778</v>
      </c>
      <c r="M38" s="217">
        <f t="shared" si="2"/>
        <v>0.71786212466045074</v>
      </c>
      <c r="N38" s="215">
        <f>IFERROR(VLOOKUP($B38,MMWR_TRAD_AGG_DISTRICT_COMP[],N$1,0),"ERROR")</f>
        <v>25191</v>
      </c>
      <c r="O38" s="215">
        <f>IFERROR(VLOOKUP($B38,MMWR_TRAD_AGG_DISTRICT_COMP[],O$1,0),"ERROR")</f>
        <v>19142</v>
      </c>
      <c r="P38" s="217">
        <f t="shared" si="3"/>
        <v>0.75987455837402251</v>
      </c>
      <c r="Q38" s="215">
        <f>IFERROR(VLOOKUP($B38,MMWR_TRAD_AGG_DISTRICT_COMP[],Q$1,0),"ERROR")</f>
        <v>116</v>
      </c>
      <c r="R38" s="218">
        <f>IFERROR(VLOOKUP($B38,MMWR_TRAD_AGG_DISTRICT_COMP[],R$1,0),"ERROR")</f>
        <v>1243</v>
      </c>
      <c r="S38" s="218">
        <f>IFERROR(VLOOKUP($B38,MMWR_APP_RO[],S$1,0),"ERROR")</f>
        <v>63793</v>
      </c>
      <c r="T38" s="28"/>
    </row>
    <row r="39" spans="1:20" x14ac:dyDescent="0.2">
      <c r="A39" s="28"/>
      <c r="B39" s="108" t="s">
        <v>39</v>
      </c>
      <c r="C39" s="222">
        <f>IFERROR(VLOOKUP($B39,MMWR_TRAD_AGG_RO_COMP[],C$1,0),"ERROR")</f>
        <v>688</v>
      </c>
      <c r="D39" s="223">
        <f>IFERROR(VLOOKUP($B39,MMWR_TRAD_AGG_RO_COMP[],D$1,0),"ERROR")</f>
        <v>217.00290697669999</v>
      </c>
      <c r="E39" s="224">
        <f>IFERROR(VLOOKUP($B39,MMWR_TRAD_AGG_RO_COMP[],E$1,0),"ERROR")</f>
        <v>879</v>
      </c>
      <c r="F39" s="225">
        <f>IFERROR(VLOOKUP($B39,MMWR_TRAD_AGG_RO_COMP[],F$1,0),"ERROR")</f>
        <v>200</v>
      </c>
      <c r="G39" s="226">
        <f t="shared" si="0"/>
        <v>0.22753128555176336</v>
      </c>
      <c r="H39" s="227">
        <f>IFERROR(VLOOKUP($B39,MMWR_TRAD_AGG_RO_COMP[],H$1,0),"ERROR")</f>
        <v>956</v>
      </c>
      <c r="I39" s="225">
        <f>IFERROR(VLOOKUP($B39,MMWR_TRAD_AGG_RO_COMP[],I$1,0),"ERROR")</f>
        <v>408</v>
      </c>
      <c r="J39" s="226">
        <f t="shared" si="1"/>
        <v>0.42677824267782427</v>
      </c>
      <c r="K39" s="228">
        <f>IFERROR(VLOOKUP($B39,MMWR_TRAD_AGG_RO_COMP[],K$1,0),"ERROR")</f>
        <v>226</v>
      </c>
      <c r="L39" s="229">
        <f>IFERROR(VLOOKUP($B39,MMWR_TRAD_AGG_RO_COMP[],L$1,0),"ERROR")</f>
        <v>181</v>
      </c>
      <c r="M39" s="226">
        <f t="shared" si="2"/>
        <v>0.80088495575221241</v>
      </c>
      <c r="N39" s="228">
        <f>IFERROR(VLOOKUP($B39,MMWR_TRAD_AGG_RO_COMP[],N$1,0),"ERROR")</f>
        <v>121</v>
      </c>
      <c r="O39" s="229">
        <f>IFERROR(VLOOKUP($B39,MMWR_TRAD_AGG_RO_COMP[],O$1,0),"ERROR")</f>
        <v>61</v>
      </c>
      <c r="P39" s="226">
        <f t="shared" si="3"/>
        <v>0.50413223140495866</v>
      </c>
      <c r="Q39" s="230">
        <f>IFERROR(VLOOKUP($B39,MMWR_TRAD_AGG_RO_COMP[],Q$1,0),"ERROR")</f>
        <v>25</v>
      </c>
      <c r="R39" s="230">
        <f>IFERROR(VLOOKUP($B39,MMWR_TRAD_AGG_RO_COMP[],R$1,0),"ERROR")</f>
        <v>8</v>
      </c>
      <c r="S39" s="204">
        <f>IFERROR(VLOOKUP($B39,MMWR_APP_RO[],S$1,0),"ERROR")</f>
        <v>320</v>
      </c>
      <c r="T39" s="28"/>
    </row>
    <row r="40" spans="1:20" x14ac:dyDescent="0.2">
      <c r="A40" s="28"/>
      <c r="B40" s="108" t="s">
        <v>43</v>
      </c>
      <c r="C40" s="222">
        <f>IFERROR(VLOOKUP($B40,MMWR_TRAD_AGG_RO_COMP[],C$1,0),"ERROR")</f>
        <v>7388</v>
      </c>
      <c r="D40" s="223">
        <f>IFERROR(VLOOKUP($B40,MMWR_TRAD_AGG_RO_COMP[],D$1,0),"ERROR")</f>
        <v>421.57106118029998</v>
      </c>
      <c r="E40" s="224">
        <f>IFERROR(VLOOKUP($B40,MMWR_TRAD_AGG_RO_COMP[],E$1,0),"ERROR")</f>
        <v>7657</v>
      </c>
      <c r="F40" s="225">
        <f>IFERROR(VLOOKUP($B40,MMWR_TRAD_AGG_RO_COMP[],F$1,0),"ERROR")</f>
        <v>3291</v>
      </c>
      <c r="G40" s="226">
        <f t="shared" si="0"/>
        <v>0.42980279482826172</v>
      </c>
      <c r="H40" s="227">
        <f>IFERROR(VLOOKUP($B40,MMWR_TRAD_AGG_RO_COMP[],H$1,0),"ERROR")</f>
        <v>9710</v>
      </c>
      <c r="I40" s="225">
        <f>IFERROR(VLOOKUP($B40,MMWR_TRAD_AGG_RO_COMP[],I$1,0),"ERROR")</f>
        <v>6599</v>
      </c>
      <c r="J40" s="226">
        <f t="shared" si="1"/>
        <v>0.67960865087538624</v>
      </c>
      <c r="K40" s="228">
        <f>IFERROR(VLOOKUP($B40,MMWR_TRAD_AGG_RO_COMP[],K$1,0),"ERROR")</f>
        <v>2047</v>
      </c>
      <c r="L40" s="229">
        <f>IFERROR(VLOOKUP($B40,MMWR_TRAD_AGG_RO_COMP[],L$1,0),"ERROR")</f>
        <v>1780</v>
      </c>
      <c r="M40" s="226">
        <f t="shared" si="2"/>
        <v>0.86956521739130432</v>
      </c>
      <c r="N40" s="228">
        <f>IFERROR(VLOOKUP($B40,MMWR_TRAD_AGG_RO_COMP[],N$1,0),"ERROR")</f>
        <v>5173</v>
      </c>
      <c r="O40" s="229">
        <f>IFERROR(VLOOKUP($B40,MMWR_TRAD_AGG_RO_COMP[],O$1,0),"ERROR")</f>
        <v>3641</v>
      </c>
      <c r="P40" s="226">
        <f t="shared" si="3"/>
        <v>0.70384689735163353</v>
      </c>
      <c r="Q40" s="230">
        <f>IFERROR(VLOOKUP($B40,MMWR_TRAD_AGG_RO_COMP[],Q$1,0),"ERROR")</f>
        <v>1</v>
      </c>
      <c r="R40" s="230">
        <f>IFERROR(VLOOKUP($B40,MMWR_TRAD_AGG_RO_COMP[],R$1,0),"ERROR")</f>
        <v>57</v>
      </c>
      <c r="S40" s="204">
        <f>IFERROR(VLOOKUP($B40,MMWR_APP_RO[],S$1,0),"ERROR")</f>
        <v>5650</v>
      </c>
      <c r="T40" s="28"/>
    </row>
    <row r="41" spans="1:20" x14ac:dyDescent="0.2">
      <c r="A41" s="28"/>
      <c r="B41" s="108" t="s">
        <v>187</v>
      </c>
      <c r="C41" s="222">
        <f>IFERROR(VLOOKUP($B41,MMWR_TRAD_AGG_RO_COMP[],C$1,0),"ERROR")</f>
        <v>908</v>
      </c>
      <c r="D41" s="223">
        <f>IFERROR(VLOOKUP($B41,MMWR_TRAD_AGG_RO_COMP[],D$1,0),"ERROR")</f>
        <v>182.82048458150001</v>
      </c>
      <c r="E41" s="224">
        <f>IFERROR(VLOOKUP($B41,MMWR_TRAD_AGG_RO_COMP[],E$1,0),"ERROR")</f>
        <v>861</v>
      </c>
      <c r="F41" s="225">
        <f>IFERROR(VLOOKUP($B41,MMWR_TRAD_AGG_RO_COMP[],F$1,0),"ERROR")</f>
        <v>88</v>
      </c>
      <c r="G41" s="226">
        <f t="shared" si="0"/>
        <v>0.10220673635307782</v>
      </c>
      <c r="H41" s="227">
        <f>IFERROR(VLOOKUP($B41,MMWR_TRAD_AGG_RO_COMP[],H$1,0),"ERROR")</f>
        <v>1327</v>
      </c>
      <c r="I41" s="225">
        <f>IFERROR(VLOOKUP($B41,MMWR_TRAD_AGG_RO_COMP[],I$1,0),"ERROR")</f>
        <v>446</v>
      </c>
      <c r="J41" s="226">
        <f t="shared" si="1"/>
        <v>0.3360964581763376</v>
      </c>
      <c r="K41" s="228">
        <f>IFERROR(VLOOKUP($B41,MMWR_TRAD_AGG_RO_COMP[],K$1,0),"ERROR")</f>
        <v>313</v>
      </c>
      <c r="L41" s="229">
        <f>IFERROR(VLOOKUP($B41,MMWR_TRAD_AGG_RO_COMP[],L$1,0),"ERROR")</f>
        <v>190</v>
      </c>
      <c r="M41" s="226">
        <f t="shared" si="2"/>
        <v>0.60702875399361023</v>
      </c>
      <c r="N41" s="228">
        <f>IFERROR(VLOOKUP($B41,MMWR_TRAD_AGG_RO_COMP[],N$1,0),"ERROR")</f>
        <v>84</v>
      </c>
      <c r="O41" s="229">
        <f>IFERROR(VLOOKUP($B41,MMWR_TRAD_AGG_RO_COMP[],O$1,0),"ERROR")</f>
        <v>30</v>
      </c>
      <c r="P41" s="226">
        <f t="shared" si="3"/>
        <v>0.35714285714285715</v>
      </c>
      <c r="Q41" s="230">
        <f>IFERROR(VLOOKUP($B41,MMWR_TRAD_AGG_RO_COMP[],Q$1,0),"ERROR")</f>
        <v>0</v>
      </c>
      <c r="R41" s="230">
        <f>IFERROR(VLOOKUP($B41,MMWR_TRAD_AGG_RO_COMP[],R$1,0),"ERROR")</f>
        <v>3</v>
      </c>
      <c r="S41" s="204">
        <f>IFERROR(VLOOKUP($B41,MMWR_APP_RO[],S$1,0),"ERROR")</f>
        <v>258</v>
      </c>
      <c r="T41" s="28"/>
    </row>
    <row r="42" spans="1:20" x14ac:dyDescent="0.2">
      <c r="A42" s="28"/>
      <c r="B42" s="108" t="s">
        <v>49</v>
      </c>
      <c r="C42" s="222">
        <f>IFERROR(VLOOKUP($B42,MMWR_TRAD_AGG_RO_COMP[],C$1,0),"ERROR")</f>
        <v>12805</v>
      </c>
      <c r="D42" s="223">
        <f>IFERROR(VLOOKUP($B42,MMWR_TRAD_AGG_RO_COMP[],D$1,0),"ERROR")</f>
        <v>343.55540804370003</v>
      </c>
      <c r="E42" s="224">
        <f>IFERROR(VLOOKUP($B42,MMWR_TRAD_AGG_RO_COMP[],E$1,0),"ERROR")</f>
        <v>17127</v>
      </c>
      <c r="F42" s="225">
        <f>IFERROR(VLOOKUP($B42,MMWR_TRAD_AGG_RO_COMP[],F$1,0),"ERROR")</f>
        <v>6392</v>
      </c>
      <c r="G42" s="226">
        <f t="shared" si="0"/>
        <v>0.3732118876627547</v>
      </c>
      <c r="H42" s="227">
        <f>IFERROR(VLOOKUP($B42,MMWR_TRAD_AGG_RO_COMP[],H$1,0),"ERROR")</f>
        <v>17210</v>
      </c>
      <c r="I42" s="225">
        <f>IFERROR(VLOOKUP($B42,MMWR_TRAD_AGG_RO_COMP[],I$1,0),"ERROR")</f>
        <v>11497</v>
      </c>
      <c r="J42" s="226">
        <f t="shared" si="1"/>
        <v>0.66804183614177803</v>
      </c>
      <c r="K42" s="228">
        <f>IFERROR(VLOOKUP($B42,MMWR_TRAD_AGG_RO_COMP[],K$1,0),"ERROR")</f>
        <v>1790</v>
      </c>
      <c r="L42" s="229">
        <f>IFERROR(VLOOKUP($B42,MMWR_TRAD_AGG_RO_COMP[],L$1,0),"ERROR")</f>
        <v>1445</v>
      </c>
      <c r="M42" s="226">
        <f t="shared" si="2"/>
        <v>0.80726256983240219</v>
      </c>
      <c r="N42" s="228">
        <f>IFERROR(VLOOKUP($B42,MMWR_TRAD_AGG_RO_COMP[],N$1,0),"ERROR")</f>
        <v>4932</v>
      </c>
      <c r="O42" s="229">
        <f>IFERROR(VLOOKUP($B42,MMWR_TRAD_AGG_RO_COMP[],O$1,0),"ERROR")</f>
        <v>3990</v>
      </c>
      <c r="P42" s="226">
        <f t="shared" si="3"/>
        <v>0.80900243309002429</v>
      </c>
      <c r="Q42" s="230">
        <f>IFERROR(VLOOKUP($B42,MMWR_TRAD_AGG_RO_COMP[],Q$1,0),"ERROR")</f>
        <v>1</v>
      </c>
      <c r="R42" s="230">
        <f>IFERROR(VLOOKUP($B42,MMWR_TRAD_AGG_RO_COMP[],R$1,0),"ERROR")</f>
        <v>235</v>
      </c>
      <c r="S42" s="204">
        <f>IFERROR(VLOOKUP($B42,MMWR_APP_RO[],S$1,0),"ERROR")</f>
        <v>19120</v>
      </c>
      <c r="T42" s="28"/>
    </row>
    <row r="43" spans="1:20" x14ac:dyDescent="0.2">
      <c r="A43" s="28"/>
      <c r="B43" s="108" t="s">
        <v>52</v>
      </c>
      <c r="C43" s="222">
        <f>IFERROR(VLOOKUP($B43,MMWR_TRAD_AGG_RO_COMP[],C$1,0),"ERROR")</f>
        <v>4533</v>
      </c>
      <c r="D43" s="223">
        <f>IFERROR(VLOOKUP($B43,MMWR_TRAD_AGG_RO_COMP[],D$1,0),"ERROR")</f>
        <v>380.28590337520001</v>
      </c>
      <c r="E43" s="224">
        <f>IFERROR(VLOOKUP($B43,MMWR_TRAD_AGG_RO_COMP[],E$1,0),"ERROR")</f>
        <v>4258</v>
      </c>
      <c r="F43" s="225">
        <f>IFERROR(VLOOKUP($B43,MMWR_TRAD_AGG_RO_COMP[],F$1,0),"ERROR")</f>
        <v>2018</v>
      </c>
      <c r="G43" s="226">
        <f t="shared" si="0"/>
        <v>0.47393142320338189</v>
      </c>
      <c r="H43" s="227">
        <f>IFERROR(VLOOKUP($B43,MMWR_TRAD_AGG_RO_COMP[],H$1,0),"ERROR")</f>
        <v>6150</v>
      </c>
      <c r="I43" s="225">
        <f>IFERROR(VLOOKUP($B43,MMWR_TRAD_AGG_RO_COMP[],I$1,0),"ERROR")</f>
        <v>4306</v>
      </c>
      <c r="J43" s="226">
        <f t="shared" si="1"/>
        <v>0.70016260162601629</v>
      </c>
      <c r="K43" s="228">
        <f>IFERROR(VLOOKUP($B43,MMWR_TRAD_AGG_RO_COMP[],K$1,0),"ERROR")</f>
        <v>1695</v>
      </c>
      <c r="L43" s="229">
        <f>IFERROR(VLOOKUP($B43,MMWR_TRAD_AGG_RO_COMP[],L$1,0),"ERROR")</f>
        <v>1423</v>
      </c>
      <c r="M43" s="226">
        <f t="shared" si="2"/>
        <v>0.83952802359882006</v>
      </c>
      <c r="N43" s="228">
        <f>IFERROR(VLOOKUP($B43,MMWR_TRAD_AGG_RO_COMP[],N$1,0),"ERROR")</f>
        <v>2289</v>
      </c>
      <c r="O43" s="229">
        <f>IFERROR(VLOOKUP($B43,MMWR_TRAD_AGG_RO_COMP[],O$1,0),"ERROR")</f>
        <v>1846</v>
      </c>
      <c r="P43" s="226">
        <f t="shared" si="3"/>
        <v>0.80646570554827435</v>
      </c>
      <c r="Q43" s="230">
        <f>IFERROR(VLOOKUP($B43,MMWR_TRAD_AGG_RO_COMP[],Q$1,0),"ERROR")</f>
        <v>85</v>
      </c>
      <c r="R43" s="230">
        <f>IFERROR(VLOOKUP($B43,MMWR_TRAD_AGG_RO_COMP[],R$1,0),"ERROR")</f>
        <v>170</v>
      </c>
      <c r="S43" s="204">
        <f>IFERROR(VLOOKUP($B43,MMWR_APP_RO[],S$1,0),"ERROR")</f>
        <v>4248</v>
      </c>
      <c r="T43" s="28"/>
    </row>
    <row r="44" spans="1:20" x14ac:dyDescent="0.2">
      <c r="A44" s="28"/>
      <c r="B44" s="108" t="s">
        <v>54</v>
      </c>
      <c r="C44" s="222">
        <f>IFERROR(VLOOKUP($B44,MMWR_TRAD_AGG_RO_COMP[],C$1,0),"ERROR")</f>
        <v>4943</v>
      </c>
      <c r="D44" s="223">
        <f>IFERROR(VLOOKUP($B44,MMWR_TRAD_AGG_RO_COMP[],D$1,0),"ERROR")</f>
        <v>322.11147076669999</v>
      </c>
      <c r="E44" s="224">
        <f>IFERROR(VLOOKUP($B44,MMWR_TRAD_AGG_RO_COMP[],E$1,0),"ERROR")</f>
        <v>3359</v>
      </c>
      <c r="F44" s="225">
        <f>IFERROR(VLOOKUP($B44,MMWR_TRAD_AGG_RO_COMP[],F$1,0),"ERROR")</f>
        <v>862</v>
      </c>
      <c r="G44" s="226">
        <f t="shared" si="0"/>
        <v>0.25662399523667756</v>
      </c>
      <c r="H44" s="227">
        <f>IFERROR(VLOOKUP($B44,MMWR_TRAD_AGG_RO_COMP[],H$1,0),"ERROR")</f>
        <v>8235</v>
      </c>
      <c r="I44" s="225">
        <f>IFERROR(VLOOKUP($B44,MMWR_TRAD_AGG_RO_COMP[],I$1,0),"ERROR")</f>
        <v>4006</v>
      </c>
      <c r="J44" s="226">
        <f t="shared" si="1"/>
        <v>0.48646023072252581</v>
      </c>
      <c r="K44" s="228">
        <f>IFERROR(VLOOKUP($B44,MMWR_TRAD_AGG_RO_COMP[],K$1,0),"ERROR")</f>
        <v>3587</v>
      </c>
      <c r="L44" s="229">
        <f>IFERROR(VLOOKUP($B44,MMWR_TRAD_AGG_RO_COMP[],L$1,0),"ERROR")</f>
        <v>2168</v>
      </c>
      <c r="M44" s="226">
        <f t="shared" si="2"/>
        <v>0.60440479509339284</v>
      </c>
      <c r="N44" s="228">
        <f>IFERROR(VLOOKUP($B44,MMWR_TRAD_AGG_RO_COMP[],N$1,0),"ERROR")</f>
        <v>8439</v>
      </c>
      <c r="O44" s="229">
        <f>IFERROR(VLOOKUP($B44,MMWR_TRAD_AGG_RO_COMP[],O$1,0),"ERROR")</f>
        <v>7537</v>
      </c>
      <c r="P44" s="226">
        <f t="shared" si="3"/>
        <v>0.89311529802109257</v>
      </c>
      <c r="Q44" s="230">
        <f>IFERROR(VLOOKUP($B44,MMWR_TRAD_AGG_RO_COMP[],Q$1,0),"ERROR")</f>
        <v>0</v>
      </c>
      <c r="R44" s="230">
        <f>IFERROR(VLOOKUP($B44,MMWR_TRAD_AGG_RO_COMP[],R$1,0),"ERROR")</f>
        <v>162</v>
      </c>
      <c r="S44" s="204">
        <f>IFERROR(VLOOKUP($B44,MMWR_APP_RO[],S$1,0),"ERROR")</f>
        <v>5147</v>
      </c>
      <c r="T44" s="28"/>
    </row>
    <row r="45" spans="1:20" x14ac:dyDescent="0.2">
      <c r="A45" s="28"/>
      <c r="B45" s="108" t="s">
        <v>27</v>
      </c>
      <c r="C45" s="222">
        <f>IFERROR(VLOOKUP($B45,MMWR_TRAD_AGG_RO_COMP[],C$1,0),"ERROR")</f>
        <v>2877</v>
      </c>
      <c r="D45" s="223">
        <f>IFERROR(VLOOKUP($B45,MMWR_TRAD_AGG_RO_COMP[],D$1,0),"ERROR")</f>
        <v>153.52902328810001</v>
      </c>
      <c r="E45" s="224">
        <f>IFERROR(VLOOKUP($B45,MMWR_TRAD_AGG_RO_COMP[],E$1,0),"ERROR")</f>
        <v>6878</v>
      </c>
      <c r="F45" s="225">
        <f>IFERROR(VLOOKUP($B45,MMWR_TRAD_AGG_RO_COMP[],F$1,0),"ERROR")</f>
        <v>1856</v>
      </c>
      <c r="G45" s="226">
        <f t="shared" si="0"/>
        <v>0.26984588543181159</v>
      </c>
      <c r="H45" s="227">
        <f>IFERROR(VLOOKUP($B45,MMWR_TRAD_AGG_RO_COMP[],H$1,0),"ERROR")</f>
        <v>9245</v>
      </c>
      <c r="I45" s="225">
        <f>IFERROR(VLOOKUP($B45,MMWR_TRAD_AGG_RO_COMP[],I$1,0),"ERROR")</f>
        <v>2894</v>
      </c>
      <c r="J45" s="226">
        <f t="shared" si="1"/>
        <v>0.31303407247160625</v>
      </c>
      <c r="K45" s="228">
        <f>IFERROR(VLOOKUP($B45,MMWR_TRAD_AGG_RO_COMP[],K$1,0),"ERROR")</f>
        <v>1095</v>
      </c>
      <c r="L45" s="229">
        <f>IFERROR(VLOOKUP($B45,MMWR_TRAD_AGG_RO_COMP[],L$1,0),"ERROR")</f>
        <v>487</v>
      </c>
      <c r="M45" s="226">
        <f t="shared" si="2"/>
        <v>0.44474885844748857</v>
      </c>
      <c r="N45" s="228">
        <f>IFERROR(VLOOKUP($B45,MMWR_TRAD_AGG_RO_COMP[],N$1,0),"ERROR")</f>
        <v>464</v>
      </c>
      <c r="O45" s="229">
        <f>IFERROR(VLOOKUP($B45,MMWR_TRAD_AGG_RO_COMP[],O$1,0),"ERROR")</f>
        <v>202</v>
      </c>
      <c r="P45" s="226">
        <f t="shared" si="3"/>
        <v>0.43534482758620691</v>
      </c>
      <c r="Q45" s="230">
        <f>IFERROR(VLOOKUP($B45,MMWR_TRAD_AGG_RO_COMP[],Q$1,0),"ERROR")</f>
        <v>0</v>
      </c>
      <c r="R45" s="230">
        <f>IFERROR(VLOOKUP($B45,MMWR_TRAD_AGG_RO_COMP[],R$1,0),"ERROR")</f>
        <v>66</v>
      </c>
      <c r="S45" s="204">
        <f>IFERROR(VLOOKUP($B45,MMWR_APP_RO[],S$1,0),"ERROR")</f>
        <v>3824</v>
      </c>
      <c r="T45" s="28"/>
    </row>
    <row r="46" spans="1:20" x14ac:dyDescent="0.2">
      <c r="A46" s="28"/>
      <c r="B46" s="108" t="s">
        <v>62</v>
      </c>
      <c r="C46" s="222">
        <f>IFERROR(VLOOKUP($B46,MMWR_TRAD_AGG_RO_COMP[],C$1,0),"ERROR")</f>
        <v>5964</v>
      </c>
      <c r="D46" s="223">
        <f>IFERROR(VLOOKUP($B46,MMWR_TRAD_AGG_RO_COMP[],D$1,0),"ERROR")</f>
        <v>414.3333333333</v>
      </c>
      <c r="E46" s="224">
        <f>IFERROR(VLOOKUP($B46,MMWR_TRAD_AGG_RO_COMP[],E$1,0),"ERROR")</f>
        <v>5574</v>
      </c>
      <c r="F46" s="225">
        <f>IFERROR(VLOOKUP($B46,MMWR_TRAD_AGG_RO_COMP[],F$1,0),"ERROR")</f>
        <v>1743</v>
      </c>
      <c r="G46" s="226">
        <f t="shared" si="0"/>
        <v>0.31270182992465018</v>
      </c>
      <c r="H46" s="227">
        <f>IFERROR(VLOOKUP($B46,MMWR_TRAD_AGG_RO_COMP[],H$1,0),"ERROR")</f>
        <v>7215</v>
      </c>
      <c r="I46" s="225">
        <f>IFERROR(VLOOKUP($B46,MMWR_TRAD_AGG_RO_COMP[],I$1,0),"ERROR")</f>
        <v>4876</v>
      </c>
      <c r="J46" s="226">
        <f t="shared" si="1"/>
        <v>0.67581427581427578</v>
      </c>
      <c r="K46" s="228">
        <f>IFERROR(VLOOKUP($B46,MMWR_TRAD_AGG_RO_COMP[],K$1,0),"ERROR")</f>
        <v>519</v>
      </c>
      <c r="L46" s="229">
        <f>IFERROR(VLOOKUP($B46,MMWR_TRAD_AGG_RO_COMP[],L$1,0),"ERROR")</f>
        <v>468</v>
      </c>
      <c r="M46" s="226">
        <f t="shared" si="2"/>
        <v>0.90173410404624277</v>
      </c>
      <c r="N46" s="228">
        <f>IFERROR(VLOOKUP($B46,MMWR_TRAD_AGG_RO_COMP[],N$1,0),"ERROR")</f>
        <v>761</v>
      </c>
      <c r="O46" s="229">
        <f>IFERROR(VLOOKUP($B46,MMWR_TRAD_AGG_RO_COMP[],O$1,0),"ERROR")</f>
        <v>421</v>
      </c>
      <c r="P46" s="226">
        <f t="shared" si="3"/>
        <v>0.55321944809461232</v>
      </c>
      <c r="Q46" s="230">
        <f>IFERROR(VLOOKUP($B46,MMWR_TRAD_AGG_RO_COMP[],Q$1,0),"ERROR")</f>
        <v>2</v>
      </c>
      <c r="R46" s="230">
        <f>IFERROR(VLOOKUP($B46,MMWR_TRAD_AGG_RO_COMP[],R$1,0),"ERROR")</f>
        <v>316</v>
      </c>
      <c r="S46" s="204">
        <f>IFERROR(VLOOKUP($B46,MMWR_APP_RO[],S$1,0),"ERROR")</f>
        <v>5753</v>
      </c>
      <c r="T46" s="28"/>
    </row>
    <row r="47" spans="1:20" x14ac:dyDescent="0.2">
      <c r="A47" s="28"/>
      <c r="B47" s="108" t="s">
        <v>73</v>
      </c>
      <c r="C47" s="222">
        <f>IFERROR(VLOOKUP($B47,MMWR_TRAD_AGG_RO_COMP[],C$1,0),"ERROR")</f>
        <v>8218</v>
      </c>
      <c r="D47" s="223">
        <f>IFERROR(VLOOKUP($B47,MMWR_TRAD_AGG_RO_COMP[],D$1,0),"ERROR")</f>
        <v>244.23679727429999</v>
      </c>
      <c r="E47" s="224">
        <f>IFERROR(VLOOKUP($B47,MMWR_TRAD_AGG_RO_COMP[],E$1,0),"ERROR")</f>
        <v>4989</v>
      </c>
      <c r="F47" s="225">
        <f>IFERROR(VLOOKUP($B47,MMWR_TRAD_AGG_RO_COMP[],F$1,0),"ERROR")</f>
        <v>865</v>
      </c>
      <c r="G47" s="226">
        <f t="shared" si="0"/>
        <v>0.17338143916616555</v>
      </c>
      <c r="H47" s="227">
        <f>IFERROR(VLOOKUP($B47,MMWR_TRAD_AGG_RO_COMP[],H$1,0),"ERROR")</f>
        <v>16124</v>
      </c>
      <c r="I47" s="225">
        <f>IFERROR(VLOOKUP($B47,MMWR_TRAD_AGG_RO_COMP[],I$1,0),"ERROR")</f>
        <v>7421</v>
      </c>
      <c r="J47" s="226">
        <f t="shared" si="1"/>
        <v>0.46024559662614734</v>
      </c>
      <c r="K47" s="228">
        <f>IFERROR(VLOOKUP($B47,MMWR_TRAD_AGG_RO_COMP[],K$1,0),"ERROR")</f>
        <v>946</v>
      </c>
      <c r="L47" s="229">
        <f>IFERROR(VLOOKUP($B47,MMWR_TRAD_AGG_RO_COMP[],L$1,0),"ERROR")</f>
        <v>551</v>
      </c>
      <c r="M47" s="226">
        <f t="shared" si="2"/>
        <v>0.58245243128964064</v>
      </c>
      <c r="N47" s="228">
        <f>IFERROR(VLOOKUP($B47,MMWR_TRAD_AGG_RO_COMP[],N$1,0),"ERROR")</f>
        <v>136</v>
      </c>
      <c r="O47" s="229">
        <f>IFERROR(VLOOKUP($B47,MMWR_TRAD_AGG_RO_COMP[],O$1,0),"ERROR")</f>
        <v>64</v>
      </c>
      <c r="P47" s="226">
        <f t="shared" si="3"/>
        <v>0.47058823529411764</v>
      </c>
      <c r="Q47" s="230">
        <f>IFERROR(VLOOKUP($B47,MMWR_TRAD_AGG_RO_COMP[],Q$1,0),"ERROR")</f>
        <v>0</v>
      </c>
      <c r="R47" s="230">
        <f>IFERROR(VLOOKUP($B47,MMWR_TRAD_AGG_RO_COMP[],R$1,0),"ERROR")</f>
        <v>5</v>
      </c>
      <c r="S47" s="204">
        <f>IFERROR(VLOOKUP($B47,MMWR_APP_RO[],S$1,0),"ERROR")</f>
        <v>413</v>
      </c>
      <c r="T47" s="28"/>
    </row>
    <row r="48" spans="1:20" x14ac:dyDescent="0.2">
      <c r="A48" s="28"/>
      <c r="B48" s="116" t="s">
        <v>82</v>
      </c>
      <c r="C48" s="231">
        <f>IFERROR(VLOOKUP($B48,MMWR_TRAD_AGG_RO_COMP[],C$1,0),"ERROR")</f>
        <v>13503</v>
      </c>
      <c r="D48" s="232">
        <f>IFERROR(VLOOKUP($B48,MMWR_TRAD_AGG_RO_COMP[],D$1,0),"ERROR")</f>
        <v>305.87847145080002</v>
      </c>
      <c r="E48" s="233">
        <f>IFERROR(VLOOKUP($B48,MMWR_TRAD_AGG_RO_COMP[],E$1,0),"ERROR")</f>
        <v>17915</v>
      </c>
      <c r="F48" s="234">
        <f>IFERROR(VLOOKUP($B48,MMWR_TRAD_AGG_RO_COMP[],F$1,0),"ERROR")</f>
        <v>6014</v>
      </c>
      <c r="G48" s="235">
        <f t="shared" si="0"/>
        <v>0.33569634384593916</v>
      </c>
      <c r="H48" s="236">
        <f>IFERROR(VLOOKUP($B48,MMWR_TRAD_AGG_RO_COMP[],H$1,0),"ERROR")</f>
        <v>16166</v>
      </c>
      <c r="I48" s="234">
        <f>IFERROR(VLOOKUP($B48,MMWR_TRAD_AGG_RO_COMP[],I$1,0),"ERROR")</f>
        <v>9551</v>
      </c>
      <c r="J48" s="235">
        <f t="shared" si="1"/>
        <v>0.59080786836570576</v>
      </c>
      <c r="K48" s="237">
        <f>IFERROR(VLOOKUP($B48,MMWR_TRAD_AGG_RO_COMP[],K$1,0),"ERROR")</f>
        <v>1403</v>
      </c>
      <c r="L48" s="238">
        <f>IFERROR(VLOOKUP($B48,MMWR_TRAD_AGG_RO_COMP[],L$1,0),"ERROR")</f>
        <v>1085</v>
      </c>
      <c r="M48" s="235">
        <f t="shared" si="2"/>
        <v>0.77334283677833215</v>
      </c>
      <c r="N48" s="237">
        <f>IFERROR(VLOOKUP($B48,MMWR_TRAD_AGG_RO_COMP[],N$1,0),"ERROR")</f>
        <v>2792</v>
      </c>
      <c r="O48" s="238">
        <f>IFERROR(VLOOKUP($B48,MMWR_TRAD_AGG_RO_COMP[],O$1,0),"ERROR")</f>
        <v>1350</v>
      </c>
      <c r="P48" s="235">
        <f t="shared" si="3"/>
        <v>0.48352435530085958</v>
      </c>
      <c r="Q48" s="239">
        <f>IFERROR(VLOOKUP($B48,MMWR_TRAD_AGG_RO_COMP[],Q$1,0),"ERROR")</f>
        <v>2</v>
      </c>
      <c r="R48" s="239">
        <f>IFERROR(VLOOKUP($B48,MMWR_TRAD_AGG_RO_COMP[],R$1,0),"ERROR")</f>
        <v>221</v>
      </c>
      <c r="S48" s="204">
        <f>IFERROR(VLOOKUP($B48,MMWR_APP_RO[],S$1,0),"ERROR")</f>
        <v>19060</v>
      </c>
      <c r="T48" s="28"/>
    </row>
    <row r="49" spans="1:20" x14ac:dyDescent="0.2">
      <c r="A49" s="28"/>
      <c r="B49" s="101" t="s">
        <v>414</v>
      </c>
      <c r="C49" s="215">
        <f>IFERROR(VLOOKUP($B49,MMWR_TRAD_AGG_DISTRICT_COMP[],C$1,0),"ERROR")</f>
        <v>69642</v>
      </c>
      <c r="D49" s="200">
        <f>IFERROR(VLOOKUP($B49,MMWR_TRAD_AGG_DISTRICT_COMP[],D$1,0),"ERROR")</f>
        <v>365.96009591910001</v>
      </c>
      <c r="E49" s="216">
        <f>IFERROR(VLOOKUP($B49,MMWR_TRAD_AGG_DISTRICT_COMP[],E$1,0),"ERROR")</f>
        <v>66071</v>
      </c>
      <c r="F49" s="221">
        <f>IFERROR(VLOOKUP($B49,MMWR_TRAD_AGG_DISTRICT_COMP[],F$1,0),"ERROR")</f>
        <v>21076</v>
      </c>
      <c r="G49" s="217">
        <f t="shared" si="0"/>
        <v>0.31899017723358203</v>
      </c>
      <c r="H49" s="221">
        <f>IFERROR(VLOOKUP($B49,MMWR_TRAD_AGG_DISTRICT_COMP[],H$1,0),"ERROR")</f>
        <v>94915</v>
      </c>
      <c r="I49" s="221">
        <f>IFERROR(VLOOKUP($B49,MMWR_TRAD_AGG_DISTRICT_COMP[],I$1,0),"ERROR")</f>
        <v>59725</v>
      </c>
      <c r="J49" s="217">
        <f t="shared" si="1"/>
        <v>0.62924722119791388</v>
      </c>
      <c r="K49" s="215">
        <f>IFERROR(VLOOKUP($B49,MMWR_TRAD_AGG_DISTRICT_COMP[],K$1,0),"ERROR")</f>
        <v>18397</v>
      </c>
      <c r="L49" s="215">
        <f>IFERROR(VLOOKUP($B49,MMWR_TRAD_AGG_DISTRICT_COMP[],L$1,0),"ERROR")</f>
        <v>15253</v>
      </c>
      <c r="M49" s="217">
        <f t="shared" si="2"/>
        <v>0.82910257107137031</v>
      </c>
      <c r="N49" s="215">
        <f>IFERROR(VLOOKUP($B49,MMWR_TRAD_AGG_DISTRICT_COMP[],N$1,0),"ERROR")</f>
        <v>24806</v>
      </c>
      <c r="O49" s="215">
        <f>IFERROR(VLOOKUP($B49,MMWR_TRAD_AGG_DISTRICT_COMP[],O$1,0),"ERROR")</f>
        <v>18543</v>
      </c>
      <c r="P49" s="217">
        <f t="shared" si="3"/>
        <v>0.74752076110618404</v>
      </c>
      <c r="Q49" s="215">
        <f>IFERROR(VLOOKUP($B49,MMWR_TRAD_AGG_DISTRICT_COMP[],Q$1,0),"ERROR")</f>
        <v>353</v>
      </c>
      <c r="R49" s="218">
        <f>IFERROR(VLOOKUP($B49,MMWR_TRAD_AGG_DISTRICT_COMP[],R$1,0),"ERROR")</f>
        <v>695</v>
      </c>
      <c r="S49" s="218">
        <f>IFERROR(VLOOKUP($B49,MMWR_APP_RO[],S$1,0),"ERROR")</f>
        <v>41810</v>
      </c>
      <c r="T49" s="28"/>
    </row>
    <row r="50" spans="1:20" x14ac:dyDescent="0.2">
      <c r="A50" s="28"/>
      <c r="B50" s="108" t="s">
        <v>34</v>
      </c>
      <c r="C50" s="222">
        <f>IFERROR(VLOOKUP($B50,MMWR_TRAD_AGG_RO_COMP[],C$1,0),"ERROR")</f>
        <v>1375</v>
      </c>
      <c r="D50" s="223">
        <f>IFERROR(VLOOKUP($B50,MMWR_TRAD_AGG_RO_COMP[],D$1,0),"ERROR")</f>
        <v>139.14909090910001</v>
      </c>
      <c r="E50" s="224">
        <f>IFERROR(VLOOKUP($B50,MMWR_TRAD_AGG_RO_COMP[],E$1,0),"ERROR")</f>
        <v>2975</v>
      </c>
      <c r="F50" s="225">
        <f>IFERROR(VLOOKUP($B50,MMWR_TRAD_AGG_RO_COMP[],F$1,0),"ERROR")</f>
        <v>1004</v>
      </c>
      <c r="G50" s="226">
        <f t="shared" si="0"/>
        <v>0.33747899159663863</v>
      </c>
      <c r="H50" s="227">
        <f>IFERROR(VLOOKUP($B50,MMWR_TRAD_AGG_RO_COMP[],H$1,0),"ERROR")</f>
        <v>2004</v>
      </c>
      <c r="I50" s="225">
        <f>IFERROR(VLOOKUP($B50,MMWR_TRAD_AGG_RO_COMP[],I$1,0),"ERROR")</f>
        <v>709</v>
      </c>
      <c r="J50" s="226">
        <f t="shared" si="1"/>
        <v>0.3537924151696607</v>
      </c>
      <c r="K50" s="228">
        <f>IFERROR(VLOOKUP($B50,MMWR_TRAD_AGG_RO_COMP[],K$1,0),"ERROR")</f>
        <v>180</v>
      </c>
      <c r="L50" s="229">
        <f>IFERROR(VLOOKUP($B50,MMWR_TRAD_AGG_RO_COMP[],L$1,0),"ERROR")</f>
        <v>96</v>
      </c>
      <c r="M50" s="226">
        <f t="shared" si="2"/>
        <v>0.53333333333333333</v>
      </c>
      <c r="N50" s="228">
        <f>IFERROR(VLOOKUP($B50,MMWR_TRAD_AGG_RO_COMP[],N$1,0),"ERROR")</f>
        <v>440</v>
      </c>
      <c r="O50" s="229">
        <f>IFERROR(VLOOKUP($B50,MMWR_TRAD_AGG_RO_COMP[],O$1,0),"ERROR")</f>
        <v>261</v>
      </c>
      <c r="P50" s="226">
        <f t="shared" si="3"/>
        <v>0.59318181818181814</v>
      </c>
      <c r="Q50" s="230">
        <f>IFERROR(VLOOKUP($B50,MMWR_TRAD_AGG_RO_COMP[],Q$1,0),"ERROR")</f>
        <v>0</v>
      </c>
      <c r="R50" s="230">
        <f>IFERROR(VLOOKUP($B50,MMWR_TRAD_AGG_RO_COMP[],R$1,0),"ERROR")</f>
        <v>17</v>
      </c>
      <c r="S50" s="204">
        <f>IFERROR(VLOOKUP($B50,MMWR_APP_RO[],S$1,0),"ERROR")</f>
        <v>1798</v>
      </c>
      <c r="T50" s="28"/>
    </row>
    <row r="51" spans="1:20" x14ac:dyDescent="0.2">
      <c r="A51" s="28"/>
      <c r="B51" s="108" t="s">
        <v>35</v>
      </c>
      <c r="C51" s="222">
        <f>IFERROR(VLOOKUP($B51,MMWR_TRAD_AGG_RO_COMP[],C$1,0),"ERROR")</f>
        <v>2341</v>
      </c>
      <c r="D51" s="223">
        <f>IFERROR(VLOOKUP($B51,MMWR_TRAD_AGG_RO_COMP[],D$1,0),"ERROR")</f>
        <v>495.8662964545</v>
      </c>
      <c r="E51" s="224">
        <f>IFERROR(VLOOKUP($B51,MMWR_TRAD_AGG_RO_COMP[],E$1,0),"ERROR")</f>
        <v>941</v>
      </c>
      <c r="F51" s="225">
        <f>IFERROR(VLOOKUP($B51,MMWR_TRAD_AGG_RO_COMP[],F$1,0),"ERROR")</f>
        <v>164</v>
      </c>
      <c r="G51" s="226">
        <f t="shared" si="0"/>
        <v>0.17428267800212541</v>
      </c>
      <c r="H51" s="227">
        <f>IFERROR(VLOOKUP($B51,MMWR_TRAD_AGG_RO_COMP[],H$1,0),"ERROR")</f>
        <v>2958</v>
      </c>
      <c r="I51" s="225">
        <f>IFERROR(VLOOKUP($B51,MMWR_TRAD_AGG_RO_COMP[],I$1,0),"ERROR")</f>
        <v>2203</v>
      </c>
      <c r="J51" s="226">
        <f t="shared" si="1"/>
        <v>0.74475997295469909</v>
      </c>
      <c r="K51" s="228">
        <f>IFERROR(VLOOKUP($B51,MMWR_TRAD_AGG_RO_COMP[],K$1,0),"ERROR")</f>
        <v>1895</v>
      </c>
      <c r="L51" s="229">
        <f>IFERROR(VLOOKUP($B51,MMWR_TRAD_AGG_RO_COMP[],L$1,0),"ERROR")</f>
        <v>1720</v>
      </c>
      <c r="M51" s="226">
        <f t="shared" si="2"/>
        <v>0.90765171503957787</v>
      </c>
      <c r="N51" s="228">
        <f>IFERROR(VLOOKUP($B51,MMWR_TRAD_AGG_RO_COMP[],N$1,0),"ERROR")</f>
        <v>120</v>
      </c>
      <c r="O51" s="229">
        <f>IFERROR(VLOOKUP($B51,MMWR_TRAD_AGG_RO_COMP[],O$1,0),"ERROR")</f>
        <v>93</v>
      </c>
      <c r="P51" s="226">
        <f t="shared" si="3"/>
        <v>0.77500000000000002</v>
      </c>
      <c r="Q51" s="230">
        <f>IFERROR(VLOOKUP($B51,MMWR_TRAD_AGG_RO_COMP[],Q$1,0),"ERROR")</f>
        <v>0</v>
      </c>
      <c r="R51" s="230">
        <f>IFERROR(VLOOKUP($B51,MMWR_TRAD_AGG_RO_COMP[],R$1,0),"ERROR")</f>
        <v>2</v>
      </c>
      <c r="S51" s="204">
        <f>IFERROR(VLOOKUP($B51,MMWR_APP_RO[],S$1,0),"ERROR")</f>
        <v>264</v>
      </c>
      <c r="T51" s="28"/>
    </row>
    <row r="52" spans="1:20" x14ac:dyDescent="0.2">
      <c r="A52" s="28"/>
      <c r="B52" s="108" t="s">
        <v>37</v>
      </c>
      <c r="C52" s="222">
        <f>IFERROR(VLOOKUP($B52,MMWR_TRAD_AGG_RO_COMP[],C$1,0),"ERROR")</f>
        <v>429</v>
      </c>
      <c r="D52" s="223">
        <f>IFERROR(VLOOKUP($B52,MMWR_TRAD_AGG_RO_COMP[],D$1,0),"ERROR")</f>
        <v>91.498834498799994</v>
      </c>
      <c r="E52" s="224">
        <f>IFERROR(VLOOKUP($B52,MMWR_TRAD_AGG_RO_COMP[],E$1,0),"ERROR")</f>
        <v>1539</v>
      </c>
      <c r="F52" s="225">
        <f>IFERROR(VLOOKUP($B52,MMWR_TRAD_AGG_RO_COMP[],F$1,0),"ERROR")</f>
        <v>425</v>
      </c>
      <c r="G52" s="226">
        <f t="shared" si="0"/>
        <v>0.27615334632878491</v>
      </c>
      <c r="H52" s="227">
        <f>IFERROR(VLOOKUP($B52,MMWR_TRAD_AGG_RO_COMP[],H$1,0),"ERROR")</f>
        <v>1054</v>
      </c>
      <c r="I52" s="225">
        <f>IFERROR(VLOOKUP($B52,MMWR_TRAD_AGG_RO_COMP[],I$1,0),"ERROR")</f>
        <v>106</v>
      </c>
      <c r="J52" s="226">
        <f t="shared" si="1"/>
        <v>0.10056925996204934</v>
      </c>
      <c r="K52" s="228">
        <f>IFERROR(VLOOKUP($B52,MMWR_TRAD_AGG_RO_COMP[],K$1,0),"ERROR")</f>
        <v>140</v>
      </c>
      <c r="L52" s="229">
        <f>IFERROR(VLOOKUP($B52,MMWR_TRAD_AGG_RO_COMP[],L$1,0),"ERROR")</f>
        <v>60</v>
      </c>
      <c r="M52" s="226">
        <f t="shared" si="2"/>
        <v>0.42857142857142855</v>
      </c>
      <c r="N52" s="228">
        <f>IFERROR(VLOOKUP($B52,MMWR_TRAD_AGG_RO_COMP[],N$1,0),"ERROR")</f>
        <v>81</v>
      </c>
      <c r="O52" s="229">
        <f>IFERROR(VLOOKUP($B52,MMWR_TRAD_AGG_RO_COMP[],O$1,0),"ERROR")</f>
        <v>41</v>
      </c>
      <c r="P52" s="226">
        <f t="shared" si="3"/>
        <v>0.50617283950617287</v>
      </c>
      <c r="Q52" s="230">
        <f>IFERROR(VLOOKUP($B52,MMWR_TRAD_AGG_RO_COMP[],Q$1,0),"ERROR")</f>
        <v>1</v>
      </c>
      <c r="R52" s="230">
        <f>IFERROR(VLOOKUP($B52,MMWR_TRAD_AGG_RO_COMP[],R$1,0),"ERROR")</f>
        <v>10</v>
      </c>
      <c r="S52" s="204">
        <f>IFERROR(VLOOKUP($B52,MMWR_APP_RO[],S$1,0),"ERROR")</f>
        <v>972</v>
      </c>
      <c r="T52" s="28"/>
    </row>
    <row r="53" spans="1:20" x14ac:dyDescent="0.2">
      <c r="A53" s="28"/>
      <c r="B53" s="108" t="s">
        <v>48</v>
      </c>
      <c r="C53" s="222">
        <f>IFERROR(VLOOKUP($B53,MMWR_TRAD_AGG_RO_COMP[],C$1,0),"ERROR")</f>
        <v>2170</v>
      </c>
      <c r="D53" s="223">
        <f>IFERROR(VLOOKUP($B53,MMWR_TRAD_AGG_RO_COMP[],D$1,0),"ERROR")</f>
        <v>224.81751152070001</v>
      </c>
      <c r="E53" s="224">
        <f>IFERROR(VLOOKUP($B53,MMWR_TRAD_AGG_RO_COMP[],E$1,0),"ERROR")</f>
        <v>2532</v>
      </c>
      <c r="F53" s="225">
        <f>IFERROR(VLOOKUP($B53,MMWR_TRAD_AGG_RO_COMP[],F$1,0),"ERROR")</f>
        <v>846</v>
      </c>
      <c r="G53" s="226">
        <f t="shared" si="0"/>
        <v>0.33412322274881517</v>
      </c>
      <c r="H53" s="227">
        <f>IFERROR(VLOOKUP($B53,MMWR_TRAD_AGG_RO_COMP[],H$1,0),"ERROR")</f>
        <v>2773</v>
      </c>
      <c r="I53" s="225">
        <f>IFERROR(VLOOKUP($B53,MMWR_TRAD_AGG_RO_COMP[],I$1,0),"ERROR")</f>
        <v>1480</v>
      </c>
      <c r="J53" s="226">
        <f t="shared" si="1"/>
        <v>0.53371799495131622</v>
      </c>
      <c r="K53" s="228">
        <f>IFERROR(VLOOKUP($B53,MMWR_TRAD_AGG_RO_COMP[],K$1,0),"ERROR")</f>
        <v>433</v>
      </c>
      <c r="L53" s="229">
        <f>IFERROR(VLOOKUP($B53,MMWR_TRAD_AGG_RO_COMP[],L$1,0),"ERROR")</f>
        <v>377</v>
      </c>
      <c r="M53" s="226">
        <f t="shared" si="2"/>
        <v>0.87066974595842961</v>
      </c>
      <c r="N53" s="228">
        <f>IFERROR(VLOOKUP($B53,MMWR_TRAD_AGG_RO_COMP[],N$1,0),"ERROR")</f>
        <v>475</v>
      </c>
      <c r="O53" s="229">
        <f>IFERROR(VLOOKUP($B53,MMWR_TRAD_AGG_RO_COMP[],O$1,0),"ERROR")</f>
        <v>266</v>
      </c>
      <c r="P53" s="226">
        <f t="shared" si="3"/>
        <v>0.56000000000000005</v>
      </c>
      <c r="Q53" s="230">
        <f>IFERROR(VLOOKUP($B53,MMWR_TRAD_AGG_RO_COMP[],Q$1,0),"ERROR")</f>
        <v>0</v>
      </c>
      <c r="R53" s="230">
        <f>IFERROR(VLOOKUP($B53,MMWR_TRAD_AGG_RO_COMP[],R$1,0),"ERROR")</f>
        <v>1</v>
      </c>
      <c r="S53" s="204">
        <f>IFERROR(VLOOKUP($B53,MMWR_APP_RO[],S$1,0),"ERROR")</f>
        <v>1182</v>
      </c>
      <c r="T53" s="28"/>
    </row>
    <row r="54" spans="1:20" x14ac:dyDescent="0.2">
      <c r="A54" s="28"/>
      <c r="B54" s="108" t="s">
        <v>55</v>
      </c>
      <c r="C54" s="222">
        <f>IFERROR(VLOOKUP($B54,MMWR_TRAD_AGG_RO_COMP[],C$1,0),"ERROR")</f>
        <v>7741</v>
      </c>
      <c r="D54" s="223">
        <f>IFERROR(VLOOKUP($B54,MMWR_TRAD_AGG_RO_COMP[],D$1,0),"ERROR")</f>
        <v>413.20617491280001</v>
      </c>
      <c r="E54" s="224">
        <f>IFERROR(VLOOKUP($B54,MMWR_TRAD_AGG_RO_COMP[],E$1,0),"ERROR")</f>
        <v>10502</v>
      </c>
      <c r="F54" s="225">
        <f>IFERROR(VLOOKUP($B54,MMWR_TRAD_AGG_RO_COMP[],F$1,0),"ERROR")</f>
        <v>4093</v>
      </c>
      <c r="G54" s="226">
        <f t="shared" si="0"/>
        <v>0.38973528851647304</v>
      </c>
      <c r="H54" s="227">
        <f>IFERROR(VLOOKUP($B54,MMWR_TRAD_AGG_RO_COMP[],H$1,0),"ERROR")</f>
        <v>9299</v>
      </c>
      <c r="I54" s="225">
        <f>IFERROR(VLOOKUP($B54,MMWR_TRAD_AGG_RO_COMP[],I$1,0),"ERROR")</f>
        <v>6839</v>
      </c>
      <c r="J54" s="226">
        <f t="shared" si="1"/>
        <v>0.73545542531454999</v>
      </c>
      <c r="K54" s="228">
        <f>IFERROR(VLOOKUP($B54,MMWR_TRAD_AGG_RO_COMP[],K$1,0),"ERROR")</f>
        <v>1000</v>
      </c>
      <c r="L54" s="229">
        <f>IFERROR(VLOOKUP($B54,MMWR_TRAD_AGG_RO_COMP[],L$1,0),"ERROR")</f>
        <v>900</v>
      </c>
      <c r="M54" s="226">
        <f t="shared" si="2"/>
        <v>0.9</v>
      </c>
      <c r="N54" s="228">
        <f>IFERROR(VLOOKUP($B54,MMWR_TRAD_AGG_RO_COMP[],N$1,0),"ERROR")</f>
        <v>5382</v>
      </c>
      <c r="O54" s="229">
        <f>IFERROR(VLOOKUP($B54,MMWR_TRAD_AGG_RO_COMP[],O$1,0),"ERROR")</f>
        <v>3781</v>
      </c>
      <c r="P54" s="226">
        <f t="shared" si="3"/>
        <v>0.70252694165737639</v>
      </c>
      <c r="Q54" s="230">
        <f>IFERROR(VLOOKUP($B54,MMWR_TRAD_AGG_RO_COMP[],Q$1,0),"ERROR")</f>
        <v>2</v>
      </c>
      <c r="R54" s="230">
        <f>IFERROR(VLOOKUP($B54,MMWR_TRAD_AGG_RO_COMP[],R$1,0),"ERROR")</f>
        <v>37</v>
      </c>
      <c r="S54" s="204">
        <f>IFERROR(VLOOKUP($B54,MMWR_APP_RO[],S$1,0),"ERROR")</f>
        <v>4521</v>
      </c>
      <c r="T54" s="28"/>
    </row>
    <row r="55" spans="1:20" x14ac:dyDescent="0.2">
      <c r="A55" s="28"/>
      <c r="B55" s="108" t="s">
        <v>58</v>
      </c>
      <c r="C55" s="222">
        <f>IFERROR(VLOOKUP($B55,MMWR_TRAD_AGG_RO_COMP[],C$1,0),"ERROR")</f>
        <v>690</v>
      </c>
      <c r="D55" s="223">
        <f>IFERROR(VLOOKUP($B55,MMWR_TRAD_AGG_RO_COMP[],D$1,0),"ERROR")</f>
        <v>157.55652173909999</v>
      </c>
      <c r="E55" s="224">
        <f>IFERROR(VLOOKUP($B55,MMWR_TRAD_AGG_RO_COMP[],E$1,0),"ERROR")</f>
        <v>1101</v>
      </c>
      <c r="F55" s="225">
        <f>IFERROR(VLOOKUP($B55,MMWR_TRAD_AGG_RO_COMP[],F$1,0),"ERROR")</f>
        <v>425</v>
      </c>
      <c r="G55" s="226">
        <f t="shared" si="0"/>
        <v>0.38601271571298817</v>
      </c>
      <c r="H55" s="227">
        <f>IFERROR(VLOOKUP($B55,MMWR_TRAD_AGG_RO_COMP[],H$1,0),"ERROR")</f>
        <v>908</v>
      </c>
      <c r="I55" s="225">
        <f>IFERROR(VLOOKUP($B55,MMWR_TRAD_AGG_RO_COMP[],I$1,0),"ERROR")</f>
        <v>391</v>
      </c>
      <c r="J55" s="226">
        <f t="shared" si="1"/>
        <v>0.43061674008810574</v>
      </c>
      <c r="K55" s="228">
        <f>IFERROR(VLOOKUP($B55,MMWR_TRAD_AGG_RO_COMP[],K$1,0),"ERROR")</f>
        <v>166</v>
      </c>
      <c r="L55" s="229">
        <f>IFERROR(VLOOKUP($B55,MMWR_TRAD_AGG_RO_COMP[],L$1,0),"ERROR")</f>
        <v>132</v>
      </c>
      <c r="M55" s="226">
        <f t="shared" si="2"/>
        <v>0.79518072289156627</v>
      </c>
      <c r="N55" s="228">
        <f>IFERROR(VLOOKUP($B55,MMWR_TRAD_AGG_RO_COMP[],N$1,0),"ERROR")</f>
        <v>577</v>
      </c>
      <c r="O55" s="229">
        <f>IFERROR(VLOOKUP($B55,MMWR_TRAD_AGG_RO_COMP[],O$1,0),"ERROR")</f>
        <v>422</v>
      </c>
      <c r="P55" s="226">
        <f t="shared" si="3"/>
        <v>0.73136915077989606</v>
      </c>
      <c r="Q55" s="230">
        <f>IFERROR(VLOOKUP($B55,MMWR_TRAD_AGG_RO_COMP[],Q$1,0),"ERROR")</f>
        <v>350</v>
      </c>
      <c r="R55" s="230">
        <f>IFERROR(VLOOKUP($B55,MMWR_TRAD_AGG_RO_COMP[],R$1,0),"ERROR")</f>
        <v>127</v>
      </c>
      <c r="S55" s="204">
        <f>IFERROR(VLOOKUP($B55,MMWR_APP_RO[],S$1,0),"ERROR")</f>
        <v>1035</v>
      </c>
      <c r="T55" s="28"/>
    </row>
    <row r="56" spans="1:20" x14ac:dyDescent="0.2">
      <c r="A56" s="28"/>
      <c r="B56" s="108" t="s">
        <v>65</v>
      </c>
      <c r="C56" s="222">
        <f>IFERROR(VLOOKUP($B56,MMWR_TRAD_AGG_RO_COMP[],C$1,0),"ERROR")</f>
        <v>11398</v>
      </c>
      <c r="D56" s="223">
        <f>IFERROR(VLOOKUP($B56,MMWR_TRAD_AGG_RO_COMP[],D$1,0),"ERROR")</f>
        <v>402.27031058080001</v>
      </c>
      <c r="E56" s="224">
        <f>IFERROR(VLOOKUP($B56,MMWR_TRAD_AGG_RO_COMP[],E$1,0),"ERROR")</f>
        <v>11600</v>
      </c>
      <c r="F56" s="225">
        <f>IFERROR(VLOOKUP($B56,MMWR_TRAD_AGG_RO_COMP[],F$1,0),"ERROR")</f>
        <v>4147</v>
      </c>
      <c r="G56" s="226">
        <f t="shared" si="0"/>
        <v>0.35749999999999998</v>
      </c>
      <c r="H56" s="227">
        <f>IFERROR(VLOOKUP($B56,MMWR_TRAD_AGG_RO_COMP[],H$1,0),"ERROR")</f>
        <v>15010</v>
      </c>
      <c r="I56" s="225">
        <f>IFERROR(VLOOKUP($B56,MMWR_TRAD_AGG_RO_COMP[],I$1,0),"ERROR")</f>
        <v>11146</v>
      </c>
      <c r="J56" s="226">
        <f t="shared" si="1"/>
        <v>0.74257161892071955</v>
      </c>
      <c r="K56" s="228">
        <f>IFERROR(VLOOKUP($B56,MMWR_TRAD_AGG_RO_COMP[],K$1,0),"ERROR")</f>
        <v>4300</v>
      </c>
      <c r="L56" s="229">
        <f>IFERROR(VLOOKUP($B56,MMWR_TRAD_AGG_RO_COMP[],L$1,0),"ERROR")</f>
        <v>3237</v>
      </c>
      <c r="M56" s="226">
        <f t="shared" si="2"/>
        <v>0.75279069767441864</v>
      </c>
      <c r="N56" s="228">
        <f>IFERROR(VLOOKUP($B56,MMWR_TRAD_AGG_RO_COMP[],N$1,0),"ERROR")</f>
        <v>3860</v>
      </c>
      <c r="O56" s="229">
        <f>IFERROR(VLOOKUP($B56,MMWR_TRAD_AGG_RO_COMP[],O$1,0),"ERROR")</f>
        <v>3171</v>
      </c>
      <c r="P56" s="226">
        <f t="shared" si="3"/>
        <v>0.82150259067357512</v>
      </c>
      <c r="Q56" s="230">
        <f>IFERROR(VLOOKUP($B56,MMWR_TRAD_AGG_RO_COMP[],Q$1,0),"ERROR")</f>
        <v>0</v>
      </c>
      <c r="R56" s="230">
        <f>IFERROR(VLOOKUP($B56,MMWR_TRAD_AGG_RO_COMP[],R$1,0),"ERROR")</f>
        <v>42</v>
      </c>
      <c r="S56" s="204">
        <f>IFERROR(VLOOKUP($B56,MMWR_APP_RO[],S$1,0),"ERROR")</f>
        <v>8639</v>
      </c>
      <c r="T56" s="28"/>
    </row>
    <row r="57" spans="1:20" x14ac:dyDescent="0.2">
      <c r="A57" s="28"/>
      <c r="B57" s="108" t="s">
        <v>67</v>
      </c>
      <c r="C57" s="222">
        <f>IFERROR(VLOOKUP($B57,MMWR_TRAD_AGG_RO_COMP[],C$1,0),"ERROR")</f>
        <v>6173</v>
      </c>
      <c r="D57" s="223">
        <f>IFERROR(VLOOKUP($B57,MMWR_TRAD_AGG_RO_COMP[],D$1,0),"ERROR")</f>
        <v>273.3772881905</v>
      </c>
      <c r="E57" s="224">
        <f>IFERROR(VLOOKUP($B57,MMWR_TRAD_AGG_RO_COMP[],E$1,0),"ERROR")</f>
        <v>5317</v>
      </c>
      <c r="F57" s="225">
        <f>IFERROR(VLOOKUP($B57,MMWR_TRAD_AGG_RO_COMP[],F$1,0),"ERROR")</f>
        <v>1618</v>
      </c>
      <c r="G57" s="226">
        <f t="shared" si="0"/>
        <v>0.30430694000376152</v>
      </c>
      <c r="H57" s="227">
        <f>IFERROR(VLOOKUP($B57,MMWR_TRAD_AGG_RO_COMP[],H$1,0),"ERROR")</f>
        <v>7350</v>
      </c>
      <c r="I57" s="225">
        <f>IFERROR(VLOOKUP($B57,MMWR_TRAD_AGG_RO_COMP[],I$1,0),"ERROR")</f>
        <v>4270</v>
      </c>
      <c r="J57" s="226">
        <f t="shared" si="1"/>
        <v>0.580952380952381</v>
      </c>
      <c r="K57" s="228">
        <f>IFERROR(VLOOKUP($B57,MMWR_TRAD_AGG_RO_COMP[],K$1,0),"ERROR")</f>
        <v>251</v>
      </c>
      <c r="L57" s="229">
        <f>IFERROR(VLOOKUP($B57,MMWR_TRAD_AGG_RO_COMP[],L$1,0),"ERROR")</f>
        <v>202</v>
      </c>
      <c r="M57" s="226">
        <f t="shared" si="2"/>
        <v>0.80478087649402386</v>
      </c>
      <c r="N57" s="228">
        <f>IFERROR(VLOOKUP($B57,MMWR_TRAD_AGG_RO_COMP[],N$1,0),"ERROR")</f>
        <v>2995</v>
      </c>
      <c r="O57" s="229">
        <f>IFERROR(VLOOKUP($B57,MMWR_TRAD_AGG_RO_COMP[],O$1,0),"ERROR")</f>
        <v>2418</v>
      </c>
      <c r="P57" s="226">
        <f t="shared" si="3"/>
        <v>0.80734557595993317</v>
      </c>
      <c r="Q57" s="230">
        <f>IFERROR(VLOOKUP($B57,MMWR_TRAD_AGG_RO_COMP[],Q$1,0),"ERROR")</f>
        <v>0</v>
      </c>
      <c r="R57" s="230">
        <f>IFERROR(VLOOKUP($B57,MMWR_TRAD_AGG_RO_COMP[],R$1,0),"ERROR")</f>
        <v>65</v>
      </c>
      <c r="S57" s="204">
        <f>IFERROR(VLOOKUP($B57,MMWR_APP_RO[],S$1,0),"ERROR")</f>
        <v>6954</v>
      </c>
      <c r="T57" s="28"/>
    </row>
    <row r="58" spans="1:20" x14ac:dyDescent="0.2">
      <c r="A58" s="28"/>
      <c r="B58" s="108" t="s">
        <v>69</v>
      </c>
      <c r="C58" s="222">
        <f>IFERROR(VLOOKUP($B58,MMWR_TRAD_AGG_RO_COMP[],C$1,0),"ERROR")</f>
        <v>8815</v>
      </c>
      <c r="D58" s="223">
        <f>IFERROR(VLOOKUP($B58,MMWR_TRAD_AGG_RO_COMP[],D$1,0),"ERROR")</f>
        <v>399.42858763470002</v>
      </c>
      <c r="E58" s="224">
        <f>IFERROR(VLOOKUP($B58,MMWR_TRAD_AGG_RO_COMP[],E$1,0),"ERROR")</f>
        <v>5510</v>
      </c>
      <c r="F58" s="225">
        <f>IFERROR(VLOOKUP($B58,MMWR_TRAD_AGG_RO_COMP[],F$1,0),"ERROR")</f>
        <v>2091</v>
      </c>
      <c r="G58" s="226">
        <f t="shared" si="0"/>
        <v>0.37949183303085299</v>
      </c>
      <c r="H58" s="227">
        <f>IFERROR(VLOOKUP($B58,MMWR_TRAD_AGG_RO_COMP[],H$1,0),"ERROR")</f>
        <v>10953</v>
      </c>
      <c r="I58" s="225">
        <f>IFERROR(VLOOKUP($B58,MMWR_TRAD_AGG_RO_COMP[],I$1,0),"ERROR")</f>
        <v>7445</v>
      </c>
      <c r="J58" s="226">
        <f t="shared" si="1"/>
        <v>0.67972245047019086</v>
      </c>
      <c r="K58" s="228">
        <f>IFERROR(VLOOKUP($B58,MMWR_TRAD_AGG_RO_COMP[],K$1,0),"ERROR")</f>
        <v>3759</v>
      </c>
      <c r="L58" s="229">
        <f>IFERROR(VLOOKUP($B58,MMWR_TRAD_AGG_RO_COMP[],L$1,0),"ERROR")</f>
        <v>3216</v>
      </c>
      <c r="M58" s="226">
        <f t="shared" si="2"/>
        <v>0.85554668794892264</v>
      </c>
      <c r="N58" s="228">
        <f>IFERROR(VLOOKUP($B58,MMWR_TRAD_AGG_RO_COMP[],N$1,0),"ERROR")</f>
        <v>1356</v>
      </c>
      <c r="O58" s="229">
        <f>IFERROR(VLOOKUP($B58,MMWR_TRAD_AGG_RO_COMP[],O$1,0),"ERROR")</f>
        <v>722</v>
      </c>
      <c r="P58" s="226">
        <f t="shared" si="3"/>
        <v>0.53244837758112096</v>
      </c>
      <c r="Q58" s="230">
        <f>IFERROR(VLOOKUP($B58,MMWR_TRAD_AGG_RO_COMP[],Q$1,0),"ERROR")</f>
        <v>0</v>
      </c>
      <c r="R58" s="230">
        <f>IFERROR(VLOOKUP($B58,MMWR_TRAD_AGG_RO_COMP[],R$1,0),"ERROR")</f>
        <v>76</v>
      </c>
      <c r="S58" s="204">
        <f>IFERROR(VLOOKUP($B58,MMWR_APP_RO[],S$1,0),"ERROR")</f>
        <v>5272</v>
      </c>
      <c r="T58" s="28"/>
    </row>
    <row r="59" spans="1:20" x14ac:dyDescent="0.2">
      <c r="A59" s="28"/>
      <c r="B59" s="108" t="s">
        <v>71</v>
      </c>
      <c r="C59" s="222">
        <f>IFERROR(VLOOKUP($B59,MMWR_TRAD_AGG_RO_COMP[],C$1,0),"ERROR")</f>
        <v>3632</v>
      </c>
      <c r="D59" s="223">
        <f>IFERROR(VLOOKUP($B59,MMWR_TRAD_AGG_RO_COMP[],D$1,0),"ERROR")</f>
        <v>479.67896475769999</v>
      </c>
      <c r="E59" s="224">
        <f>IFERROR(VLOOKUP($B59,MMWR_TRAD_AGG_RO_COMP[],E$1,0),"ERROR")</f>
        <v>3695</v>
      </c>
      <c r="F59" s="225">
        <f>IFERROR(VLOOKUP($B59,MMWR_TRAD_AGG_RO_COMP[],F$1,0),"ERROR")</f>
        <v>1302</v>
      </c>
      <c r="G59" s="226">
        <f t="shared" si="0"/>
        <v>0.35236806495263873</v>
      </c>
      <c r="H59" s="227">
        <f>IFERROR(VLOOKUP($B59,MMWR_TRAD_AGG_RO_COMP[],H$1,0),"ERROR")</f>
        <v>4440</v>
      </c>
      <c r="I59" s="225">
        <f>IFERROR(VLOOKUP($B59,MMWR_TRAD_AGG_RO_COMP[],I$1,0),"ERROR")</f>
        <v>3196</v>
      </c>
      <c r="J59" s="226">
        <f t="shared" si="1"/>
        <v>0.7198198198198198</v>
      </c>
      <c r="K59" s="228">
        <f>IFERROR(VLOOKUP($B59,MMWR_TRAD_AGG_RO_COMP[],K$1,0),"ERROR")</f>
        <v>382</v>
      </c>
      <c r="L59" s="229">
        <f>IFERROR(VLOOKUP($B59,MMWR_TRAD_AGG_RO_COMP[],L$1,0),"ERROR")</f>
        <v>346</v>
      </c>
      <c r="M59" s="226">
        <f t="shared" si="2"/>
        <v>0.90575916230366493</v>
      </c>
      <c r="N59" s="228">
        <f>IFERROR(VLOOKUP($B59,MMWR_TRAD_AGG_RO_COMP[],N$1,0),"ERROR")</f>
        <v>1168</v>
      </c>
      <c r="O59" s="229">
        <f>IFERROR(VLOOKUP($B59,MMWR_TRAD_AGG_RO_COMP[],O$1,0),"ERROR")</f>
        <v>740</v>
      </c>
      <c r="P59" s="226">
        <f t="shared" si="3"/>
        <v>0.63356164383561642</v>
      </c>
      <c r="Q59" s="230">
        <f>IFERROR(VLOOKUP($B59,MMWR_TRAD_AGG_RO_COMP[],Q$1,0),"ERROR")</f>
        <v>0</v>
      </c>
      <c r="R59" s="230">
        <f>IFERROR(VLOOKUP($B59,MMWR_TRAD_AGG_RO_COMP[],R$1,0),"ERROR")</f>
        <v>106</v>
      </c>
      <c r="S59" s="204">
        <f>IFERROR(VLOOKUP($B59,MMWR_APP_RO[],S$1,0),"ERROR")</f>
        <v>2590</v>
      </c>
      <c r="T59" s="28"/>
    </row>
    <row r="60" spans="1:20" x14ac:dyDescent="0.2">
      <c r="A60" s="28"/>
      <c r="B60" s="108" t="s">
        <v>74</v>
      </c>
      <c r="C60" s="222">
        <f>IFERROR(VLOOKUP($B60,MMWR_TRAD_AGG_RO_COMP[],C$1,0),"ERROR")</f>
        <v>9046</v>
      </c>
      <c r="D60" s="223">
        <f>IFERROR(VLOOKUP($B60,MMWR_TRAD_AGG_RO_COMP[],D$1,0),"ERROR")</f>
        <v>308.78587220870003</v>
      </c>
      <c r="E60" s="224">
        <f>IFERROR(VLOOKUP($B60,MMWR_TRAD_AGG_RO_COMP[],E$1,0),"ERROR")</f>
        <v>12173</v>
      </c>
      <c r="F60" s="225">
        <f>IFERROR(VLOOKUP($B60,MMWR_TRAD_AGG_RO_COMP[],F$1,0),"ERROR")</f>
        <v>2548</v>
      </c>
      <c r="G60" s="226">
        <f t="shared" si="0"/>
        <v>0.2093156986774008</v>
      </c>
      <c r="H60" s="227">
        <f>IFERROR(VLOOKUP($B60,MMWR_TRAD_AGG_RO_COMP[],H$1,0),"ERROR")</f>
        <v>16680</v>
      </c>
      <c r="I60" s="225">
        <f>IFERROR(VLOOKUP($B60,MMWR_TRAD_AGG_RO_COMP[],I$1,0),"ERROR")</f>
        <v>7253</v>
      </c>
      <c r="J60" s="226">
        <f t="shared" si="1"/>
        <v>0.43483213429256595</v>
      </c>
      <c r="K60" s="228">
        <f>IFERROR(VLOOKUP($B60,MMWR_TRAD_AGG_RO_COMP[],K$1,0),"ERROR")</f>
        <v>1775</v>
      </c>
      <c r="L60" s="229">
        <f>IFERROR(VLOOKUP($B60,MMWR_TRAD_AGG_RO_COMP[],L$1,0),"ERROR")</f>
        <v>1211</v>
      </c>
      <c r="M60" s="226">
        <f t="shared" si="2"/>
        <v>0.68225352112676052</v>
      </c>
      <c r="N60" s="228">
        <f>IFERROR(VLOOKUP($B60,MMWR_TRAD_AGG_RO_COMP[],N$1,0),"ERROR")</f>
        <v>1944</v>
      </c>
      <c r="O60" s="229">
        <f>IFERROR(VLOOKUP($B60,MMWR_TRAD_AGG_RO_COMP[],O$1,0),"ERROR")</f>
        <v>1355</v>
      </c>
      <c r="P60" s="226">
        <f t="shared" si="3"/>
        <v>0.69701646090534974</v>
      </c>
      <c r="Q60" s="230">
        <f>IFERROR(VLOOKUP($B60,MMWR_TRAD_AGG_RO_COMP[],Q$1,0),"ERROR")</f>
        <v>0</v>
      </c>
      <c r="R60" s="230">
        <f>IFERROR(VLOOKUP($B60,MMWR_TRAD_AGG_RO_COMP[],R$1,0),"ERROR")</f>
        <v>66</v>
      </c>
      <c r="S60" s="204">
        <f>IFERROR(VLOOKUP($B60,MMWR_APP_RO[],S$1,0),"ERROR")</f>
        <v>4021</v>
      </c>
      <c r="T60" s="28"/>
    </row>
    <row r="61" spans="1:20" x14ac:dyDescent="0.2">
      <c r="A61" s="28"/>
      <c r="B61" s="116" t="s">
        <v>76</v>
      </c>
      <c r="C61" s="231">
        <f>IFERROR(VLOOKUP($B61,MMWR_TRAD_AGG_RO_COMP[],C$1,0),"ERROR")</f>
        <v>15832</v>
      </c>
      <c r="D61" s="232">
        <f>IFERROR(VLOOKUP($B61,MMWR_TRAD_AGG_RO_COMP[],D$1,0),"ERROR")</f>
        <v>377.11729408790001</v>
      </c>
      <c r="E61" s="233">
        <f>IFERROR(VLOOKUP($B61,MMWR_TRAD_AGG_RO_COMP[],E$1,0),"ERROR")</f>
        <v>8186</v>
      </c>
      <c r="F61" s="234">
        <f>IFERROR(VLOOKUP($B61,MMWR_TRAD_AGG_RO_COMP[],F$1,0),"ERROR")</f>
        <v>2413</v>
      </c>
      <c r="G61" s="235">
        <f t="shared" si="0"/>
        <v>0.29477156120205228</v>
      </c>
      <c r="H61" s="236">
        <f>IFERROR(VLOOKUP($B61,MMWR_TRAD_AGG_RO_COMP[],H$1,0),"ERROR")</f>
        <v>21486</v>
      </c>
      <c r="I61" s="234">
        <f>IFERROR(VLOOKUP($B61,MMWR_TRAD_AGG_RO_COMP[],I$1,0),"ERROR")</f>
        <v>14687</v>
      </c>
      <c r="J61" s="235">
        <f t="shared" si="1"/>
        <v>0.683561388811319</v>
      </c>
      <c r="K61" s="237">
        <f>IFERROR(VLOOKUP($B61,MMWR_TRAD_AGG_RO_COMP[],K$1,0),"ERROR")</f>
        <v>4116</v>
      </c>
      <c r="L61" s="238">
        <f>IFERROR(VLOOKUP($B61,MMWR_TRAD_AGG_RO_COMP[],L$1,0),"ERROR")</f>
        <v>3756</v>
      </c>
      <c r="M61" s="235">
        <f t="shared" si="2"/>
        <v>0.91253644314868809</v>
      </c>
      <c r="N61" s="237">
        <f>IFERROR(VLOOKUP($B61,MMWR_TRAD_AGG_RO_COMP[],N$1,0),"ERROR")</f>
        <v>6408</v>
      </c>
      <c r="O61" s="238">
        <f>IFERROR(VLOOKUP($B61,MMWR_TRAD_AGG_RO_COMP[],O$1,0),"ERROR")</f>
        <v>5273</v>
      </c>
      <c r="P61" s="235">
        <f t="shared" si="3"/>
        <v>0.82287765293383275</v>
      </c>
      <c r="Q61" s="239">
        <f>IFERROR(VLOOKUP($B61,MMWR_TRAD_AGG_RO_COMP[],Q$1,0),"ERROR")</f>
        <v>0</v>
      </c>
      <c r="R61" s="239">
        <f>IFERROR(VLOOKUP($B61,MMWR_TRAD_AGG_RO_COMP[],R$1,0),"ERROR")</f>
        <v>146</v>
      </c>
      <c r="S61" s="204">
        <f>IFERROR(VLOOKUP($B61,MMWR_APP_RO[],S$1,0),"ERROR")</f>
        <v>4562</v>
      </c>
      <c r="T61" s="28"/>
    </row>
    <row r="62" spans="1:20" x14ac:dyDescent="0.2">
      <c r="A62" s="28"/>
      <c r="B62" s="101" t="s">
        <v>390</v>
      </c>
      <c r="C62" s="215">
        <f>IFERROR(VLOOKUP($B62,MMWR_TRAD_AGG_DISTRICT_COMP[],C$1,0),"ERROR")</f>
        <v>69910</v>
      </c>
      <c r="D62" s="200">
        <f>IFERROR(VLOOKUP($B62,MMWR_TRAD_AGG_DISTRICT_COMP[],D$1,0),"ERROR")</f>
        <v>347.89982835069998</v>
      </c>
      <c r="E62" s="216">
        <f>IFERROR(VLOOKUP($B62,MMWR_TRAD_AGG_DISTRICT_COMP[],E$1,0),"ERROR")</f>
        <v>74679</v>
      </c>
      <c r="F62" s="221">
        <f>IFERROR(VLOOKUP($B62,MMWR_TRAD_AGG_DISTRICT_COMP[],F$1,0),"ERROR")</f>
        <v>27122</v>
      </c>
      <c r="G62" s="217">
        <f t="shared" si="0"/>
        <v>0.36318108169632696</v>
      </c>
      <c r="H62" s="221">
        <f>IFERROR(VLOOKUP($B62,MMWR_TRAD_AGG_DISTRICT_COMP[],H$1,0),"ERROR")</f>
        <v>98071</v>
      </c>
      <c r="I62" s="221">
        <f>IFERROR(VLOOKUP($B62,MMWR_TRAD_AGG_DISTRICT_COMP[],I$1,0),"ERROR")</f>
        <v>62789</v>
      </c>
      <c r="J62" s="217">
        <f t="shared" si="1"/>
        <v>0.64024023411609954</v>
      </c>
      <c r="K62" s="215">
        <f>IFERROR(VLOOKUP($B62,MMWR_TRAD_AGG_DISTRICT_COMP[],K$1,0),"ERROR")</f>
        <v>18053</v>
      </c>
      <c r="L62" s="215">
        <f>IFERROR(VLOOKUP($B62,MMWR_TRAD_AGG_DISTRICT_COMP[],L$1,0),"ERROR")</f>
        <v>15005</v>
      </c>
      <c r="M62" s="217">
        <f t="shared" si="2"/>
        <v>0.83116379549105412</v>
      </c>
      <c r="N62" s="215">
        <f>IFERROR(VLOOKUP($B62,MMWR_TRAD_AGG_DISTRICT_COMP[],N$1,0),"ERROR")</f>
        <v>32632</v>
      </c>
      <c r="O62" s="215">
        <f>IFERROR(VLOOKUP($B62,MMWR_TRAD_AGG_DISTRICT_COMP[],O$1,0),"ERROR")</f>
        <v>21963</v>
      </c>
      <c r="P62" s="217">
        <f t="shared" si="3"/>
        <v>0.67305099289041437</v>
      </c>
      <c r="Q62" s="215">
        <f>IFERROR(VLOOKUP($B62,MMWR_TRAD_AGG_DISTRICT_COMP[],Q$1,0),"ERROR")</f>
        <v>153</v>
      </c>
      <c r="R62" s="218">
        <f>IFERROR(VLOOKUP($B62,MMWR_TRAD_AGG_DISTRICT_COMP[],R$1,0),"ERROR")</f>
        <v>1133</v>
      </c>
      <c r="S62" s="218">
        <f>IFERROR(VLOOKUP($B62,MMWR_APP_RO[],S$1,0),"ERROR")</f>
        <v>81405</v>
      </c>
      <c r="T62" s="28"/>
    </row>
    <row r="63" spans="1:20" x14ac:dyDescent="0.2">
      <c r="A63" s="28"/>
      <c r="B63" s="108" t="s">
        <v>25</v>
      </c>
      <c r="C63" s="222">
        <f>IFERROR(VLOOKUP($B63,MMWR_TRAD_AGG_RO_COMP[],C$1,0),"ERROR")</f>
        <v>13225</v>
      </c>
      <c r="D63" s="223">
        <f>IFERROR(VLOOKUP($B63,MMWR_TRAD_AGG_RO_COMP[],D$1,0),"ERROR")</f>
        <v>348.53005671080001</v>
      </c>
      <c r="E63" s="224">
        <f>IFERROR(VLOOKUP($B63,MMWR_TRAD_AGG_RO_COMP[],E$1,0),"ERROR")</f>
        <v>15136</v>
      </c>
      <c r="F63" s="225">
        <f>IFERROR(VLOOKUP($B63,MMWR_TRAD_AGG_RO_COMP[],F$1,0),"ERROR")</f>
        <v>5400</v>
      </c>
      <c r="G63" s="226">
        <f t="shared" si="0"/>
        <v>0.35676532769556024</v>
      </c>
      <c r="H63" s="227">
        <f>IFERROR(VLOOKUP($B63,MMWR_TRAD_AGG_RO_COMP[],H$1,0),"ERROR")</f>
        <v>18179</v>
      </c>
      <c r="I63" s="225">
        <f>IFERROR(VLOOKUP($B63,MMWR_TRAD_AGG_RO_COMP[],I$1,0),"ERROR")</f>
        <v>12295</v>
      </c>
      <c r="J63" s="226">
        <f t="shared" si="1"/>
        <v>0.67632983112382417</v>
      </c>
      <c r="K63" s="228">
        <f>IFERROR(VLOOKUP($B63,MMWR_TRAD_AGG_RO_COMP[],K$1,0),"ERROR")</f>
        <v>4453</v>
      </c>
      <c r="L63" s="229">
        <f>IFERROR(VLOOKUP($B63,MMWR_TRAD_AGG_RO_COMP[],L$1,0),"ERROR")</f>
        <v>3895</v>
      </c>
      <c r="M63" s="226">
        <f t="shared" si="2"/>
        <v>0.87469121940264993</v>
      </c>
      <c r="N63" s="228">
        <f>IFERROR(VLOOKUP($B63,MMWR_TRAD_AGG_RO_COMP[],N$1,0),"ERROR")</f>
        <v>14063</v>
      </c>
      <c r="O63" s="229">
        <f>IFERROR(VLOOKUP($B63,MMWR_TRAD_AGG_RO_COMP[],O$1,0),"ERROR")</f>
        <v>8937</v>
      </c>
      <c r="P63" s="226">
        <f t="shared" si="3"/>
        <v>0.63549740453672754</v>
      </c>
      <c r="Q63" s="230">
        <f>IFERROR(VLOOKUP($B63,MMWR_TRAD_AGG_RO_COMP[],Q$1,0),"ERROR")</f>
        <v>61</v>
      </c>
      <c r="R63" s="230">
        <f>IFERROR(VLOOKUP($B63,MMWR_TRAD_AGG_RO_COMP[],R$1,0),"ERROR")</f>
        <v>27</v>
      </c>
      <c r="S63" s="204">
        <f>IFERROR(VLOOKUP($B63,MMWR_APP_RO[],S$1,0),"ERROR")</f>
        <v>15733</v>
      </c>
      <c r="T63" s="28"/>
    </row>
    <row r="64" spans="1:20" x14ac:dyDescent="0.2">
      <c r="A64" s="28"/>
      <c r="B64" s="108" t="s">
        <v>42</v>
      </c>
      <c r="C64" s="222">
        <f>IFERROR(VLOOKUP($B64,MMWR_TRAD_AGG_RO_COMP[],C$1,0),"ERROR")</f>
        <v>11165</v>
      </c>
      <c r="D64" s="223">
        <f>IFERROR(VLOOKUP($B64,MMWR_TRAD_AGG_RO_COMP[],D$1,0),"ERROR")</f>
        <v>300.5474249888</v>
      </c>
      <c r="E64" s="224">
        <f>IFERROR(VLOOKUP($B64,MMWR_TRAD_AGG_RO_COMP[],E$1,0),"ERROR")</f>
        <v>9145</v>
      </c>
      <c r="F64" s="225">
        <f>IFERROR(VLOOKUP($B64,MMWR_TRAD_AGG_RO_COMP[],F$1,0),"ERROR")</f>
        <v>2867</v>
      </c>
      <c r="G64" s="226">
        <f t="shared" si="0"/>
        <v>0.31350464734827777</v>
      </c>
      <c r="H64" s="227">
        <f>IFERROR(VLOOKUP($B64,MMWR_TRAD_AGG_RO_COMP[],H$1,0),"ERROR")</f>
        <v>20388</v>
      </c>
      <c r="I64" s="225">
        <f>IFERROR(VLOOKUP($B64,MMWR_TRAD_AGG_RO_COMP[],I$1,0),"ERROR")</f>
        <v>12256</v>
      </c>
      <c r="J64" s="226">
        <f t="shared" si="1"/>
        <v>0.60113792426917789</v>
      </c>
      <c r="K64" s="228">
        <f>IFERROR(VLOOKUP($B64,MMWR_TRAD_AGG_RO_COMP[],K$1,0),"ERROR")</f>
        <v>2147</v>
      </c>
      <c r="L64" s="229">
        <f>IFERROR(VLOOKUP($B64,MMWR_TRAD_AGG_RO_COMP[],L$1,0),"ERROR")</f>
        <v>1359</v>
      </c>
      <c r="M64" s="226">
        <f t="shared" si="2"/>
        <v>0.63297624592454593</v>
      </c>
      <c r="N64" s="228">
        <f>IFERROR(VLOOKUP($B64,MMWR_TRAD_AGG_RO_COMP[],N$1,0),"ERROR")</f>
        <v>1833</v>
      </c>
      <c r="O64" s="229">
        <f>IFERROR(VLOOKUP($B64,MMWR_TRAD_AGG_RO_COMP[],O$1,0),"ERROR")</f>
        <v>1427</v>
      </c>
      <c r="P64" s="226">
        <f t="shared" si="3"/>
        <v>0.77850518276050196</v>
      </c>
      <c r="Q64" s="230">
        <f>IFERROR(VLOOKUP($B64,MMWR_TRAD_AGG_RO_COMP[],Q$1,0),"ERROR")</f>
        <v>2</v>
      </c>
      <c r="R64" s="230">
        <f>IFERROR(VLOOKUP($B64,MMWR_TRAD_AGG_RO_COMP[],R$1,0),"ERROR")</f>
        <v>57</v>
      </c>
      <c r="S64" s="204">
        <f>IFERROR(VLOOKUP($B64,MMWR_APP_RO[],S$1,0),"ERROR")</f>
        <v>11383</v>
      </c>
      <c r="T64" s="28"/>
    </row>
    <row r="65" spans="1:20" x14ac:dyDescent="0.2">
      <c r="A65" s="28"/>
      <c r="B65" s="108" t="s">
        <v>56</v>
      </c>
      <c r="C65" s="222">
        <f>IFERROR(VLOOKUP($B65,MMWR_TRAD_AGG_RO_COMP[],C$1,0),"ERROR")</f>
        <v>10310</v>
      </c>
      <c r="D65" s="223">
        <f>IFERROR(VLOOKUP($B65,MMWR_TRAD_AGG_RO_COMP[],D$1,0),"ERROR")</f>
        <v>446.0416100873</v>
      </c>
      <c r="E65" s="224">
        <f>IFERROR(VLOOKUP($B65,MMWR_TRAD_AGG_RO_COMP[],E$1,0),"ERROR")</f>
        <v>6649</v>
      </c>
      <c r="F65" s="225">
        <f>IFERROR(VLOOKUP($B65,MMWR_TRAD_AGG_RO_COMP[],F$1,0),"ERROR")</f>
        <v>3456</v>
      </c>
      <c r="G65" s="226">
        <f t="shared" si="0"/>
        <v>0.51977741013686274</v>
      </c>
      <c r="H65" s="227">
        <f>IFERROR(VLOOKUP($B65,MMWR_TRAD_AGG_RO_COMP[],H$1,0),"ERROR")</f>
        <v>14267</v>
      </c>
      <c r="I65" s="225">
        <f>IFERROR(VLOOKUP($B65,MMWR_TRAD_AGG_RO_COMP[],I$1,0),"ERROR")</f>
        <v>9567</v>
      </c>
      <c r="J65" s="226">
        <f t="shared" si="1"/>
        <v>0.67056844466250787</v>
      </c>
      <c r="K65" s="228">
        <f>IFERROR(VLOOKUP($B65,MMWR_TRAD_AGG_RO_COMP[],K$1,0),"ERROR")</f>
        <v>2542</v>
      </c>
      <c r="L65" s="229">
        <f>IFERROR(VLOOKUP($B65,MMWR_TRAD_AGG_RO_COMP[],L$1,0),"ERROR")</f>
        <v>2175</v>
      </c>
      <c r="M65" s="226">
        <f t="shared" si="2"/>
        <v>0.85562549173878832</v>
      </c>
      <c r="N65" s="228">
        <f>IFERROR(VLOOKUP($B65,MMWR_TRAD_AGG_RO_COMP[],N$1,0),"ERROR")</f>
        <v>1029</v>
      </c>
      <c r="O65" s="229">
        <f>IFERROR(VLOOKUP($B65,MMWR_TRAD_AGG_RO_COMP[],O$1,0),"ERROR")</f>
        <v>681</v>
      </c>
      <c r="P65" s="226">
        <f t="shared" si="3"/>
        <v>0.66180758017492713</v>
      </c>
      <c r="Q65" s="230">
        <f>IFERROR(VLOOKUP($B65,MMWR_TRAD_AGG_RO_COMP[],Q$1,0),"ERROR")</f>
        <v>76</v>
      </c>
      <c r="R65" s="230">
        <f>IFERROR(VLOOKUP($B65,MMWR_TRAD_AGG_RO_COMP[],R$1,0),"ERROR")</f>
        <v>247</v>
      </c>
      <c r="S65" s="204">
        <f>IFERROR(VLOOKUP($B65,MMWR_APP_RO[],S$1,0),"ERROR")</f>
        <v>4504</v>
      </c>
      <c r="T65" s="28"/>
    </row>
    <row r="66" spans="1:20" x14ac:dyDescent="0.2">
      <c r="A66" s="28"/>
      <c r="B66" s="108" t="s">
        <v>60</v>
      </c>
      <c r="C66" s="222">
        <f>IFERROR(VLOOKUP($B66,MMWR_TRAD_AGG_RO_COMP[],C$1,0),"ERROR")</f>
        <v>12634</v>
      </c>
      <c r="D66" s="223">
        <f>IFERROR(VLOOKUP($B66,MMWR_TRAD_AGG_RO_COMP[],D$1,0),"ERROR")</f>
        <v>373.45709988919998</v>
      </c>
      <c r="E66" s="224">
        <f>IFERROR(VLOOKUP($B66,MMWR_TRAD_AGG_RO_COMP[],E$1,0),"ERROR")</f>
        <v>7747</v>
      </c>
      <c r="F66" s="225">
        <f>IFERROR(VLOOKUP($B66,MMWR_TRAD_AGG_RO_COMP[],F$1,0),"ERROR")</f>
        <v>2638</v>
      </c>
      <c r="G66" s="226">
        <f t="shared" si="0"/>
        <v>0.34051891054601779</v>
      </c>
      <c r="H66" s="227">
        <f>IFERROR(VLOOKUP($B66,MMWR_TRAD_AGG_RO_COMP[],H$1,0),"ERROR")</f>
        <v>14168</v>
      </c>
      <c r="I66" s="225">
        <f>IFERROR(VLOOKUP($B66,MMWR_TRAD_AGG_RO_COMP[],I$1,0),"ERROR")</f>
        <v>10290</v>
      </c>
      <c r="J66" s="226">
        <f t="shared" si="1"/>
        <v>0.72628458498023718</v>
      </c>
      <c r="K66" s="228">
        <f>IFERROR(VLOOKUP($B66,MMWR_TRAD_AGG_RO_COMP[],K$1,0),"ERROR")</f>
        <v>4340</v>
      </c>
      <c r="L66" s="229">
        <f>IFERROR(VLOOKUP($B66,MMWR_TRAD_AGG_RO_COMP[],L$1,0),"ERROR")</f>
        <v>3993</v>
      </c>
      <c r="M66" s="226">
        <f t="shared" si="2"/>
        <v>0.92004608294930879</v>
      </c>
      <c r="N66" s="228">
        <f>IFERROR(VLOOKUP($B66,MMWR_TRAD_AGG_RO_COMP[],N$1,0),"ERROR")</f>
        <v>2529</v>
      </c>
      <c r="O66" s="229">
        <f>IFERROR(VLOOKUP($B66,MMWR_TRAD_AGG_RO_COMP[],O$1,0),"ERROR")</f>
        <v>2046</v>
      </c>
      <c r="P66" s="226">
        <f t="shared" si="3"/>
        <v>0.80901542111506519</v>
      </c>
      <c r="Q66" s="230">
        <f>IFERROR(VLOOKUP($B66,MMWR_TRAD_AGG_RO_COMP[],Q$1,0),"ERROR")</f>
        <v>2</v>
      </c>
      <c r="R66" s="230">
        <f>IFERROR(VLOOKUP($B66,MMWR_TRAD_AGG_RO_COMP[],R$1,0),"ERROR")</f>
        <v>349</v>
      </c>
      <c r="S66" s="204">
        <f>IFERROR(VLOOKUP($B66,MMWR_APP_RO[],S$1,0),"ERROR")</f>
        <v>10367</v>
      </c>
      <c r="T66" s="28"/>
    </row>
    <row r="67" spans="1:20" x14ac:dyDescent="0.2">
      <c r="A67" s="28"/>
      <c r="B67" s="108" t="s">
        <v>61</v>
      </c>
      <c r="C67" s="222">
        <f>IFERROR(VLOOKUP($B67,MMWR_TRAD_AGG_RO_COMP[],C$1,0),"ERROR")</f>
        <v>5203</v>
      </c>
      <c r="D67" s="223">
        <f>IFERROR(VLOOKUP($B67,MMWR_TRAD_AGG_RO_COMP[],D$1,0),"ERROR")</f>
        <v>228.83201998850001</v>
      </c>
      <c r="E67" s="224">
        <f>IFERROR(VLOOKUP($B67,MMWR_TRAD_AGG_RO_COMP[],E$1,0),"ERROR")</f>
        <v>9138</v>
      </c>
      <c r="F67" s="225">
        <f>IFERROR(VLOOKUP($B67,MMWR_TRAD_AGG_RO_COMP[],F$1,0),"ERROR")</f>
        <v>2484</v>
      </c>
      <c r="G67" s="226">
        <f t="shared" si="0"/>
        <v>0.27183191070256074</v>
      </c>
      <c r="H67" s="227">
        <f>IFERROR(VLOOKUP($B67,MMWR_TRAD_AGG_RO_COMP[],H$1,0),"ERROR")</f>
        <v>8255</v>
      </c>
      <c r="I67" s="225">
        <f>IFERROR(VLOOKUP($B67,MMWR_TRAD_AGG_RO_COMP[],I$1,0),"ERROR")</f>
        <v>4176</v>
      </c>
      <c r="J67" s="226">
        <f t="shared" si="1"/>
        <v>0.50587522713506961</v>
      </c>
      <c r="K67" s="228">
        <f>IFERROR(VLOOKUP($B67,MMWR_TRAD_AGG_RO_COMP[],K$1,0),"ERROR")</f>
        <v>1603</v>
      </c>
      <c r="L67" s="229">
        <f>IFERROR(VLOOKUP($B67,MMWR_TRAD_AGG_RO_COMP[],L$1,0),"ERROR")</f>
        <v>1340</v>
      </c>
      <c r="M67" s="226">
        <f t="shared" si="2"/>
        <v>0.83593262632563947</v>
      </c>
      <c r="N67" s="228">
        <f>IFERROR(VLOOKUP($B67,MMWR_TRAD_AGG_RO_COMP[],N$1,0),"ERROR")</f>
        <v>1612</v>
      </c>
      <c r="O67" s="229">
        <f>IFERROR(VLOOKUP($B67,MMWR_TRAD_AGG_RO_COMP[],O$1,0),"ERROR")</f>
        <v>1296</v>
      </c>
      <c r="P67" s="226">
        <f t="shared" si="3"/>
        <v>0.80397022332506207</v>
      </c>
      <c r="Q67" s="230">
        <f>IFERROR(VLOOKUP($B67,MMWR_TRAD_AGG_RO_COMP[],Q$1,0),"ERROR")</f>
        <v>5</v>
      </c>
      <c r="R67" s="230">
        <f>IFERROR(VLOOKUP($B67,MMWR_TRAD_AGG_RO_COMP[],R$1,0),"ERROR")</f>
        <v>215</v>
      </c>
      <c r="S67" s="204">
        <f>IFERROR(VLOOKUP($B67,MMWR_APP_RO[],S$1,0),"ERROR")</f>
        <v>6360</v>
      </c>
      <c r="T67" s="28"/>
    </row>
    <row r="68" spans="1:20" x14ac:dyDescent="0.2">
      <c r="A68" s="28"/>
      <c r="B68" s="108" t="s">
        <v>75</v>
      </c>
      <c r="C68" s="222">
        <f>IFERROR(VLOOKUP($B68,MMWR_TRAD_AGG_RO_COMP[],C$1,0),"ERROR")</f>
        <v>2159</v>
      </c>
      <c r="D68" s="223">
        <f>IFERROR(VLOOKUP($B68,MMWR_TRAD_AGG_RO_COMP[],D$1,0),"ERROR")</f>
        <v>264.90226956919997</v>
      </c>
      <c r="E68" s="224">
        <f>IFERROR(VLOOKUP($B68,MMWR_TRAD_AGG_RO_COMP[],E$1,0),"ERROR")</f>
        <v>2789</v>
      </c>
      <c r="F68" s="225">
        <f>IFERROR(VLOOKUP($B68,MMWR_TRAD_AGG_RO_COMP[],F$1,0),"ERROR")</f>
        <v>1025</v>
      </c>
      <c r="G68" s="226">
        <f t="shared" si="0"/>
        <v>0.36751523843671569</v>
      </c>
      <c r="H68" s="227">
        <f>IFERROR(VLOOKUP($B68,MMWR_TRAD_AGG_RO_COMP[],H$1,0),"ERROR")</f>
        <v>3682</v>
      </c>
      <c r="I68" s="225">
        <f>IFERROR(VLOOKUP($B68,MMWR_TRAD_AGG_RO_COMP[],I$1,0),"ERROR")</f>
        <v>2585</v>
      </c>
      <c r="J68" s="226">
        <f t="shared" si="1"/>
        <v>0.70206409560021732</v>
      </c>
      <c r="K68" s="228">
        <f>IFERROR(VLOOKUP($B68,MMWR_TRAD_AGG_RO_COMP[],K$1,0),"ERROR")</f>
        <v>670</v>
      </c>
      <c r="L68" s="229">
        <f>IFERROR(VLOOKUP($B68,MMWR_TRAD_AGG_RO_COMP[],L$1,0),"ERROR")</f>
        <v>627</v>
      </c>
      <c r="M68" s="226">
        <f t="shared" si="2"/>
        <v>0.93582089552238801</v>
      </c>
      <c r="N68" s="228">
        <f>IFERROR(VLOOKUP($B68,MMWR_TRAD_AGG_RO_COMP[],N$1,0),"ERROR")</f>
        <v>1731</v>
      </c>
      <c r="O68" s="229">
        <f>IFERROR(VLOOKUP($B68,MMWR_TRAD_AGG_RO_COMP[],O$1,0),"ERROR")</f>
        <v>1231</v>
      </c>
      <c r="P68" s="226">
        <f t="shared" si="3"/>
        <v>0.7111496244945118</v>
      </c>
      <c r="Q68" s="230">
        <f>IFERROR(VLOOKUP($B68,MMWR_TRAD_AGG_RO_COMP[],Q$1,0),"ERROR")</f>
        <v>0</v>
      </c>
      <c r="R68" s="230">
        <f>IFERROR(VLOOKUP($B68,MMWR_TRAD_AGG_RO_COMP[],R$1,0),"ERROR")</f>
        <v>5</v>
      </c>
      <c r="S68" s="204">
        <f>IFERROR(VLOOKUP($B68,MMWR_APP_RO[],S$1,0),"ERROR")</f>
        <v>5916</v>
      </c>
      <c r="T68" s="28"/>
    </row>
    <row r="69" spans="1:20" x14ac:dyDescent="0.2">
      <c r="A69" s="28"/>
      <c r="B69" s="116" t="s">
        <v>80</v>
      </c>
      <c r="C69" s="231">
        <f>IFERROR(VLOOKUP($B69,MMWR_TRAD_AGG_RO_COMP[],C$1,0),"ERROR")</f>
        <v>15214</v>
      </c>
      <c r="D69" s="232">
        <f>IFERROR(VLOOKUP($B69,MMWR_TRAD_AGG_RO_COMP[],D$1,0),"ERROR")</f>
        <v>346.86946233729998</v>
      </c>
      <c r="E69" s="233">
        <f>IFERROR(VLOOKUP($B69,MMWR_TRAD_AGG_RO_COMP[],E$1,0),"ERROR")</f>
        <v>24075</v>
      </c>
      <c r="F69" s="234">
        <f>IFERROR(VLOOKUP($B69,MMWR_TRAD_AGG_RO_COMP[],F$1,0),"ERROR")</f>
        <v>9252</v>
      </c>
      <c r="G69" s="235">
        <f t="shared" si="0"/>
        <v>0.38429906542056075</v>
      </c>
      <c r="H69" s="236">
        <f>IFERROR(VLOOKUP($B69,MMWR_TRAD_AGG_RO_COMP[],H$1,0),"ERROR")</f>
        <v>19132</v>
      </c>
      <c r="I69" s="234">
        <f>IFERROR(VLOOKUP($B69,MMWR_TRAD_AGG_RO_COMP[],I$1,0),"ERROR")</f>
        <v>11620</v>
      </c>
      <c r="J69" s="235">
        <f t="shared" si="1"/>
        <v>0.60735939786744719</v>
      </c>
      <c r="K69" s="237">
        <f>IFERROR(VLOOKUP($B69,MMWR_TRAD_AGG_RO_COMP[],K$1,0),"ERROR")</f>
        <v>2298</v>
      </c>
      <c r="L69" s="238">
        <f>IFERROR(VLOOKUP($B69,MMWR_TRAD_AGG_RO_COMP[],L$1,0),"ERROR")</f>
        <v>1616</v>
      </c>
      <c r="M69" s="235">
        <f t="shared" si="2"/>
        <v>0.70322019147084425</v>
      </c>
      <c r="N69" s="237">
        <f>IFERROR(VLOOKUP($B69,MMWR_TRAD_AGG_RO_COMP[],N$1,0),"ERROR")</f>
        <v>9835</v>
      </c>
      <c r="O69" s="238">
        <f>IFERROR(VLOOKUP($B69,MMWR_TRAD_AGG_RO_COMP[],O$1,0),"ERROR")</f>
        <v>6345</v>
      </c>
      <c r="P69" s="235">
        <f t="shared" si="3"/>
        <v>0.64514489069649217</v>
      </c>
      <c r="Q69" s="239">
        <f>IFERROR(VLOOKUP($B69,MMWR_TRAD_AGG_RO_COMP[],Q$1,0),"ERROR")</f>
        <v>7</v>
      </c>
      <c r="R69" s="239">
        <f>IFERROR(VLOOKUP($B69,MMWR_TRAD_AGG_RO_COMP[],R$1,0),"ERROR")</f>
        <v>233</v>
      </c>
      <c r="S69" s="204">
        <f>IFERROR(VLOOKUP($B69,MMWR_APP_RO[],S$1,0),"ERROR")</f>
        <v>27142</v>
      </c>
      <c r="T69" s="28"/>
    </row>
    <row r="70" spans="1:20" x14ac:dyDescent="0.2">
      <c r="A70" s="28"/>
      <c r="B70" s="101" t="s">
        <v>8</v>
      </c>
      <c r="C70" s="215">
        <f>IFERROR(VLOOKUP($B70,MMWR_TRAD_AGG_RO_COMP[],C$1,0),"ERROR")</f>
        <v>51</v>
      </c>
      <c r="D70" s="200">
        <f>IFERROR(VLOOKUP($B70,MMWR_TRAD_AGG_RO_COMP[],D$1,0),"ERROR")</f>
        <v>799.01960784309995</v>
      </c>
      <c r="E70" s="216">
        <f>IFERROR(VLOOKUP($B70,MMWR_TRAD_AGG_RO_COMP[],E$1,0),"ERROR")</f>
        <v>1</v>
      </c>
      <c r="F70" s="221">
        <f>IFERROR(VLOOKUP($B70,MMWR_TRAD_AGG_RO_COMP[],F$1,0),"ERROR")</f>
        <v>0</v>
      </c>
      <c r="G70" s="217">
        <f>IFERROR(F70/E70,"0%")</f>
        <v>0</v>
      </c>
      <c r="H70" s="221">
        <f>IFERROR(VLOOKUP($B70,MMWR_TRAD_AGG_RO_COMP[],H$1,0),"ERROR")</f>
        <v>54</v>
      </c>
      <c r="I70" s="221">
        <f>IFERROR(VLOOKUP($B70,MMWR_TRAD_AGG_RO_COMP[],I$1,0),"ERROR")</f>
        <v>54</v>
      </c>
      <c r="J70" s="217">
        <f>IFERROR(I70/H70,"0%")</f>
        <v>1</v>
      </c>
      <c r="K70" s="215">
        <f>IFERROR(VLOOKUP($B70,MMWR_TRAD_AGG_RO_COMP[],K$1,0),"ERROR")</f>
        <v>1</v>
      </c>
      <c r="L70" s="215">
        <f>IFERROR(VLOOKUP($B70,MMWR_TRAD_AGG_RO_COMP[],L$1,0),"ERROR")</f>
        <v>1</v>
      </c>
      <c r="M70" s="217">
        <f>IFERROR(L70/K70,"0%")</f>
        <v>1</v>
      </c>
      <c r="N70" s="215">
        <f>IFERROR(VLOOKUP($B70,MMWR_TRAD_AGG_RO_COMP[],N$1,0),"ERROR")</f>
        <v>17037</v>
      </c>
      <c r="O70" s="215">
        <f>IFERROR(VLOOKUP($B70,MMWR_TRAD_AGG_RO_COMP[],O$1,0),"ERROR")</f>
        <v>4376</v>
      </c>
      <c r="P70" s="217">
        <f>IFERROR(O70/N70,"0%")</f>
        <v>0.25685273228854844</v>
      </c>
      <c r="Q70" s="215">
        <f>IFERROR(VLOOKUP($B70,MMWR_TRAD_AGG_RO_COMP[],Q$1,0),"ERROR")</f>
        <v>0</v>
      </c>
      <c r="R70" s="218">
        <f>IFERROR(VLOOKUP($B70,MMWR_TRAD_AGG_RO_COMP[],R$1,0),"ERROR")</f>
        <v>0</v>
      </c>
      <c r="S70" s="218">
        <f>IFERROR(VLOOKUP($B70,MMWR_APP_RO[],S$1,0),"ERROR")</f>
        <v>12953</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1" t="s">
        <v>497</v>
      </c>
      <c r="D72" s="452"/>
      <c r="E72" s="452"/>
      <c r="F72" s="452"/>
      <c r="G72" s="452"/>
      <c r="H72" s="452"/>
      <c r="I72" s="452"/>
      <c r="J72" s="452"/>
      <c r="K72" s="452"/>
      <c r="L72" s="452"/>
      <c r="M72" s="452"/>
      <c r="N72" s="452"/>
      <c r="O72" s="452"/>
      <c r="P72" s="452"/>
      <c r="Q72" s="452"/>
      <c r="R72" s="452"/>
      <c r="S72" s="453"/>
      <c r="T72" s="28"/>
    </row>
    <row r="73" spans="1:20" x14ac:dyDescent="0.2">
      <c r="A73" s="25"/>
      <c r="B73" s="117"/>
      <c r="C73" s="454" t="s">
        <v>233</v>
      </c>
      <c r="D73" s="455"/>
      <c r="E73" s="456" t="s">
        <v>213</v>
      </c>
      <c r="F73" s="457"/>
      <c r="G73" s="458"/>
      <c r="H73" s="456" t="s">
        <v>7</v>
      </c>
      <c r="I73" s="457"/>
      <c r="J73" s="458"/>
      <c r="K73" s="456" t="s">
        <v>33</v>
      </c>
      <c r="L73" s="457"/>
      <c r="M73" s="458"/>
      <c r="N73" s="456" t="s">
        <v>8</v>
      </c>
      <c r="O73" s="457"/>
      <c r="P73" s="458"/>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498</v>
      </c>
      <c r="T74" s="28"/>
    </row>
    <row r="75" spans="1:20" x14ac:dyDescent="0.2">
      <c r="A75" s="25"/>
      <c r="B75" s="101" t="s">
        <v>472</v>
      </c>
      <c r="C75" s="240">
        <f>IFERROR(VLOOKUP($B75,MMWR_TRAD_AGG_RO_PEN[],C$1,0),"ERROR")</f>
        <v>19361</v>
      </c>
      <c r="D75" s="241">
        <f>IFERROR(VLOOKUP($B75,MMWR_TRAD_AGG_RO_PEN[],D$1,0),"ERROR")</f>
        <v>79.717524921199995</v>
      </c>
      <c r="E75" s="240">
        <f>IFERROR(VLOOKUP($B75,MMWR_TRAD_AGG_RO_PEN[],E$1,0),"ERROR")</f>
        <v>23644</v>
      </c>
      <c r="F75" s="240">
        <f>IFERROR(VLOOKUP($B75,MMWR_TRAD_AGG_RO_PEN[],F$1,0),"ERROR")</f>
        <v>2837</v>
      </c>
      <c r="G75" s="242">
        <f>IFERROR(F75/E75,"0%")</f>
        <v>0.11998815767213669</v>
      </c>
      <c r="H75" s="240">
        <f>IFERROR(VLOOKUP($B75,MMWR_TRAD_AGG_RO_PEN[],H$1,0),"ERROR")</f>
        <v>31159</v>
      </c>
      <c r="I75" s="240">
        <f>IFERROR(VLOOKUP($B75,MMWR_TRAD_AGG_RO_PEN[],I$1,0),"ERROR")</f>
        <v>6469</v>
      </c>
      <c r="J75" s="242">
        <f>IFERROR(I75/H75,"0%")</f>
        <v>0.2076125677974261</v>
      </c>
      <c r="K75" s="240">
        <f>IFERROR(VLOOKUP($B75,MMWR_TRAD_AGG_RO_PEN[],K$1,0),"ERROR")</f>
        <v>776</v>
      </c>
      <c r="L75" s="240">
        <f>IFERROR(VLOOKUP($B75,MMWR_TRAD_AGG_RO_PEN[],L$1,0),"ERROR")</f>
        <v>751</v>
      </c>
      <c r="M75" s="242">
        <f>IFERROR(L75/K75,"0%")</f>
        <v>0.96778350515463918</v>
      </c>
      <c r="N75" s="240">
        <f>IFERROR(VLOOKUP($B75,MMWR_TRAD_AGG_RO_PEN[],N$1,0),"ERROR")</f>
        <v>6124</v>
      </c>
      <c r="O75" s="240">
        <f>IFERROR(VLOOKUP($B75,MMWR_TRAD_AGG_RO_PEN[],O$1,0),"ERROR")</f>
        <v>1046</v>
      </c>
      <c r="P75" s="242">
        <f>IFERROR(O75/N75,"0%")</f>
        <v>0.17080339647289353</v>
      </c>
      <c r="Q75" s="240">
        <f>IFERROR(VLOOKUP($B75,MMWR_TRAD_AGG_RO_PEN[],Q$1,0),"ERROR")</f>
        <v>10632</v>
      </c>
      <c r="R75" s="243">
        <f>IFERROR(VLOOKUP($B75,MMWR_TRAD_AGG_RO_PEN[],R$1,0),"ERROR")</f>
        <v>4941</v>
      </c>
      <c r="S75" s="243">
        <f>IFERROR(VLOOKUP($B75,MMWR_APP_RO[],S$1,0),"ERROR")</f>
        <v>5949</v>
      </c>
      <c r="T75" s="28"/>
    </row>
    <row r="76" spans="1:20" x14ac:dyDescent="0.2">
      <c r="A76" s="107"/>
      <c r="B76" s="122" t="s">
        <v>218</v>
      </c>
      <c r="C76" s="244">
        <f>IFERROR(VLOOKUP($B76,MMWR_TRAD_AGG_RO_PEN[],C$1,0),"ERROR")</f>
        <v>11796</v>
      </c>
      <c r="D76" s="245">
        <f>IFERROR(VLOOKUP($B76,MMWR_TRAD_AGG_RO_PEN[],D$1,0),"ERROR")</f>
        <v>93.952356731099997</v>
      </c>
      <c r="E76" s="244">
        <f>IFERROR(VLOOKUP($B76,MMWR_TRAD_AGG_RO_PEN[],E$1,0),"ERROR")</f>
        <v>10885</v>
      </c>
      <c r="F76" s="244">
        <f>IFERROR(VLOOKUP($B76,MMWR_TRAD_AGG_RO_PEN[],F$1,0),"ERROR")</f>
        <v>2013</v>
      </c>
      <c r="G76" s="226">
        <f>IFERROR(F76/E76,"0%")</f>
        <v>0.18493339457969682</v>
      </c>
      <c r="H76" s="244">
        <f>IFERROR(VLOOKUP($B76,MMWR_TRAD_AGG_RO_PEN[],H$1,0),"ERROR")</f>
        <v>18090</v>
      </c>
      <c r="I76" s="244">
        <f>IFERROR(VLOOKUP($B76,MMWR_TRAD_AGG_RO_PEN[],I$1,0),"ERROR")</f>
        <v>4894</v>
      </c>
      <c r="J76" s="226">
        <f>IFERROR(I76/H76,"0%")</f>
        <v>0.27053620784964066</v>
      </c>
      <c r="K76" s="244">
        <f>IFERROR(VLOOKUP($B76,MMWR_TRAD_AGG_RO_PEN[],K$1,0),"ERROR")</f>
        <v>407</v>
      </c>
      <c r="L76" s="244">
        <f>IFERROR(VLOOKUP($B76,MMWR_TRAD_AGG_RO_PEN[],L$1,0),"ERROR")</f>
        <v>393</v>
      </c>
      <c r="M76" s="226">
        <f>IFERROR(L76/K76,"0%")</f>
        <v>0.96560196560196565</v>
      </c>
      <c r="N76" s="244">
        <f>IFERROR(VLOOKUP($B76,MMWR_TRAD_AGG_RO_PEN[],N$1,0),"ERROR")</f>
        <v>5283</v>
      </c>
      <c r="O76" s="244">
        <f>IFERROR(VLOOKUP($B76,MMWR_TRAD_AGG_RO_PEN[],O$1,0),"ERROR")</f>
        <v>684</v>
      </c>
      <c r="P76" s="226">
        <f>IFERROR(O76/N76,"0%")</f>
        <v>0.12947189097103917</v>
      </c>
      <c r="Q76" s="244">
        <f>IFERROR(VLOOKUP($B76,MMWR_TRAD_AGG_RO_PEN[],Q$1,0),"ERROR")</f>
        <v>1442</v>
      </c>
      <c r="R76" s="244">
        <f>IFERROR(VLOOKUP($B76,MMWR_TRAD_AGG_RO_PEN[],R$1,0),"ERROR")</f>
        <v>3264</v>
      </c>
      <c r="S76" s="246">
        <f>IFERROR(VLOOKUP($B76,MMWR_APP_RO[],S$1,0),"ERROR")</f>
        <v>2649</v>
      </c>
      <c r="T76" s="28"/>
    </row>
    <row r="77" spans="1:20" x14ac:dyDescent="0.2">
      <c r="A77" s="107"/>
      <c r="B77" s="122" t="s">
        <v>217</v>
      </c>
      <c r="C77" s="244">
        <f>IFERROR(VLOOKUP($B77,MMWR_TRAD_AGG_RO_PEN[],C$1,0),"ERROR")</f>
        <v>4875</v>
      </c>
      <c r="D77" s="245">
        <f>IFERROR(VLOOKUP($B77,MMWR_TRAD_AGG_RO_PEN[],D$1,0),"ERROR")</f>
        <v>65.068717948699998</v>
      </c>
      <c r="E77" s="244">
        <f>IFERROR(VLOOKUP($B77,MMWR_TRAD_AGG_RO_PEN[],E$1,0),"ERROR")</f>
        <v>5725</v>
      </c>
      <c r="F77" s="244">
        <f>IFERROR(VLOOKUP($B77,MMWR_TRAD_AGG_RO_PEN[],F$1,0),"ERROR")</f>
        <v>476</v>
      </c>
      <c r="G77" s="226">
        <f>IFERROR(F77/E77,"0%")</f>
        <v>8.3144104803493449E-2</v>
      </c>
      <c r="H77" s="244">
        <f>IFERROR(VLOOKUP($B77,MMWR_TRAD_AGG_RO_PEN[],H$1,0),"ERROR")</f>
        <v>7666</v>
      </c>
      <c r="I77" s="244">
        <f>IFERROR(VLOOKUP($B77,MMWR_TRAD_AGG_RO_PEN[],I$1,0),"ERROR")</f>
        <v>726</v>
      </c>
      <c r="J77" s="226">
        <f>IFERROR(I77/H77,"0%")</f>
        <v>9.4703887294547345E-2</v>
      </c>
      <c r="K77" s="244">
        <f>IFERROR(VLOOKUP($B77,MMWR_TRAD_AGG_RO_PEN[],K$1,0),"ERROR")</f>
        <v>83</v>
      </c>
      <c r="L77" s="244">
        <f>IFERROR(VLOOKUP($B77,MMWR_TRAD_AGG_RO_PEN[],L$1,0),"ERROR")</f>
        <v>82</v>
      </c>
      <c r="M77" s="226">
        <f>IFERROR(L77/K77,"0%")</f>
        <v>0.98795180722891562</v>
      </c>
      <c r="N77" s="244">
        <f>IFERROR(VLOOKUP($B77,MMWR_TRAD_AGG_RO_PEN[],N$1,0),"ERROR")</f>
        <v>446</v>
      </c>
      <c r="O77" s="244">
        <f>IFERROR(VLOOKUP($B77,MMWR_TRAD_AGG_RO_PEN[],O$1,0),"ERROR")</f>
        <v>84</v>
      </c>
      <c r="P77" s="226">
        <f>IFERROR(O77/N77,"0%")</f>
        <v>0.18834080717488788</v>
      </c>
      <c r="Q77" s="244">
        <f>IFERROR(VLOOKUP($B77,MMWR_TRAD_AGG_RO_PEN[],Q$1,0),"ERROR")</f>
        <v>4601</v>
      </c>
      <c r="R77" s="244">
        <f>IFERROR(VLOOKUP($B77,MMWR_TRAD_AGG_RO_PEN[],R$1,0),"ERROR")</f>
        <v>481</v>
      </c>
      <c r="S77" s="246">
        <f>IFERROR(VLOOKUP($B77,MMWR_APP_RO[],S$1,0),"ERROR")</f>
        <v>2052</v>
      </c>
      <c r="T77" s="28"/>
    </row>
    <row r="78" spans="1:20" x14ac:dyDescent="0.2">
      <c r="A78" s="107"/>
      <c r="B78" s="122" t="s">
        <v>220</v>
      </c>
      <c r="C78" s="244">
        <f>IFERROR(VLOOKUP($B78,MMWR_TRAD_AGG_RO_PEN[],C$1,0),"ERROR")</f>
        <v>2690</v>
      </c>
      <c r="D78" s="245">
        <f>IFERROR(VLOOKUP($B78,MMWR_TRAD_AGG_RO_PEN[],D$1,0),"ERROR")</f>
        <v>43.843494423800003</v>
      </c>
      <c r="E78" s="244">
        <f>IFERROR(VLOOKUP($B78,MMWR_TRAD_AGG_RO_PEN[],E$1,0),"ERROR")</f>
        <v>6798</v>
      </c>
      <c r="F78" s="244">
        <f>IFERROR(VLOOKUP($B78,MMWR_TRAD_AGG_RO_PEN[],F$1,0),"ERROR")</f>
        <v>243</v>
      </c>
      <c r="G78" s="226">
        <f>IFERROR(F78/E78,"0%")</f>
        <v>3.5745807590467783E-2</v>
      </c>
      <c r="H78" s="244">
        <f>IFERROR(VLOOKUP($B78,MMWR_TRAD_AGG_RO_PEN[],H$1,0),"ERROR")</f>
        <v>4449</v>
      </c>
      <c r="I78" s="244">
        <f>IFERROR(VLOOKUP($B78,MMWR_TRAD_AGG_RO_PEN[],I$1,0),"ERROR")</f>
        <v>54</v>
      </c>
      <c r="J78" s="226">
        <f>IFERROR(I78/H78,"0%")</f>
        <v>1.2137559002022926E-2</v>
      </c>
      <c r="K78" s="244">
        <f>IFERROR(VLOOKUP($B78,MMWR_TRAD_AGG_RO_PEN[],K$1,0),"ERROR")</f>
        <v>10</v>
      </c>
      <c r="L78" s="244">
        <f>IFERROR(VLOOKUP($B78,MMWR_TRAD_AGG_RO_PEN[],L$1,0),"ERROR")</f>
        <v>8</v>
      </c>
      <c r="M78" s="226">
        <f>IFERROR(L78/K78,"0%")</f>
        <v>0.8</v>
      </c>
      <c r="N78" s="244">
        <f>IFERROR(VLOOKUP($B78,MMWR_TRAD_AGG_RO_PEN[],N$1,0),"ERROR")</f>
        <v>88</v>
      </c>
      <c r="O78" s="244">
        <f>IFERROR(VLOOKUP($B78,MMWR_TRAD_AGG_RO_PEN[],O$1,0),"ERROR")</f>
        <v>22</v>
      </c>
      <c r="P78" s="226">
        <f>IFERROR(O78/N78,"0%")</f>
        <v>0.25</v>
      </c>
      <c r="Q78" s="244">
        <f>IFERROR(VLOOKUP($B78,MMWR_TRAD_AGG_RO_PEN[],Q$1,0),"ERROR")</f>
        <v>4475</v>
      </c>
      <c r="R78" s="244">
        <f>IFERROR(VLOOKUP($B78,MMWR_TRAD_AGG_RO_PEN[],R$1,0),"ERROR")</f>
        <v>1196</v>
      </c>
      <c r="S78" s="246">
        <f>IFERROR(VLOOKUP($B78,MMWR_APP_RO[],S$1,0),"ERROR")</f>
        <v>1248</v>
      </c>
      <c r="T78" s="28"/>
    </row>
    <row r="79" spans="1:20" x14ac:dyDescent="0.2">
      <c r="A79" s="92"/>
      <c r="B79" s="101" t="s">
        <v>232</v>
      </c>
      <c r="C79" s="221">
        <f>IFERROR(VLOOKUP($B79,MMWR_TRAD_AGG_RO_PEN[],C$1,0),"ERROR")</f>
        <v>0</v>
      </c>
      <c r="D79" s="192">
        <f>IFERROR(VLOOKUP($B79,MMWR_TRAD_AGG_RO_PEN[],D$1,0),"ERROR")</f>
        <v>0</v>
      </c>
      <c r="E79" s="221">
        <f>IFERROR(VLOOKUP($B79,MMWR_TRAD_AGG_RO_PEN[],E$1,0),"ERROR")</f>
        <v>236</v>
      </c>
      <c r="F79" s="221">
        <f>IFERROR(VLOOKUP($B79,MMWR_TRAD_AGG_RO_PEN[],F$1,0),"ERROR")</f>
        <v>105</v>
      </c>
      <c r="G79" s="217">
        <f>IFERROR(F79/E79,"0%")</f>
        <v>0.44491525423728812</v>
      </c>
      <c r="H79" s="221">
        <f>IFERROR(VLOOKUP($B79,MMWR_TRAD_AGG_RO_PEN[],H$1,0),"ERROR")</f>
        <v>954</v>
      </c>
      <c r="I79" s="221">
        <f>IFERROR(VLOOKUP($B79,MMWR_TRAD_AGG_RO_PEN[],I$1,0),"ERROR")</f>
        <v>795</v>
      </c>
      <c r="J79" s="217">
        <f>IFERROR(I79/H79,"0%")</f>
        <v>0.83333333333333337</v>
      </c>
      <c r="K79" s="221">
        <f>IFERROR(VLOOKUP($B79,MMWR_TRAD_AGG_RO_PEN[],K$1,0),"ERROR")</f>
        <v>276</v>
      </c>
      <c r="L79" s="221">
        <f>IFERROR(VLOOKUP($B79,MMWR_TRAD_AGG_RO_PEN[],L$1,0),"ERROR")</f>
        <v>268</v>
      </c>
      <c r="M79" s="217">
        <f>IFERROR(L79/K79,"0%")</f>
        <v>0.97101449275362317</v>
      </c>
      <c r="N79" s="221">
        <f>IFERROR(VLOOKUP($B79,MMWR_TRAD_AGG_RO_PEN[],N$1,0),"ERROR")</f>
        <v>307</v>
      </c>
      <c r="O79" s="221">
        <f>IFERROR(VLOOKUP($B79,MMWR_TRAD_AGG_RO_PEN[],O$1,0),"ERROR")</f>
        <v>256</v>
      </c>
      <c r="P79" s="217">
        <f>IFERROR(O79/N79,"0%")</f>
        <v>0.83387622149837137</v>
      </c>
      <c r="Q79" s="221">
        <f>IFERROR(VLOOKUP($B79,MMWR_TRAD_AGG_RO_PEN[],Q$1,0),"ERROR")</f>
        <v>114</v>
      </c>
      <c r="R79" s="247">
        <f>IFERROR(VLOOKUP($B79,MMWR_TRAD_AGG_RO_PEN[],R$1,0),"ERROR")</f>
        <v>0</v>
      </c>
      <c r="S79" s="247"/>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1" t="str">
        <f>UPPER("INVENTORY BY STATE "&amp;Transformation!B4)</f>
        <v>INVENTORY BY STATE AS OF: JULY 25, 2015</v>
      </c>
      <c r="D2" s="452"/>
      <c r="E2" s="452"/>
      <c r="F2" s="452"/>
      <c r="G2" s="452"/>
      <c r="H2" s="452"/>
      <c r="I2" s="452"/>
      <c r="J2" s="452"/>
      <c r="K2" s="452"/>
      <c r="L2" s="452"/>
      <c r="M2" s="452"/>
      <c r="N2" s="452"/>
      <c r="O2" s="452"/>
      <c r="P2" s="452"/>
      <c r="Q2" s="452"/>
      <c r="R2" s="452"/>
      <c r="S2" s="453"/>
      <c r="T2" s="28"/>
    </row>
    <row r="3" spans="1:20" s="123" customFormat="1" x14ac:dyDescent="0.2">
      <c r="A3" s="25"/>
      <c r="B3" s="26"/>
      <c r="C3" s="459" t="s">
        <v>233</v>
      </c>
      <c r="D3" s="459"/>
      <c r="E3" s="456" t="s">
        <v>213</v>
      </c>
      <c r="F3" s="457"/>
      <c r="G3" s="458"/>
      <c r="H3" s="456" t="s">
        <v>7</v>
      </c>
      <c r="I3" s="457"/>
      <c r="J3" s="458"/>
      <c r="K3" s="456" t="s">
        <v>33</v>
      </c>
      <c r="L3" s="457"/>
      <c r="M3" s="458"/>
      <c r="N3" s="456" t="s">
        <v>8</v>
      </c>
      <c r="O3" s="457"/>
      <c r="P3" s="458"/>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498</v>
      </c>
      <c r="T4" s="28"/>
    </row>
    <row r="5" spans="1:20" s="123" customFormat="1" ht="26.25" x14ac:dyDescent="0.4">
      <c r="A5" s="25"/>
      <c r="B5" s="124"/>
      <c r="C5" s="451" t="s">
        <v>496</v>
      </c>
      <c r="D5" s="452"/>
      <c r="E5" s="452"/>
      <c r="F5" s="452"/>
      <c r="G5" s="452"/>
      <c r="H5" s="452"/>
      <c r="I5" s="452"/>
      <c r="J5" s="452"/>
      <c r="K5" s="452"/>
      <c r="L5" s="452"/>
      <c r="M5" s="452"/>
      <c r="N5" s="452"/>
      <c r="O5" s="452"/>
      <c r="P5" s="452"/>
      <c r="Q5" s="452"/>
      <c r="R5" s="452"/>
      <c r="S5" s="453"/>
      <c r="T5" s="28"/>
    </row>
    <row r="6" spans="1:20" s="123" customFormat="1" x14ac:dyDescent="0.2">
      <c r="A6" s="92"/>
      <c r="B6" s="125" t="s">
        <v>471</v>
      </c>
      <c r="C6" s="94">
        <f>IFERROR(VLOOKUP($B6,MMWR_TRAD_AGG_ST_DISTRICT_COMP[],C$1,0),"ERROR")</f>
        <v>362347</v>
      </c>
      <c r="D6" s="95">
        <f>IFERROR(VLOOKUP($B6,MMWR_TRAD_AGG_ST_DISTRICT_COMP[],D$1,0),"ERROR")</f>
        <v>365.22501359189999</v>
      </c>
      <c r="E6" s="96">
        <f>IFERROR(VLOOKUP($B6,MMWR_TRAD_AGG_ST_DISTRICT_COMP[],E$1,0),"ERROR")</f>
        <v>349702</v>
      </c>
      <c r="F6" s="97">
        <f>IFERROR(VLOOKUP($B6,MMWR_TRAD_AGG_ST_DISTRICT_COMP[],F$1,0),"ERROR")</f>
        <v>113214</v>
      </c>
      <c r="G6" s="98">
        <f t="shared" ref="G6:G37" si="0">IFERROR(F6/E6,"0%")</f>
        <v>0.32374421650433799</v>
      </c>
      <c r="H6" s="96">
        <f>IFERROR(VLOOKUP($B6,MMWR_TRAD_AGG_ST_DISTRICT_COMP[],H$1,0),"ERROR")</f>
        <v>504128</v>
      </c>
      <c r="I6" s="97">
        <f>IFERROR(VLOOKUP($B6,MMWR_TRAD_AGG_ST_DISTRICT_COMP[],I$1,0),"ERROR")</f>
        <v>314458</v>
      </c>
      <c r="J6" s="99">
        <f t="shared" ref="J6:J37" si="1">IFERROR(I6/H6,"0%")</f>
        <v>0.62376618636536751</v>
      </c>
      <c r="K6" s="96">
        <f>IFERROR(VLOOKUP($B6,MMWR_TRAD_AGG_ST_DISTRICT_COMP[],K$1,0),"ERROR")</f>
        <v>78096</v>
      </c>
      <c r="L6" s="97">
        <f>IFERROR(VLOOKUP($B6,MMWR_TRAD_AGG_ST_DISTRICT_COMP[],L$1,0),"ERROR")</f>
        <v>61449</v>
      </c>
      <c r="M6" s="99">
        <f t="shared" ref="M6:M37" si="2">IFERROR(L6/K6,"0%")</f>
        <v>0.78683927473878301</v>
      </c>
      <c r="N6" s="96">
        <f>IFERROR(VLOOKUP($B6,MMWR_TRAD_AGG_ST_DISTRICT_COMP[],N$1,0),"ERROR")</f>
        <v>158560</v>
      </c>
      <c r="O6" s="97">
        <f>IFERROR(VLOOKUP($B6,MMWR_TRAD_AGG_ST_DISTRICT_COMP[],O$1,0),"ERROR")</f>
        <v>106079</v>
      </c>
      <c r="P6" s="99">
        <f t="shared" ref="P6:P37" si="3">IFERROR(O6/N6,"0%")</f>
        <v>0.66901488395560038</v>
      </c>
      <c r="Q6" s="100">
        <f>IFERROR(VLOOKUP($B6,MMWR_TRAD_AGG_ST_DISTRICT_COMP[],Q$1,0),"ERROR")</f>
        <v>8417</v>
      </c>
      <c r="R6" s="100">
        <f>IFERROR(VLOOKUP($B6,MMWR_TRAD_AGG_ST_DISTRICT_COMP[],R$1,0),"ERROR")</f>
        <v>4371</v>
      </c>
      <c r="S6" s="100">
        <f>S7+S23+S36+S46+S56+S64</f>
        <v>299251</v>
      </c>
      <c r="T6" s="28"/>
    </row>
    <row r="7" spans="1:20" s="123" customFormat="1" x14ac:dyDescent="0.2">
      <c r="A7" s="92"/>
      <c r="B7" s="126" t="s">
        <v>379</v>
      </c>
      <c r="C7" s="102">
        <f>IF(SUM(C8:C22)&lt;&gt;VLOOKUP($B7,MMWR_TRAD_AGG_ST_DISTRICT_COMP[],C$1,0),"ERROR",
VLOOKUP($B7,MMWR_TRAD_AGG_ST_DISTRICT_COMP[],C$1,0))</f>
        <v>73287</v>
      </c>
      <c r="D7" s="103">
        <f>IFERROR(VLOOKUP($B7,MMWR_TRAD_AGG_ST_DISTRICT_COMP[],D$1,0),"ERROR")</f>
        <v>375.46596258549999</v>
      </c>
      <c r="E7" s="102">
        <f>IF(SUM(E8:E22)&lt;&gt;VLOOKUP($B7,MMWR_TRAD_AGG_ST_DISTRICT_COMP[],E$1,0),"ERROR",
VLOOKUP($B7,MMWR_TRAD_AGG_ST_DISTRICT_COMP[],E$1,0))</f>
        <v>76283</v>
      </c>
      <c r="F7" s="102">
        <f>IFERROR(VLOOKUP($B7,MMWR_TRAD_AGG_ST_DISTRICT_COMP[],F$1,0),"ERROR")</f>
        <v>24494</v>
      </c>
      <c r="G7" s="104">
        <f t="shared" si="0"/>
        <v>0.32109382169028489</v>
      </c>
      <c r="H7" s="102">
        <f>IF(SUM(H8:H22)&lt;&gt;VLOOKUP($B7,MMWR_TRAD_AGG_ST_DISTRICT_COMP[],H$1,0),"ERROR",
VLOOKUP($B7,MMWR_TRAD_AGG_ST_DISTRICT_COMP[],H$1,0))</f>
        <v>101709</v>
      </c>
      <c r="I7" s="102">
        <f>IF(SUM(I8:I22)&lt;&gt;VLOOKUP($B7,MMWR_TRAD_AGG_ST_DISTRICT_COMP[],I$1,0),"ERROR",
VLOOKUP($B7,MMWR_TRAD_AGG_ST_DISTRICT_COMP[],I$1,0))</f>
        <v>63636</v>
      </c>
      <c r="J7" s="105">
        <f t="shared" si="1"/>
        <v>0.62566734507270738</v>
      </c>
      <c r="K7" s="102">
        <f>IF(SUM(K8:K22)&lt;&gt;VLOOKUP($B7,MMWR_TRAD_AGG_ST_DISTRICT_COMP[],K$1,0),"ERROR",
VLOOKUP($B7,MMWR_TRAD_AGG_ST_DISTRICT_COMP[],K$1,0))</f>
        <v>17100</v>
      </c>
      <c r="L7" s="102">
        <f>IF(SUM(L8:L22)&lt;&gt;VLOOKUP($B7,MMWR_TRAD_AGG_ST_DISTRICT_COMP[],L$1,0),"ERROR",
VLOOKUP($B7,MMWR_TRAD_AGG_ST_DISTRICT_COMP[],L$1,0))</f>
        <v>12656</v>
      </c>
      <c r="M7" s="105">
        <f t="shared" si="2"/>
        <v>0.74011695906432751</v>
      </c>
      <c r="N7" s="102">
        <f>IF(SUM(N8:N22)&lt;&gt;VLOOKUP($B7,MMWR_TRAD_AGG_ST_DISTRICT_COMP[],N$1,0),"ERROR",
VLOOKUP($B7,MMWR_TRAD_AGG_ST_DISTRICT_COMP[],N$1,0))</f>
        <v>34788</v>
      </c>
      <c r="O7" s="102">
        <f>IF(SUM(O8:O22)&lt;&gt;VLOOKUP($B7,MMWR_TRAD_AGG_ST_DISTRICT_COMP[],O$1,0),"ERROR",
VLOOKUP($B7,MMWR_TRAD_AGG_ST_DISTRICT_COMP[],O$1,0))</f>
        <v>22645</v>
      </c>
      <c r="P7" s="105">
        <f t="shared" si="3"/>
        <v>0.65094285385765205</v>
      </c>
      <c r="Q7" s="102">
        <f>IF(SUM(Q8:Q22)&lt;&gt;VLOOKUP($B7,MMWR_TRAD_AGG_ST_DISTRICT_COMP[],Q$1,0),"ERROR",
VLOOKUP($B7,MMWR_TRAD_AGG_ST_DISTRICT_COMP[],Q$1,0))</f>
        <v>5271</v>
      </c>
      <c r="R7" s="106">
        <f>IFERROR(VLOOKUP($B7,MMWR_TRAD_AGG_ST_DISTRICT_COMP[],R$1,0),"ERROR")</f>
        <v>159</v>
      </c>
      <c r="S7" s="106">
        <f>SUM(S8:S22)</f>
        <v>54248</v>
      </c>
      <c r="T7" s="28"/>
    </row>
    <row r="8" spans="1:20" s="123" customFormat="1" x14ac:dyDescent="0.2">
      <c r="A8" s="107"/>
      <c r="B8" s="127" t="s">
        <v>383</v>
      </c>
      <c r="C8" s="109">
        <f>IFERROR(VLOOKUP($B8,MMWR_TRAD_AGG_STATE_COMP[],C$1,0),"ERROR")</f>
        <v>2215</v>
      </c>
      <c r="D8" s="110">
        <f>IFERROR(VLOOKUP($B8,MMWR_TRAD_AGG_STATE_COMP[],D$1,0),"ERROR")</f>
        <v>231.64695259589999</v>
      </c>
      <c r="E8" s="111">
        <f>IFERROR(VLOOKUP($B8,MMWR_TRAD_AGG_STATE_COMP[],E$1,0),"ERROR")</f>
        <v>2051</v>
      </c>
      <c r="F8" s="112">
        <f>IFERROR(VLOOKUP($B8,MMWR_TRAD_AGG_STATE_COMP[],F$1,0),"ERROR")</f>
        <v>551</v>
      </c>
      <c r="G8" s="113">
        <f t="shared" si="0"/>
        <v>0.26864943929790347</v>
      </c>
      <c r="H8" s="111">
        <f>IFERROR(VLOOKUP($B8,MMWR_TRAD_AGG_STATE_COMP[],H$1,0),"ERROR")</f>
        <v>3596</v>
      </c>
      <c r="I8" s="112">
        <f>IFERROR(VLOOKUP($B8,MMWR_TRAD_AGG_STATE_COMP[],I$1,0),"ERROR")</f>
        <v>1873</v>
      </c>
      <c r="J8" s="114">
        <f t="shared" si="1"/>
        <v>0.52085650723025589</v>
      </c>
      <c r="K8" s="111">
        <f>IFERROR(VLOOKUP($B8,MMWR_TRAD_AGG_STATE_COMP[],K$1,0),"ERROR")</f>
        <v>367</v>
      </c>
      <c r="L8" s="112">
        <f>IFERROR(VLOOKUP($B8,MMWR_TRAD_AGG_STATE_COMP[],L$1,0),"ERROR")</f>
        <v>277</v>
      </c>
      <c r="M8" s="114">
        <f t="shared" si="2"/>
        <v>0.75476839237057225</v>
      </c>
      <c r="N8" s="111">
        <f>IFERROR(VLOOKUP($B8,MMWR_TRAD_AGG_STATE_COMP[],N$1,0),"ERROR")</f>
        <v>762</v>
      </c>
      <c r="O8" s="112">
        <f>IFERROR(VLOOKUP($B8,MMWR_TRAD_AGG_STATE_COMP[],O$1,0),"ERROR")</f>
        <v>499</v>
      </c>
      <c r="P8" s="114">
        <f t="shared" si="3"/>
        <v>0.65485564304461941</v>
      </c>
      <c r="Q8" s="115">
        <f>IFERROR(VLOOKUP($B8,MMWR_TRAD_AGG_STATE_COMP[],Q$1,0),"ERROR")</f>
        <v>165</v>
      </c>
      <c r="R8" s="115">
        <f>IFERROR(VLOOKUP($B8,MMWR_TRAD_AGG_STATE_COMP[],R$1,0),"ERROR")</f>
        <v>3</v>
      </c>
      <c r="S8" s="115">
        <f>IFERROR(VLOOKUP($B8,MMWR_APP_STATE_COMP[],S$1,0),"ERROR")</f>
        <v>1014</v>
      </c>
      <c r="T8" s="28"/>
    </row>
    <row r="9" spans="1:20" s="123" customFormat="1" x14ac:dyDescent="0.2">
      <c r="A9" s="107"/>
      <c r="B9" s="127" t="s">
        <v>433</v>
      </c>
      <c r="C9" s="109">
        <f>IFERROR(VLOOKUP($B9,MMWR_TRAD_AGG_STATE_COMP[],C$1,0),"ERROR")</f>
        <v>1087</v>
      </c>
      <c r="D9" s="110">
        <f>IFERROR(VLOOKUP($B9,MMWR_TRAD_AGG_STATE_COMP[],D$1,0),"ERROR")</f>
        <v>334.25942962279998</v>
      </c>
      <c r="E9" s="111">
        <f>IFERROR(VLOOKUP($B9,MMWR_TRAD_AGG_STATE_COMP[],E$1,0),"ERROR")</f>
        <v>1010</v>
      </c>
      <c r="F9" s="112">
        <f>IFERROR(VLOOKUP($B9,MMWR_TRAD_AGG_STATE_COMP[],F$1,0),"ERROR")</f>
        <v>371</v>
      </c>
      <c r="G9" s="113">
        <f t="shared" si="0"/>
        <v>0.36732673267326732</v>
      </c>
      <c r="H9" s="111">
        <f>IFERROR(VLOOKUP($B9,MMWR_TRAD_AGG_STATE_COMP[],H$1,0),"ERROR")</f>
        <v>1323</v>
      </c>
      <c r="I9" s="112">
        <f>IFERROR(VLOOKUP($B9,MMWR_TRAD_AGG_STATE_COMP[],I$1,0),"ERROR")</f>
        <v>712</v>
      </c>
      <c r="J9" s="114">
        <f t="shared" si="1"/>
        <v>0.53817082388510962</v>
      </c>
      <c r="K9" s="111">
        <f>IFERROR(VLOOKUP($B9,MMWR_TRAD_AGG_STATE_COMP[],K$1,0),"ERROR")</f>
        <v>71</v>
      </c>
      <c r="L9" s="112">
        <f>IFERROR(VLOOKUP($B9,MMWR_TRAD_AGG_STATE_COMP[],L$1,0),"ERROR")</f>
        <v>51</v>
      </c>
      <c r="M9" s="114">
        <f t="shared" si="2"/>
        <v>0.71830985915492962</v>
      </c>
      <c r="N9" s="111">
        <f>IFERROR(VLOOKUP($B9,MMWR_TRAD_AGG_STATE_COMP[],N$1,0),"ERROR")</f>
        <v>463</v>
      </c>
      <c r="O9" s="112">
        <f>IFERROR(VLOOKUP($B9,MMWR_TRAD_AGG_STATE_COMP[],O$1,0),"ERROR")</f>
        <v>201</v>
      </c>
      <c r="P9" s="114">
        <f t="shared" si="3"/>
        <v>0.43412526997840173</v>
      </c>
      <c r="Q9" s="115">
        <f>IFERROR(VLOOKUP($B9,MMWR_TRAD_AGG_STATE_COMP[],Q$1,0),"ERROR")</f>
        <v>46</v>
      </c>
      <c r="R9" s="115">
        <f>IFERROR(VLOOKUP($B9,MMWR_TRAD_AGG_STATE_COMP[],R$1,0),"ERROR")</f>
        <v>1</v>
      </c>
      <c r="S9" s="115">
        <f>IFERROR(VLOOKUP($B9,MMWR_APP_STATE_COMP[],S$1,0),"ERROR")</f>
        <v>489</v>
      </c>
      <c r="T9" s="28"/>
    </row>
    <row r="10" spans="1:20" s="123" customFormat="1" x14ac:dyDescent="0.2">
      <c r="A10" s="107"/>
      <c r="B10" s="127" t="s">
        <v>424</v>
      </c>
      <c r="C10" s="109">
        <f>IFERROR(VLOOKUP($B10,MMWR_TRAD_AGG_STATE_COMP[],C$1,0),"ERROR")</f>
        <v>477</v>
      </c>
      <c r="D10" s="110">
        <f>IFERROR(VLOOKUP($B10,MMWR_TRAD_AGG_STATE_COMP[],D$1,0),"ERROR")</f>
        <v>460.1362683438</v>
      </c>
      <c r="E10" s="111">
        <f>IFERROR(VLOOKUP($B10,MMWR_TRAD_AGG_STATE_COMP[],E$1,0),"ERROR")</f>
        <v>534</v>
      </c>
      <c r="F10" s="112">
        <f>IFERROR(VLOOKUP($B10,MMWR_TRAD_AGG_STATE_COMP[],F$1,0),"ERROR")</f>
        <v>194</v>
      </c>
      <c r="G10" s="113">
        <f t="shared" si="0"/>
        <v>0.36329588014981273</v>
      </c>
      <c r="H10" s="111">
        <f>IFERROR(VLOOKUP($B10,MMWR_TRAD_AGG_STATE_COMP[],H$1,0),"ERROR")</f>
        <v>663</v>
      </c>
      <c r="I10" s="112">
        <f>IFERROR(VLOOKUP($B10,MMWR_TRAD_AGG_STATE_COMP[],I$1,0),"ERROR")</f>
        <v>444</v>
      </c>
      <c r="J10" s="114">
        <f t="shared" si="1"/>
        <v>0.66968325791855199</v>
      </c>
      <c r="K10" s="111">
        <f>IFERROR(VLOOKUP($B10,MMWR_TRAD_AGG_STATE_COMP[],K$1,0),"ERROR")</f>
        <v>97</v>
      </c>
      <c r="L10" s="112">
        <f>IFERROR(VLOOKUP($B10,MMWR_TRAD_AGG_STATE_COMP[],L$1,0),"ERROR")</f>
        <v>74</v>
      </c>
      <c r="M10" s="114">
        <f t="shared" si="2"/>
        <v>0.76288659793814428</v>
      </c>
      <c r="N10" s="111">
        <f>IFERROR(VLOOKUP($B10,MMWR_TRAD_AGG_STATE_COMP[],N$1,0),"ERROR")</f>
        <v>316</v>
      </c>
      <c r="O10" s="112">
        <f>IFERROR(VLOOKUP($B10,MMWR_TRAD_AGG_STATE_COMP[],O$1,0),"ERROR")</f>
        <v>234</v>
      </c>
      <c r="P10" s="114">
        <f t="shared" si="3"/>
        <v>0.740506329113924</v>
      </c>
      <c r="Q10" s="115">
        <f>IFERROR(VLOOKUP($B10,MMWR_TRAD_AGG_STATE_COMP[],Q$1,0),"ERROR")</f>
        <v>20</v>
      </c>
      <c r="R10" s="115">
        <f>IFERROR(VLOOKUP($B10,MMWR_TRAD_AGG_STATE_COMP[],R$1,0),"ERROR")</f>
        <v>1</v>
      </c>
      <c r="S10" s="115">
        <f>IFERROR(VLOOKUP($B10,MMWR_APP_STATE_COMP[],S$1,0),"ERROR")</f>
        <v>542</v>
      </c>
      <c r="T10" s="28"/>
    </row>
    <row r="11" spans="1:20" s="123" customFormat="1" x14ac:dyDescent="0.2">
      <c r="A11" s="107"/>
      <c r="B11" s="127" t="s">
        <v>426</v>
      </c>
      <c r="C11" s="109">
        <f>IFERROR(VLOOKUP($B11,MMWR_TRAD_AGG_STATE_COMP[],C$1,0),"ERROR")</f>
        <v>1627</v>
      </c>
      <c r="D11" s="110">
        <f>IFERROR(VLOOKUP($B11,MMWR_TRAD_AGG_STATE_COMP[],D$1,0),"ERROR")</f>
        <v>247.24892440069999</v>
      </c>
      <c r="E11" s="111">
        <f>IFERROR(VLOOKUP($B11,MMWR_TRAD_AGG_STATE_COMP[],E$1,0),"ERROR")</f>
        <v>1358</v>
      </c>
      <c r="F11" s="112">
        <f>IFERROR(VLOOKUP($B11,MMWR_TRAD_AGG_STATE_COMP[],F$1,0),"ERROR")</f>
        <v>225</v>
      </c>
      <c r="G11" s="113">
        <f t="shared" si="0"/>
        <v>0.16568483063328424</v>
      </c>
      <c r="H11" s="111">
        <f>IFERROR(VLOOKUP($B11,MMWR_TRAD_AGG_STATE_COMP[],H$1,0),"ERROR")</f>
        <v>2157</v>
      </c>
      <c r="I11" s="112">
        <f>IFERROR(VLOOKUP($B11,MMWR_TRAD_AGG_STATE_COMP[],I$1,0),"ERROR")</f>
        <v>1080</v>
      </c>
      <c r="J11" s="114">
        <f t="shared" si="1"/>
        <v>0.50069541029207232</v>
      </c>
      <c r="K11" s="111">
        <f>IFERROR(VLOOKUP($B11,MMWR_TRAD_AGG_STATE_COMP[],K$1,0),"ERROR")</f>
        <v>887</v>
      </c>
      <c r="L11" s="112">
        <f>IFERROR(VLOOKUP($B11,MMWR_TRAD_AGG_STATE_COMP[],L$1,0),"ERROR")</f>
        <v>493</v>
      </c>
      <c r="M11" s="114">
        <f t="shared" si="2"/>
        <v>0.55580608793686581</v>
      </c>
      <c r="N11" s="111">
        <f>IFERROR(VLOOKUP($B11,MMWR_TRAD_AGG_STATE_COMP[],N$1,0),"ERROR")</f>
        <v>319</v>
      </c>
      <c r="O11" s="112">
        <f>IFERROR(VLOOKUP($B11,MMWR_TRAD_AGG_STATE_COMP[],O$1,0),"ERROR")</f>
        <v>177</v>
      </c>
      <c r="P11" s="114">
        <f t="shared" si="3"/>
        <v>0.55485893416927901</v>
      </c>
      <c r="Q11" s="115">
        <f>IFERROR(VLOOKUP($B11,MMWR_TRAD_AGG_STATE_COMP[],Q$1,0),"ERROR")</f>
        <v>236</v>
      </c>
      <c r="R11" s="115">
        <f>IFERROR(VLOOKUP($B11,MMWR_TRAD_AGG_STATE_COMP[],R$1,0),"ERROR")</f>
        <v>2</v>
      </c>
      <c r="S11" s="115">
        <f>IFERROR(VLOOKUP($B11,MMWR_APP_STATE_COMP[],S$1,0),"ERROR")</f>
        <v>446</v>
      </c>
      <c r="T11" s="28"/>
    </row>
    <row r="12" spans="1:20" s="123" customFormat="1" x14ac:dyDescent="0.2">
      <c r="A12" s="107"/>
      <c r="B12" s="127" t="s">
        <v>386</v>
      </c>
      <c r="C12" s="109">
        <f>IFERROR(VLOOKUP($B12,MMWR_TRAD_AGG_STATE_COMP[],C$1,0),"ERROR")</f>
        <v>7618</v>
      </c>
      <c r="D12" s="110">
        <f>IFERROR(VLOOKUP($B12,MMWR_TRAD_AGG_STATE_COMP[],D$1,0),"ERROR")</f>
        <v>545.77920714100003</v>
      </c>
      <c r="E12" s="111">
        <f>IFERROR(VLOOKUP($B12,MMWR_TRAD_AGG_STATE_COMP[],E$1,0),"ERROR")</f>
        <v>6026</v>
      </c>
      <c r="F12" s="112">
        <f>IFERROR(VLOOKUP($B12,MMWR_TRAD_AGG_STATE_COMP[],F$1,0),"ERROR")</f>
        <v>2028</v>
      </c>
      <c r="G12" s="113">
        <f t="shared" si="0"/>
        <v>0.33654165283770326</v>
      </c>
      <c r="H12" s="111">
        <f>IFERROR(VLOOKUP($B12,MMWR_TRAD_AGG_STATE_COMP[],H$1,0),"ERROR")</f>
        <v>9566</v>
      </c>
      <c r="I12" s="112">
        <f>IFERROR(VLOOKUP($B12,MMWR_TRAD_AGG_STATE_COMP[],I$1,0),"ERROR")</f>
        <v>7165</v>
      </c>
      <c r="J12" s="114">
        <f t="shared" si="1"/>
        <v>0.74900689943550069</v>
      </c>
      <c r="K12" s="111">
        <f>IFERROR(VLOOKUP($B12,MMWR_TRAD_AGG_STATE_COMP[],K$1,0),"ERROR")</f>
        <v>1252</v>
      </c>
      <c r="L12" s="112">
        <f>IFERROR(VLOOKUP($B12,MMWR_TRAD_AGG_STATE_COMP[],L$1,0),"ERROR")</f>
        <v>1034</v>
      </c>
      <c r="M12" s="114">
        <f t="shared" si="2"/>
        <v>0.82587859424920129</v>
      </c>
      <c r="N12" s="111">
        <f>IFERROR(VLOOKUP($B12,MMWR_TRAD_AGG_STATE_COMP[],N$1,0),"ERROR")</f>
        <v>6599</v>
      </c>
      <c r="O12" s="112">
        <f>IFERROR(VLOOKUP($B12,MMWR_TRAD_AGG_STATE_COMP[],O$1,0),"ERROR")</f>
        <v>5547</v>
      </c>
      <c r="P12" s="114">
        <f t="shared" si="3"/>
        <v>0.84058190634944685</v>
      </c>
      <c r="Q12" s="115">
        <f>IFERROR(VLOOKUP($B12,MMWR_TRAD_AGG_STATE_COMP[],Q$1,0),"ERROR")</f>
        <v>284</v>
      </c>
      <c r="R12" s="115">
        <f>IFERROR(VLOOKUP($B12,MMWR_TRAD_AGG_STATE_COMP[],R$1,0),"ERROR")</f>
        <v>5</v>
      </c>
      <c r="S12" s="115">
        <f>IFERROR(VLOOKUP($B12,MMWR_APP_STATE_COMP[],S$1,0),"ERROR")</f>
        <v>5211</v>
      </c>
      <c r="T12" s="28"/>
    </row>
    <row r="13" spans="1:20" s="123" customFormat="1" x14ac:dyDescent="0.2">
      <c r="A13" s="107"/>
      <c r="B13" s="127" t="s">
        <v>381</v>
      </c>
      <c r="C13" s="109">
        <f>IFERROR(VLOOKUP($B13,MMWR_TRAD_AGG_STATE_COMP[],C$1,0),"ERROR")</f>
        <v>5495</v>
      </c>
      <c r="D13" s="110">
        <f>IFERROR(VLOOKUP($B13,MMWR_TRAD_AGG_STATE_COMP[],D$1,0),"ERROR")</f>
        <v>441.70136487719998</v>
      </c>
      <c r="E13" s="111">
        <f>IFERROR(VLOOKUP($B13,MMWR_TRAD_AGG_STATE_COMP[],E$1,0),"ERROR")</f>
        <v>4607</v>
      </c>
      <c r="F13" s="112">
        <f>IFERROR(VLOOKUP($B13,MMWR_TRAD_AGG_STATE_COMP[],F$1,0),"ERROR")</f>
        <v>1367</v>
      </c>
      <c r="G13" s="113">
        <f t="shared" si="0"/>
        <v>0.29672237898849579</v>
      </c>
      <c r="H13" s="111">
        <f>IFERROR(VLOOKUP($B13,MMWR_TRAD_AGG_STATE_COMP[],H$1,0),"ERROR")</f>
        <v>8071</v>
      </c>
      <c r="I13" s="112">
        <f>IFERROR(VLOOKUP($B13,MMWR_TRAD_AGG_STATE_COMP[],I$1,0),"ERROR")</f>
        <v>5039</v>
      </c>
      <c r="J13" s="114">
        <f t="shared" si="1"/>
        <v>0.6243340354355098</v>
      </c>
      <c r="K13" s="111">
        <f>IFERROR(VLOOKUP($B13,MMWR_TRAD_AGG_STATE_COMP[],K$1,0),"ERROR")</f>
        <v>2490</v>
      </c>
      <c r="L13" s="112">
        <f>IFERROR(VLOOKUP($B13,MMWR_TRAD_AGG_STATE_COMP[],L$1,0),"ERROR")</f>
        <v>1856</v>
      </c>
      <c r="M13" s="114">
        <f t="shared" si="2"/>
        <v>0.74538152610441766</v>
      </c>
      <c r="N13" s="111">
        <f>IFERROR(VLOOKUP($B13,MMWR_TRAD_AGG_STATE_COMP[],N$1,0),"ERROR")</f>
        <v>1288</v>
      </c>
      <c r="O13" s="112">
        <f>IFERROR(VLOOKUP($B13,MMWR_TRAD_AGG_STATE_COMP[],O$1,0),"ERROR")</f>
        <v>990</v>
      </c>
      <c r="P13" s="114">
        <f t="shared" si="3"/>
        <v>0.76863354037267084</v>
      </c>
      <c r="Q13" s="115">
        <f>IFERROR(VLOOKUP($B13,MMWR_TRAD_AGG_STATE_COMP[],Q$1,0),"ERROR")</f>
        <v>503</v>
      </c>
      <c r="R13" s="115">
        <f>IFERROR(VLOOKUP($B13,MMWR_TRAD_AGG_STATE_COMP[],R$1,0),"ERROR")</f>
        <v>13</v>
      </c>
      <c r="S13" s="115">
        <f>IFERROR(VLOOKUP($B13,MMWR_APP_STATE_COMP[],S$1,0),"ERROR")</f>
        <v>3523</v>
      </c>
      <c r="T13" s="28"/>
    </row>
    <row r="14" spans="1:20" s="123" customFormat="1" x14ac:dyDescent="0.2">
      <c r="A14" s="107"/>
      <c r="B14" s="127" t="s">
        <v>425</v>
      </c>
      <c r="C14" s="109">
        <f>IFERROR(VLOOKUP($B14,MMWR_TRAD_AGG_STATE_COMP[],C$1,0),"ERROR")</f>
        <v>2036</v>
      </c>
      <c r="D14" s="110">
        <f>IFERROR(VLOOKUP($B14,MMWR_TRAD_AGG_STATE_COMP[],D$1,0),"ERROR")</f>
        <v>360.6218074656</v>
      </c>
      <c r="E14" s="111">
        <f>IFERROR(VLOOKUP($B14,MMWR_TRAD_AGG_STATE_COMP[],E$1,0),"ERROR")</f>
        <v>1229</v>
      </c>
      <c r="F14" s="112">
        <f>IFERROR(VLOOKUP($B14,MMWR_TRAD_AGG_STATE_COMP[],F$1,0),"ERROR")</f>
        <v>329</v>
      </c>
      <c r="G14" s="113">
        <f t="shared" si="0"/>
        <v>0.26769731489015458</v>
      </c>
      <c r="H14" s="111">
        <f>IFERROR(VLOOKUP($B14,MMWR_TRAD_AGG_STATE_COMP[],H$1,0),"ERROR")</f>
        <v>2711</v>
      </c>
      <c r="I14" s="112">
        <f>IFERROR(VLOOKUP($B14,MMWR_TRAD_AGG_STATE_COMP[],I$1,0),"ERROR")</f>
        <v>1716</v>
      </c>
      <c r="J14" s="114">
        <f t="shared" si="1"/>
        <v>0.632976761342678</v>
      </c>
      <c r="K14" s="111">
        <f>IFERROR(VLOOKUP($B14,MMWR_TRAD_AGG_STATE_COMP[],K$1,0),"ERROR")</f>
        <v>676</v>
      </c>
      <c r="L14" s="112">
        <f>IFERROR(VLOOKUP($B14,MMWR_TRAD_AGG_STATE_COMP[],L$1,0),"ERROR")</f>
        <v>565</v>
      </c>
      <c r="M14" s="114">
        <f t="shared" si="2"/>
        <v>0.83579881656804733</v>
      </c>
      <c r="N14" s="111">
        <f>IFERROR(VLOOKUP($B14,MMWR_TRAD_AGG_STATE_COMP[],N$1,0),"ERROR")</f>
        <v>167</v>
      </c>
      <c r="O14" s="112">
        <f>IFERROR(VLOOKUP($B14,MMWR_TRAD_AGG_STATE_COMP[],O$1,0),"ERROR")</f>
        <v>93</v>
      </c>
      <c r="P14" s="114">
        <f t="shared" si="3"/>
        <v>0.55688622754491013</v>
      </c>
      <c r="Q14" s="115">
        <f>IFERROR(VLOOKUP($B14,MMWR_TRAD_AGG_STATE_COMP[],Q$1,0),"ERROR")</f>
        <v>96</v>
      </c>
      <c r="R14" s="115">
        <f>IFERROR(VLOOKUP($B14,MMWR_TRAD_AGG_STATE_COMP[],R$1,0),"ERROR")</f>
        <v>3</v>
      </c>
      <c r="S14" s="115">
        <f>IFERROR(VLOOKUP($B14,MMWR_APP_STATE_COMP[],S$1,0),"ERROR")</f>
        <v>725</v>
      </c>
      <c r="T14" s="28"/>
    </row>
    <row r="15" spans="1:20" s="123" customFormat="1" x14ac:dyDescent="0.2">
      <c r="A15" s="107"/>
      <c r="B15" s="127" t="s">
        <v>384</v>
      </c>
      <c r="C15" s="109">
        <f>IFERROR(VLOOKUP($B15,MMWR_TRAD_AGG_STATE_COMP[],C$1,0),"ERROR")</f>
        <v>2534</v>
      </c>
      <c r="D15" s="110">
        <f>IFERROR(VLOOKUP($B15,MMWR_TRAD_AGG_STATE_COMP[],D$1,0),"ERROR")</f>
        <v>293.41870560379999</v>
      </c>
      <c r="E15" s="111">
        <f>IFERROR(VLOOKUP($B15,MMWR_TRAD_AGG_STATE_COMP[],E$1,0),"ERROR")</f>
        <v>4410</v>
      </c>
      <c r="F15" s="112">
        <f>IFERROR(VLOOKUP($B15,MMWR_TRAD_AGG_STATE_COMP[],F$1,0),"ERROR")</f>
        <v>1575</v>
      </c>
      <c r="G15" s="113">
        <f t="shared" si="0"/>
        <v>0.35714285714285715</v>
      </c>
      <c r="H15" s="111">
        <f>IFERROR(VLOOKUP($B15,MMWR_TRAD_AGG_STATE_COMP[],H$1,0),"ERROR")</f>
        <v>3919</v>
      </c>
      <c r="I15" s="112">
        <f>IFERROR(VLOOKUP($B15,MMWR_TRAD_AGG_STATE_COMP[],I$1,0),"ERROR")</f>
        <v>2037</v>
      </c>
      <c r="J15" s="114">
        <f t="shared" si="1"/>
        <v>0.51977545292166372</v>
      </c>
      <c r="K15" s="111">
        <f>IFERROR(VLOOKUP($B15,MMWR_TRAD_AGG_STATE_COMP[],K$1,0),"ERROR")</f>
        <v>566</v>
      </c>
      <c r="L15" s="112">
        <f>IFERROR(VLOOKUP($B15,MMWR_TRAD_AGG_STATE_COMP[],L$1,0),"ERROR")</f>
        <v>256</v>
      </c>
      <c r="M15" s="114">
        <f t="shared" si="2"/>
        <v>0.45229681978798586</v>
      </c>
      <c r="N15" s="111">
        <f>IFERROR(VLOOKUP($B15,MMWR_TRAD_AGG_STATE_COMP[],N$1,0),"ERROR")</f>
        <v>2017</v>
      </c>
      <c r="O15" s="112">
        <f>IFERROR(VLOOKUP($B15,MMWR_TRAD_AGG_STATE_COMP[],O$1,0),"ERROR")</f>
        <v>1185</v>
      </c>
      <c r="P15" s="114">
        <f t="shared" si="3"/>
        <v>0.58750619732275655</v>
      </c>
      <c r="Q15" s="115">
        <f>IFERROR(VLOOKUP($B15,MMWR_TRAD_AGG_STATE_COMP[],Q$1,0),"ERROR")</f>
        <v>484</v>
      </c>
      <c r="R15" s="115">
        <f>IFERROR(VLOOKUP($B15,MMWR_TRAD_AGG_STATE_COMP[],R$1,0),"ERROR")</f>
        <v>7</v>
      </c>
      <c r="S15" s="115">
        <f>IFERROR(VLOOKUP($B15,MMWR_APP_STATE_COMP[],S$1,0),"ERROR")</f>
        <v>4061</v>
      </c>
      <c r="T15" s="28"/>
    </row>
    <row r="16" spans="1:20" s="123" customFormat="1" x14ac:dyDescent="0.2">
      <c r="A16" s="107"/>
      <c r="B16" s="127" t="s">
        <v>63</v>
      </c>
      <c r="C16" s="109">
        <f>IFERROR(VLOOKUP($B16,MMWR_TRAD_AGG_STATE_COMP[],C$1,0),"ERROR")</f>
        <v>5884</v>
      </c>
      <c r="D16" s="110">
        <f>IFERROR(VLOOKUP($B16,MMWR_TRAD_AGG_STATE_COMP[],D$1,0),"ERROR")</f>
        <v>261.35333106730002</v>
      </c>
      <c r="E16" s="111">
        <f>IFERROR(VLOOKUP($B16,MMWR_TRAD_AGG_STATE_COMP[],E$1,0),"ERROR")</f>
        <v>9958</v>
      </c>
      <c r="F16" s="112">
        <f>IFERROR(VLOOKUP($B16,MMWR_TRAD_AGG_STATE_COMP[],F$1,0),"ERROR")</f>
        <v>3198</v>
      </c>
      <c r="G16" s="113">
        <f t="shared" si="0"/>
        <v>0.32114882506527415</v>
      </c>
      <c r="H16" s="111">
        <f>IFERROR(VLOOKUP($B16,MMWR_TRAD_AGG_STATE_COMP[],H$1,0),"ERROR")</f>
        <v>9089</v>
      </c>
      <c r="I16" s="112">
        <f>IFERROR(VLOOKUP($B16,MMWR_TRAD_AGG_STATE_COMP[],I$1,0),"ERROR")</f>
        <v>4639</v>
      </c>
      <c r="J16" s="114">
        <f t="shared" si="1"/>
        <v>0.51039718340851581</v>
      </c>
      <c r="K16" s="111">
        <f>IFERROR(VLOOKUP($B16,MMWR_TRAD_AGG_STATE_COMP[],K$1,0),"ERROR")</f>
        <v>1818</v>
      </c>
      <c r="L16" s="112">
        <f>IFERROR(VLOOKUP($B16,MMWR_TRAD_AGG_STATE_COMP[],L$1,0),"ERROR")</f>
        <v>1069</v>
      </c>
      <c r="M16" s="114">
        <f t="shared" si="2"/>
        <v>0.588008800880088</v>
      </c>
      <c r="N16" s="111">
        <f>IFERROR(VLOOKUP($B16,MMWR_TRAD_AGG_STATE_COMP[],N$1,0),"ERROR")</f>
        <v>1505</v>
      </c>
      <c r="O16" s="112">
        <f>IFERROR(VLOOKUP($B16,MMWR_TRAD_AGG_STATE_COMP[],O$1,0),"ERROR")</f>
        <v>812</v>
      </c>
      <c r="P16" s="114">
        <f t="shared" si="3"/>
        <v>0.53953488372093028</v>
      </c>
      <c r="Q16" s="115">
        <f>IFERROR(VLOOKUP($B16,MMWR_TRAD_AGG_STATE_COMP[],Q$1,0),"ERROR")</f>
        <v>880</v>
      </c>
      <c r="R16" s="115">
        <f>IFERROR(VLOOKUP($B16,MMWR_TRAD_AGG_STATE_COMP[],R$1,0),"ERROR")</f>
        <v>16</v>
      </c>
      <c r="S16" s="115">
        <f>IFERROR(VLOOKUP($B16,MMWR_APP_STATE_COMP[],S$1,0),"ERROR")</f>
        <v>5347</v>
      </c>
      <c r="T16" s="28"/>
    </row>
    <row r="17" spans="1:20" s="123" customFormat="1" x14ac:dyDescent="0.2">
      <c r="A17" s="107"/>
      <c r="B17" s="127" t="s">
        <v>392</v>
      </c>
      <c r="C17" s="109">
        <f>IFERROR(VLOOKUP($B17,MMWR_TRAD_AGG_STATE_COMP[],C$1,0),"ERROR")</f>
        <v>15929</v>
      </c>
      <c r="D17" s="110">
        <f>IFERROR(VLOOKUP($B17,MMWR_TRAD_AGG_STATE_COMP[],D$1,0),"ERROR")</f>
        <v>342.95511331530003</v>
      </c>
      <c r="E17" s="111">
        <f>IFERROR(VLOOKUP($B17,MMWR_TRAD_AGG_STATE_COMP[],E$1,0),"ERROR")</f>
        <v>18767</v>
      </c>
      <c r="F17" s="112">
        <f>IFERROR(VLOOKUP($B17,MMWR_TRAD_AGG_STATE_COMP[],F$1,0),"ERROR")</f>
        <v>6443</v>
      </c>
      <c r="G17" s="113">
        <f t="shared" si="0"/>
        <v>0.34331539404273459</v>
      </c>
      <c r="H17" s="111">
        <f>IFERROR(VLOOKUP($B17,MMWR_TRAD_AGG_STATE_COMP[],H$1,0),"ERROR")</f>
        <v>21644</v>
      </c>
      <c r="I17" s="112">
        <f>IFERROR(VLOOKUP($B17,MMWR_TRAD_AGG_STATE_COMP[],I$1,0),"ERROR")</f>
        <v>13971</v>
      </c>
      <c r="J17" s="114">
        <f t="shared" si="1"/>
        <v>0.64549066715948988</v>
      </c>
      <c r="K17" s="111">
        <f>IFERROR(VLOOKUP($B17,MMWR_TRAD_AGG_STATE_COMP[],K$1,0),"ERROR")</f>
        <v>4178</v>
      </c>
      <c r="L17" s="112">
        <f>IFERROR(VLOOKUP($B17,MMWR_TRAD_AGG_STATE_COMP[],L$1,0),"ERROR")</f>
        <v>3461</v>
      </c>
      <c r="M17" s="114">
        <f t="shared" si="2"/>
        <v>0.82838678793681186</v>
      </c>
      <c r="N17" s="111">
        <f>IFERROR(VLOOKUP($B17,MMWR_TRAD_AGG_STATE_COMP[],N$1,0),"ERROR")</f>
        <v>8289</v>
      </c>
      <c r="O17" s="112">
        <f>IFERROR(VLOOKUP($B17,MMWR_TRAD_AGG_STATE_COMP[],O$1,0),"ERROR")</f>
        <v>4330</v>
      </c>
      <c r="P17" s="114">
        <f t="shared" si="3"/>
        <v>0.52237905658101103</v>
      </c>
      <c r="Q17" s="115">
        <f>IFERROR(VLOOKUP($B17,MMWR_TRAD_AGG_STATE_COMP[],Q$1,0),"ERROR")</f>
        <v>775</v>
      </c>
      <c r="R17" s="115">
        <f>IFERROR(VLOOKUP($B17,MMWR_TRAD_AGG_STATE_COMP[],R$1,0),"ERROR")</f>
        <v>40</v>
      </c>
      <c r="S17" s="115">
        <f>IFERROR(VLOOKUP($B17,MMWR_APP_STATE_COMP[],S$1,0),"ERROR")</f>
        <v>10040</v>
      </c>
      <c r="T17" s="28"/>
    </row>
    <row r="18" spans="1:20" s="123" customFormat="1" x14ac:dyDescent="0.2">
      <c r="A18" s="107"/>
      <c r="B18" s="127" t="s">
        <v>385</v>
      </c>
      <c r="C18" s="109">
        <f>IFERROR(VLOOKUP($B18,MMWR_TRAD_AGG_STATE_COMP[],C$1,0),"ERROR")</f>
        <v>8205</v>
      </c>
      <c r="D18" s="110">
        <f>IFERROR(VLOOKUP($B18,MMWR_TRAD_AGG_STATE_COMP[],D$1,0),"ERROR")</f>
        <v>393.54881170020002</v>
      </c>
      <c r="E18" s="111">
        <f>IFERROR(VLOOKUP($B18,MMWR_TRAD_AGG_STATE_COMP[],E$1,0),"ERROR")</f>
        <v>9740</v>
      </c>
      <c r="F18" s="112">
        <f>IFERROR(VLOOKUP($B18,MMWR_TRAD_AGG_STATE_COMP[],F$1,0),"ERROR")</f>
        <v>3391</v>
      </c>
      <c r="G18" s="113">
        <f t="shared" si="0"/>
        <v>0.34815195071868582</v>
      </c>
      <c r="H18" s="111">
        <f>IFERROR(VLOOKUP($B18,MMWR_TRAD_AGG_STATE_COMP[],H$1,0),"ERROR")</f>
        <v>11870</v>
      </c>
      <c r="I18" s="112">
        <f>IFERROR(VLOOKUP($B18,MMWR_TRAD_AGG_STATE_COMP[],I$1,0),"ERROR")</f>
        <v>7799</v>
      </c>
      <c r="J18" s="114">
        <f t="shared" si="1"/>
        <v>0.65703454085930924</v>
      </c>
      <c r="K18" s="111">
        <f>IFERROR(VLOOKUP($B18,MMWR_TRAD_AGG_STATE_COMP[],K$1,0),"ERROR")</f>
        <v>984</v>
      </c>
      <c r="L18" s="112">
        <f>IFERROR(VLOOKUP($B18,MMWR_TRAD_AGG_STATE_COMP[],L$1,0),"ERROR")</f>
        <v>672</v>
      </c>
      <c r="M18" s="114">
        <f t="shared" si="2"/>
        <v>0.68292682926829273</v>
      </c>
      <c r="N18" s="111">
        <f>IFERROR(VLOOKUP($B18,MMWR_TRAD_AGG_STATE_COMP[],N$1,0),"ERROR")</f>
        <v>6144</v>
      </c>
      <c r="O18" s="112">
        <f>IFERROR(VLOOKUP($B18,MMWR_TRAD_AGG_STATE_COMP[],O$1,0),"ERROR")</f>
        <v>3411</v>
      </c>
      <c r="P18" s="114">
        <f t="shared" si="3"/>
        <v>0.55517578125</v>
      </c>
      <c r="Q18" s="115">
        <f>IFERROR(VLOOKUP($B18,MMWR_TRAD_AGG_STATE_COMP[],Q$1,0),"ERROR")</f>
        <v>820</v>
      </c>
      <c r="R18" s="115">
        <f>IFERROR(VLOOKUP($B18,MMWR_TRAD_AGG_STATE_COMP[],R$1,0),"ERROR")</f>
        <v>11</v>
      </c>
      <c r="S18" s="115">
        <f>IFERROR(VLOOKUP($B18,MMWR_APP_STATE_COMP[],S$1,0),"ERROR")</f>
        <v>6420</v>
      </c>
      <c r="T18" s="28"/>
    </row>
    <row r="19" spans="1:20" s="123" customFormat="1" x14ac:dyDescent="0.2">
      <c r="A19" s="107"/>
      <c r="B19" s="127" t="s">
        <v>382</v>
      </c>
      <c r="C19" s="109">
        <f>IFERROR(VLOOKUP($B19,MMWR_TRAD_AGG_STATE_COMP[],C$1,0),"ERROR")</f>
        <v>469</v>
      </c>
      <c r="D19" s="110">
        <f>IFERROR(VLOOKUP($B19,MMWR_TRAD_AGG_STATE_COMP[],D$1,0),"ERROR")</f>
        <v>231.63113006399999</v>
      </c>
      <c r="E19" s="111">
        <f>IFERROR(VLOOKUP($B19,MMWR_TRAD_AGG_STATE_COMP[],E$1,0),"ERROR")</f>
        <v>889</v>
      </c>
      <c r="F19" s="112">
        <f>IFERROR(VLOOKUP($B19,MMWR_TRAD_AGG_STATE_COMP[],F$1,0),"ERROR")</f>
        <v>231</v>
      </c>
      <c r="G19" s="113">
        <f t="shared" si="0"/>
        <v>0.25984251968503935</v>
      </c>
      <c r="H19" s="111">
        <f>IFERROR(VLOOKUP($B19,MMWR_TRAD_AGG_STATE_COMP[],H$1,0),"ERROR")</f>
        <v>1151</v>
      </c>
      <c r="I19" s="112">
        <f>IFERROR(VLOOKUP($B19,MMWR_TRAD_AGG_STATE_COMP[],I$1,0),"ERROR")</f>
        <v>445</v>
      </c>
      <c r="J19" s="114">
        <f t="shared" si="1"/>
        <v>0.38662033014769764</v>
      </c>
      <c r="K19" s="111">
        <f>IFERROR(VLOOKUP($B19,MMWR_TRAD_AGG_STATE_COMP[],K$1,0),"ERROR")</f>
        <v>350</v>
      </c>
      <c r="L19" s="112">
        <f>IFERROR(VLOOKUP($B19,MMWR_TRAD_AGG_STATE_COMP[],L$1,0),"ERROR")</f>
        <v>135</v>
      </c>
      <c r="M19" s="114">
        <f t="shared" si="2"/>
        <v>0.38571428571428573</v>
      </c>
      <c r="N19" s="111">
        <f>IFERROR(VLOOKUP($B19,MMWR_TRAD_AGG_STATE_COMP[],N$1,0),"ERROR")</f>
        <v>114</v>
      </c>
      <c r="O19" s="112">
        <f>IFERROR(VLOOKUP($B19,MMWR_TRAD_AGG_STATE_COMP[],O$1,0),"ERROR")</f>
        <v>53</v>
      </c>
      <c r="P19" s="114">
        <f t="shared" si="3"/>
        <v>0.46491228070175439</v>
      </c>
      <c r="Q19" s="115">
        <f>IFERROR(VLOOKUP($B19,MMWR_TRAD_AGG_STATE_COMP[],Q$1,0),"ERROR")</f>
        <v>97</v>
      </c>
      <c r="R19" s="115">
        <f>IFERROR(VLOOKUP($B19,MMWR_TRAD_AGG_STATE_COMP[],R$1,0),"ERROR")</f>
        <v>2</v>
      </c>
      <c r="S19" s="115">
        <f>IFERROR(VLOOKUP($B19,MMWR_APP_STATE_COMP[],S$1,0),"ERROR")</f>
        <v>315</v>
      </c>
      <c r="T19" s="28"/>
    </row>
    <row r="20" spans="1:20" s="123" customFormat="1" x14ac:dyDescent="0.2">
      <c r="A20" s="107"/>
      <c r="B20" s="127" t="s">
        <v>427</v>
      </c>
      <c r="C20" s="109">
        <f>IFERROR(VLOOKUP($B20,MMWR_TRAD_AGG_STATE_COMP[],C$1,0),"ERROR")</f>
        <v>544</v>
      </c>
      <c r="D20" s="110">
        <f>IFERROR(VLOOKUP($B20,MMWR_TRAD_AGG_STATE_COMP[],D$1,0),"ERROR")</f>
        <v>322.40625</v>
      </c>
      <c r="E20" s="111">
        <f>IFERROR(VLOOKUP($B20,MMWR_TRAD_AGG_STATE_COMP[],E$1,0),"ERROR")</f>
        <v>453</v>
      </c>
      <c r="F20" s="112">
        <f>IFERROR(VLOOKUP($B20,MMWR_TRAD_AGG_STATE_COMP[],F$1,0),"ERROR")</f>
        <v>121</v>
      </c>
      <c r="G20" s="113">
        <f t="shared" si="0"/>
        <v>0.2671081677704194</v>
      </c>
      <c r="H20" s="111">
        <f>IFERROR(VLOOKUP($B20,MMWR_TRAD_AGG_STATE_COMP[],H$1,0),"ERROR")</f>
        <v>902</v>
      </c>
      <c r="I20" s="112">
        <f>IFERROR(VLOOKUP($B20,MMWR_TRAD_AGG_STATE_COMP[],I$1,0),"ERROR")</f>
        <v>485</v>
      </c>
      <c r="J20" s="114">
        <f t="shared" si="1"/>
        <v>0.53769401330376942</v>
      </c>
      <c r="K20" s="111">
        <f>IFERROR(VLOOKUP($B20,MMWR_TRAD_AGG_STATE_COMP[],K$1,0),"ERROR")</f>
        <v>168</v>
      </c>
      <c r="L20" s="112">
        <f>IFERROR(VLOOKUP($B20,MMWR_TRAD_AGG_STATE_COMP[],L$1,0),"ERROR")</f>
        <v>101</v>
      </c>
      <c r="M20" s="114">
        <f t="shared" si="2"/>
        <v>0.60119047619047616</v>
      </c>
      <c r="N20" s="111">
        <f>IFERROR(VLOOKUP($B20,MMWR_TRAD_AGG_STATE_COMP[],N$1,0),"ERROR")</f>
        <v>77</v>
      </c>
      <c r="O20" s="112">
        <f>IFERROR(VLOOKUP($B20,MMWR_TRAD_AGG_STATE_COMP[],O$1,0),"ERROR")</f>
        <v>48</v>
      </c>
      <c r="P20" s="114">
        <f t="shared" si="3"/>
        <v>0.62337662337662336</v>
      </c>
      <c r="Q20" s="115">
        <f>IFERROR(VLOOKUP($B20,MMWR_TRAD_AGG_STATE_COMP[],Q$1,0),"ERROR")</f>
        <v>33</v>
      </c>
      <c r="R20" s="115">
        <f>IFERROR(VLOOKUP($B20,MMWR_TRAD_AGG_STATE_COMP[],R$1,0),"ERROR")</f>
        <v>1</v>
      </c>
      <c r="S20" s="115">
        <f>IFERROR(VLOOKUP($B20,MMWR_APP_STATE_COMP[],S$1,0),"ERROR")</f>
        <v>189</v>
      </c>
      <c r="T20" s="28"/>
    </row>
    <row r="21" spans="1:20" s="123" customFormat="1" x14ac:dyDescent="0.2">
      <c r="A21" s="107"/>
      <c r="B21" s="127" t="s">
        <v>388</v>
      </c>
      <c r="C21" s="109">
        <f>IFERROR(VLOOKUP($B21,MMWR_TRAD_AGG_STATE_COMP[],C$1,0),"ERROR")</f>
        <v>16784</v>
      </c>
      <c r="D21" s="110">
        <f>IFERROR(VLOOKUP($B21,MMWR_TRAD_AGG_STATE_COMP[],D$1,0),"ERROR")</f>
        <v>408.76370352719999</v>
      </c>
      <c r="E21" s="111">
        <f>IFERROR(VLOOKUP($B21,MMWR_TRAD_AGG_STATE_COMP[],E$1,0),"ERROR")</f>
        <v>12826</v>
      </c>
      <c r="F21" s="112">
        <f>IFERROR(VLOOKUP($B21,MMWR_TRAD_AGG_STATE_COMP[],F$1,0),"ERROR")</f>
        <v>3838</v>
      </c>
      <c r="G21" s="113">
        <f t="shared" si="0"/>
        <v>0.29923592702323404</v>
      </c>
      <c r="H21" s="111">
        <f>IFERROR(VLOOKUP($B21,MMWR_TRAD_AGG_STATE_COMP[],H$1,0),"ERROR")</f>
        <v>21419</v>
      </c>
      <c r="I21" s="112">
        <f>IFERROR(VLOOKUP($B21,MMWR_TRAD_AGG_STATE_COMP[],I$1,0),"ERROR")</f>
        <v>14276</v>
      </c>
      <c r="J21" s="114">
        <f t="shared" si="1"/>
        <v>0.66651104159858066</v>
      </c>
      <c r="K21" s="111">
        <f>IFERROR(VLOOKUP($B21,MMWR_TRAD_AGG_STATE_COMP[],K$1,0),"ERROR")</f>
        <v>2888</v>
      </c>
      <c r="L21" s="112">
        <f>IFERROR(VLOOKUP($B21,MMWR_TRAD_AGG_STATE_COMP[],L$1,0),"ERROR")</f>
        <v>2358</v>
      </c>
      <c r="M21" s="114">
        <f t="shared" si="2"/>
        <v>0.81648199445983383</v>
      </c>
      <c r="N21" s="111">
        <f>IFERROR(VLOOKUP($B21,MMWR_TRAD_AGG_STATE_COMP[],N$1,0),"ERROR")</f>
        <v>5626</v>
      </c>
      <c r="O21" s="112">
        <f>IFERROR(VLOOKUP($B21,MMWR_TRAD_AGG_STATE_COMP[],O$1,0),"ERROR")</f>
        <v>4318</v>
      </c>
      <c r="P21" s="114">
        <f t="shared" si="3"/>
        <v>0.76750799857803054</v>
      </c>
      <c r="Q21" s="115">
        <f>IFERROR(VLOOKUP($B21,MMWR_TRAD_AGG_STATE_COMP[],Q$1,0),"ERROR")</f>
        <v>584</v>
      </c>
      <c r="R21" s="115">
        <f>IFERROR(VLOOKUP($B21,MMWR_TRAD_AGG_STATE_COMP[],R$1,0),"ERROR")</f>
        <v>36</v>
      </c>
      <c r="S21" s="115">
        <f>IFERROR(VLOOKUP($B21,MMWR_APP_STATE_COMP[],S$1,0),"ERROR")</f>
        <v>13599</v>
      </c>
      <c r="T21" s="28"/>
    </row>
    <row r="22" spans="1:20" s="123" customFormat="1" x14ac:dyDescent="0.2">
      <c r="A22" s="107"/>
      <c r="B22" s="127" t="s">
        <v>389</v>
      </c>
      <c r="C22" s="109">
        <f>IFERROR(VLOOKUP($B22,MMWR_TRAD_AGG_STATE_COMP[],C$1,0),"ERROR")</f>
        <v>2383</v>
      </c>
      <c r="D22" s="110">
        <f>IFERROR(VLOOKUP($B22,MMWR_TRAD_AGG_STATE_COMP[],D$1,0),"ERROR")</f>
        <v>243.984892992</v>
      </c>
      <c r="E22" s="111">
        <f>IFERROR(VLOOKUP($B22,MMWR_TRAD_AGG_STATE_COMP[],E$1,0),"ERROR")</f>
        <v>2425</v>
      </c>
      <c r="F22" s="112">
        <f>IFERROR(VLOOKUP($B22,MMWR_TRAD_AGG_STATE_COMP[],F$1,0),"ERROR")</f>
        <v>632</v>
      </c>
      <c r="G22" s="113">
        <f t="shared" si="0"/>
        <v>0.2606185567010309</v>
      </c>
      <c r="H22" s="111">
        <f>IFERROR(VLOOKUP($B22,MMWR_TRAD_AGG_STATE_COMP[],H$1,0),"ERROR")</f>
        <v>3628</v>
      </c>
      <c r="I22" s="112">
        <f>IFERROR(VLOOKUP($B22,MMWR_TRAD_AGG_STATE_COMP[],I$1,0),"ERROR")</f>
        <v>1955</v>
      </c>
      <c r="J22" s="114">
        <f t="shared" si="1"/>
        <v>0.53886438809261306</v>
      </c>
      <c r="K22" s="111">
        <f>IFERROR(VLOOKUP($B22,MMWR_TRAD_AGG_STATE_COMP[],K$1,0),"ERROR")</f>
        <v>308</v>
      </c>
      <c r="L22" s="112">
        <f>IFERROR(VLOOKUP($B22,MMWR_TRAD_AGG_STATE_COMP[],L$1,0),"ERROR")</f>
        <v>254</v>
      </c>
      <c r="M22" s="114">
        <f t="shared" si="2"/>
        <v>0.82467532467532467</v>
      </c>
      <c r="N22" s="111">
        <f>IFERROR(VLOOKUP($B22,MMWR_TRAD_AGG_STATE_COMP[],N$1,0),"ERROR")</f>
        <v>1102</v>
      </c>
      <c r="O22" s="112">
        <f>IFERROR(VLOOKUP($B22,MMWR_TRAD_AGG_STATE_COMP[],O$1,0),"ERROR")</f>
        <v>747</v>
      </c>
      <c r="P22" s="114">
        <f t="shared" si="3"/>
        <v>0.67785843920145195</v>
      </c>
      <c r="Q22" s="115">
        <f>IFERROR(VLOOKUP($B22,MMWR_TRAD_AGG_STATE_COMP[],Q$1,0),"ERROR")</f>
        <v>248</v>
      </c>
      <c r="R22" s="115">
        <f>IFERROR(VLOOKUP($B22,MMWR_TRAD_AGG_STATE_COMP[],R$1,0),"ERROR")</f>
        <v>18</v>
      </c>
      <c r="S22" s="115">
        <f>IFERROR(VLOOKUP($B22,MMWR_APP_STATE_COMP[],S$1,0),"ERROR")</f>
        <v>2327</v>
      </c>
      <c r="T22" s="28"/>
    </row>
    <row r="23" spans="1:20" s="123" customFormat="1" x14ac:dyDescent="0.2">
      <c r="A23" s="107"/>
      <c r="B23" s="126" t="s">
        <v>400</v>
      </c>
      <c r="C23" s="102">
        <f>IF(SUM(C24:C35)&lt;&gt;VLOOKUP($B23,MMWR_TRAD_AGG_ST_DISTRICT_COMP[],C$1,0),"ERROR",
VLOOKUP($B23,MMWR_TRAD_AGG_ST_DISTRICT_COMP[],C$1,0))</f>
        <v>51078</v>
      </c>
      <c r="D23" s="103">
        <f>IFERROR(VLOOKUP($B23,MMWR_TRAD_AGG_ST_DISTRICT_COMP[],D$1,0),"ERROR")</f>
        <v>381.71054074160003</v>
      </c>
      <c r="E23" s="102">
        <f>IF(SUM(E24:E35)&lt;&gt;VLOOKUP($B23,MMWR_TRAD_AGG_ST_DISTRICT_COMP[],E$1,0),"ERROR",
VLOOKUP($B23,MMWR_TRAD_AGG_ST_DISTRICT_COMP[],E$1,0))</f>
        <v>53940</v>
      </c>
      <c r="F23" s="102">
        <f>IF(SUM(F24:F35)&lt;&gt;VLOOKUP($B23,MMWR_TRAD_AGG_ST_DISTRICT_COMP[],F$1,0),"ERROR",
VLOOKUP($B23,MMWR_TRAD_AGG_ST_DISTRICT_COMP[],F$1,0))</f>
        <v>15447</v>
      </c>
      <c r="G23" s="104">
        <f t="shared" si="0"/>
        <v>0.28637374860956616</v>
      </c>
      <c r="H23" s="102">
        <f>IF(SUM(H24:H35)&lt;&gt;VLOOKUP($B23,MMWR_TRAD_AGG_ST_DISTRICT_COMP[],H$1,0),"ERROR",
VLOOKUP($B23,MMWR_TRAD_AGG_ST_DISTRICT_COMP[],H$1,0))</f>
        <v>76456</v>
      </c>
      <c r="I23" s="102">
        <f>IF(SUM(I24:I35)&lt;&gt;VLOOKUP($B23,MMWR_TRAD_AGG_ST_DISTRICT_COMP[],I$1,0),"ERROR",
VLOOKUP($B23,MMWR_TRAD_AGG_ST_DISTRICT_COMP[],I$1,0))</f>
        <v>43997</v>
      </c>
      <c r="J23" s="105">
        <f t="shared" si="1"/>
        <v>0.57545516375431616</v>
      </c>
      <c r="K23" s="102">
        <f>IF(SUM(K24:K35)&lt;&gt;VLOOKUP($B23,MMWR_TRAD_AGG_ST_DISTRICT_COMP[],K$1,0),"ERROR",
VLOOKUP($B23,MMWR_TRAD_AGG_ST_DISTRICT_COMP[],K$1,0))</f>
        <v>10223</v>
      </c>
      <c r="L23" s="102">
        <f>IF(SUM(L24:L35)&lt;&gt;VLOOKUP($B23,MMWR_TRAD_AGG_ST_DISTRICT_COMP[],L$1,0),"ERROR",
VLOOKUP($B23,MMWR_TRAD_AGG_ST_DISTRICT_COMP[],L$1,0))</f>
        <v>8333</v>
      </c>
      <c r="M23" s="105">
        <f t="shared" si="2"/>
        <v>0.81512276239851311</v>
      </c>
      <c r="N23" s="102">
        <f>IF(SUM(N24:N35)&lt;&gt;VLOOKUP($B23,MMWR_TRAD_AGG_ST_DISTRICT_COMP[],N$1,0),"ERROR",
VLOOKUP($B23,MMWR_TRAD_AGG_ST_DISTRICT_COMP[],N$1,0))</f>
        <v>21472</v>
      </c>
      <c r="O23" s="102">
        <f>IF(SUM(O24:O35)&lt;&gt;VLOOKUP($B23,MMWR_TRAD_AGG_ST_DISTRICT_COMP[],O$1,0),"ERROR",
VLOOKUP($B23,MMWR_TRAD_AGG_ST_DISTRICT_COMP[],O$1,0))</f>
        <v>14926</v>
      </c>
      <c r="P23" s="105">
        <f t="shared" si="3"/>
        <v>0.69513785394932937</v>
      </c>
      <c r="Q23" s="102">
        <f>IF(SUM(Q24:Q35)&lt;&gt;VLOOKUP($B23,MMWR_TRAD_AGG_ST_DISTRICT_COMP[],Q$1,0),"ERROR",
VLOOKUP($B23,MMWR_TRAD_AGG_ST_DISTRICT_COMP[],Q$1,0))</f>
        <v>140</v>
      </c>
      <c r="R23" s="102">
        <f>IF(SUM(R24:R35)&lt;&gt;VLOOKUP($B23,MMWR_TRAD_AGG_ST_DISTRICT_COMP[],R$1,0),"ERROR",
VLOOKUP($B23,MMWR_TRAD_AGG_ST_DISTRICT_COMP[],R$1,0))</f>
        <v>1202</v>
      </c>
      <c r="S23" s="106">
        <f>SUM(S24:S35)</f>
        <v>52844</v>
      </c>
      <c r="T23" s="28"/>
    </row>
    <row r="24" spans="1:20" s="123" customFormat="1" x14ac:dyDescent="0.2">
      <c r="A24" s="92"/>
      <c r="B24" s="127" t="s">
        <v>404</v>
      </c>
      <c r="C24" s="109">
        <f>IFERROR(VLOOKUP($B24,MMWR_TRAD_AGG_STATE_COMP[],C$1,0),"ERROR")</f>
        <v>7985</v>
      </c>
      <c r="D24" s="110">
        <f>IFERROR(VLOOKUP($B24,MMWR_TRAD_AGG_STATE_COMP[],D$1,0),"ERROR")</f>
        <v>470.65222291800001</v>
      </c>
      <c r="E24" s="111">
        <f>IFERROR(VLOOKUP($B24,MMWR_TRAD_AGG_STATE_COMP[],E$1,0),"ERROR")</f>
        <v>7939</v>
      </c>
      <c r="F24" s="112">
        <f>IFERROR(VLOOKUP($B24,MMWR_TRAD_AGG_STATE_COMP[],F$1,0),"ERROR")</f>
        <v>2669</v>
      </c>
      <c r="G24" s="113">
        <f t="shared" si="0"/>
        <v>0.3361884368308351</v>
      </c>
      <c r="H24" s="111">
        <f>IFERROR(VLOOKUP($B24,MMWR_TRAD_AGG_STATE_COMP[],H$1,0),"ERROR")</f>
        <v>10557</v>
      </c>
      <c r="I24" s="112">
        <f>IFERROR(VLOOKUP($B24,MMWR_TRAD_AGG_STATE_COMP[],I$1,0),"ERROR")</f>
        <v>7359</v>
      </c>
      <c r="J24" s="114">
        <f t="shared" si="1"/>
        <v>0.69707303211139526</v>
      </c>
      <c r="K24" s="111">
        <f>IFERROR(VLOOKUP($B24,MMWR_TRAD_AGG_STATE_COMP[],K$1,0),"ERROR")</f>
        <v>1508</v>
      </c>
      <c r="L24" s="112">
        <f>IFERROR(VLOOKUP($B24,MMWR_TRAD_AGG_STATE_COMP[],L$1,0),"ERROR")</f>
        <v>1372</v>
      </c>
      <c r="M24" s="114">
        <f t="shared" si="2"/>
        <v>0.90981432360742709</v>
      </c>
      <c r="N24" s="111">
        <f>IFERROR(VLOOKUP($B24,MMWR_TRAD_AGG_STATE_COMP[],N$1,0),"ERROR")</f>
        <v>2984</v>
      </c>
      <c r="O24" s="112">
        <f>IFERROR(VLOOKUP($B24,MMWR_TRAD_AGG_STATE_COMP[],O$1,0),"ERROR")</f>
        <v>2276</v>
      </c>
      <c r="P24" s="114">
        <f t="shared" si="3"/>
        <v>0.7627345844504021</v>
      </c>
      <c r="Q24" s="115">
        <f>IFERROR(VLOOKUP($B24,MMWR_TRAD_AGG_STATE_COMP[],Q$1,0),"ERROR")</f>
        <v>22</v>
      </c>
      <c r="R24" s="115">
        <f>IFERROR(VLOOKUP($B24,MMWR_TRAD_AGG_STATE_COMP[],R$1,0),"ERROR")</f>
        <v>282</v>
      </c>
      <c r="S24" s="115">
        <f>IFERROR(VLOOKUP($B24,MMWR_APP_STATE_COMP[],S$1,0),"ERROR")</f>
        <v>7637</v>
      </c>
      <c r="T24" s="28"/>
    </row>
    <row r="25" spans="1:20" s="123" customFormat="1" x14ac:dyDescent="0.2">
      <c r="A25" s="107"/>
      <c r="B25" s="127" t="s">
        <v>402</v>
      </c>
      <c r="C25" s="109">
        <f>IFERROR(VLOOKUP($B25,MMWR_TRAD_AGG_STATE_COMP[],C$1,0),"ERROR")</f>
        <v>7785</v>
      </c>
      <c r="D25" s="110">
        <f>IFERROR(VLOOKUP($B25,MMWR_TRAD_AGG_STATE_COMP[],D$1,0),"ERROR")</f>
        <v>639.98741168909999</v>
      </c>
      <c r="E25" s="111">
        <f>IFERROR(VLOOKUP($B25,MMWR_TRAD_AGG_STATE_COMP[],E$1,0),"ERROR")</f>
        <v>5203</v>
      </c>
      <c r="F25" s="112">
        <f>IFERROR(VLOOKUP($B25,MMWR_TRAD_AGG_STATE_COMP[],F$1,0),"ERROR")</f>
        <v>1662</v>
      </c>
      <c r="G25" s="113">
        <f t="shared" si="0"/>
        <v>0.31943109744378245</v>
      </c>
      <c r="H25" s="111">
        <f>IFERROR(VLOOKUP($B25,MMWR_TRAD_AGG_STATE_COMP[],H$1,0),"ERROR")</f>
        <v>10343</v>
      </c>
      <c r="I25" s="112">
        <f>IFERROR(VLOOKUP($B25,MMWR_TRAD_AGG_STATE_COMP[],I$1,0),"ERROR")</f>
        <v>7642</v>
      </c>
      <c r="J25" s="114">
        <f t="shared" si="1"/>
        <v>0.7388571981049985</v>
      </c>
      <c r="K25" s="111">
        <f>IFERROR(VLOOKUP($B25,MMWR_TRAD_AGG_STATE_COMP[],K$1,0),"ERROR")</f>
        <v>1160</v>
      </c>
      <c r="L25" s="112">
        <f>IFERROR(VLOOKUP($B25,MMWR_TRAD_AGG_STATE_COMP[],L$1,0),"ERROR")</f>
        <v>991</v>
      </c>
      <c r="M25" s="114">
        <f t="shared" si="2"/>
        <v>0.85431034482758617</v>
      </c>
      <c r="N25" s="111">
        <f>IFERROR(VLOOKUP($B25,MMWR_TRAD_AGG_STATE_COMP[],N$1,0),"ERROR")</f>
        <v>2260</v>
      </c>
      <c r="O25" s="112">
        <f>IFERROR(VLOOKUP($B25,MMWR_TRAD_AGG_STATE_COMP[],O$1,0),"ERROR")</f>
        <v>1586</v>
      </c>
      <c r="P25" s="114">
        <f t="shared" si="3"/>
        <v>0.7017699115044248</v>
      </c>
      <c r="Q25" s="115">
        <f>IFERROR(VLOOKUP($B25,MMWR_TRAD_AGG_STATE_COMP[],Q$1,0),"ERROR")</f>
        <v>18</v>
      </c>
      <c r="R25" s="115">
        <f>IFERROR(VLOOKUP($B25,MMWR_TRAD_AGG_STATE_COMP[],R$1,0),"ERROR")</f>
        <v>200</v>
      </c>
      <c r="S25" s="115">
        <f>IFERROR(VLOOKUP($B25,MMWR_APP_STATE_COMP[],S$1,0),"ERROR")</f>
        <v>8031</v>
      </c>
      <c r="T25" s="28"/>
    </row>
    <row r="26" spans="1:20" s="123" customFormat="1" x14ac:dyDescent="0.2">
      <c r="A26" s="107"/>
      <c r="B26" s="127" t="s">
        <v>409</v>
      </c>
      <c r="C26" s="109">
        <f>IFERROR(VLOOKUP($B26,MMWR_TRAD_AGG_STATE_COMP[],C$1,0),"ERROR")</f>
        <v>1887</v>
      </c>
      <c r="D26" s="110">
        <f>IFERROR(VLOOKUP($B26,MMWR_TRAD_AGG_STATE_COMP[],D$1,0),"ERROR")</f>
        <v>168.45416004239999</v>
      </c>
      <c r="E26" s="111">
        <f>IFERROR(VLOOKUP($B26,MMWR_TRAD_AGG_STATE_COMP[],E$1,0),"ERROR")</f>
        <v>2649</v>
      </c>
      <c r="F26" s="112">
        <f>IFERROR(VLOOKUP($B26,MMWR_TRAD_AGG_STATE_COMP[],F$1,0),"ERROR")</f>
        <v>630</v>
      </c>
      <c r="G26" s="113">
        <f t="shared" si="0"/>
        <v>0.23782559456398641</v>
      </c>
      <c r="H26" s="111">
        <f>IFERROR(VLOOKUP($B26,MMWR_TRAD_AGG_STATE_COMP[],H$1,0),"ERROR")</f>
        <v>3524</v>
      </c>
      <c r="I26" s="112">
        <f>IFERROR(VLOOKUP($B26,MMWR_TRAD_AGG_STATE_COMP[],I$1,0),"ERROR")</f>
        <v>1398</v>
      </c>
      <c r="J26" s="114">
        <f t="shared" si="1"/>
        <v>0.39670828603859248</v>
      </c>
      <c r="K26" s="111">
        <f>IFERROR(VLOOKUP($B26,MMWR_TRAD_AGG_STATE_COMP[],K$1,0),"ERROR")</f>
        <v>274</v>
      </c>
      <c r="L26" s="112">
        <f>IFERROR(VLOOKUP($B26,MMWR_TRAD_AGG_STATE_COMP[],L$1,0),"ERROR")</f>
        <v>217</v>
      </c>
      <c r="M26" s="114">
        <f t="shared" si="2"/>
        <v>0.79197080291970801</v>
      </c>
      <c r="N26" s="111">
        <f>IFERROR(VLOOKUP($B26,MMWR_TRAD_AGG_STATE_COMP[],N$1,0),"ERROR")</f>
        <v>1258</v>
      </c>
      <c r="O26" s="112">
        <f>IFERROR(VLOOKUP($B26,MMWR_TRAD_AGG_STATE_COMP[],O$1,0),"ERROR")</f>
        <v>1056</v>
      </c>
      <c r="P26" s="114">
        <f t="shared" si="3"/>
        <v>0.83942766295707472</v>
      </c>
      <c r="Q26" s="115">
        <f>IFERROR(VLOOKUP($B26,MMWR_TRAD_AGG_STATE_COMP[],Q$1,0),"ERROR")</f>
        <v>0</v>
      </c>
      <c r="R26" s="115">
        <f>IFERROR(VLOOKUP($B26,MMWR_TRAD_AGG_STATE_COMP[],R$1,0),"ERROR")</f>
        <v>11</v>
      </c>
      <c r="S26" s="115">
        <f>IFERROR(VLOOKUP($B26,MMWR_APP_STATE_COMP[],S$1,0),"ERROR")</f>
        <v>1252</v>
      </c>
      <c r="T26" s="28"/>
    </row>
    <row r="27" spans="1:20" s="123" customFormat="1" x14ac:dyDescent="0.2">
      <c r="A27" s="107"/>
      <c r="B27" s="127" t="s">
        <v>432</v>
      </c>
      <c r="C27" s="109">
        <f>IFERROR(VLOOKUP($B27,MMWR_TRAD_AGG_STATE_COMP[],C$1,0),"ERROR")</f>
        <v>2404</v>
      </c>
      <c r="D27" s="110">
        <f>IFERROR(VLOOKUP($B27,MMWR_TRAD_AGG_STATE_COMP[],D$1,0),"ERROR")</f>
        <v>210.8772878536</v>
      </c>
      <c r="E27" s="111">
        <f>IFERROR(VLOOKUP($B27,MMWR_TRAD_AGG_STATE_COMP[],E$1,0),"ERROR")</f>
        <v>2773</v>
      </c>
      <c r="F27" s="112">
        <f>IFERROR(VLOOKUP($B27,MMWR_TRAD_AGG_STATE_COMP[],F$1,0),"ERROR")</f>
        <v>724</v>
      </c>
      <c r="G27" s="113">
        <f t="shared" si="0"/>
        <v>0.26108907320591418</v>
      </c>
      <c r="H27" s="111">
        <f>IFERROR(VLOOKUP($B27,MMWR_TRAD_AGG_STATE_COMP[],H$1,0),"ERROR")</f>
        <v>3651</v>
      </c>
      <c r="I27" s="112">
        <f>IFERROR(VLOOKUP($B27,MMWR_TRAD_AGG_STATE_COMP[],I$1,0),"ERROR")</f>
        <v>1541</v>
      </c>
      <c r="J27" s="114">
        <f t="shared" si="1"/>
        <v>0.42207614352232264</v>
      </c>
      <c r="K27" s="111">
        <f>IFERROR(VLOOKUP($B27,MMWR_TRAD_AGG_STATE_COMP[],K$1,0),"ERROR")</f>
        <v>373</v>
      </c>
      <c r="L27" s="112">
        <f>IFERROR(VLOOKUP($B27,MMWR_TRAD_AGG_STATE_COMP[],L$1,0),"ERROR")</f>
        <v>243</v>
      </c>
      <c r="M27" s="114">
        <f t="shared" si="2"/>
        <v>0.65147453083109919</v>
      </c>
      <c r="N27" s="111">
        <f>IFERROR(VLOOKUP($B27,MMWR_TRAD_AGG_STATE_COMP[],N$1,0),"ERROR")</f>
        <v>396</v>
      </c>
      <c r="O27" s="112">
        <f>IFERROR(VLOOKUP($B27,MMWR_TRAD_AGG_STATE_COMP[],O$1,0),"ERROR")</f>
        <v>223</v>
      </c>
      <c r="P27" s="114">
        <f t="shared" si="3"/>
        <v>0.56313131313131315</v>
      </c>
      <c r="Q27" s="115">
        <f>IFERROR(VLOOKUP($B27,MMWR_TRAD_AGG_STATE_COMP[],Q$1,0),"ERROR")</f>
        <v>2</v>
      </c>
      <c r="R27" s="115">
        <f>IFERROR(VLOOKUP($B27,MMWR_TRAD_AGG_STATE_COMP[],R$1,0),"ERROR")</f>
        <v>14</v>
      </c>
      <c r="S27" s="115">
        <f>IFERROR(VLOOKUP($B27,MMWR_APP_STATE_COMP[],S$1,0),"ERROR")</f>
        <v>1455</v>
      </c>
      <c r="T27" s="28"/>
    </row>
    <row r="28" spans="1:20" s="123" customFormat="1" x14ac:dyDescent="0.2">
      <c r="A28" s="107"/>
      <c r="B28" s="127" t="s">
        <v>405</v>
      </c>
      <c r="C28" s="109">
        <f>IFERROR(VLOOKUP($B28,MMWR_TRAD_AGG_STATE_COMP[],C$1,0),"ERROR")</f>
        <v>3910</v>
      </c>
      <c r="D28" s="110">
        <f>IFERROR(VLOOKUP($B28,MMWR_TRAD_AGG_STATE_COMP[],D$1,0),"ERROR")</f>
        <v>260.40562659850002</v>
      </c>
      <c r="E28" s="111">
        <f>IFERROR(VLOOKUP($B28,MMWR_TRAD_AGG_STATE_COMP[],E$1,0),"ERROR")</f>
        <v>8105</v>
      </c>
      <c r="F28" s="112">
        <f>IFERROR(VLOOKUP($B28,MMWR_TRAD_AGG_STATE_COMP[],F$1,0),"ERROR")</f>
        <v>2381</v>
      </c>
      <c r="G28" s="113">
        <f t="shared" si="0"/>
        <v>0.29376927822331894</v>
      </c>
      <c r="H28" s="111">
        <f>IFERROR(VLOOKUP($B28,MMWR_TRAD_AGG_STATE_COMP[],H$1,0),"ERROR")</f>
        <v>7542</v>
      </c>
      <c r="I28" s="112">
        <f>IFERROR(VLOOKUP($B28,MMWR_TRAD_AGG_STATE_COMP[],I$1,0),"ERROR")</f>
        <v>3514</v>
      </c>
      <c r="J28" s="114">
        <f t="shared" si="1"/>
        <v>0.46592415804826304</v>
      </c>
      <c r="K28" s="111">
        <f>IFERROR(VLOOKUP($B28,MMWR_TRAD_AGG_STATE_COMP[],K$1,0),"ERROR")</f>
        <v>924</v>
      </c>
      <c r="L28" s="112">
        <f>IFERROR(VLOOKUP($B28,MMWR_TRAD_AGG_STATE_COMP[],L$1,0),"ERROR")</f>
        <v>763</v>
      </c>
      <c r="M28" s="114">
        <f t="shared" si="2"/>
        <v>0.8257575757575758</v>
      </c>
      <c r="N28" s="111">
        <f>IFERROR(VLOOKUP($B28,MMWR_TRAD_AGG_STATE_COMP[],N$1,0),"ERROR")</f>
        <v>1278</v>
      </c>
      <c r="O28" s="112">
        <f>IFERROR(VLOOKUP($B28,MMWR_TRAD_AGG_STATE_COMP[],O$1,0),"ERROR")</f>
        <v>793</v>
      </c>
      <c r="P28" s="114">
        <f t="shared" si="3"/>
        <v>0.62050078247261342</v>
      </c>
      <c r="Q28" s="115">
        <f>IFERROR(VLOOKUP($B28,MMWR_TRAD_AGG_STATE_COMP[],Q$1,0),"ERROR")</f>
        <v>26</v>
      </c>
      <c r="R28" s="115">
        <f>IFERROR(VLOOKUP($B28,MMWR_TRAD_AGG_STATE_COMP[],R$1,0),"ERROR")</f>
        <v>204</v>
      </c>
      <c r="S28" s="115">
        <f>IFERROR(VLOOKUP($B28,MMWR_APP_STATE_COMP[],S$1,0),"ERROR")</f>
        <v>6376</v>
      </c>
      <c r="T28" s="28"/>
    </row>
    <row r="29" spans="1:20" s="123" customFormat="1" x14ac:dyDescent="0.2">
      <c r="A29" s="107"/>
      <c r="B29" s="127" t="s">
        <v>411</v>
      </c>
      <c r="C29" s="109">
        <f>IFERROR(VLOOKUP($B29,MMWR_TRAD_AGG_STATE_COMP[],C$1,0),"ERROR")</f>
        <v>2660</v>
      </c>
      <c r="D29" s="110">
        <f>IFERROR(VLOOKUP($B29,MMWR_TRAD_AGG_STATE_COMP[],D$1,0),"ERROR")</f>
        <v>138.80714285709999</v>
      </c>
      <c r="E29" s="111">
        <f>IFERROR(VLOOKUP($B29,MMWR_TRAD_AGG_STATE_COMP[],E$1,0),"ERROR")</f>
        <v>5466</v>
      </c>
      <c r="F29" s="112">
        <f>IFERROR(VLOOKUP($B29,MMWR_TRAD_AGG_STATE_COMP[],F$1,0),"ERROR")</f>
        <v>1389</v>
      </c>
      <c r="G29" s="113">
        <f t="shared" si="0"/>
        <v>0.25411635565312846</v>
      </c>
      <c r="H29" s="111">
        <f>IFERROR(VLOOKUP($B29,MMWR_TRAD_AGG_STATE_COMP[],H$1,0),"ERROR")</f>
        <v>6065</v>
      </c>
      <c r="I29" s="112">
        <f>IFERROR(VLOOKUP($B29,MMWR_TRAD_AGG_STATE_COMP[],I$1,0),"ERROR")</f>
        <v>1385</v>
      </c>
      <c r="J29" s="114">
        <f t="shared" si="1"/>
        <v>0.22835943940643033</v>
      </c>
      <c r="K29" s="111">
        <f>IFERROR(VLOOKUP($B29,MMWR_TRAD_AGG_STATE_COMP[],K$1,0),"ERROR")</f>
        <v>366</v>
      </c>
      <c r="L29" s="112">
        <f>IFERROR(VLOOKUP($B29,MMWR_TRAD_AGG_STATE_COMP[],L$1,0),"ERROR")</f>
        <v>264</v>
      </c>
      <c r="M29" s="114">
        <f t="shared" si="2"/>
        <v>0.72131147540983609</v>
      </c>
      <c r="N29" s="111">
        <f>IFERROR(VLOOKUP($B29,MMWR_TRAD_AGG_STATE_COMP[],N$1,0),"ERROR")</f>
        <v>1120</v>
      </c>
      <c r="O29" s="112">
        <f>IFERROR(VLOOKUP($B29,MMWR_TRAD_AGG_STATE_COMP[],O$1,0),"ERROR")</f>
        <v>412</v>
      </c>
      <c r="P29" s="114">
        <f t="shared" si="3"/>
        <v>0.36785714285714288</v>
      </c>
      <c r="Q29" s="115">
        <f>IFERROR(VLOOKUP($B29,MMWR_TRAD_AGG_STATE_COMP[],Q$1,0),"ERROR")</f>
        <v>5</v>
      </c>
      <c r="R29" s="115">
        <f>IFERROR(VLOOKUP($B29,MMWR_TRAD_AGG_STATE_COMP[],R$1,0),"ERROR")</f>
        <v>3</v>
      </c>
      <c r="S29" s="115">
        <f>IFERROR(VLOOKUP($B29,MMWR_APP_STATE_COMP[],S$1,0),"ERROR")</f>
        <v>2225</v>
      </c>
      <c r="T29" s="28"/>
    </row>
    <row r="30" spans="1:20" s="123" customFormat="1" x14ac:dyDescent="0.2">
      <c r="A30" s="107"/>
      <c r="B30" s="127" t="s">
        <v>407</v>
      </c>
      <c r="C30" s="109">
        <f>IFERROR(VLOOKUP($B30,MMWR_TRAD_AGG_STATE_COMP[],C$1,0),"ERROR")</f>
        <v>5941</v>
      </c>
      <c r="D30" s="110">
        <f>IFERROR(VLOOKUP($B30,MMWR_TRAD_AGG_STATE_COMP[],D$1,0),"ERROR")</f>
        <v>280.78572630870002</v>
      </c>
      <c r="E30" s="111">
        <f>IFERROR(VLOOKUP($B30,MMWR_TRAD_AGG_STATE_COMP[],E$1,0),"ERROR")</f>
        <v>5302</v>
      </c>
      <c r="F30" s="112">
        <f>IFERROR(VLOOKUP($B30,MMWR_TRAD_AGG_STATE_COMP[],F$1,0),"ERROR")</f>
        <v>1450</v>
      </c>
      <c r="G30" s="113">
        <f t="shared" si="0"/>
        <v>0.27348170501697472</v>
      </c>
      <c r="H30" s="111">
        <f>IFERROR(VLOOKUP($B30,MMWR_TRAD_AGG_STATE_COMP[],H$1,0),"ERROR")</f>
        <v>8826</v>
      </c>
      <c r="I30" s="112">
        <f>IFERROR(VLOOKUP($B30,MMWR_TRAD_AGG_STATE_COMP[],I$1,0),"ERROR")</f>
        <v>5391</v>
      </c>
      <c r="J30" s="114">
        <f t="shared" si="1"/>
        <v>0.61080897348742347</v>
      </c>
      <c r="K30" s="111">
        <f>IFERROR(VLOOKUP($B30,MMWR_TRAD_AGG_STATE_COMP[],K$1,0),"ERROR")</f>
        <v>2184</v>
      </c>
      <c r="L30" s="112">
        <f>IFERROR(VLOOKUP($B30,MMWR_TRAD_AGG_STATE_COMP[],L$1,0),"ERROR")</f>
        <v>2027</v>
      </c>
      <c r="M30" s="114">
        <f t="shared" si="2"/>
        <v>0.92811355311355315</v>
      </c>
      <c r="N30" s="111">
        <f>IFERROR(VLOOKUP($B30,MMWR_TRAD_AGG_STATE_COMP[],N$1,0),"ERROR")</f>
        <v>6032</v>
      </c>
      <c r="O30" s="112">
        <f>IFERROR(VLOOKUP($B30,MMWR_TRAD_AGG_STATE_COMP[],O$1,0),"ERROR")</f>
        <v>4562</v>
      </c>
      <c r="P30" s="114">
        <f t="shared" si="3"/>
        <v>0.7562997347480106</v>
      </c>
      <c r="Q30" s="115">
        <f>IFERROR(VLOOKUP($B30,MMWR_TRAD_AGG_STATE_COMP[],Q$1,0),"ERROR")</f>
        <v>13</v>
      </c>
      <c r="R30" s="115">
        <f>IFERROR(VLOOKUP($B30,MMWR_TRAD_AGG_STATE_COMP[],R$1,0),"ERROR")</f>
        <v>119</v>
      </c>
      <c r="S30" s="115">
        <f>IFERROR(VLOOKUP($B30,MMWR_APP_STATE_COMP[],S$1,0),"ERROR")</f>
        <v>6798</v>
      </c>
      <c r="T30" s="28"/>
    </row>
    <row r="31" spans="1:20" s="123" customFormat="1" x14ac:dyDescent="0.2">
      <c r="A31" s="107"/>
      <c r="B31" s="127" t="s">
        <v>410</v>
      </c>
      <c r="C31" s="109">
        <f>IFERROR(VLOOKUP($B31,MMWR_TRAD_AGG_STATE_COMP[],C$1,0),"ERROR")</f>
        <v>1595</v>
      </c>
      <c r="D31" s="110">
        <f>IFERROR(VLOOKUP($B31,MMWR_TRAD_AGG_STATE_COMP[],D$1,0),"ERROR")</f>
        <v>185.8018808777</v>
      </c>
      <c r="E31" s="111">
        <f>IFERROR(VLOOKUP($B31,MMWR_TRAD_AGG_STATE_COMP[],E$1,0),"ERROR")</f>
        <v>2153</v>
      </c>
      <c r="F31" s="112">
        <f>IFERROR(VLOOKUP($B31,MMWR_TRAD_AGG_STATE_COMP[],F$1,0),"ERROR")</f>
        <v>398</v>
      </c>
      <c r="G31" s="113">
        <f t="shared" si="0"/>
        <v>0.18485833720390155</v>
      </c>
      <c r="H31" s="111">
        <f>IFERROR(VLOOKUP($B31,MMWR_TRAD_AGG_STATE_COMP[],H$1,0),"ERROR")</f>
        <v>2683</v>
      </c>
      <c r="I31" s="112">
        <f>IFERROR(VLOOKUP($B31,MMWR_TRAD_AGG_STATE_COMP[],I$1,0),"ERROR")</f>
        <v>846</v>
      </c>
      <c r="J31" s="114">
        <f t="shared" si="1"/>
        <v>0.31531867312709655</v>
      </c>
      <c r="K31" s="111">
        <f>IFERROR(VLOOKUP($B31,MMWR_TRAD_AGG_STATE_COMP[],K$1,0),"ERROR")</f>
        <v>739</v>
      </c>
      <c r="L31" s="112">
        <f>IFERROR(VLOOKUP($B31,MMWR_TRAD_AGG_STATE_COMP[],L$1,0),"ERROR")</f>
        <v>470</v>
      </c>
      <c r="M31" s="114">
        <f t="shared" si="2"/>
        <v>0.63599458728010827</v>
      </c>
      <c r="N31" s="111">
        <f>IFERROR(VLOOKUP($B31,MMWR_TRAD_AGG_STATE_COMP[],N$1,0),"ERROR")</f>
        <v>352</v>
      </c>
      <c r="O31" s="112">
        <f>IFERROR(VLOOKUP($B31,MMWR_TRAD_AGG_STATE_COMP[],O$1,0),"ERROR")</f>
        <v>155</v>
      </c>
      <c r="P31" s="114">
        <f t="shared" si="3"/>
        <v>0.44034090909090912</v>
      </c>
      <c r="Q31" s="115">
        <f>IFERROR(VLOOKUP($B31,MMWR_TRAD_AGG_STATE_COMP[],Q$1,0),"ERROR")</f>
        <v>0</v>
      </c>
      <c r="R31" s="115">
        <f>IFERROR(VLOOKUP($B31,MMWR_TRAD_AGG_STATE_COMP[],R$1,0),"ERROR")</f>
        <v>16</v>
      </c>
      <c r="S31" s="115">
        <f>IFERROR(VLOOKUP($B31,MMWR_APP_STATE_COMP[],S$1,0),"ERROR")</f>
        <v>1568</v>
      </c>
      <c r="T31" s="28"/>
    </row>
    <row r="32" spans="1:20" s="123" customFormat="1" x14ac:dyDescent="0.2">
      <c r="A32" s="107"/>
      <c r="B32" s="127" t="s">
        <v>429</v>
      </c>
      <c r="C32" s="109">
        <f>IFERROR(VLOOKUP($B32,MMWR_TRAD_AGG_STATE_COMP[],C$1,0),"ERROR")</f>
        <v>243</v>
      </c>
      <c r="D32" s="110">
        <f>IFERROR(VLOOKUP($B32,MMWR_TRAD_AGG_STATE_COMP[],D$1,0),"ERROR")</f>
        <v>221.06584362140001</v>
      </c>
      <c r="E32" s="111">
        <f>IFERROR(VLOOKUP($B32,MMWR_TRAD_AGG_STATE_COMP[],E$1,0),"ERROR")</f>
        <v>686</v>
      </c>
      <c r="F32" s="112">
        <f>IFERROR(VLOOKUP($B32,MMWR_TRAD_AGG_STATE_COMP[],F$1,0),"ERROR")</f>
        <v>161</v>
      </c>
      <c r="G32" s="113">
        <f t="shared" si="0"/>
        <v>0.23469387755102042</v>
      </c>
      <c r="H32" s="111">
        <f>IFERROR(VLOOKUP($B32,MMWR_TRAD_AGG_STATE_COMP[],H$1,0),"ERROR")</f>
        <v>771</v>
      </c>
      <c r="I32" s="112">
        <f>IFERROR(VLOOKUP($B32,MMWR_TRAD_AGG_STATE_COMP[],I$1,0),"ERROR")</f>
        <v>152</v>
      </c>
      <c r="J32" s="114">
        <f t="shared" si="1"/>
        <v>0.19714656290531776</v>
      </c>
      <c r="K32" s="111">
        <f>IFERROR(VLOOKUP($B32,MMWR_TRAD_AGG_STATE_COMP[],K$1,0),"ERROR")</f>
        <v>74</v>
      </c>
      <c r="L32" s="112">
        <f>IFERROR(VLOOKUP($B32,MMWR_TRAD_AGG_STATE_COMP[],L$1,0),"ERROR")</f>
        <v>44</v>
      </c>
      <c r="M32" s="114">
        <f t="shared" si="2"/>
        <v>0.59459459459459463</v>
      </c>
      <c r="N32" s="111">
        <f>IFERROR(VLOOKUP($B32,MMWR_TRAD_AGG_STATE_COMP[],N$1,0),"ERROR")</f>
        <v>107</v>
      </c>
      <c r="O32" s="112">
        <f>IFERROR(VLOOKUP($B32,MMWR_TRAD_AGG_STATE_COMP[],O$1,0),"ERROR")</f>
        <v>36</v>
      </c>
      <c r="P32" s="114">
        <f t="shared" si="3"/>
        <v>0.3364485981308411</v>
      </c>
      <c r="Q32" s="115">
        <f>IFERROR(VLOOKUP($B32,MMWR_TRAD_AGG_STATE_COMP[],Q$1,0),"ERROR")</f>
        <v>0</v>
      </c>
      <c r="R32" s="115">
        <f>IFERROR(VLOOKUP($B32,MMWR_TRAD_AGG_STATE_COMP[],R$1,0),"ERROR")</f>
        <v>0</v>
      </c>
      <c r="S32" s="115">
        <f>IFERROR(VLOOKUP($B32,MMWR_APP_STATE_COMP[],S$1,0),"ERROR")</f>
        <v>375</v>
      </c>
      <c r="T32" s="28"/>
    </row>
    <row r="33" spans="1:20" s="123" customFormat="1" x14ac:dyDescent="0.2">
      <c r="A33" s="107"/>
      <c r="B33" s="127" t="s">
        <v>401</v>
      </c>
      <c r="C33" s="109">
        <f>IFERROR(VLOOKUP($B33,MMWR_TRAD_AGG_STATE_COMP[],C$1,0),"ERROR")</f>
        <v>10354</v>
      </c>
      <c r="D33" s="110">
        <f>IFERROR(VLOOKUP($B33,MMWR_TRAD_AGG_STATE_COMP[],D$1,0),"ERROR")</f>
        <v>500.04829051569999</v>
      </c>
      <c r="E33" s="111">
        <f>IFERROR(VLOOKUP($B33,MMWR_TRAD_AGG_STATE_COMP[],E$1,0),"ERROR")</f>
        <v>8623</v>
      </c>
      <c r="F33" s="112">
        <f>IFERROR(VLOOKUP($B33,MMWR_TRAD_AGG_STATE_COMP[],F$1,0),"ERROR")</f>
        <v>2554</v>
      </c>
      <c r="G33" s="113">
        <f t="shared" si="0"/>
        <v>0.29618462252116434</v>
      </c>
      <c r="H33" s="111">
        <f>IFERROR(VLOOKUP($B33,MMWR_TRAD_AGG_STATE_COMP[],H$1,0),"ERROR")</f>
        <v>13843</v>
      </c>
      <c r="I33" s="112">
        <f>IFERROR(VLOOKUP($B33,MMWR_TRAD_AGG_STATE_COMP[],I$1,0),"ERROR")</f>
        <v>10585</v>
      </c>
      <c r="J33" s="114">
        <f t="shared" si="1"/>
        <v>0.76464639167810444</v>
      </c>
      <c r="K33" s="111">
        <f>IFERROR(VLOOKUP($B33,MMWR_TRAD_AGG_STATE_COMP[],K$1,0),"ERROR")</f>
        <v>1637</v>
      </c>
      <c r="L33" s="112">
        <f>IFERROR(VLOOKUP($B33,MMWR_TRAD_AGG_STATE_COMP[],L$1,0),"ERROR")</f>
        <v>1566</v>
      </c>
      <c r="M33" s="114">
        <f t="shared" si="2"/>
        <v>0.95662797800855226</v>
      </c>
      <c r="N33" s="111">
        <f>IFERROR(VLOOKUP($B33,MMWR_TRAD_AGG_STATE_COMP[],N$1,0),"ERROR")</f>
        <v>4874</v>
      </c>
      <c r="O33" s="112">
        <f>IFERROR(VLOOKUP($B33,MMWR_TRAD_AGG_STATE_COMP[],O$1,0),"ERROR")</f>
        <v>3469</v>
      </c>
      <c r="P33" s="114">
        <f t="shared" si="3"/>
        <v>0.71173574066475176</v>
      </c>
      <c r="Q33" s="115">
        <f>IFERROR(VLOOKUP($B33,MMWR_TRAD_AGG_STATE_COMP[],Q$1,0),"ERROR")</f>
        <v>45</v>
      </c>
      <c r="R33" s="115">
        <f>IFERROR(VLOOKUP($B33,MMWR_TRAD_AGG_STATE_COMP[],R$1,0),"ERROR")</f>
        <v>344</v>
      </c>
      <c r="S33" s="115">
        <f>IFERROR(VLOOKUP($B33,MMWR_APP_STATE_COMP[],S$1,0),"ERROR")</f>
        <v>13792</v>
      </c>
      <c r="T33" s="28"/>
    </row>
    <row r="34" spans="1:20" s="123" customFormat="1" x14ac:dyDescent="0.2">
      <c r="A34" s="107"/>
      <c r="B34" s="127" t="s">
        <v>430</v>
      </c>
      <c r="C34" s="109">
        <f>IFERROR(VLOOKUP($B34,MMWR_TRAD_AGG_STATE_COMP[],C$1,0),"ERROR")</f>
        <v>877</v>
      </c>
      <c r="D34" s="110">
        <f>IFERROR(VLOOKUP($B34,MMWR_TRAD_AGG_STATE_COMP[],D$1,0),"ERROR")</f>
        <v>136.87001140250001</v>
      </c>
      <c r="E34" s="111">
        <f>IFERROR(VLOOKUP($B34,MMWR_TRAD_AGG_STATE_COMP[],E$1,0),"ERROR")</f>
        <v>955</v>
      </c>
      <c r="F34" s="112">
        <f>IFERROR(VLOOKUP($B34,MMWR_TRAD_AGG_STATE_COMP[],F$1,0),"ERROR")</f>
        <v>249</v>
      </c>
      <c r="G34" s="113">
        <f t="shared" si="0"/>
        <v>0.26073298429319369</v>
      </c>
      <c r="H34" s="111">
        <f>IFERROR(VLOOKUP($B34,MMWR_TRAD_AGG_STATE_COMP[],H$1,0),"ERROR")</f>
        <v>1323</v>
      </c>
      <c r="I34" s="112">
        <f>IFERROR(VLOOKUP($B34,MMWR_TRAD_AGG_STATE_COMP[],I$1,0),"ERROR")</f>
        <v>301</v>
      </c>
      <c r="J34" s="114">
        <f t="shared" si="1"/>
        <v>0.2275132275132275</v>
      </c>
      <c r="K34" s="111">
        <f>IFERROR(VLOOKUP($B34,MMWR_TRAD_AGG_STATE_COMP[],K$1,0),"ERROR")</f>
        <v>661</v>
      </c>
      <c r="L34" s="112">
        <f>IFERROR(VLOOKUP($B34,MMWR_TRAD_AGG_STATE_COMP[],L$1,0),"ERROR")</f>
        <v>114</v>
      </c>
      <c r="M34" s="114">
        <f t="shared" si="2"/>
        <v>0.17246596066565809</v>
      </c>
      <c r="N34" s="111">
        <f>IFERROR(VLOOKUP($B34,MMWR_TRAD_AGG_STATE_COMP[],N$1,0),"ERROR")</f>
        <v>117</v>
      </c>
      <c r="O34" s="112">
        <f>IFERROR(VLOOKUP($B34,MMWR_TRAD_AGG_STATE_COMP[],O$1,0),"ERROR")</f>
        <v>47</v>
      </c>
      <c r="P34" s="114">
        <f t="shared" si="3"/>
        <v>0.40170940170940173</v>
      </c>
      <c r="Q34" s="115">
        <f>IFERROR(VLOOKUP($B34,MMWR_TRAD_AGG_STATE_COMP[],Q$1,0),"ERROR")</f>
        <v>0</v>
      </c>
      <c r="R34" s="115">
        <f>IFERROR(VLOOKUP($B34,MMWR_TRAD_AGG_STATE_COMP[],R$1,0),"ERROR")</f>
        <v>1</v>
      </c>
      <c r="S34" s="115">
        <f>IFERROR(VLOOKUP($B34,MMWR_APP_STATE_COMP[],S$1,0),"ERROR")</f>
        <v>199</v>
      </c>
      <c r="T34" s="28"/>
    </row>
    <row r="35" spans="1:20" s="123" customFormat="1" x14ac:dyDescent="0.2">
      <c r="A35" s="107"/>
      <c r="B35" s="127" t="s">
        <v>406</v>
      </c>
      <c r="C35" s="109">
        <f>IFERROR(VLOOKUP($B35,MMWR_TRAD_AGG_STATE_COMP[],C$1,0),"ERROR")</f>
        <v>5437</v>
      </c>
      <c r="D35" s="110">
        <f>IFERROR(VLOOKUP($B35,MMWR_TRAD_AGG_STATE_COMP[],D$1,0),"ERROR")</f>
        <v>225.9628471584</v>
      </c>
      <c r="E35" s="111">
        <f>IFERROR(VLOOKUP($B35,MMWR_TRAD_AGG_STATE_COMP[],E$1,0),"ERROR")</f>
        <v>4086</v>
      </c>
      <c r="F35" s="112">
        <f>IFERROR(VLOOKUP($B35,MMWR_TRAD_AGG_STATE_COMP[],F$1,0),"ERROR")</f>
        <v>1180</v>
      </c>
      <c r="G35" s="113">
        <f t="shared" si="0"/>
        <v>0.2887909936368086</v>
      </c>
      <c r="H35" s="111">
        <f>IFERROR(VLOOKUP($B35,MMWR_TRAD_AGG_STATE_COMP[],H$1,0),"ERROR")</f>
        <v>7328</v>
      </c>
      <c r="I35" s="112">
        <f>IFERROR(VLOOKUP($B35,MMWR_TRAD_AGG_STATE_COMP[],I$1,0),"ERROR")</f>
        <v>3883</v>
      </c>
      <c r="J35" s="114">
        <f t="shared" si="1"/>
        <v>0.52988537117903933</v>
      </c>
      <c r="K35" s="111">
        <f>IFERROR(VLOOKUP($B35,MMWR_TRAD_AGG_STATE_COMP[],K$1,0),"ERROR")</f>
        <v>323</v>
      </c>
      <c r="L35" s="112">
        <f>IFERROR(VLOOKUP($B35,MMWR_TRAD_AGG_STATE_COMP[],L$1,0),"ERROR")</f>
        <v>262</v>
      </c>
      <c r="M35" s="114">
        <f t="shared" si="2"/>
        <v>0.81114551083591335</v>
      </c>
      <c r="N35" s="111">
        <f>IFERROR(VLOOKUP($B35,MMWR_TRAD_AGG_STATE_COMP[],N$1,0),"ERROR")</f>
        <v>694</v>
      </c>
      <c r="O35" s="112">
        <f>IFERROR(VLOOKUP($B35,MMWR_TRAD_AGG_STATE_COMP[],O$1,0),"ERROR")</f>
        <v>311</v>
      </c>
      <c r="P35" s="114">
        <f t="shared" si="3"/>
        <v>0.44812680115273773</v>
      </c>
      <c r="Q35" s="115">
        <f>IFERROR(VLOOKUP($B35,MMWR_TRAD_AGG_STATE_COMP[],Q$1,0),"ERROR")</f>
        <v>9</v>
      </c>
      <c r="R35" s="115">
        <f>IFERROR(VLOOKUP($B35,MMWR_TRAD_AGG_STATE_COMP[],R$1,0),"ERROR")</f>
        <v>8</v>
      </c>
      <c r="S35" s="115">
        <f>IFERROR(VLOOKUP($B35,MMWR_APP_STATE_COMP[],S$1,0),"ERROR")</f>
        <v>3136</v>
      </c>
      <c r="T35" s="28"/>
    </row>
    <row r="36" spans="1:20" s="123" customFormat="1" x14ac:dyDescent="0.2">
      <c r="A36" s="28"/>
      <c r="B36" s="126" t="s">
        <v>395</v>
      </c>
      <c r="C36" s="102">
        <f>IF(SUM(C37:C45)&lt;&gt;VLOOKUP($B36,MMWR_TRAD_AGG_ST_DISTRICT_COMP[],C$1,0),"ERROR",
VLOOKUP($B36,MMWR_TRAD_AGG_ST_DISTRICT_COMP[],C$1,0))</f>
        <v>69281</v>
      </c>
      <c r="D36" s="103">
        <f>IFERROR(VLOOKUP($B36,MMWR_TRAD_AGG_ST_DISTRICT_COMP[],D$1,0),"ERROR")</f>
        <v>340.73606039169999</v>
      </c>
      <c r="E36" s="102">
        <f>IFERROR(VLOOKUP($B36,MMWR_TRAD_AGG_ST_DISTRICT_COMP[],E$1,0),"ERROR")</f>
        <v>70833</v>
      </c>
      <c r="F36" s="102">
        <f>IFERROR(VLOOKUP($B36,MMWR_TRAD_AGG_ST_DISTRICT_COMP[],F$1,0),"ERROR")</f>
        <v>23137</v>
      </c>
      <c r="G36" s="104">
        <f t="shared" si="0"/>
        <v>0.32664153713664534</v>
      </c>
      <c r="H36" s="102">
        <f>IFERROR(VLOOKUP($B36,MMWR_TRAD_AGG_ST_DISTRICT_COMP[],H$1,0),"ERROR")</f>
        <v>96814</v>
      </c>
      <c r="I36" s="102">
        <f>IFERROR(VLOOKUP($B36,MMWR_TRAD_AGG_ST_DISTRICT_COMP[],I$1,0),"ERROR")</f>
        <v>56958</v>
      </c>
      <c r="J36" s="105">
        <f t="shared" si="1"/>
        <v>0.58832400272687835</v>
      </c>
      <c r="K36" s="102">
        <f>IFERROR(VLOOKUP($B36,MMWR_TRAD_AGG_ST_DISTRICT_COMP[],K$1,0),"ERROR")</f>
        <v>12878</v>
      </c>
      <c r="L36" s="102">
        <f>IFERROR(VLOOKUP($B36,MMWR_TRAD_AGG_ST_DISTRICT_COMP[],L$1,0),"ERROR")</f>
        <v>9477</v>
      </c>
      <c r="M36" s="105">
        <f t="shared" si="2"/>
        <v>0.73590619661438117</v>
      </c>
      <c r="N36" s="102">
        <f>IFERROR(VLOOKUP($B36,MMWR_TRAD_AGG_ST_DISTRICT_COMP[],N$1,0),"ERROR")</f>
        <v>25764</v>
      </c>
      <c r="O36" s="102">
        <f>IFERROR(VLOOKUP($B36,MMWR_TRAD_AGG_ST_DISTRICT_COMP[],O$1,0),"ERROR")</f>
        <v>17457</v>
      </c>
      <c r="P36" s="105">
        <f t="shared" si="3"/>
        <v>0.67757335817419651</v>
      </c>
      <c r="Q36" s="102">
        <f>IFERROR(VLOOKUP($B36,MMWR_TRAD_AGG_ST_DISTRICT_COMP[],Q$1,0),"ERROR")</f>
        <v>94</v>
      </c>
      <c r="R36" s="106">
        <f>IFERROR(VLOOKUP($B36,MMWR_TRAD_AGG_ST_DISTRICT_COMP[],R$1,0),"ERROR")</f>
        <v>1202</v>
      </c>
      <c r="S36" s="106">
        <f>SUM(S37:S45)</f>
        <v>66421</v>
      </c>
      <c r="T36" s="28"/>
    </row>
    <row r="37" spans="1:20" s="123" customFormat="1" x14ac:dyDescent="0.2">
      <c r="A37" s="28"/>
      <c r="B37" s="127" t="s">
        <v>421</v>
      </c>
      <c r="C37" s="109">
        <f>IFERROR(VLOOKUP($B37,MMWR_TRAD_AGG_STATE_COMP[],C$1,0),"ERROR")</f>
        <v>5673</v>
      </c>
      <c r="D37" s="110">
        <f>IFERROR(VLOOKUP($B37,MMWR_TRAD_AGG_STATE_COMP[],D$1,0),"ERROR")</f>
        <v>328.39626300020001</v>
      </c>
      <c r="E37" s="111">
        <f>IFERROR(VLOOKUP($B37,MMWR_TRAD_AGG_STATE_COMP[],E$1,0),"ERROR")</f>
        <v>3540</v>
      </c>
      <c r="F37" s="112">
        <f>IFERROR(VLOOKUP($B37,MMWR_TRAD_AGG_STATE_COMP[],F$1,0),"ERROR")</f>
        <v>901</v>
      </c>
      <c r="G37" s="113">
        <f t="shared" si="0"/>
        <v>0.25451977401129944</v>
      </c>
      <c r="H37" s="111">
        <f>IFERROR(VLOOKUP($B37,MMWR_TRAD_AGG_STATE_COMP[],H$1,0),"ERROR")</f>
        <v>8053</v>
      </c>
      <c r="I37" s="112">
        <f>IFERROR(VLOOKUP($B37,MMWR_TRAD_AGG_STATE_COMP[],I$1,0),"ERROR")</f>
        <v>4570</v>
      </c>
      <c r="J37" s="114">
        <f t="shared" si="1"/>
        <v>0.56749037625729537</v>
      </c>
      <c r="K37" s="111">
        <f>IFERROR(VLOOKUP($B37,MMWR_TRAD_AGG_STATE_COMP[],K$1,0),"ERROR")</f>
        <v>2498</v>
      </c>
      <c r="L37" s="112">
        <f>IFERROR(VLOOKUP($B37,MMWR_TRAD_AGG_STATE_COMP[],L$1,0),"ERROR")</f>
        <v>1536</v>
      </c>
      <c r="M37" s="114">
        <f t="shared" si="2"/>
        <v>0.61489191353082462</v>
      </c>
      <c r="N37" s="111">
        <f>IFERROR(VLOOKUP($B37,MMWR_TRAD_AGG_STATE_COMP[],N$1,0),"ERROR")</f>
        <v>6036</v>
      </c>
      <c r="O37" s="112">
        <f>IFERROR(VLOOKUP($B37,MMWR_TRAD_AGG_STATE_COMP[],O$1,0),"ERROR")</f>
        <v>5073</v>
      </c>
      <c r="P37" s="114">
        <f t="shared" si="3"/>
        <v>0.84045725646123259</v>
      </c>
      <c r="Q37" s="115">
        <f>IFERROR(VLOOKUP($B37,MMWR_TRAD_AGG_STATE_COMP[],Q$1,0),"ERROR")</f>
        <v>6</v>
      </c>
      <c r="R37" s="115">
        <f>IFERROR(VLOOKUP($B37,MMWR_TRAD_AGG_STATE_COMP[],R$1,0),"ERROR")</f>
        <v>157</v>
      </c>
      <c r="S37" s="115">
        <f>IFERROR(VLOOKUP($B37,MMWR_APP_STATE_COMP[],S$1,0),"ERROR")</f>
        <v>5298</v>
      </c>
      <c r="T37" s="28"/>
    </row>
    <row r="38" spans="1:20" s="123" customFormat="1" x14ac:dyDescent="0.2">
      <c r="A38" s="28"/>
      <c r="B38" s="127" t="s">
        <v>413</v>
      </c>
      <c r="C38" s="109">
        <f>IFERROR(VLOOKUP($B38,MMWR_TRAD_AGG_STATE_COMP[],C$1,0),"ERROR")</f>
        <v>8246</v>
      </c>
      <c r="D38" s="110">
        <f>IFERROR(VLOOKUP($B38,MMWR_TRAD_AGG_STATE_COMP[],D$1,0),"ERROR")</f>
        <v>397.83507154979998</v>
      </c>
      <c r="E38" s="111">
        <f>IFERROR(VLOOKUP($B38,MMWR_TRAD_AGG_STATE_COMP[],E$1,0),"ERROR")</f>
        <v>7783</v>
      </c>
      <c r="F38" s="112">
        <f>IFERROR(VLOOKUP($B38,MMWR_TRAD_AGG_STATE_COMP[],F$1,0),"ERROR")</f>
        <v>2890</v>
      </c>
      <c r="G38" s="113">
        <f t="shared" ref="G38:G64" si="4">IFERROR(F38/E38,"0%")</f>
        <v>0.37132211229602979</v>
      </c>
      <c r="H38" s="111">
        <f>IFERROR(VLOOKUP($B38,MMWR_TRAD_AGG_STATE_COMP[],H$1,0),"ERROR")</f>
        <v>10948</v>
      </c>
      <c r="I38" s="112">
        <f>IFERROR(VLOOKUP($B38,MMWR_TRAD_AGG_STATE_COMP[],I$1,0),"ERROR")</f>
        <v>7189</v>
      </c>
      <c r="J38" s="114">
        <f t="shared" ref="J38:J64" si="5">IFERROR(I38/H38,"0%")</f>
        <v>0.65664961636828645</v>
      </c>
      <c r="K38" s="111">
        <f>IFERROR(VLOOKUP($B38,MMWR_TRAD_AGG_STATE_COMP[],K$1,0),"ERROR")</f>
        <v>2009</v>
      </c>
      <c r="L38" s="112">
        <f>IFERROR(VLOOKUP($B38,MMWR_TRAD_AGG_STATE_COMP[],L$1,0),"ERROR")</f>
        <v>1719</v>
      </c>
      <c r="M38" s="114">
        <f t="shared" ref="M38:M64" si="6">IFERROR(L38/K38,"0%")</f>
        <v>0.85564957690393229</v>
      </c>
      <c r="N38" s="111">
        <f>IFERROR(VLOOKUP($B38,MMWR_TRAD_AGG_STATE_COMP[],N$1,0),"ERROR")</f>
        <v>4921</v>
      </c>
      <c r="O38" s="112">
        <f>IFERROR(VLOOKUP($B38,MMWR_TRAD_AGG_STATE_COMP[],O$1,0),"ERROR")</f>
        <v>3277</v>
      </c>
      <c r="P38" s="114">
        <f t="shared" ref="P38:P64" si="7">IFERROR(O38/N38,"0%")</f>
        <v>0.6659215606584028</v>
      </c>
      <c r="Q38" s="115">
        <f>IFERROR(VLOOKUP($B38,MMWR_TRAD_AGG_STATE_COMP[],Q$1,0),"ERROR")</f>
        <v>6</v>
      </c>
      <c r="R38" s="115">
        <f>IFERROR(VLOOKUP($B38,MMWR_TRAD_AGG_STATE_COMP[],R$1,0),"ERROR")</f>
        <v>61</v>
      </c>
      <c r="S38" s="115">
        <f>IFERROR(VLOOKUP($B38,MMWR_APP_STATE_COMP[],S$1,0),"ERROR")</f>
        <v>5862</v>
      </c>
      <c r="T38" s="28"/>
    </row>
    <row r="39" spans="1:20" s="123" customFormat="1" x14ac:dyDescent="0.2">
      <c r="A39" s="28"/>
      <c r="B39" s="127" t="s">
        <v>397</v>
      </c>
      <c r="C39" s="109">
        <f>IFERROR(VLOOKUP($B39,MMWR_TRAD_AGG_STATE_COMP[],C$1,0),"ERROR")</f>
        <v>7105</v>
      </c>
      <c r="D39" s="110">
        <f>IFERROR(VLOOKUP($B39,MMWR_TRAD_AGG_STATE_COMP[],D$1,0),"ERROR")</f>
        <v>402.18494018299998</v>
      </c>
      <c r="E39" s="111">
        <f>IFERROR(VLOOKUP($B39,MMWR_TRAD_AGG_STATE_COMP[],E$1,0),"ERROR")</f>
        <v>6035</v>
      </c>
      <c r="F39" s="112">
        <f>IFERROR(VLOOKUP($B39,MMWR_TRAD_AGG_STATE_COMP[],F$1,0),"ERROR")</f>
        <v>1858</v>
      </c>
      <c r="G39" s="113">
        <f t="shared" si="4"/>
        <v>0.307870753935377</v>
      </c>
      <c r="H39" s="111">
        <f>IFERROR(VLOOKUP($B39,MMWR_TRAD_AGG_STATE_COMP[],H$1,0),"ERROR")</f>
        <v>9620</v>
      </c>
      <c r="I39" s="112">
        <f>IFERROR(VLOOKUP($B39,MMWR_TRAD_AGG_STATE_COMP[],I$1,0),"ERROR")</f>
        <v>6113</v>
      </c>
      <c r="J39" s="114">
        <f t="shared" si="5"/>
        <v>0.63544698544698541</v>
      </c>
      <c r="K39" s="111">
        <f>IFERROR(VLOOKUP($B39,MMWR_TRAD_AGG_STATE_COMP[],K$1,0),"ERROR")</f>
        <v>656</v>
      </c>
      <c r="L39" s="112">
        <f>IFERROR(VLOOKUP($B39,MMWR_TRAD_AGG_STATE_COMP[],L$1,0),"ERROR")</f>
        <v>552</v>
      </c>
      <c r="M39" s="114">
        <f t="shared" si="6"/>
        <v>0.84146341463414631</v>
      </c>
      <c r="N39" s="111">
        <f>IFERROR(VLOOKUP($B39,MMWR_TRAD_AGG_STATE_COMP[],N$1,0),"ERROR")</f>
        <v>1162</v>
      </c>
      <c r="O39" s="112">
        <f>IFERROR(VLOOKUP($B39,MMWR_TRAD_AGG_STATE_COMP[],O$1,0),"ERROR")</f>
        <v>592</v>
      </c>
      <c r="P39" s="114">
        <f t="shared" si="7"/>
        <v>0.50946643717728057</v>
      </c>
      <c r="Q39" s="115">
        <f>IFERROR(VLOOKUP($B39,MMWR_TRAD_AGG_STATE_COMP[],Q$1,0),"ERROR")</f>
        <v>9</v>
      </c>
      <c r="R39" s="115">
        <f>IFERROR(VLOOKUP($B39,MMWR_TRAD_AGG_STATE_COMP[],R$1,0),"ERROR")</f>
        <v>313</v>
      </c>
      <c r="S39" s="115">
        <f>IFERROR(VLOOKUP($B39,MMWR_APP_STATE_COMP[],S$1,0),"ERROR")</f>
        <v>5970</v>
      </c>
      <c r="T39" s="28"/>
    </row>
    <row r="40" spans="1:20" s="123" customFormat="1" x14ac:dyDescent="0.2">
      <c r="A40" s="28"/>
      <c r="B40" s="127" t="s">
        <v>399</v>
      </c>
      <c r="C40" s="109">
        <f>IFERROR(VLOOKUP($B40,MMWR_TRAD_AGG_STATE_COMP[],C$1,0),"ERROR")</f>
        <v>5415</v>
      </c>
      <c r="D40" s="110">
        <f>IFERROR(VLOOKUP($B40,MMWR_TRAD_AGG_STATE_COMP[],D$1,0),"ERROR")</f>
        <v>363.37248384119999</v>
      </c>
      <c r="E40" s="111">
        <f>IFERROR(VLOOKUP($B40,MMWR_TRAD_AGG_STATE_COMP[],E$1,0),"ERROR")</f>
        <v>4017</v>
      </c>
      <c r="F40" s="112">
        <f>IFERROR(VLOOKUP($B40,MMWR_TRAD_AGG_STATE_COMP[],F$1,0),"ERROR")</f>
        <v>1560</v>
      </c>
      <c r="G40" s="113">
        <f t="shared" si="4"/>
        <v>0.38834951456310679</v>
      </c>
      <c r="H40" s="111">
        <f>IFERROR(VLOOKUP($B40,MMWR_TRAD_AGG_STATE_COMP[],H$1,0),"ERROR")</f>
        <v>7202</v>
      </c>
      <c r="I40" s="112">
        <f>IFERROR(VLOOKUP($B40,MMWR_TRAD_AGG_STATE_COMP[],I$1,0),"ERROR")</f>
        <v>5097</v>
      </c>
      <c r="J40" s="114">
        <f t="shared" si="5"/>
        <v>0.70772007775617884</v>
      </c>
      <c r="K40" s="111">
        <f>IFERROR(VLOOKUP($B40,MMWR_TRAD_AGG_STATE_COMP[],K$1,0),"ERROR")</f>
        <v>895</v>
      </c>
      <c r="L40" s="112">
        <f>IFERROR(VLOOKUP($B40,MMWR_TRAD_AGG_STATE_COMP[],L$1,0),"ERROR")</f>
        <v>782</v>
      </c>
      <c r="M40" s="114">
        <f t="shared" si="6"/>
        <v>0.8737430167597765</v>
      </c>
      <c r="N40" s="111">
        <f>IFERROR(VLOOKUP($B40,MMWR_TRAD_AGG_STATE_COMP[],N$1,0),"ERROR")</f>
        <v>2343</v>
      </c>
      <c r="O40" s="112">
        <f>IFERROR(VLOOKUP($B40,MMWR_TRAD_AGG_STATE_COMP[],O$1,0),"ERROR")</f>
        <v>1851</v>
      </c>
      <c r="P40" s="114">
        <f t="shared" si="7"/>
        <v>0.79001280409731112</v>
      </c>
      <c r="Q40" s="115">
        <f>IFERROR(VLOOKUP($B40,MMWR_TRAD_AGG_STATE_COMP[],Q$1,0),"ERROR")</f>
        <v>11</v>
      </c>
      <c r="R40" s="115">
        <f>IFERROR(VLOOKUP($B40,MMWR_TRAD_AGG_STATE_COMP[],R$1,0),"ERROR")</f>
        <v>144</v>
      </c>
      <c r="S40" s="115">
        <f>IFERROR(VLOOKUP($B40,MMWR_APP_STATE_COMP[],S$1,0),"ERROR")</f>
        <v>4528</v>
      </c>
      <c r="T40" s="28"/>
    </row>
    <row r="41" spans="1:20" s="123" customFormat="1" x14ac:dyDescent="0.2">
      <c r="A41" s="28"/>
      <c r="B41" s="127" t="s">
        <v>428</v>
      </c>
      <c r="C41" s="109">
        <f>IFERROR(VLOOKUP($B41,MMWR_TRAD_AGG_STATE_COMP[],C$1,0),"ERROR")</f>
        <v>1254</v>
      </c>
      <c r="D41" s="110">
        <f>IFERROR(VLOOKUP($B41,MMWR_TRAD_AGG_STATE_COMP[],D$1,0),"ERROR")</f>
        <v>231.75917065389999</v>
      </c>
      <c r="E41" s="111">
        <f>IFERROR(VLOOKUP($B41,MMWR_TRAD_AGG_STATE_COMP[],E$1,0),"ERROR")</f>
        <v>970</v>
      </c>
      <c r="F41" s="112">
        <f>IFERROR(VLOOKUP($B41,MMWR_TRAD_AGG_STATE_COMP[],F$1,0),"ERROR")</f>
        <v>129</v>
      </c>
      <c r="G41" s="113">
        <f t="shared" si="4"/>
        <v>0.13298969072164948</v>
      </c>
      <c r="H41" s="111">
        <f>IFERROR(VLOOKUP($B41,MMWR_TRAD_AGG_STATE_COMP[],H$1,0),"ERROR")</f>
        <v>1823</v>
      </c>
      <c r="I41" s="112">
        <f>IFERROR(VLOOKUP($B41,MMWR_TRAD_AGG_STATE_COMP[],I$1,0),"ERROR")</f>
        <v>815</v>
      </c>
      <c r="J41" s="114">
        <f t="shared" si="5"/>
        <v>0.44706527701590787</v>
      </c>
      <c r="K41" s="111">
        <f>IFERROR(VLOOKUP($B41,MMWR_TRAD_AGG_STATE_COMP[],K$1,0),"ERROR")</f>
        <v>372</v>
      </c>
      <c r="L41" s="112">
        <f>IFERROR(VLOOKUP($B41,MMWR_TRAD_AGG_STATE_COMP[],L$1,0),"ERROR")</f>
        <v>245</v>
      </c>
      <c r="M41" s="114">
        <f t="shared" si="6"/>
        <v>0.65860215053763438</v>
      </c>
      <c r="N41" s="111">
        <f>IFERROR(VLOOKUP($B41,MMWR_TRAD_AGG_STATE_COMP[],N$1,0),"ERROR")</f>
        <v>191</v>
      </c>
      <c r="O41" s="112">
        <f>IFERROR(VLOOKUP($B41,MMWR_TRAD_AGG_STATE_COMP[],O$1,0),"ERROR")</f>
        <v>92</v>
      </c>
      <c r="P41" s="114">
        <f t="shared" si="7"/>
        <v>0.48167539267015708</v>
      </c>
      <c r="Q41" s="115">
        <f>IFERROR(VLOOKUP($B41,MMWR_TRAD_AGG_STATE_COMP[],Q$1,0),"ERROR")</f>
        <v>2</v>
      </c>
      <c r="R41" s="115">
        <f>IFERROR(VLOOKUP($B41,MMWR_TRAD_AGG_STATE_COMP[],R$1,0),"ERROR")</f>
        <v>6</v>
      </c>
      <c r="S41" s="115">
        <f>IFERROR(VLOOKUP($B41,MMWR_APP_STATE_COMP[],S$1,0),"ERROR")</f>
        <v>331</v>
      </c>
      <c r="T41" s="28"/>
    </row>
    <row r="42" spans="1:20" s="123" customFormat="1" x14ac:dyDescent="0.2">
      <c r="A42" s="28"/>
      <c r="B42" s="127" t="s">
        <v>422</v>
      </c>
      <c r="C42" s="109">
        <f>IFERROR(VLOOKUP($B42,MMWR_TRAD_AGG_STATE_COMP[],C$1,0),"ERROR")</f>
        <v>5005</v>
      </c>
      <c r="D42" s="110">
        <f>IFERROR(VLOOKUP($B42,MMWR_TRAD_AGG_STATE_COMP[],D$1,0),"ERROR")</f>
        <v>270.63436563440001</v>
      </c>
      <c r="E42" s="111">
        <f>IFERROR(VLOOKUP($B42,MMWR_TRAD_AGG_STATE_COMP[],E$1,0),"ERROR")</f>
        <v>7414</v>
      </c>
      <c r="F42" s="112">
        <f>IFERROR(VLOOKUP($B42,MMWR_TRAD_AGG_STATE_COMP[],F$1,0),"ERROR")</f>
        <v>1977</v>
      </c>
      <c r="G42" s="113">
        <f t="shared" si="4"/>
        <v>0.2666576746695441</v>
      </c>
      <c r="H42" s="111">
        <f>IFERROR(VLOOKUP($B42,MMWR_TRAD_AGG_STATE_COMP[],H$1,0),"ERROR")</f>
        <v>7774</v>
      </c>
      <c r="I42" s="112">
        <f>IFERROR(VLOOKUP($B42,MMWR_TRAD_AGG_STATE_COMP[],I$1,0),"ERROR")</f>
        <v>3455</v>
      </c>
      <c r="J42" s="114">
        <f t="shared" si="5"/>
        <v>0.44443015178801132</v>
      </c>
      <c r="K42" s="111">
        <f>IFERROR(VLOOKUP($B42,MMWR_TRAD_AGG_STATE_COMP[],K$1,0),"ERROR")</f>
        <v>1149</v>
      </c>
      <c r="L42" s="112">
        <f>IFERROR(VLOOKUP($B42,MMWR_TRAD_AGG_STATE_COMP[],L$1,0),"ERROR")</f>
        <v>587</v>
      </c>
      <c r="M42" s="114">
        <f t="shared" si="6"/>
        <v>0.51087902523933859</v>
      </c>
      <c r="N42" s="111">
        <f>IFERROR(VLOOKUP($B42,MMWR_TRAD_AGG_STATE_COMP[],N$1,0),"ERROR")</f>
        <v>1133</v>
      </c>
      <c r="O42" s="112">
        <f>IFERROR(VLOOKUP($B42,MMWR_TRAD_AGG_STATE_COMP[],O$1,0),"ERROR")</f>
        <v>451</v>
      </c>
      <c r="P42" s="114">
        <f t="shared" si="7"/>
        <v>0.39805825242718446</v>
      </c>
      <c r="Q42" s="115">
        <f>IFERROR(VLOOKUP($B42,MMWR_TRAD_AGG_STATE_COMP[],Q$1,0),"ERROR")</f>
        <v>8</v>
      </c>
      <c r="R42" s="115">
        <f>IFERROR(VLOOKUP($B42,MMWR_TRAD_AGG_STATE_COMP[],R$1,0),"ERROR")</f>
        <v>65</v>
      </c>
      <c r="S42" s="115">
        <f>IFERROR(VLOOKUP($B42,MMWR_APP_STATE_COMP[],S$1,0),"ERROR")</f>
        <v>4235</v>
      </c>
      <c r="T42" s="28"/>
    </row>
    <row r="43" spans="1:20" s="123" customFormat="1" x14ac:dyDescent="0.2">
      <c r="A43" s="28"/>
      <c r="B43" s="127" t="s">
        <v>420</v>
      </c>
      <c r="C43" s="109">
        <f>IFERROR(VLOOKUP($B43,MMWR_TRAD_AGG_STATE_COMP[],C$1,0),"ERROR")</f>
        <v>33421</v>
      </c>
      <c r="D43" s="110">
        <f>IFERROR(VLOOKUP($B43,MMWR_TRAD_AGG_STATE_COMP[],D$1,0),"ERROR")</f>
        <v>329.78767840580002</v>
      </c>
      <c r="E43" s="111">
        <f>IFERROR(VLOOKUP($B43,MMWR_TRAD_AGG_STATE_COMP[],E$1,0),"ERROR")</f>
        <v>38138</v>
      </c>
      <c r="F43" s="112">
        <f>IFERROR(VLOOKUP($B43,MMWR_TRAD_AGG_STATE_COMP[],F$1,0),"ERROR")</f>
        <v>13035</v>
      </c>
      <c r="G43" s="113">
        <f t="shared" si="4"/>
        <v>0.34178509622948239</v>
      </c>
      <c r="H43" s="111">
        <f>IFERROR(VLOOKUP($B43,MMWR_TRAD_AGG_STATE_COMP[],H$1,0),"ERROR")</f>
        <v>46320</v>
      </c>
      <c r="I43" s="112">
        <f>IFERROR(VLOOKUP($B43,MMWR_TRAD_AGG_STATE_COMP[],I$1,0),"ERROR")</f>
        <v>27164</v>
      </c>
      <c r="J43" s="114">
        <f t="shared" si="5"/>
        <v>0.58644214162348873</v>
      </c>
      <c r="K43" s="111">
        <f>IFERROR(VLOOKUP($B43,MMWR_TRAD_AGG_STATE_COMP[],K$1,0),"ERROR")</f>
        <v>4440</v>
      </c>
      <c r="L43" s="112">
        <f>IFERROR(VLOOKUP($B43,MMWR_TRAD_AGG_STATE_COMP[],L$1,0),"ERROR")</f>
        <v>3421</v>
      </c>
      <c r="M43" s="114">
        <f t="shared" si="6"/>
        <v>0.77049549549549545</v>
      </c>
      <c r="N43" s="111">
        <f>IFERROR(VLOOKUP($B43,MMWR_TRAD_AGG_STATE_COMP[],N$1,0),"ERROR")</f>
        <v>9560</v>
      </c>
      <c r="O43" s="112">
        <f>IFERROR(VLOOKUP($B43,MMWR_TRAD_AGG_STATE_COMP[],O$1,0),"ERROR")</f>
        <v>5895</v>
      </c>
      <c r="P43" s="114">
        <f t="shared" si="7"/>
        <v>0.61663179916317989</v>
      </c>
      <c r="Q43" s="115">
        <f>IFERROR(VLOOKUP($B43,MMWR_TRAD_AGG_STATE_COMP[],Q$1,0),"ERROR")</f>
        <v>25</v>
      </c>
      <c r="R43" s="115">
        <f>IFERROR(VLOOKUP($B43,MMWR_TRAD_AGG_STATE_COMP[],R$1,0),"ERROR")</f>
        <v>445</v>
      </c>
      <c r="S43" s="115">
        <f>IFERROR(VLOOKUP($B43,MMWR_APP_STATE_COMP[],S$1,0),"ERROR")</f>
        <v>39313</v>
      </c>
      <c r="T43" s="28"/>
    </row>
    <row r="44" spans="1:20" s="123" customFormat="1" x14ac:dyDescent="0.2">
      <c r="A44" s="28"/>
      <c r="B44" s="127" t="s">
        <v>416</v>
      </c>
      <c r="C44" s="109">
        <f>IFERROR(VLOOKUP($B44,MMWR_TRAD_AGG_STATE_COMP[],C$1,0),"ERROR")</f>
        <v>2368</v>
      </c>
      <c r="D44" s="110">
        <f>IFERROR(VLOOKUP($B44,MMWR_TRAD_AGG_STATE_COMP[],D$1,0),"ERROR")</f>
        <v>323.953125</v>
      </c>
      <c r="E44" s="111">
        <f>IFERROR(VLOOKUP($B44,MMWR_TRAD_AGG_STATE_COMP[],E$1,0),"ERROR")</f>
        <v>1985</v>
      </c>
      <c r="F44" s="112">
        <f>IFERROR(VLOOKUP($B44,MMWR_TRAD_AGG_STATE_COMP[],F$1,0),"ERROR")</f>
        <v>544</v>
      </c>
      <c r="G44" s="113">
        <f t="shared" si="4"/>
        <v>0.27405541561712848</v>
      </c>
      <c r="H44" s="111">
        <f>IFERROR(VLOOKUP($B44,MMWR_TRAD_AGG_STATE_COMP[],H$1,0),"ERROR")</f>
        <v>3906</v>
      </c>
      <c r="I44" s="112">
        <f>IFERROR(VLOOKUP($B44,MMWR_TRAD_AGG_STATE_COMP[],I$1,0),"ERROR")</f>
        <v>2017</v>
      </c>
      <c r="J44" s="114">
        <f t="shared" si="5"/>
        <v>0.51638504864311319</v>
      </c>
      <c r="K44" s="111">
        <f>IFERROR(VLOOKUP($B44,MMWR_TRAD_AGG_STATE_COMP[],K$1,0),"ERROR")</f>
        <v>615</v>
      </c>
      <c r="L44" s="112">
        <f>IFERROR(VLOOKUP($B44,MMWR_TRAD_AGG_STATE_COMP[],L$1,0),"ERROR")</f>
        <v>451</v>
      </c>
      <c r="M44" s="114">
        <f t="shared" si="6"/>
        <v>0.73333333333333328</v>
      </c>
      <c r="N44" s="111">
        <f>IFERROR(VLOOKUP($B44,MMWR_TRAD_AGG_STATE_COMP[],N$1,0),"ERROR")</f>
        <v>252</v>
      </c>
      <c r="O44" s="112">
        <f>IFERROR(VLOOKUP($B44,MMWR_TRAD_AGG_STATE_COMP[],O$1,0),"ERROR")</f>
        <v>136</v>
      </c>
      <c r="P44" s="114">
        <f t="shared" si="7"/>
        <v>0.53968253968253965</v>
      </c>
      <c r="Q44" s="115">
        <f>IFERROR(VLOOKUP($B44,MMWR_TRAD_AGG_STATE_COMP[],Q$1,0),"ERROR")</f>
        <v>1</v>
      </c>
      <c r="R44" s="115">
        <f>IFERROR(VLOOKUP($B44,MMWR_TRAD_AGG_STATE_COMP[],R$1,0),"ERROR")</f>
        <v>4</v>
      </c>
      <c r="S44" s="115">
        <f>IFERROR(VLOOKUP($B44,MMWR_APP_STATE_COMP[],S$1,0),"ERROR")</f>
        <v>520</v>
      </c>
      <c r="T44" s="28"/>
    </row>
    <row r="45" spans="1:20" s="123" customFormat="1" x14ac:dyDescent="0.2">
      <c r="A45" s="28"/>
      <c r="B45" s="127" t="s">
        <v>431</v>
      </c>
      <c r="C45" s="109">
        <f>IFERROR(VLOOKUP($B45,MMWR_TRAD_AGG_STATE_COMP[],C$1,0),"ERROR")</f>
        <v>794</v>
      </c>
      <c r="D45" s="110">
        <f>IFERROR(VLOOKUP($B45,MMWR_TRAD_AGG_STATE_COMP[],D$1,0),"ERROR")</f>
        <v>256.55289672539999</v>
      </c>
      <c r="E45" s="111">
        <f>IFERROR(VLOOKUP($B45,MMWR_TRAD_AGG_STATE_COMP[],E$1,0),"ERROR")</f>
        <v>951</v>
      </c>
      <c r="F45" s="112">
        <f>IFERROR(VLOOKUP($B45,MMWR_TRAD_AGG_STATE_COMP[],F$1,0),"ERROR")</f>
        <v>243</v>
      </c>
      <c r="G45" s="113">
        <f t="shared" si="4"/>
        <v>0.25552050473186122</v>
      </c>
      <c r="H45" s="111">
        <f>IFERROR(VLOOKUP($B45,MMWR_TRAD_AGG_STATE_COMP[],H$1,0),"ERROR")</f>
        <v>1168</v>
      </c>
      <c r="I45" s="112">
        <f>IFERROR(VLOOKUP($B45,MMWR_TRAD_AGG_STATE_COMP[],I$1,0),"ERROR")</f>
        <v>538</v>
      </c>
      <c r="J45" s="114">
        <f t="shared" si="5"/>
        <v>0.46061643835616439</v>
      </c>
      <c r="K45" s="111">
        <f>IFERROR(VLOOKUP($B45,MMWR_TRAD_AGG_STATE_COMP[],K$1,0),"ERROR")</f>
        <v>244</v>
      </c>
      <c r="L45" s="112">
        <f>IFERROR(VLOOKUP($B45,MMWR_TRAD_AGG_STATE_COMP[],L$1,0),"ERROR")</f>
        <v>184</v>
      </c>
      <c r="M45" s="114">
        <f t="shared" si="6"/>
        <v>0.75409836065573765</v>
      </c>
      <c r="N45" s="111">
        <f>IFERROR(VLOOKUP($B45,MMWR_TRAD_AGG_STATE_COMP[],N$1,0),"ERROR")</f>
        <v>166</v>
      </c>
      <c r="O45" s="112">
        <f>IFERROR(VLOOKUP($B45,MMWR_TRAD_AGG_STATE_COMP[],O$1,0),"ERROR")</f>
        <v>90</v>
      </c>
      <c r="P45" s="114">
        <f t="shared" si="7"/>
        <v>0.54216867469879515</v>
      </c>
      <c r="Q45" s="115">
        <f>IFERROR(VLOOKUP($B45,MMWR_TRAD_AGG_STATE_COMP[],Q$1,0),"ERROR")</f>
        <v>26</v>
      </c>
      <c r="R45" s="115">
        <f>IFERROR(VLOOKUP($B45,MMWR_TRAD_AGG_STATE_COMP[],R$1,0),"ERROR")</f>
        <v>7</v>
      </c>
      <c r="S45" s="115">
        <f>IFERROR(VLOOKUP($B45,MMWR_APP_STATE_COMP[],S$1,0),"ERROR")</f>
        <v>364</v>
      </c>
      <c r="T45" s="28"/>
    </row>
    <row r="46" spans="1:20" s="123" customFormat="1" x14ac:dyDescent="0.2">
      <c r="A46" s="28"/>
      <c r="B46" s="126" t="s">
        <v>414</v>
      </c>
      <c r="C46" s="102">
        <f>IFERROR(VLOOKUP($B46,MMWR_TRAD_AGG_ST_DISTRICT_COMP[],C$1,0),"ERROR")</f>
        <v>78642</v>
      </c>
      <c r="D46" s="103">
        <f>IFERROR(VLOOKUP($B46,MMWR_TRAD_AGG_ST_DISTRICT_COMP[],D$1,0),"ERROR")</f>
        <v>366.15250120799999</v>
      </c>
      <c r="E46" s="102">
        <f>IFERROR(VLOOKUP($B46,MMWR_TRAD_AGG_ST_DISTRICT_COMP[],E$1,0),"ERROR")</f>
        <v>65550</v>
      </c>
      <c r="F46" s="102">
        <f>IFERROR(VLOOKUP($B46,MMWR_TRAD_AGG_ST_DISTRICT_COMP[],F$1,0),"ERROR")</f>
        <v>20980</v>
      </c>
      <c r="G46" s="104">
        <f t="shared" si="4"/>
        <v>0.32006102212051868</v>
      </c>
      <c r="H46" s="102">
        <f>IFERROR(VLOOKUP($B46,MMWR_TRAD_AGG_ST_DISTRICT_COMP[],H$1,0),"ERROR")</f>
        <v>106634</v>
      </c>
      <c r="I46" s="102">
        <f>IFERROR(VLOOKUP($B46,MMWR_TRAD_AGG_ST_DISTRICT_COMP[],I$1,0),"ERROR")</f>
        <v>68967</v>
      </c>
      <c r="J46" s="105">
        <f t="shared" si="5"/>
        <v>0.64676369638201703</v>
      </c>
      <c r="K46" s="102">
        <f>IFERROR(VLOOKUP($B46,MMWR_TRAD_AGG_ST_DISTRICT_COMP[],K$1,0),"ERROR")</f>
        <v>17523</v>
      </c>
      <c r="L46" s="102">
        <f>IFERROR(VLOOKUP($B46,MMWR_TRAD_AGG_ST_DISTRICT_COMP[],L$1,0),"ERROR")</f>
        <v>14428</v>
      </c>
      <c r="M46" s="105">
        <f t="shared" si="6"/>
        <v>0.82337499286651827</v>
      </c>
      <c r="N46" s="102">
        <f>IFERROR(VLOOKUP($B46,MMWR_TRAD_AGG_ST_DISTRICT_COMP[],N$1,0),"ERROR")</f>
        <v>25695</v>
      </c>
      <c r="O46" s="102">
        <f>IFERROR(VLOOKUP($B46,MMWR_TRAD_AGG_ST_DISTRICT_COMP[],O$1,0),"ERROR")</f>
        <v>17950</v>
      </c>
      <c r="P46" s="105">
        <f t="shared" si="7"/>
        <v>0.69857949017318544</v>
      </c>
      <c r="Q46" s="102">
        <f>IFERROR(VLOOKUP($B46,MMWR_TRAD_AGG_ST_DISTRICT_COMP[],Q$1,0),"ERROR")</f>
        <v>78</v>
      </c>
      <c r="R46" s="106">
        <f>IFERROR(VLOOKUP($B46,MMWR_TRAD_AGG_ST_DISTRICT_COMP[],R$1,0),"ERROR")</f>
        <v>593</v>
      </c>
      <c r="S46" s="106">
        <f>SUM(S47:S55)</f>
        <v>42073</v>
      </c>
      <c r="T46" s="28"/>
    </row>
    <row r="47" spans="1:20" s="123" customFormat="1" x14ac:dyDescent="0.2">
      <c r="A47" s="28"/>
      <c r="B47" s="127" t="s">
        <v>434</v>
      </c>
      <c r="C47" s="109">
        <f>IFERROR(VLOOKUP($B47,MMWR_TRAD_AGG_STATE_COMP[],C$1,0),"ERROR")</f>
        <v>2337</v>
      </c>
      <c r="D47" s="110">
        <f>IFERROR(VLOOKUP($B47,MMWR_TRAD_AGG_STATE_COMP[],D$1,0),"ERROR")</f>
        <v>473.46598202820002</v>
      </c>
      <c r="E47" s="111">
        <f>IFERROR(VLOOKUP($B47,MMWR_TRAD_AGG_STATE_COMP[],E$1,0),"ERROR")</f>
        <v>1064</v>
      </c>
      <c r="F47" s="112">
        <f>IFERROR(VLOOKUP($B47,MMWR_TRAD_AGG_STATE_COMP[],F$1,0),"ERROR")</f>
        <v>199</v>
      </c>
      <c r="G47" s="113">
        <f t="shared" si="4"/>
        <v>0.18703007518796994</v>
      </c>
      <c r="H47" s="111">
        <f>IFERROR(VLOOKUP($B47,MMWR_TRAD_AGG_STATE_COMP[],H$1,0),"ERROR")</f>
        <v>3072</v>
      </c>
      <c r="I47" s="112">
        <f>IFERROR(VLOOKUP($B47,MMWR_TRAD_AGG_STATE_COMP[],I$1,0),"ERROR")</f>
        <v>2166</v>
      </c>
      <c r="J47" s="114">
        <f t="shared" si="5"/>
        <v>0.705078125</v>
      </c>
      <c r="K47" s="111">
        <f>IFERROR(VLOOKUP($B47,MMWR_TRAD_AGG_STATE_COMP[],K$1,0),"ERROR")</f>
        <v>1569</v>
      </c>
      <c r="L47" s="112">
        <f>IFERROR(VLOOKUP($B47,MMWR_TRAD_AGG_STATE_COMP[],L$1,0),"ERROR")</f>
        <v>1416</v>
      </c>
      <c r="M47" s="114">
        <f t="shared" si="6"/>
        <v>0.90248565965583172</v>
      </c>
      <c r="N47" s="111">
        <f>IFERROR(VLOOKUP($B47,MMWR_TRAD_AGG_STATE_COMP[],N$1,0),"ERROR")</f>
        <v>268</v>
      </c>
      <c r="O47" s="112">
        <f>IFERROR(VLOOKUP($B47,MMWR_TRAD_AGG_STATE_COMP[],O$1,0),"ERROR")</f>
        <v>178</v>
      </c>
      <c r="P47" s="114">
        <f t="shared" si="7"/>
        <v>0.66417910447761197</v>
      </c>
      <c r="Q47" s="115">
        <f>IFERROR(VLOOKUP($B47,MMWR_TRAD_AGG_STATE_COMP[],Q$1,0),"ERROR")</f>
        <v>0</v>
      </c>
      <c r="R47" s="115">
        <f>IFERROR(VLOOKUP($B47,MMWR_TRAD_AGG_STATE_COMP[],R$1,0),"ERROR")</f>
        <v>2</v>
      </c>
      <c r="S47" s="115">
        <f>IFERROR(VLOOKUP($B47,MMWR_APP_STATE_COMP[],S$1,0),"ERROR")</f>
        <v>341</v>
      </c>
      <c r="T47" s="28"/>
    </row>
    <row r="48" spans="1:20" s="123" customFormat="1" x14ac:dyDescent="0.2">
      <c r="A48" s="28"/>
      <c r="B48" s="127" t="s">
        <v>436</v>
      </c>
      <c r="C48" s="109">
        <f>IFERROR(VLOOKUP($B48,MMWR_TRAD_AGG_STATE_COMP[],C$1,0),"ERROR")</f>
        <v>8020</v>
      </c>
      <c r="D48" s="110">
        <f>IFERROR(VLOOKUP($B48,MMWR_TRAD_AGG_STATE_COMP[],D$1,0),"ERROR")</f>
        <v>302.0982543641</v>
      </c>
      <c r="E48" s="111">
        <f>IFERROR(VLOOKUP($B48,MMWR_TRAD_AGG_STATE_COMP[],E$1,0),"ERROR")</f>
        <v>6451</v>
      </c>
      <c r="F48" s="112">
        <f>IFERROR(VLOOKUP($B48,MMWR_TRAD_AGG_STATE_COMP[],F$1,0),"ERROR")</f>
        <v>1964</v>
      </c>
      <c r="G48" s="113">
        <f t="shared" si="4"/>
        <v>0.30444892264765155</v>
      </c>
      <c r="H48" s="111">
        <f>IFERROR(VLOOKUP($B48,MMWR_TRAD_AGG_STATE_COMP[],H$1,0),"ERROR")</f>
        <v>10276</v>
      </c>
      <c r="I48" s="112">
        <f>IFERROR(VLOOKUP($B48,MMWR_TRAD_AGG_STATE_COMP[],I$1,0),"ERROR")</f>
        <v>6155</v>
      </c>
      <c r="J48" s="114">
        <f t="shared" si="5"/>
        <v>0.59896847022187627</v>
      </c>
      <c r="K48" s="111">
        <f>IFERROR(VLOOKUP($B48,MMWR_TRAD_AGG_STATE_COMP[],K$1,0),"ERROR")</f>
        <v>606</v>
      </c>
      <c r="L48" s="112">
        <f>IFERROR(VLOOKUP($B48,MMWR_TRAD_AGG_STATE_COMP[],L$1,0),"ERROR")</f>
        <v>476</v>
      </c>
      <c r="M48" s="114">
        <f t="shared" si="6"/>
        <v>0.78547854785478544</v>
      </c>
      <c r="N48" s="111">
        <f>IFERROR(VLOOKUP($B48,MMWR_TRAD_AGG_STATE_COMP[],N$1,0),"ERROR")</f>
        <v>3323</v>
      </c>
      <c r="O48" s="112">
        <f>IFERROR(VLOOKUP($B48,MMWR_TRAD_AGG_STATE_COMP[],O$1,0),"ERROR")</f>
        <v>2518</v>
      </c>
      <c r="P48" s="114">
        <f t="shared" si="7"/>
        <v>0.75774902196810112</v>
      </c>
      <c r="Q48" s="115">
        <f>IFERROR(VLOOKUP($B48,MMWR_TRAD_AGG_STATE_COMP[],Q$1,0),"ERROR")</f>
        <v>7</v>
      </c>
      <c r="R48" s="115">
        <f>IFERROR(VLOOKUP($B48,MMWR_TRAD_AGG_STATE_COMP[],R$1,0),"ERROR")</f>
        <v>72</v>
      </c>
      <c r="S48" s="115">
        <f>IFERROR(VLOOKUP($B48,MMWR_APP_STATE_COMP[],S$1,0),"ERROR")</f>
        <v>7007</v>
      </c>
      <c r="T48" s="28"/>
    </row>
    <row r="49" spans="1:20" s="123" customFormat="1" x14ac:dyDescent="0.2">
      <c r="A49" s="28"/>
      <c r="B49" s="127" t="s">
        <v>417</v>
      </c>
      <c r="C49" s="109">
        <f>IFERROR(VLOOKUP($B49,MMWR_TRAD_AGG_STATE_COMP[],C$1,0),"ERROR")</f>
        <v>33414</v>
      </c>
      <c r="D49" s="110">
        <f>IFERROR(VLOOKUP($B49,MMWR_TRAD_AGG_STATE_COMP[],D$1,0),"ERROR")</f>
        <v>366.22712036870001</v>
      </c>
      <c r="E49" s="111">
        <f>IFERROR(VLOOKUP($B49,MMWR_TRAD_AGG_STATE_COMP[],E$1,0),"ERROR")</f>
        <v>33258</v>
      </c>
      <c r="F49" s="112">
        <f>IFERROR(VLOOKUP($B49,MMWR_TRAD_AGG_STATE_COMP[],F$1,0),"ERROR")</f>
        <v>10561</v>
      </c>
      <c r="G49" s="113">
        <f t="shared" si="4"/>
        <v>0.31754765770641652</v>
      </c>
      <c r="H49" s="111">
        <f>IFERROR(VLOOKUP($B49,MMWR_TRAD_AGG_STATE_COMP[],H$1,0),"ERROR")</f>
        <v>46244</v>
      </c>
      <c r="I49" s="112">
        <f>IFERROR(VLOOKUP($B49,MMWR_TRAD_AGG_STATE_COMP[],I$1,0),"ERROR")</f>
        <v>30231</v>
      </c>
      <c r="J49" s="114">
        <f t="shared" si="5"/>
        <v>0.65372805120664301</v>
      </c>
      <c r="K49" s="111">
        <f>IFERROR(VLOOKUP($B49,MMWR_TRAD_AGG_STATE_COMP[],K$1,0),"ERROR")</f>
        <v>6782</v>
      </c>
      <c r="L49" s="112">
        <f>IFERROR(VLOOKUP($B49,MMWR_TRAD_AGG_STATE_COMP[],L$1,0),"ERROR")</f>
        <v>5175</v>
      </c>
      <c r="M49" s="114">
        <f t="shared" si="6"/>
        <v>0.76304924800943674</v>
      </c>
      <c r="N49" s="111">
        <f>IFERROR(VLOOKUP($B49,MMWR_TRAD_AGG_STATE_COMP[],N$1,0),"ERROR")</f>
        <v>11602</v>
      </c>
      <c r="O49" s="112">
        <f>IFERROR(VLOOKUP($B49,MMWR_TRAD_AGG_STATE_COMP[],O$1,0),"ERROR")</f>
        <v>7984</v>
      </c>
      <c r="P49" s="114">
        <f t="shared" si="7"/>
        <v>0.68815721427340115</v>
      </c>
      <c r="Q49" s="115">
        <f>IFERROR(VLOOKUP($B49,MMWR_TRAD_AGG_STATE_COMP[],Q$1,0),"ERROR")</f>
        <v>44</v>
      </c>
      <c r="R49" s="115">
        <f>IFERROR(VLOOKUP($B49,MMWR_TRAD_AGG_STATE_COMP[],R$1,0),"ERROR")</f>
        <v>164</v>
      </c>
      <c r="S49" s="115">
        <f>IFERROR(VLOOKUP($B49,MMWR_APP_STATE_COMP[],S$1,0),"ERROR")</f>
        <v>17894</v>
      </c>
      <c r="T49" s="28"/>
    </row>
    <row r="50" spans="1:20" s="123" customFormat="1" x14ac:dyDescent="0.2">
      <c r="A50" s="28"/>
      <c r="B50" s="127" t="s">
        <v>438</v>
      </c>
      <c r="C50" s="109">
        <f>IFERROR(VLOOKUP($B50,MMWR_TRAD_AGG_STATE_COMP[],C$1,0),"ERROR")</f>
        <v>2068</v>
      </c>
      <c r="D50" s="110">
        <f>IFERROR(VLOOKUP($B50,MMWR_TRAD_AGG_STATE_COMP[],D$1,0),"ERROR")</f>
        <v>271.03239845259998</v>
      </c>
      <c r="E50" s="111">
        <f>IFERROR(VLOOKUP($B50,MMWR_TRAD_AGG_STATE_COMP[],E$1,0),"ERROR")</f>
        <v>2107</v>
      </c>
      <c r="F50" s="112">
        <f>IFERROR(VLOOKUP($B50,MMWR_TRAD_AGG_STATE_COMP[],F$1,0),"ERROR")</f>
        <v>641</v>
      </c>
      <c r="G50" s="113">
        <f t="shared" si="4"/>
        <v>0.30422401518747033</v>
      </c>
      <c r="H50" s="111">
        <f>IFERROR(VLOOKUP($B50,MMWR_TRAD_AGG_STATE_COMP[],H$1,0),"ERROR")</f>
        <v>2759</v>
      </c>
      <c r="I50" s="112">
        <f>IFERROR(VLOOKUP($B50,MMWR_TRAD_AGG_STATE_COMP[],I$1,0),"ERROR")</f>
        <v>1552</v>
      </c>
      <c r="J50" s="114">
        <f t="shared" si="5"/>
        <v>0.5625226531351939</v>
      </c>
      <c r="K50" s="111">
        <f>IFERROR(VLOOKUP($B50,MMWR_TRAD_AGG_STATE_COMP[],K$1,0),"ERROR")</f>
        <v>383</v>
      </c>
      <c r="L50" s="112">
        <f>IFERROR(VLOOKUP($B50,MMWR_TRAD_AGG_STATE_COMP[],L$1,0),"ERROR")</f>
        <v>331</v>
      </c>
      <c r="M50" s="114">
        <f t="shared" si="6"/>
        <v>0.86422976501305482</v>
      </c>
      <c r="N50" s="111">
        <f>IFERROR(VLOOKUP($B50,MMWR_TRAD_AGG_STATE_COMP[],N$1,0),"ERROR")</f>
        <v>557</v>
      </c>
      <c r="O50" s="112">
        <f>IFERROR(VLOOKUP($B50,MMWR_TRAD_AGG_STATE_COMP[],O$1,0),"ERROR")</f>
        <v>333</v>
      </c>
      <c r="P50" s="114">
        <f t="shared" si="7"/>
        <v>0.59784560143626575</v>
      </c>
      <c r="Q50" s="115">
        <f>IFERROR(VLOOKUP($B50,MMWR_TRAD_AGG_STATE_COMP[],Q$1,0),"ERROR")</f>
        <v>6</v>
      </c>
      <c r="R50" s="115">
        <f>IFERROR(VLOOKUP($B50,MMWR_TRAD_AGG_STATE_COMP[],R$1,0),"ERROR")</f>
        <v>3</v>
      </c>
      <c r="S50" s="115">
        <f>IFERROR(VLOOKUP($B50,MMWR_APP_STATE_COMP[],S$1,0),"ERROR")</f>
        <v>1010</v>
      </c>
      <c r="T50" s="28"/>
    </row>
    <row r="51" spans="1:20" s="123" customFormat="1" x14ac:dyDescent="0.2">
      <c r="A51" s="28"/>
      <c r="B51" s="127" t="s">
        <v>418</v>
      </c>
      <c r="C51" s="109">
        <f>IFERROR(VLOOKUP($B51,MMWR_TRAD_AGG_STATE_COMP[],C$1,0),"ERROR")</f>
        <v>1021</v>
      </c>
      <c r="D51" s="110">
        <f>IFERROR(VLOOKUP($B51,MMWR_TRAD_AGG_STATE_COMP[],D$1,0),"ERROR")</f>
        <v>253.79040156709999</v>
      </c>
      <c r="E51" s="111">
        <f>IFERROR(VLOOKUP($B51,MMWR_TRAD_AGG_STATE_COMP[],E$1,0),"ERROR")</f>
        <v>1731</v>
      </c>
      <c r="F51" s="112">
        <f>IFERROR(VLOOKUP($B51,MMWR_TRAD_AGG_STATE_COMP[],F$1,0),"ERROR")</f>
        <v>492</v>
      </c>
      <c r="G51" s="113">
        <f t="shared" si="4"/>
        <v>0.28422876949740034</v>
      </c>
      <c r="H51" s="111">
        <f>IFERROR(VLOOKUP($B51,MMWR_TRAD_AGG_STATE_COMP[],H$1,0),"ERROR")</f>
        <v>1795</v>
      </c>
      <c r="I51" s="112">
        <f>IFERROR(VLOOKUP($B51,MMWR_TRAD_AGG_STATE_COMP[],I$1,0),"ERROR")</f>
        <v>673</v>
      </c>
      <c r="J51" s="114">
        <f t="shared" si="5"/>
        <v>0.37493036211699166</v>
      </c>
      <c r="K51" s="111">
        <f>IFERROR(VLOOKUP($B51,MMWR_TRAD_AGG_STATE_COMP[],K$1,0),"ERROR")</f>
        <v>221</v>
      </c>
      <c r="L51" s="112">
        <f>IFERROR(VLOOKUP($B51,MMWR_TRAD_AGG_STATE_COMP[],L$1,0),"ERROR")</f>
        <v>144</v>
      </c>
      <c r="M51" s="114">
        <f t="shared" si="6"/>
        <v>0.65158371040723984</v>
      </c>
      <c r="N51" s="111">
        <f>IFERROR(VLOOKUP($B51,MMWR_TRAD_AGG_STATE_COMP[],N$1,0),"ERROR")</f>
        <v>244</v>
      </c>
      <c r="O51" s="112">
        <f>IFERROR(VLOOKUP($B51,MMWR_TRAD_AGG_STATE_COMP[],O$1,0),"ERROR")</f>
        <v>132</v>
      </c>
      <c r="P51" s="114">
        <f t="shared" si="7"/>
        <v>0.54098360655737709</v>
      </c>
      <c r="Q51" s="115">
        <f>IFERROR(VLOOKUP($B51,MMWR_TRAD_AGG_STATE_COMP[],Q$1,0),"ERROR")</f>
        <v>1</v>
      </c>
      <c r="R51" s="115">
        <f>IFERROR(VLOOKUP($B51,MMWR_TRAD_AGG_STATE_COMP[],R$1,0),"ERROR")</f>
        <v>10</v>
      </c>
      <c r="S51" s="115">
        <f>IFERROR(VLOOKUP($B51,MMWR_APP_STATE_COMP[],S$1,0),"ERROR")</f>
        <v>1049</v>
      </c>
      <c r="T51" s="28"/>
    </row>
    <row r="52" spans="1:20" s="123" customFormat="1" x14ac:dyDescent="0.2">
      <c r="A52" s="28"/>
      <c r="B52" s="127" t="s">
        <v>423</v>
      </c>
      <c r="C52" s="109">
        <f>IFERROR(VLOOKUP($B52,MMWR_TRAD_AGG_STATE_COMP[],C$1,0),"ERROR")</f>
        <v>4418</v>
      </c>
      <c r="D52" s="110">
        <f>IFERROR(VLOOKUP($B52,MMWR_TRAD_AGG_STATE_COMP[],D$1,0),"ERROR")</f>
        <v>441.4506564056</v>
      </c>
      <c r="E52" s="111">
        <f>IFERROR(VLOOKUP($B52,MMWR_TRAD_AGG_STATE_COMP[],E$1,0),"ERROR")</f>
        <v>4050</v>
      </c>
      <c r="F52" s="112">
        <f>IFERROR(VLOOKUP($B52,MMWR_TRAD_AGG_STATE_COMP[],F$1,0),"ERROR")</f>
        <v>1369</v>
      </c>
      <c r="G52" s="113">
        <f t="shared" si="4"/>
        <v>0.33802469135802471</v>
      </c>
      <c r="H52" s="111">
        <f>IFERROR(VLOOKUP($B52,MMWR_TRAD_AGG_STATE_COMP[],H$1,0),"ERROR")</f>
        <v>5684</v>
      </c>
      <c r="I52" s="112">
        <f>IFERROR(VLOOKUP($B52,MMWR_TRAD_AGG_STATE_COMP[],I$1,0),"ERROR")</f>
        <v>3866</v>
      </c>
      <c r="J52" s="114">
        <f t="shared" si="5"/>
        <v>0.68015482054890919</v>
      </c>
      <c r="K52" s="111">
        <f>IFERROR(VLOOKUP($B52,MMWR_TRAD_AGG_STATE_COMP[],K$1,0),"ERROR")</f>
        <v>517</v>
      </c>
      <c r="L52" s="112">
        <f>IFERROR(VLOOKUP($B52,MMWR_TRAD_AGG_STATE_COMP[],L$1,0),"ERROR")</f>
        <v>446</v>
      </c>
      <c r="M52" s="114">
        <f t="shared" si="6"/>
        <v>0.8626692456479691</v>
      </c>
      <c r="N52" s="111">
        <f>IFERROR(VLOOKUP($B52,MMWR_TRAD_AGG_STATE_COMP[],N$1,0),"ERROR")</f>
        <v>1485</v>
      </c>
      <c r="O52" s="112">
        <f>IFERROR(VLOOKUP($B52,MMWR_TRAD_AGG_STATE_COMP[],O$1,0),"ERROR")</f>
        <v>908</v>
      </c>
      <c r="P52" s="114">
        <f t="shared" si="7"/>
        <v>0.61144781144781146</v>
      </c>
      <c r="Q52" s="115">
        <f>IFERROR(VLOOKUP($B52,MMWR_TRAD_AGG_STATE_COMP[],Q$1,0),"ERROR")</f>
        <v>8</v>
      </c>
      <c r="R52" s="115">
        <f>IFERROR(VLOOKUP($B52,MMWR_TRAD_AGG_STATE_COMP[],R$1,0),"ERROR")</f>
        <v>100</v>
      </c>
      <c r="S52" s="115">
        <f>IFERROR(VLOOKUP($B52,MMWR_APP_STATE_COMP[],S$1,0),"ERROR")</f>
        <v>2701</v>
      </c>
      <c r="T52" s="28"/>
    </row>
    <row r="53" spans="1:20" s="123" customFormat="1" x14ac:dyDescent="0.2">
      <c r="A53" s="28"/>
      <c r="B53" s="127" t="s">
        <v>415</v>
      </c>
      <c r="C53" s="109">
        <f>IFERROR(VLOOKUP($B53,MMWR_TRAD_AGG_STATE_COMP[],C$1,0),"ERROR")</f>
        <v>1959</v>
      </c>
      <c r="D53" s="110">
        <f>IFERROR(VLOOKUP($B53,MMWR_TRAD_AGG_STATE_COMP[],D$1,0),"ERROR")</f>
        <v>212.3874425727</v>
      </c>
      <c r="E53" s="111">
        <f>IFERROR(VLOOKUP($B53,MMWR_TRAD_AGG_STATE_COMP[],E$1,0),"ERROR")</f>
        <v>3204</v>
      </c>
      <c r="F53" s="112">
        <f>IFERROR(VLOOKUP($B53,MMWR_TRAD_AGG_STATE_COMP[],F$1,0),"ERROR")</f>
        <v>1051</v>
      </c>
      <c r="G53" s="113">
        <f t="shared" si="4"/>
        <v>0.32802746566791513</v>
      </c>
      <c r="H53" s="111">
        <f>IFERROR(VLOOKUP($B53,MMWR_TRAD_AGG_STATE_COMP[],H$1,0),"ERROR")</f>
        <v>2742</v>
      </c>
      <c r="I53" s="112">
        <f>IFERROR(VLOOKUP($B53,MMWR_TRAD_AGG_STATE_COMP[],I$1,0),"ERROR")</f>
        <v>1236</v>
      </c>
      <c r="J53" s="114">
        <f t="shared" si="5"/>
        <v>0.45076586433260396</v>
      </c>
      <c r="K53" s="111">
        <f>IFERROR(VLOOKUP($B53,MMWR_TRAD_AGG_STATE_COMP[],K$1,0),"ERROR")</f>
        <v>230</v>
      </c>
      <c r="L53" s="112">
        <f>IFERROR(VLOOKUP($B53,MMWR_TRAD_AGG_STATE_COMP[],L$1,0),"ERROR")</f>
        <v>150</v>
      </c>
      <c r="M53" s="114">
        <f t="shared" si="6"/>
        <v>0.65217391304347827</v>
      </c>
      <c r="N53" s="111">
        <f>IFERROR(VLOOKUP($B53,MMWR_TRAD_AGG_STATE_COMP[],N$1,0),"ERROR")</f>
        <v>650</v>
      </c>
      <c r="O53" s="112">
        <f>IFERROR(VLOOKUP($B53,MMWR_TRAD_AGG_STATE_COMP[],O$1,0),"ERROR")</f>
        <v>332</v>
      </c>
      <c r="P53" s="114">
        <f t="shared" si="7"/>
        <v>0.51076923076923075</v>
      </c>
      <c r="Q53" s="115">
        <f>IFERROR(VLOOKUP($B53,MMWR_TRAD_AGG_STATE_COMP[],Q$1,0),"ERROR")</f>
        <v>3</v>
      </c>
      <c r="R53" s="115">
        <f>IFERROR(VLOOKUP($B53,MMWR_TRAD_AGG_STATE_COMP[],R$1,0),"ERROR")</f>
        <v>17</v>
      </c>
      <c r="S53" s="115">
        <f>IFERROR(VLOOKUP($B53,MMWR_APP_STATE_COMP[],S$1,0),"ERROR")</f>
        <v>1928</v>
      </c>
      <c r="T53" s="28"/>
    </row>
    <row r="54" spans="1:20" s="123" customFormat="1" x14ac:dyDescent="0.2">
      <c r="A54" s="28"/>
      <c r="B54" s="127" t="s">
        <v>419</v>
      </c>
      <c r="C54" s="109">
        <f>IFERROR(VLOOKUP($B54,MMWR_TRAD_AGG_STATE_COMP[],C$1,0),"ERROR")</f>
        <v>9833</v>
      </c>
      <c r="D54" s="110">
        <f>IFERROR(VLOOKUP($B54,MMWR_TRAD_AGG_STATE_COMP[],D$1,0),"ERROR")</f>
        <v>391.11247838909998</v>
      </c>
      <c r="E54" s="111">
        <f>IFERROR(VLOOKUP($B54,MMWR_TRAD_AGG_STATE_COMP[],E$1,0),"ERROR")</f>
        <v>5637</v>
      </c>
      <c r="F54" s="112">
        <f>IFERROR(VLOOKUP($B54,MMWR_TRAD_AGG_STATE_COMP[],F$1,0),"ERROR")</f>
        <v>2149</v>
      </c>
      <c r="G54" s="113">
        <f t="shared" si="4"/>
        <v>0.38123115132162499</v>
      </c>
      <c r="H54" s="111">
        <f>IFERROR(VLOOKUP($B54,MMWR_TRAD_AGG_STATE_COMP[],H$1,0),"ERROR")</f>
        <v>12708</v>
      </c>
      <c r="I54" s="112">
        <f>IFERROR(VLOOKUP($B54,MMWR_TRAD_AGG_STATE_COMP[],I$1,0),"ERROR")</f>
        <v>8548</v>
      </c>
      <c r="J54" s="114">
        <f t="shared" si="5"/>
        <v>0.67264715140069242</v>
      </c>
      <c r="K54" s="111">
        <f>IFERROR(VLOOKUP($B54,MMWR_TRAD_AGG_STATE_COMP[],K$1,0),"ERROR")</f>
        <v>3552</v>
      </c>
      <c r="L54" s="112">
        <f>IFERROR(VLOOKUP($B54,MMWR_TRAD_AGG_STATE_COMP[],L$1,0),"ERROR")</f>
        <v>3007</v>
      </c>
      <c r="M54" s="114">
        <f t="shared" si="6"/>
        <v>0.84656531531531531</v>
      </c>
      <c r="N54" s="111">
        <f>IFERROR(VLOOKUP($B54,MMWR_TRAD_AGG_STATE_COMP[],N$1,0),"ERROR")</f>
        <v>1569</v>
      </c>
      <c r="O54" s="112">
        <f>IFERROR(VLOOKUP($B54,MMWR_TRAD_AGG_STATE_COMP[],O$1,0),"ERROR")</f>
        <v>724</v>
      </c>
      <c r="P54" s="114">
        <f t="shared" si="7"/>
        <v>0.46144040790312302</v>
      </c>
      <c r="Q54" s="115">
        <f>IFERROR(VLOOKUP($B54,MMWR_TRAD_AGG_STATE_COMP[],Q$1,0),"ERROR")</f>
        <v>2</v>
      </c>
      <c r="R54" s="115">
        <f>IFERROR(VLOOKUP($B54,MMWR_TRAD_AGG_STATE_COMP[],R$1,0),"ERROR")</f>
        <v>80</v>
      </c>
      <c r="S54" s="115">
        <f>IFERROR(VLOOKUP($B54,MMWR_APP_STATE_COMP[],S$1,0),"ERROR")</f>
        <v>5354</v>
      </c>
      <c r="T54" s="28"/>
    </row>
    <row r="55" spans="1:20" s="123" customFormat="1" x14ac:dyDescent="0.2">
      <c r="A55" s="28"/>
      <c r="B55" s="127" t="s">
        <v>83</v>
      </c>
      <c r="C55" s="109">
        <f>IFERROR(VLOOKUP($B55,MMWR_TRAD_AGG_STATE_COMP[],C$1,0),"ERROR")</f>
        <v>15572</v>
      </c>
      <c r="D55" s="110">
        <f>IFERROR(VLOOKUP($B55,MMWR_TRAD_AGG_STATE_COMP[],D$1,0),"ERROR")</f>
        <v>385.09594143330003</v>
      </c>
      <c r="E55" s="111">
        <f>IFERROR(VLOOKUP($B55,MMWR_TRAD_AGG_STATE_COMP[],E$1,0),"ERROR")</f>
        <v>8048</v>
      </c>
      <c r="F55" s="112">
        <f>IFERROR(VLOOKUP($B55,MMWR_TRAD_AGG_STATE_COMP[],F$1,0),"ERROR")</f>
        <v>2554</v>
      </c>
      <c r="G55" s="113">
        <f t="shared" si="4"/>
        <v>0.3173459244532803</v>
      </c>
      <c r="H55" s="111">
        <f>IFERROR(VLOOKUP($B55,MMWR_TRAD_AGG_STATE_COMP[],H$1,0),"ERROR")</f>
        <v>21354</v>
      </c>
      <c r="I55" s="112">
        <f>IFERROR(VLOOKUP($B55,MMWR_TRAD_AGG_STATE_COMP[],I$1,0),"ERROR")</f>
        <v>14540</v>
      </c>
      <c r="J55" s="114">
        <f t="shared" si="5"/>
        <v>0.68090287533951488</v>
      </c>
      <c r="K55" s="111">
        <f>IFERROR(VLOOKUP($B55,MMWR_TRAD_AGG_STATE_COMP[],K$1,0),"ERROR")</f>
        <v>3663</v>
      </c>
      <c r="L55" s="112">
        <f>IFERROR(VLOOKUP($B55,MMWR_TRAD_AGG_STATE_COMP[],L$1,0),"ERROR")</f>
        <v>3283</v>
      </c>
      <c r="M55" s="114">
        <f t="shared" si="6"/>
        <v>0.89625989625989622</v>
      </c>
      <c r="N55" s="111">
        <f>IFERROR(VLOOKUP($B55,MMWR_TRAD_AGG_STATE_COMP[],N$1,0),"ERROR")</f>
        <v>5997</v>
      </c>
      <c r="O55" s="112">
        <f>IFERROR(VLOOKUP($B55,MMWR_TRAD_AGG_STATE_COMP[],O$1,0),"ERROR")</f>
        <v>4841</v>
      </c>
      <c r="P55" s="114">
        <f t="shared" si="7"/>
        <v>0.80723695180923793</v>
      </c>
      <c r="Q55" s="115">
        <f>IFERROR(VLOOKUP($B55,MMWR_TRAD_AGG_STATE_COMP[],Q$1,0),"ERROR")</f>
        <v>7</v>
      </c>
      <c r="R55" s="115">
        <f>IFERROR(VLOOKUP($B55,MMWR_TRAD_AGG_STATE_COMP[],R$1,0),"ERROR")</f>
        <v>145</v>
      </c>
      <c r="S55" s="115">
        <f>IFERROR(VLOOKUP($B55,MMWR_APP_STATE_COMP[],S$1,0),"ERROR")</f>
        <v>4789</v>
      </c>
      <c r="T55" s="28"/>
    </row>
    <row r="56" spans="1:20" s="123" customFormat="1" x14ac:dyDescent="0.2">
      <c r="A56" s="28"/>
      <c r="B56" s="126" t="s">
        <v>390</v>
      </c>
      <c r="C56" s="102">
        <f>IFERROR(VLOOKUP($B56,MMWR_TRAD_AGG_ST_DISTRICT_COMP[],C$1,0),"ERROR")</f>
        <v>81099</v>
      </c>
      <c r="D56" s="103">
        <f>IFERROR(VLOOKUP($B56,MMWR_TRAD_AGG_ST_DISTRICT_COMP[],D$1,0),"ERROR")</f>
        <v>360.22619267810001</v>
      </c>
      <c r="E56" s="102">
        <f>IFERROR(VLOOKUP($B56,MMWR_TRAD_AGG_ST_DISTRICT_COMP[],E$1,0),"ERROR")</f>
        <v>78742</v>
      </c>
      <c r="F56" s="102">
        <f>IFERROR(VLOOKUP($B56,MMWR_TRAD_AGG_ST_DISTRICT_COMP[],F$1,0),"ERROR")</f>
        <v>27113</v>
      </c>
      <c r="G56" s="104">
        <f t="shared" si="4"/>
        <v>0.34432704274719972</v>
      </c>
      <c r="H56" s="102">
        <f>IFERROR(VLOOKUP($B56,MMWR_TRAD_AGG_ST_DISTRICT_COMP[],H$1,0),"ERROR")</f>
        <v>111601</v>
      </c>
      <c r="I56" s="102">
        <f>IFERROR(VLOOKUP($B56,MMWR_TRAD_AGG_ST_DISTRICT_COMP[],I$1,0),"ERROR")</f>
        <v>72679</v>
      </c>
      <c r="J56" s="105">
        <f t="shared" si="5"/>
        <v>0.65123968423222012</v>
      </c>
      <c r="K56" s="102">
        <f>IFERROR(VLOOKUP($B56,MMWR_TRAD_AGG_ST_DISTRICT_COMP[],K$1,0),"ERROR")</f>
        <v>19021</v>
      </c>
      <c r="L56" s="102">
        <f>IFERROR(VLOOKUP($B56,MMWR_TRAD_AGG_ST_DISTRICT_COMP[],L$1,0),"ERROR")</f>
        <v>15403</v>
      </c>
      <c r="M56" s="105">
        <f t="shared" si="6"/>
        <v>0.80978918037958048</v>
      </c>
      <c r="N56" s="102">
        <f>IFERROR(VLOOKUP($B56,MMWR_TRAD_AGG_ST_DISTRICT_COMP[],N$1,0),"ERROR")</f>
        <v>34680</v>
      </c>
      <c r="O56" s="102">
        <f>IFERROR(VLOOKUP($B56,MMWR_TRAD_AGG_ST_DISTRICT_COMP[],O$1,0),"ERROR")</f>
        <v>22268</v>
      </c>
      <c r="P56" s="105">
        <f t="shared" si="7"/>
        <v>0.64209919261822379</v>
      </c>
      <c r="Q56" s="102">
        <f>IFERROR(VLOOKUP($B56,MMWR_TRAD_AGG_ST_DISTRICT_COMP[],Q$1,0),"ERROR")</f>
        <v>2452</v>
      </c>
      <c r="R56" s="106">
        <f>IFERROR(VLOOKUP($B56,MMWR_TRAD_AGG_ST_DISTRICT_COMP[],R$1,0),"ERROR")</f>
        <v>1076</v>
      </c>
      <c r="S56" s="106">
        <f>SUM(S57:S63)</f>
        <v>83298</v>
      </c>
      <c r="T56" s="28"/>
    </row>
    <row r="57" spans="1:20" s="123" customFormat="1" x14ac:dyDescent="0.2">
      <c r="A57" s="28"/>
      <c r="B57" s="127" t="s">
        <v>398</v>
      </c>
      <c r="C57" s="109">
        <f>IFERROR(VLOOKUP($B57,MMWR_TRAD_AGG_STATE_COMP[],C$1,0),"ERROR")</f>
        <v>14619</v>
      </c>
      <c r="D57" s="110">
        <f>IFERROR(VLOOKUP($B57,MMWR_TRAD_AGG_STATE_COMP[],D$1,0),"ERROR")</f>
        <v>363.44838908269998</v>
      </c>
      <c r="E57" s="111">
        <f>IFERROR(VLOOKUP($B57,MMWR_TRAD_AGG_STATE_COMP[],E$1,0),"ERROR")</f>
        <v>8576</v>
      </c>
      <c r="F57" s="112">
        <f>IFERROR(VLOOKUP($B57,MMWR_TRAD_AGG_STATE_COMP[],F$1,0),"ERROR")</f>
        <v>2884</v>
      </c>
      <c r="G57" s="113">
        <f t="shared" si="4"/>
        <v>0.3362873134328358</v>
      </c>
      <c r="H57" s="111">
        <f>IFERROR(VLOOKUP($B57,MMWR_TRAD_AGG_STATE_COMP[],H$1,0),"ERROR")</f>
        <v>17120</v>
      </c>
      <c r="I57" s="112">
        <f>IFERROR(VLOOKUP($B57,MMWR_TRAD_AGG_STATE_COMP[],I$1,0),"ERROR")</f>
        <v>12169</v>
      </c>
      <c r="J57" s="114">
        <f t="shared" si="5"/>
        <v>0.71080607476635516</v>
      </c>
      <c r="K57" s="111">
        <f>IFERROR(VLOOKUP($B57,MMWR_TRAD_AGG_STATE_COMP[],K$1,0),"ERROR")</f>
        <v>4336</v>
      </c>
      <c r="L57" s="112">
        <f>IFERROR(VLOOKUP($B57,MMWR_TRAD_AGG_STATE_COMP[],L$1,0),"ERROR")</f>
        <v>3955</v>
      </c>
      <c r="M57" s="114">
        <f t="shared" si="6"/>
        <v>0.91213099630996308</v>
      </c>
      <c r="N57" s="111">
        <f>IFERROR(VLOOKUP($B57,MMWR_TRAD_AGG_STATE_COMP[],N$1,0),"ERROR")</f>
        <v>3220</v>
      </c>
      <c r="O57" s="112">
        <f>IFERROR(VLOOKUP($B57,MMWR_TRAD_AGG_STATE_COMP[],O$1,0),"ERROR")</f>
        <v>2208</v>
      </c>
      <c r="P57" s="114">
        <f t="shared" si="7"/>
        <v>0.68571428571428572</v>
      </c>
      <c r="Q57" s="115">
        <f>IFERROR(VLOOKUP($B57,MMWR_TRAD_AGG_STATE_COMP[],Q$1,0),"ERROR")</f>
        <v>22</v>
      </c>
      <c r="R57" s="115">
        <f>IFERROR(VLOOKUP($B57,MMWR_TRAD_AGG_STATE_COMP[],R$1,0),"ERROR")</f>
        <v>347</v>
      </c>
      <c r="S57" s="115">
        <f>IFERROR(VLOOKUP($B57,MMWR_APP_STATE_COMP[],S$1,0),"ERROR")</f>
        <v>10806</v>
      </c>
      <c r="T57" s="28"/>
    </row>
    <row r="58" spans="1:20" s="123" customFormat="1" x14ac:dyDescent="0.2">
      <c r="A58" s="28"/>
      <c r="B58" s="127" t="s">
        <v>435</v>
      </c>
      <c r="C58" s="109">
        <f>IFERROR(VLOOKUP($B58,MMWR_TRAD_AGG_STATE_COMP[],C$1,0),"ERROR")</f>
        <v>20591</v>
      </c>
      <c r="D58" s="110">
        <f>IFERROR(VLOOKUP($B58,MMWR_TRAD_AGG_STATE_COMP[],D$1,0),"ERROR")</f>
        <v>356.6790830946</v>
      </c>
      <c r="E58" s="111">
        <f>IFERROR(VLOOKUP($B58,MMWR_TRAD_AGG_STATE_COMP[],E$1,0),"ERROR")</f>
        <v>26350</v>
      </c>
      <c r="F58" s="112">
        <f>IFERROR(VLOOKUP($B58,MMWR_TRAD_AGG_STATE_COMP[],F$1,0),"ERROR")</f>
        <v>10082</v>
      </c>
      <c r="G58" s="113">
        <f t="shared" si="4"/>
        <v>0.38261859582542695</v>
      </c>
      <c r="H58" s="111">
        <f>IFERROR(VLOOKUP($B58,MMWR_TRAD_AGG_STATE_COMP[],H$1,0),"ERROR")</f>
        <v>28731</v>
      </c>
      <c r="I58" s="112">
        <f>IFERROR(VLOOKUP($B58,MMWR_TRAD_AGG_STATE_COMP[],I$1,0),"ERROR")</f>
        <v>17278</v>
      </c>
      <c r="J58" s="114">
        <f t="shared" si="5"/>
        <v>0.60137134106017887</v>
      </c>
      <c r="K58" s="111">
        <f>IFERROR(VLOOKUP($B58,MMWR_TRAD_AGG_STATE_COMP[],K$1,0),"ERROR")</f>
        <v>3582</v>
      </c>
      <c r="L58" s="112">
        <f>IFERROR(VLOOKUP($B58,MMWR_TRAD_AGG_STATE_COMP[],L$1,0),"ERROR")</f>
        <v>2530</v>
      </c>
      <c r="M58" s="114">
        <f t="shared" si="6"/>
        <v>0.70630932439977667</v>
      </c>
      <c r="N58" s="111">
        <f>IFERROR(VLOOKUP($B58,MMWR_TRAD_AGG_STATE_COMP[],N$1,0),"ERROR")</f>
        <v>10672</v>
      </c>
      <c r="O58" s="112">
        <f>IFERROR(VLOOKUP($B58,MMWR_TRAD_AGG_STATE_COMP[],O$1,0),"ERROR")</f>
        <v>6659</v>
      </c>
      <c r="P58" s="114">
        <f t="shared" si="7"/>
        <v>0.62396926536731634</v>
      </c>
      <c r="Q58" s="115">
        <f>IFERROR(VLOOKUP($B58,MMWR_TRAD_AGG_STATE_COMP[],Q$1,0),"ERROR")</f>
        <v>1179</v>
      </c>
      <c r="R58" s="115">
        <f>IFERROR(VLOOKUP($B58,MMWR_TRAD_AGG_STATE_COMP[],R$1,0),"ERROR")</f>
        <v>250</v>
      </c>
      <c r="S58" s="115">
        <f>IFERROR(VLOOKUP($B58,MMWR_APP_STATE_COMP[],S$1,0),"ERROR")</f>
        <v>28142</v>
      </c>
      <c r="T58" s="28"/>
    </row>
    <row r="59" spans="1:20" s="123" customFormat="1" x14ac:dyDescent="0.2">
      <c r="A59" s="28"/>
      <c r="B59" s="127" t="s">
        <v>391</v>
      </c>
      <c r="C59" s="109">
        <f>IFERROR(VLOOKUP($B59,MMWR_TRAD_AGG_STATE_COMP[],C$1,0),"ERROR")</f>
        <v>16507</v>
      </c>
      <c r="D59" s="110">
        <f>IFERROR(VLOOKUP($B59,MMWR_TRAD_AGG_STATE_COMP[],D$1,0),"ERROR")</f>
        <v>355.57830011509998</v>
      </c>
      <c r="E59" s="111">
        <f>IFERROR(VLOOKUP($B59,MMWR_TRAD_AGG_STATE_COMP[],E$1,0),"ERROR")</f>
        <v>16658</v>
      </c>
      <c r="F59" s="112">
        <f>IFERROR(VLOOKUP($B59,MMWR_TRAD_AGG_STATE_COMP[],F$1,0),"ERROR")</f>
        <v>5786</v>
      </c>
      <c r="G59" s="113">
        <f t="shared" si="4"/>
        <v>0.34734061712090286</v>
      </c>
      <c r="H59" s="111">
        <f>IFERROR(VLOOKUP($B59,MMWR_TRAD_AGG_STATE_COMP[],H$1,0),"ERROR")</f>
        <v>23918</v>
      </c>
      <c r="I59" s="112">
        <f>IFERROR(VLOOKUP($B59,MMWR_TRAD_AGG_STATE_COMP[],I$1,0),"ERROR")</f>
        <v>15291</v>
      </c>
      <c r="J59" s="114">
        <f t="shared" si="5"/>
        <v>0.63930930679822728</v>
      </c>
      <c r="K59" s="111">
        <f>IFERROR(VLOOKUP($B59,MMWR_TRAD_AGG_STATE_COMP[],K$1,0),"ERROR")</f>
        <v>5281</v>
      </c>
      <c r="L59" s="112">
        <f>IFERROR(VLOOKUP($B59,MMWR_TRAD_AGG_STATE_COMP[],L$1,0),"ERROR")</f>
        <v>4367</v>
      </c>
      <c r="M59" s="114">
        <f t="shared" si="6"/>
        <v>0.8269267184245408</v>
      </c>
      <c r="N59" s="111">
        <f>IFERROR(VLOOKUP($B59,MMWR_TRAD_AGG_STATE_COMP[],N$1,0),"ERROR")</f>
        <v>13311</v>
      </c>
      <c r="O59" s="112">
        <f>IFERROR(VLOOKUP($B59,MMWR_TRAD_AGG_STATE_COMP[],O$1,0),"ERROR")</f>
        <v>8838</v>
      </c>
      <c r="P59" s="114">
        <f t="shared" si="7"/>
        <v>0.66396213657876946</v>
      </c>
      <c r="Q59" s="115">
        <f>IFERROR(VLOOKUP($B59,MMWR_TRAD_AGG_STATE_COMP[],Q$1,0),"ERROR")</f>
        <v>603</v>
      </c>
      <c r="R59" s="115">
        <f>IFERROR(VLOOKUP($B59,MMWR_TRAD_AGG_STATE_COMP[],R$1,0),"ERROR")</f>
        <v>39</v>
      </c>
      <c r="S59" s="115">
        <f>IFERROR(VLOOKUP($B59,MMWR_APP_STATE_COMP[],S$1,0),"ERROR")</f>
        <v>16303</v>
      </c>
      <c r="T59" s="28"/>
    </row>
    <row r="60" spans="1:20" s="123" customFormat="1" x14ac:dyDescent="0.2">
      <c r="A60" s="28"/>
      <c r="B60" s="127" t="s">
        <v>403</v>
      </c>
      <c r="C60" s="109">
        <f>IFERROR(VLOOKUP($B60,MMWR_TRAD_AGG_STATE_COMP[],C$1,0),"ERROR")</f>
        <v>7656</v>
      </c>
      <c r="D60" s="110">
        <f>IFERROR(VLOOKUP($B60,MMWR_TRAD_AGG_STATE_COMP[],D$1,0),"ERROR")</f>
        <v>514.78618077320004</v>
      </c>
      <c r="E60" s="111">
        <f>IFERROR(VLOOKUP($B60,MMWR_TRAD_AGG_STATE_COMP[],E$1,0),"ERROR")</f>
        <v>4533</v>
      </c>
      <c r="F60" s="112">
        <f>IFERROR(VLOOKUP($B60,MMWR_TRAD_AGG_STATE_COMP[],F$1,0),"ERROR")</f>
        <v>1548</v>
      </c>
      <c r="G60" s="113">
        <f t="shared" si="4"/>
        <v>0.34149569821310388</v>
      </c>
      <c r="H60" s="111">
        <f>IFERROR(VLOOKUP($B60,MMWR_TRAD_AGG_STATE_COMP[],H$1,0),"ERROR")</f>
        <v>10347</v>
      </c>
      <c r="I60" s="112">
        <f>IFERROR(VLOOKUP($B60,MMWR_TRAD_AGG_STATE_COMP[],I$1,0),"ERROR")</f>
        <v>7416</v>
      </c>
      <c r="J60" s="114">
        <f t="shared" si="5"/>
        <v>0.71672948680777038</v>
      </c>
      <c r="K60" s="111">
        <f>IFERROR(VLOOKUP($B60,MMWR_TRAD_AGG_STATE_COMP[],K$1,0),"ERROR")</f>
        <v>2193</v>
      </c>
      <c r="L60" s="112">
        <f>IFERROR(VLOOKUP($B60,MMWR_TRAD_AGG_STATE_COMP[],L$1,0),"ERROR")</f>
        <v>1830</v>
      </c>
      <c r="M60" s="114">
        <f t="shared" si="6"/>
        <v>0.83447332421340625</v>
      </c>
      <c r="N60" s="111">
        <f>IFERROR(VLOOKUP($B60,MMWR_TRAD_AGG_STATE_COMP[],N$1,0),"ERROR")</f>
        <v>1067</v>
      </c>
      <c r="O60" s="112">
        <f>IFERROR(VLOOKUP($B60,MMWR_TRAD_AGG_STATE_COMP[],O$1,0),"ERROR")</f>
        <v>616</v>
      </c>
      <c r="P60" s="114">
        <f t="shared" si="7"/>
        <v>0.57731958762886593</v>
      </c>
      <c r="Q60" s="115">
        <f>IFERROR(VLOOKUP($B60,MMWR_TRAD_AGG_STATE_COMP[],Q$1,0),"ERROR")</f>
        <v>46</v>
      </c>
      <c r="R60" s="115">
        <f>IFERROR(VLOOKUP($B60,MMWR_TRAD_AGG_STATE_COMP[],R$1,0),"ERROR")</f>
        <v>155</v>
      </c>
      <c r="S60" s="115">
        <f>IFERROR(VLOOKUP($B60,MMWR_APP_STATE_COMP[],S$1,0),"ERROR")</f>
        <v>3331</v>
      </c>
      <c r="T60" s="28"/>
    </row>
    <row r="61" spans="1:20" s="123" customFormat="1" x14ac:dyDescent="0.2">
      <c r="A61" s="28"/>
      <c r="B61" s="127" t="s">
        <v>437</v>
      </c>
      <c r="C61" s="109">
        <f>IFERROR(VLOOKUP($B61,MMWR_TRAD_AGG_STATE_COMP[],C$1,0),"ERROR")</f>
        <v>2884</v>
      </c>
      <c r="D61" s="110">
        <f>IFERROR(VLOOKUP($B61,MMWR_TRAD_AGG_STATE_COMP[],D$1,0),"ERROR")</f>
        <v>299.13176144239998</v>
      </c>
      <c r="E61" s="111">
        <f>IFERROR(VLOOKUP($B61,MMWR_TRAD_AGG_STATE_COMP[],E$1,0),"ERROR")</f>
        <v>2831</v>
      </c>
      <c r="F61" s="112">
        <f>IFERROR(VLOOKUP($B61,MMWR_TRAD_AGG_STATE_COMP[],F$1,0),"ERROR")</f>
        <v>1024</v>
      </c>
      <c r="G61" s="113">
        <f t="shared" si="4"/>
        <v>0.36170964323560578</v>
      </c>
      <c r="H61" s="111">
        <f>IFERROR(VLOOKUP($B61,MMWR_TRAD_AGG_STATE_COMP[],H$1,0),"ERROR")</f>
        <v>4846</v>
      </c>
      <c r="I61" s="112">
        <f>IFERROR(VLOOKUP($B61,MMWR_TRAD_AGG_STATE_COMP[],I$1,0),"ERROR")</f>
        <v>3216</v>
      </c>
      <c r="J61" s="114">
        <f t="shared" si="5"/>
        <v>0.66364011555922409</v>
      </c>
      <c r="K61" s="111">
        <f>IFERROR(VLOOKUP($B61,MMWR_TRAD_AGG_STATE_COMP[],K$1,0),"ERROR")</f>
        <v>712</v>
      </c>
      <c r="L61" s="112">
        <f>IFERROR(VLOOKUP($B61,MMWR_TRAD_AGG_STATE_COMP[],L$1,0),"ERROR")</f>
        <v>620</v>
      </c>
      <c r="M61" s="114">
        <f t="shared" si="6"/>
        <v>0.8707865168539326</v>
      </c>
      <c r="N61" s="111">
        <f>IFERROR(VLOOKUP($B61,MMWR_TRAD_AGG_STATE_COMP[],N$1,0),"ERROR")</f>
        <v>1986</v>
      </c>
      <c r="O61" s="112">
        <f>IFERROR(VLOOKUP($B61,MMWR_TRAD_AGG_STATE_COMP[],O$1,0),"ERROR")</f>
        <v>1289</v>
      </c>
      <c r="P61" s="114">
        <f t="shared" si="7"/>
        <v>0.64904330312185299</v>
      </c>
      <c r="Q61" s="115">
        <f>IFERROR(VLOOKUP($B61,MMWR_TRAD_AGG_STATE_COMP[],Q$1,0),"ERROR")</f>
        <v>183</v>
      </c>
      <c r="R61" s="115">
        <f>IFERROR(VLOOKUP($B61,MMWR_TRAD_AGG_STATE_COMP[],R$1,0),"ERROR")</f>
        <v>4</v>
      </c>
      <c r="S61" s="115">
        <f>IFERROR(VLOOKUP($B61,MMWR_APP_STATE_COMP[],S$1,0),"ERROR")</f>
        <v>5995</v>
      </c>
      <c r="T61" s="28"/>
    </row>
    <row r="62" spans="1:20" s="123" customFormat="1" x14ac:dyDescent="0.2">
      <c r="A62" s="28"/>
      <c r="B62" s="127" t="s">
        <v>393</v>
      </c>
      <c r="C62" s="109">
        <f>IFERROR(VLOOKUP($B62,MMWR_TRAD_AGG_STATE_COMP[],C$1,0),"ERROR")</f>
        <v>11415</v>
      </c>
      <c r="D62" s="110">
        <f>IFERROR(VLOOKUP($B62,MMWR_TRAD_AGG_STATE_COMP[],D$1,0),"ERROR")</f>
        <v>340.38983793249997</v>
      </c>
      <c r="E62" s="111">
        <f>IFERROR(VLOOKUP($B62,MMWR_TRAD_AGG_STATE_COMP[],E$1,0),"ERROR")</f>
        <v>9888</v>
      </c>
      <c r="F62" s="112">
        <f>IFERROR(VLOOKUP($B62,MMWR_TRAD_AGG_STATE_COMP[],F$1,0),"ERROR")</f>
        <v>3090</v>
      </c>
      <c r="G62" s="113">
        <f t="shared" si="4"/>
        <v>0.3125</v>
      </c>
      <c r="H62" s="111">
        <f>IFERROR(VLOOKUP($B62,MMWR_TRAD_AGG_STATE_COMP[],H$1,0),"ERROR")</f>
        <v>16266</v>
      </c>
      <c r="I62" s="112">
        <f>IFERROR(VLOOKUP($B62,MMWR_TRAD_AGG_STATE_COMP[],I$1,0),"ERROR")</f>
        <v>11424</v>
      </c>
      <c r="J62" s="114">
        <f t="shared" si="5"/>
        <v>0.70232386573220218</v>
      </c>
      <c r="K62" s="111">
        <f>IFERROR(VLOOKUP($B62,MMWR_TRAD_AGG_STATE_COMP[],K$1,0),"ERROR")</f>
        <v>1648</v>
      </c>
      <c r="L62" s="112">
        <f>IFERROR(VLOOKUP($B62,MMWR_TRAD_AGG_STATE_COMP[],L$1,0),"ERROR")</f>
        <v>1068</v>
      </c>
      <c r="M62" s="114">
        <f t="shared" si="6"/>
        <v>0.64805825242718451</v>
      </c>
      <c r="N62" s="111">
        <f>IFERROR(VLOOKUP($B62,MMWR_TRAD_AGG_STATE_COMP[],N$1,0),"ERROR")</f>
        <v>2720</v>
      </c>
      <c r="O62" s="112">
        <f>IFERROR(VLOOKUP($B62,MMWR_TRAD_AGG_STATE_COMP[],O$1,0),"ERROR")</f>
        <v>1651</v>
      </c>
      <c r="P62" s="114">
        <f t="shared" si="7"/>
        <v>0.60698529411764701</v>
      </c>
      <c r="Q62" s="115">
        <f>IFERROR(VLOOKUP($B62,MMWR_TRAD_AGG_STATE_COMP[],Q$1,0),"ERROR")</f>
        <v>382</v>
      </c>
      <c r="R62" s="115">
        <f>IFERROR(VLOOKUP($B62,MMWR_TRAD_AGG_STATE_COMP[],R$1,0),"ERROR")</f>
        <v>61</v>
      </c>
      <c r="S62" s="115">
        <f>IFERROR(VLOOKUP($B62,MMWR_APP_STATE_COMP[],S$1,0),"ERROR")</f>
        <v>11721</v>
      </c>
      <c r="T62" s="28"/>
    </row>
    <row r="63" spans="1:20" s="123" customFormat="1" x14ac:dyDescent="0.2">
      <c r="A63" s="28"/>
      <c r="B63" s="127" t="s">
        <v>394</v>
      </c>
      <c r="C63" s="109">
        <f>IFERROR(VLOOKUP($B63,MMWR_TRAD_AGG_STATE_COMP[],C$1,0),"ERROR")</f>
        <v>7427</v>
      </c>
      <c r="D63" s="110">
        <f>IFERROR(VLOOKUP($B63,MMWR_TRAD_AGG_STATE_COMP[],D$1,0),"ERROR")</f>
        <v>268.9340245052</v>
      </c>
      <c r="E63" s="111">
        <f>IFERROR(VLOOKUP($B63,MMWR_TRAD_AGG_STATE_COMP[],E$1,0),"ERROR")</f>
        <v>9906</v>
      </c>
      <c r="F63" s="112">
        <f>IFERROR(VLOOKUP($B63,MMWR_TRAD_AGG_STATE_COMP[],F$1,0),"ERROR")</f>
        <v>2699</v>
      </c>
      <c r="G63" s="113">
        <f t="shared" si="4"/>
        <v>0.27246113466585908</v>
      </c>
      <c r="H63" s="111">
        <f>IFERROR(VLOOKUP($B63,MMWR_TRAD_AGG_STATE_COMP[],H$1,0),"ERROR")</f>
        <v>10373</v>
      </c>
      <c r="I63" s="112">
        <f>IFERROR(VLOOKUP($B63,MMWR_TRAD_AGG_STATE_COMP[],I$1,0),"ERROR")</f>
        <v>5885</v>
      </c>
      <c r="J63" s="114">
        <f t="shared" si="5"/>
        <v>0.56733828207847292</v>
      </c>
      <c r="K63" s="111">
        <f>IFERROR(VLOOKUP($B63,MMWR_TRAD_AGG_STATE_COMP[],K$1,0),"ERROR")</f>
        <v>1269</v>
      </c>
      <c r="L63" s="112">
        <f>IFERROR(VLOOKUP($B63,MMWR_TRAD_AGG_STATE_COMP[],L$1,0),"ERROR")</f>
        <v>1033</v>
      </c>
      <c r="M63" s="114">
        <f t="shared" si="6"/>
        <v>0.81402679275019696</v>
      </c>
      <c r="N63" s="111">
        <f>IFERROR(VLOOKUP($B63,MMWR_TRAD_AGG_STATE_COMP[],N$1,0),"ERROR")</f>
        <v>1704</v>
      </c>
      <c r="O63" s="112">
        <f>IFERROR(VLOOKUP($B63,MMWR_TRAD_AGG_STATE_COMP[],O$1,0),"ERROR")</f>
        <v>1007</v>
      </c>
      <c r="P63" s="114">
        <f t="shared" si="7"/>
        <v>0.590962441314554</v>
      </c>
      <c r="Q63" s="115">
        <f>IFERROR(VLOOKUP($B63,MMWR_TRAD_AGG_STATE_COMP[],Q$1,0),"ERROR")</f>
        <v>37</v>
      </c>
      <c r="R63" s="115">
        <f>IFERROR(VLOOKUP($B63,MMWR_TRAD_AGG_STATE_COMP[],R$1,0),"ERROR")</f>
        <v>220</v>
      </c>
      <c r="S63" s="115">
        <f>IFERROR(VLOOKUP($B63,MMWR_APP_STATE_COMP[],S$1,0),"ERROR")</f>
        <v>7000</v>
      </c>
      <c r="T63" s="28"/>
    </row>
    <row r="64" spans="1:20" s="123" customFormat="1" x14ac:dyDescent="0.2">
      <c r="A64" s="28"/>
      <c r="B64" s="128" t="s">
        <v>8</v>
      </c>
      <c r="C64" s="102">
        <f>IFERROR(VLOOKUP($B64,MMWR_TRAD_AGG_ST_DISTRICT_COMP[],C$1,0),"ERROR")</f>
        <v>8960</v>
      </c>
      <c r="D64" s="103">
        <f>IFERROR(VLOOKUP($B64,MMWR_TRAD_AGG_ST_DISTRICT_COMP[],D$1,0),"ERROR")</f>
        <v>413.94185267860001</v>
      </c>
      <c r="E64" s="102">
        <f>IFERROR(VLOOKUP($B64,MMWR_TRAD_AGG_ST_DISTRICT_COMP[],E$1,0),"ERROR")</f>
        <v>4354</v>
      </c>
      <c r="F64" s="102">
        <f>IFERROR(VLOOKUP($B64,MMWR_TRAD_AGG_ST_DISTRICT_COMP[],F$1,0),"ERROR")</f>
        <v>2043</v>
      </c>
      <c r="G64" s="104">
        <f t="shared" si="4"/>
        <v>0.46922370234267341</v>
      </c>
      <c r="H64" s="102">
        <f>IFERROR(VLOOKUP($B64,MMWR_TRAD_AGG_ST_DISTRICT_COMP[],H$1,0),"ERROR")</f>
        <v>10914</v>
      </c>
      <c r="I64" s="102">
        <f>IFERROR(VLOOKUP($B64,MMWR_TRAD_AGG_ST_DISTRICT_COMP[],I$1,0),"ERROR")</f>
        <v>8221</v>
      </c>
      <c r="J64" s="105">
        <f t="shared" si="5"/>
        <v>0.75325270295033897</v>
      </c>
      <c r="K64" s="102">
        <f>IFERROR(VLOOKUP($B64,MMWR_TRAD_AGG_ST_DISTRICT_COMP[],K$1,0),"ERROR")</f>
        <v>1351</v>
      </c>
      <c r="L64" s="102">
        <f>IFERROR(VLOOKUP($B64,MMWR_TRAD_AGG_ST_DISTRICT_COMP[],L$1,0),"ERROR")</f>
        <v>1152</v>
      </c>
      <c r="M64" s="105">
        <f t="shared" si="6"/>
        <v>0.8527017024426351</v>
      </c>
      <c r="N64" s="102">
        <f>IFERROR(VLOOKUP($B64,MMWR_TRAD_AGG_ST_DISTRICT_COMP[],N$1,0),"ERROR")</f>
        <v>16161</v>
      </c>
      <c r="O64" s="102">
        <f>IFERROR(VLOOKUP($B64,MMWR_TRAD_AGG_ST_DISTRICT_COMP[],O$1,0),"ERROR")</f>
        <v>10833</v>
      </c>
      <c r="P64" s="105">
        <f t="shared" si="7"/>
        <v>0.6703174308520512</v>
      </c>
      <c r="Q64" s="102">
        <f>IFERROR(VLOOKUP($B64,MMWR_TRAD_AGG_ST_DISTRICT_COMP[],Q$1,0),"ERROR")</f>
        <v>382</v>
      </c>
      <c r="R64" s="106">
        <f>IFERROR(VLOOKUP($B64,MMWR_TRAD_AGG_ST_DISTRICT_COMP[],R$1,0),"ERROR")</f>
        <v>139</v>
      </c>
      <c r="S64" s="106">
        <f>IFERROR(VLOOKUP($B64,MMWR_APP_STATE_COMP[],S$1,0),"ERROR")</f>
        <v>367</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1" t="s">
        <v>497</v>
      </c>
      <c r="D66" s="452"/>
      <c r="E66" s="452"/>
      <c r="F66" s="452"/>
      <c r="G66" s="452"/>
      <c r="H66" s="452"/>
      <c r="I66" s="452"/>
      <c r="J66" s="452"/>
      <c r="K66" s="452"/>
      <c r="L66" s="452"/>
      <c r="M66" s="452"/>
      <c r="N66" s="452"/>
      <c r="O66" s="452"/>
      <c r="P66" s="452"/>
      <c r="Q66" s="452"/>
      <c r="R66" s="452"/>
      <c r="S66" s="453"/>
      <c r="T66" s="28"/>
    </row>
    <row r="67" spans="1:20" s="123" customFormat="1" x14ac:dyDescent="0.2">
      <c r="A67" s="28"/>
      <c r="B67" s="26"/>
      <c r="C67" s="459" t="s">
        <v>233</v>
      </c>
      <c r="D67" s="459"/>
      <c r="E67" s="456" t="s">
        <v>213</v>
      </c>
      <c r="F67" s="457"/>
      <c r="G67" s="458"/>
      <c r="H67" s="456" t="s">
        <v>7</v>
      </c>
      <c r="I67" s="457"/>
      <c r="J67" s="458"/>
      <c r="K67" s="456" t="s">
        <v>33</v>
      </c>
      <c r="L67" s="457"/>
      <c r="M67" s="458"/>
      <c r="N67" s="456" t="s">
        <v>8</v>
      </c>
      <c r="O67" s="457"/>
      <c r="P67" s="458"/>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498</v>
      </c>
      <c r="T68" s="28"/>
    </row>
    <row r="69" spans="1:20" s="123" customFormat="1" x14ac:dyDescent="0.2">
      <c r="A69" s="28"/>
      <c r="B69" s="129" t="s">
        <v>472</v>
      </c>
      <c r="C69" s="119">
        <f>IFERROR(VLOOKUP($B69,MMWR_TRAD_AGG_RO_PEN[],C$1,0),"ERROR")</f>
        <v>19361</v>
      </c>
      <c r="D69" s="120">
        <f>IFERROR(VLOOKUP($B69,MMWR_TRAD_AGG_RO_PEN[],D$1,0),"ERROR")</f>
        <v>79.717524921199995</v>
      </c>
      <c r="E69" s="119">
        <f>IFERROR(VLOOKUP($B69,MMWR_TRAD_AGG_RO_PEN[],E$1,0),"ERROR")</f>
        <v>23644</v>
      </c>
      <c r="F69" s="119">
        <f>IFERROR(VLOOKUP($B69,MMWR_TRAD_AGG_RO_PEN[],F$1,0),"ERROR")</f>
        <v>2837</v>
      </c>
      <c r="G69" s="98">
        <f t="shared" ref="G69:G100" si="8">IFERROR(F69/E69,"0%")</f>
        <v>0.11998815767213669</v>
      </c>
      <c r="H69" s="119">
        <f>IFERROR(VLOOKUP($B69,MMWR_TRAD_AGG_RO_PEN[],H$1,0),"ERROR")</f>
        <v>31159</v>
      </c>
      <c r="I69" s="119">
        <f>IFERROR(VLOOKUP($B69,MMWR_TRAD_AGG_RO_PEN[],I$1,0),"ERROR")</f>
        <v>6469</v>
      </c>
      <c r="J69" s="98">
        <f t="shared" ref="J69:J100" si="9">IFERROR(I69/H69,"0%")</f>
        <v>0.2076125677974261</v>
      </c>
      <c r="K69" s="119">
        <f>IFERROR(VLOOKUP($B69,MMWR_TRAD_AGG_RO_PEN[],K$1,0),"ERROR")</f>
        <v>776</v>
      </c>
      <c r="L69" s="119">
        <f>IFERROR(VLOOKUP($B69,MMWR_TRAD_AGG_RO_PEN[],L$1,0),"ERROR")</f>
        <v>751</v>
      </c>
      <c r="M69" s="98">
        <f t="shared" ref="M69:M100" si="10">IFERROR(L69/K69,"0%")</f>
        <v>0.96778350515463918</v>
      </c>
      <c r="N69" s="119">
        <f>IFERROR(VLOOKUP($B69,MMWR_TRAD_AGG_RO_PEN[],N$1,0),"ERROR")</f>
        <v>6124</v>
      </c>
      <c r="O69" s="119">
        <f>IFERROR(VLOOKUP($B69,MMWR_TRAD_AGG_RO_PEN[],O$1,0),"ERROR")</f>
        <v>1046</v>
      </c>
      <c r="P69" s="98">
        <f t="shared" ref="P69:P100" si="11">IFERROR(O69/N69,"0%")</f>
        <v>0.17080339647289353</v>
      </c>
      <c r="Q69" s="119">
        <f>IFERROR(VLOOKUP($B69,MMWR_TRAD_AGG_RO_PEN[],Q$1,0),"ERROR")</f>
        <v>10632</v>
      </c>
      <c r="R69" s="121">
        <f>IFERROR(VLOOKUP($B69,MMWR_TRAD_AGG_RO_PEN[],R$1,0),"ERROR")</f>
        <v>4941</v>
      </c>
      <c r="S69" s="121">
        <f>S70+S86+S99+S109+S119+S127</f>
        <v>5943</v>
      </c>
      <c r="T69" s="28"/>
    </row>
    <row r="70" spans="1:20" s="123" customFormat="1" x14ac:dyDescent="0.2">
      <c r="A70" s="28"/>
      <c r="B70" s="126" t="s">
        <v>379</v>
      </c>
      <c r="C70" s="102">
        <f>IFERROR(VLOOKUP($B70,MMWR_TRAD_AGG_ST_DISTRICT_PEN[],C$1,0),"ERROR")</f>
        <v>6137</v>
      </c>
      <c r="D70" s="103">
        <f>IFERROR(VLOOKUP($B70,MMWR_TRAD_AGG_ST_DISTRICT_PEN[],D$1,0),"ERROR")</f>
        <v>91.431318233699997</v>
      </c>
      <c r="E70" s="102">
        <f>IFERROR(VLOOKUP($B70,MMWR_TRAD_AGG_ST_DISTRICT_PEN[],E$1,0),"ERROR")</f>
        <v>6608</v>
      </c>
      <c r="F70" s="102">
        <f>IFERROR(VLOOKUP($B70,MMWR_TRAD_AGG_ST_DISTRICT_PEN[],F$1,0),"ERROR")</f>
        <v>1216</v>
      </c>
      <c r="G70" s="104">
        <f t="shared" si="8"/>
        <v>0.18401937046004843</v>
      </c>
      <c r="H70" s="102">
        <f>IFERROR(VLOOKUP($B70,MMWR_TRAD_AGG_ST_DISTRICT_PEN[],H$1,0),"ERROR")</f>
        <v>9784</v>
      </c>
      <c r="I70" s="102">
        <f>IFERROR(VLOOKUP($B70,MMWR_TRAD_AGG_ST_DISTRICT_PEN[],I$1,0),"ERROR")</f>
        <v>2679</v>
      </c>
      <c r="J70" s="104">
        <f t="shared" si="9"/>
        <v>0.27381439084219134</v>
      </c>
      <c r="K70" s="102">
        <f>IFERROR(VLOOKUP($B70,MMWR_TRAD_AGG_ST_DISTRICT_PEN[],K$1,0),"ERROR")</f>
        <v>407</v>
      </c>
      <c r="L70" s="102">
        <f>IFERROR(VLOOKUP($B70,MMWR_TRAD_AGG_ST_DISTRICT_PEN[],L$1,0),"ERROR")</f>
        <v>398</v>
      </c>
      <c r="M70" s="104">
        <f t="shared" si="10"/>
        <v>0.97788697788697787</v>
      </c>
      <c r="N70" s="102">
        <f>IFERROR(VLOOKUP($B70,MMWR_TRAD_AGG_ST_DISTRICT_PEN[],N$1,0),"ERROR")</f>
        <v>3246</v>
      </c>
      <c r="O70" s="102">
        <f>IFERROR(VLOOKUP($B70,MMWR_TRAD_AGG_ST_DISTRICT_PEN[],O$1,0),"ERROR")</f>
        <v>472</v>
      </c>
      <c r="P70" s="104">
        <f t="shared" si="11"/>
        <v>0.14540973505853358</v>
      </c>
      <c r="Q70" s="102">
        <f>IFERROR(VLOOKUP($B70,MMWR_TRAD_AGG_ST_DISTRICT_PEN[],Q$1,0),"ERROR")</f>
        <v>875</v>
      </c>
      <c r="R70" s="106">
        <f>IFERROR(VLOOKUP($B70,MMWR_TRAD_AGG_ST_DISTRICT_PEN[],R$1,0),"ERROR")</f>
        <v>1931</v>
      </c>
      <c r="S70" s="106">
        <f>IFERROR(VLOOKUP($B70,MMWR_APP_STATE_PEN[],S$1,0),"ERROR")</f>
        <v>1530</v>
      </c>
      <c r="T70" s="28"/>
    </row>
    <row r="71" spans="1:20" s="123" customFormat="1" x14ac:dyDescent="0.2">
      <c r="A71" s="28"/>
      <c r="B71" s="127" t="s">
        <v>383</v>
      </c>
      <c r="C71" s="109">
        <f>IFERROR(VLOOKUP($B71,MMWR_TRAD_AGG_STATE_PEN[],C$1,0),"ERROR")</f>
        <v>139</v>
      </c>
      <c r="D71" s="110">
        <f>IFERROR(VLOOKUP($B71,MMWR_TRAD_AGG_STATE_PEN[],D$1,0),"ERROR")</f>
        <v>83.302158273399996</v>
      </c>
      <c r="E71" s="111">
        <f>IFERROR(VLOOKUP($B71,MMWR_TRAD_AGG_STATE_PEN[],E$1,0),"ERROR")</f>
        <v>247</v>
      </c>
      <c r="F71" s="112">
        <f>IFERROR(VLOOKUP($B71,MMWR_TRAD_AGG_STATE_PEN[],F$1,0),"ERROR")</f>
        <v>40</v>
      </c>
      <c r="G71" s="113">
        <f t="shared" si="8"/>
        <v>0.16194331983805668</v>
      </c>
      <c r="H71" s="111">
        <f>IFERROR(VLOOKUP($B71,MMWR_TRAD_AGG_STATE_PEN[],H$1,0),"ERROR")</f>
        <v>216</v>
      </c>
      <c r="I71" s="112">
        <f>IFERROR(VLOOKUP($B71,MMWR_TRAD_AGG_STATE_PEN[],I$1,0),"ERROR")</f>
        <v>56</v>
      </c>
      <c r="J71" s="114">
        <f t="shared" si="9"/>
        <v>0.25925925925925924</v>
      </c>
      <c r="K71" s="111">
        <f>IFERROR(VLOOKUP($B71,MMWR_TRAD_AGG_STATE_PEN[],K$1,0),"ERROR")</f>
        <v>7</v>
      </c>
      <c r="L71" s="112">
        <f>IFERROR(VLOOKUP($B71,MMWR_TRAD_AGG_STATE_PEN[],L$1,0),"ERROR")</f>
        <v>7</v>
      </c>
      <c r="M71" s="114">
        <f t="shared" si="10"/>
        <v>1</v>
      </c>
      <c r="N71" s="111">
        <f>IFERROR(VLOOKUP($B71,MMWR_TRAD_AGG_STATE_PEN[],N$1,0),"ERROR")</f>
        <v>104</v>
      </c>
      <c r="O71" s="112">
        <f>IFERROR(VLOOKUP($B71,MMWR_TRAD_AGG_STATE_PEN[],O$1,0),"ERROR")</f>
        <v>12</v>
      </c>
      <c r="P71" s="114">
        <f t="shared" si="11"/>
        <v>0.11538461538461539</v>
      </c>
      <c r="Q71" s="115">
        <f>IFERROR(VLOOKUP($B71,MMWR_TRAD_AGG_STATE_PEN[],Q$1,0),"ERROR")</f>
        <v>19</v>
      </c>
      <c r="R71" s="115">
        <f>IFERROR(VLOOKUP($B71,MMWR_TRAD_AGG_STATE_PEN[],R$1,0),"ERROR")</f>
        <v>67</v>
      </c>
      <c r="S71" s="115">
        <f>IFERROR(VLOOKUP($B71,MMWR_APP_STATE_PEN[],S$1,0),"ERROR")</f>
        <v>55</v>
      </c>
      <c r="T71" s="28"/>
    </row>
    <row r="72" spans="1:20" s="123" customFormat="1" x14ac:dyDescent="0.2">
      <c r="A72" s="28"/>
      <c r="B72" s="127" t="s">
        <v>433</v>
      </c>
      <c r="C72" s="109">
        <f>IFERROR(VLOOKUP($B72,MMWR_TRAD_AGG_STATE_PEN[],C$1,0),"ERROR")</f>
        <v>53</v>
      </c>
      <c r="D72" s="110">
        <f>IFERROR(VLOOKUP($B72,MMWR_TRAD_AGG_STATE_PEN[],D$1,0),"ERROR")</f>
        <v>84.603773584899997</v>
      </c>
      <c r="E72" s="111">
        <f>IFERROR(VLOOKUP($B72,MMWR_TRAD_AGG_STATE_PEN[],E$1,0),"ERROR")</f>
        <v>59</v>
      </c>
      <c r="F72" s="112">
        <f>IFERROR(VLOOKUP($B72,MMWR_TRAD_AGG_STATE_PEN[],F$1,0),"ERROR")</f>
        <v>12</v>
      </c>
      <c r="G72" s="113">
        <f t="shared" si="8"/>
        <v>0.20338983050847459</v>
      </c>
      <c r="H72" s="111">
        <f>IFERROR(VLOOKUP($B72,MMWR_TRAD_AGG_STATE_PEN[],H$1,0),"ERROR")</f>
        <v>76</v>
      </c>
      <c r="I72" s="112">
        <f>IFERROR(VLOOKUP($B72,MMWR_TRAD_AGG_STATE_PEN[],I$1,0),"ERROR")</f>
        <v>23</v>
      </c>
      <c r="J72" s="114">
        <f t="shared" si="9"/>
        <v>0.30263157894736842</v>
      </c>
      <c r="K72" s="111">
        <f>IFERROR(VLOOKUP($B72,MMWR_TRAD_AGG_STATE_PEN[],K$1,0),"ERROR")</f>
        <v>5</v>
      </c>
      <c r="L72" s="112">
        <f>IFERROR(VLOOKUP($B72,MMWR_TRAD_AGG_STATE_PEN[],L$1,0),"ERROR")</f>
        <v>5</v>
      </c>
      <c r="M72" s="114">
        <f t="shared" si="10"/>
        <v>1</v>
      </c>
      <c r="N72" s="111">
        <f>IFERROR(VLOOKUP($B72,MMWR_TRAD_AGG_STATE_PEN[],N$1,0),"ERROR")</f>
        <v>55</v>
      </c>
      <c r="O72" s="112">
        <f>IFERROR(VLOOKUP($B72,MMWR_TRAD_AGG_STATE_PEN[],O$1,0),"ERROR")</f>
        <v>10</v>
      </c>
      <c r="P72" s="114">
        <f t="shared" si="11"/>
        <v>0.18181818181818182</v>
      </c>
      <c r="Q72" s="115">
        <f>IFERROR(VLOOKUP($B72,MMWR_TRAD_AGG_STATE_PEN[],Q$1,0),"ERROR")</f>
        <v>7</v>
      </c>
      <c r="R72" s="115">
        <f>IFERROR(VLOOKUP($B72,MMWR_TRAD_AGG_STATE_PEN[],R$1,0),"ERROR")</f>
        <v>23</v>
      </c>
      <c r="S72" s="115">
        <f>IFERROR(VLOOKUP($B72,MMWR_APP_STATE_PEN[],S$1,0),"ERROR")</f>
        <v>18</v>
      </c>
      <c r="T72" s="28"/>
    </row>
    <row r="73" spans="1:20" s="123" customFormat="1" x14ac:dyDescent="0.2">
      <c r="A73" s="28"/>
      <c r="B73" s="127" t="s">
        <v>424</v>
      </c>
      <c r="C73" s="109">
        <f>IFERROR(VLOOKUP($B73,MMWR_TRAD_AGG_STATE_PEN[],C$1,0),"ERROR")</f>
        <v>28</v>
      </c>
      <c r="D73" s="110">
        <f>IFERROR(VLOOKUP($B73,MMWR_TRAD_AGG_STATE_PEN[],D$1,0),"ERROR")</f>
        <v>78.785714285699996</v>
      </c>
      <c r="E73" s="111">
        <f>IFERROR(VLOOKUP($B73,MMWR_TRAD_AGG_STATE_PEN[],E$1,0),"ERROR")</f>
        <v>32</v>
      </c>
      <c r="F73" s="112">
        <f>IFERROR(VLOOKUP($B73,MMWR_TRAD_AGG_STATE_PEN[],F$1,0),"ERROR")</f>
        <v>6</v>
      </c>
      <c r="G73" s="113">
        <f t="shared" si="8"/>
        <v>0.1875</v>
      </c>
      <c r="H73" s="111">
        <f>IFERROR(VLOOKUP($B73,MMWR_TRAD_AGG_STATE_PEN[],H$1,0),"ERROR")</f>
        <v>46</v>
      </c>
      <c r="I73" s="112">
        <f>IFERROR(VLOOKUP($B73,MMWR_TRAD_AGG_STATE_PEN[],I$1,0),"ERROR")</f>
        <v>10</v>
      </c>
      <c r="J73" s="114">
        <f t="shared" si="9"/>
        <v>0.21739130434782608</v>
      </c>
      <c r="K73" s="111">
        <f>IFERROR(VLOOKUP($B73,MMWR_TRAD_AGG_STATE_PEN[],K$1,0),"ERROR")</f>
        <v>5</v>
      </c>
      <c r="L73" s="112">
        <f>IFERROR(VLOOKUP($B73,MMWR_TRAD_AGG_STATE_PEN[],L$1,0),"ERROR")</f>
        <v>4</v>
      </c>
      <c r="M73" s="114">
        <f t="shared" si="10"/>
        <v>0.8</v>
      </c>
      <c r="N73" s="111">
        <f>IFERROR(VLOOKUP($B73,MMWR_TRAD_AGG_STATE_PEN[],N$1,0),"ERROR")</f>
        <v>25</v>
      </c>
      <c r="O73" s="112">
        <f>IFERROR(VLOOKUP($B73,MMWR_TRAD_AGG_STATE_PEN[],O$1,0),"ERROR")</f>
        <v>2</v>
      </c>
      <c r="P73" s="114">
        <f t="shared" si="11"/>
        <v>0.08</v>
      </c>
      <c r="Q73" s="115">
        <f>IFERROR(VLOOKUP($B73,MMWR_TRAD_AGG_STATE_PEN[],Q$1,0),"ERROR")</f>
        <v>9</v>
      </c>
      <c r="R73" s="115">
        <f>IFERROR(VLOOKUP($B73,MMWR_TRAD_AGG_STATE_PEN[],R$1,0),"ERROR")</f>
        <v>11</v>
      </c>
      <c r="S73" s="115">
        <f>IFERROR(VLOOKUP($B73,MMWR_APP_STATE_PEN[],S$1,0),"ERROR")</f>
        <v>11</v>
      </c>
      <c r="T73" s="28"/>
    </row>
    <row r="74" spans="1:20" s="123" customFormat="1" x14ac:dyDescent="0.2">
      <c r="A74" s="28"/>
      <c r="B74" s="127" t="s">
        <v>426</v>
      </c>
      <c r="C74" s="109">
        <f>IFERROR(VLOOKUP($B74,MMWR_TRAD_AGG_STATE_PEN[],C$1,0),"ERROR")</f>
        <v>111</v>
      </c>
      <c r="D74" s="110">
        <f>IFERROR(VLOOKUP($B74,MMWR_TRAD_AGG_STATE_PEN[],D$1,0),"ERROR")</f>
        <v>86.576576576600004</v>
      </c>
      <c r="E74" s="111">
        <f>IFERROR(VLOOKUP($B74,MMWR_TRAD_AGG_STATE_PEN[],E$1,0),"ERROR")</f>
        <v>74</v>
      </c>
      <c r="F74" s="112">
        <f>IFERROR(VLOOKUP($B74,MMWR_TRAD_AGG_STATE_PEN[],F$1,0),"ERROR")</f>
        <v>14</v>
      </c>
      <c r="G74" s="113">
        <f t="shared" si="8"/>
        <v>0.1891891891891892</v>
      </c>
      <c r="H74" s="111">
        <f>IFERROR(VLOOKUP($B74,MMWR_TRAD_AGG_STATE_PEN[],H$1,0),"ERROR")</f>
        <v>173</v>
      </c>
      <c r="I74" s="112">
        <f>IFERROR(VLOOKUP($B74,MMWR_TRAD_AGG_STATE_PEN[],I$1,0),"ERROR")</f>
        <v>50</v>
      </c>
      <c r="J74" s="114">
        <f t="shared" si="9"/>
        <v>0.28901734104046245</v>
      </c>
      <c r="K74" s="111">
        <f>IFERROR(VLOOKUP($B74,MMWR_TRAD_AGG_STATE_PEN[],K$1,0),"ERROR")</f>
        <v>6</v>
      </c>
      <c r="L74" s="112">
        <f>IFERROR(VLOOKUP($B74,MMWR_TRAD_AGG_STATE_PEN[],L$1,0),"ERROR")</f>
        <v>6</v>
      </c>
      <c r="M74" s="114">
        <f t="shared" si="10"/>
        <v>1</v>
      </c>
      <c r="N74" s="111">
        <f>IFERROR(VLOOKUP($B74,MMWR_TRAD_AGG_STATE_PEN[],N$1,0),"ERROR")</f>
        <v>49</v>
      </c>
      <c r="O74" s="112">
        <f>IFERROR(VLOOKUP($B74,MMWR_TRAD_AGG_STATE_PEN[],O$1,0),"ERROR")</f>
        <v>6</v>
      </c>
      <c r="P74" s="114">
        <f t="shared" si="11"/>
        <v>0.12244897959183673</v>
      </c>
      <c r="Q74" s="115">
        <f>IFERROR(VLOOKUP($B74,MMWR_TRAD_AGG_STATE_PEN[],Q$1,0),"ERROR")</f>
        <v>12</v>
      </c>
      <c r="R74" s="115">
        <f>IFERROR(VLOOKUP($B74,MMWR_TRAD_AGG_STATE_PEN[],R$1,0),"ERROR")</f>
        <v>27</v>
      </c>
      <c r="S74" s="115">
        <f>IFERROR(VLOOKUP($B74,MMWR_APP_STATE_PEN[],S$1,0),"ERROR")</f>
        <v>26</v>
      </c>
      <c r="T74" s="28"/>
    </row>
    <row r="75" spans="1:20" s="123" customFormat="1" x14ac:dyDescent="0.2">
      <c r="A75" s="28"/>
      <c r="B75" s="127" t="s">
        <v>386</v>
      </c>
      <c r="C75" s="109">
        <f>IFERROR(VLOOKUP($B75,MMWR_TRAD_AGG_STATE_PEN[],C$1,0),"ERROR")</f>
        <v>337</v>
      </c>
      <c r="D75" s="110">
        <f>IFERROR(VLOOKUP($B75,MMWR_TRAD_AGG_STATE_PEN[],D$1,0),"ERROR")</f>
        <v>94.896142433199998</v>
      </c>
      <c r="E75" s="111">
        <f>IFERROR(VLOOKUP($B75,MMWR_TRAD_AGG_STATE_PEN[],E$1,0),"ERROR")</f>
        <v>378</v>
      </c>
      <c r="F75" s="112">
        <f>IFERROR(VLOOKUP($B75,MMWR_TRAD_AGG_STATE_PEN[],F$1,0),"ERROR")</f>
        <v>59</v>
      </c>
      <c r="G75" s="113">
        <f t="shared" si="8"/>
        <v>0.15608465608465608</v>
      </c>
      <c r="H75" s="111">
        <f>IFERROR(VLOOKUP($B75,MMWR_TRAD_AGG_STATE_PEN[],H$1,0),"ERROR")</f>
        <v>519</v>
      </c>
      <c r="I75" s="112">
        <f>IFERROR(VLOOKUP($B75,MMWR_TRAD_AGG_STATE_PEN[],I$1,0),"ERROR")</f>
        <v>152</v>
      </c>
      <c r="J75" s="114">
        <f t="shared" si="9"/>
        <v>0.2928709055876686</v>
      </c>
      <c r="K75" s="111">
        <f>IFERROR(VLOOKUP($B75,MMWR_TRAD_AGG_STATE_PEN[],K$1,0),"ERROR")</f>
        <v>18</v>
      </c>
      <c r="L75" s="112">
        <f>IFERROR(VLOOKUP($B75,MMWR_TRAD_AGG_STATE_PEN[],L$1,0),"ERROR")</f>
        <v>17</v>
      </c>
      <c r="M75" s="114">
        <f t="shared" si="10"/>
        <v>0.94444444444444442</v>
      </c>
      <c r="N75" s="111">
        <f>IFERROR(VLOOKUP($B75,MMWR_TRAD_AGG_STATE_PEN[],N$1,0),"ERROR")</f>
        <v>190</v>
      </c>
      <c r="O75" s="112">
        <f>IFERROR(VLOOKUP($B75,MMWR_TRAD_AGG_STATE_PEN[],O$1,0),"ERROR")</f>
        <v>32</v>
      </c>
      <c r="P75" s="114">
        <f t="shared" si="11"/>
        <v>0.16842105263157894</v>
      </c>
      <c r="Q75" s="115">
        <f>IFERROR(VLOOKUP($B75,MMWR_TRAD_AGG_STATE_PEN[],Q$1,0),"ERROR")</f>
        <v>60</v>
      </c>
      <c r="R75" s="115">
        <f>IFERROR(VLOOKUP($B75,MMWR_TRAD_AGG_STATE_PEN[],R$1,0),"ERROR")</f>
        <v>142</v>
      </c>
      <c r="S75" s="115">
        <f>IFERROR(VLOOKUP($B75,MMWR_APP_STATE_PEN[],S$1,0),"ERROR")</f>
        <v>78</v>
      </c>
      <c r="T75" s="28"/>
    </row>
    <row r="76" spans="1:20" s="123" customFormat="1" x14ac:dyDescent="0.2">
      <c r="A76" s="28"/>
      <c r="B76" s="127" t="s">
        <v>381</v>
      </c>
      <c r="C76" s="109">
        <f>IFERROR(VLOOKUP($B76,MMWR_TRAD_AGG_STATE_PEN[],C$1,0),"ERROR")</f>
        <v>309</v>
      </c>
      <c r="D76" s="110">
        <f>IFERROR(VLOOKUP($B76,MMWR_TRAD_AGG_STATE_PEN[],D$1,0),"ERROR")</f>
        <v>89.391585760500007</v>
      </c>
      <c r="E76" s="111">
        <f>IFERROR(VLOOKUP($B76,MMWR_TRAD_AGG_STATE_PEN[],E$1,0),"ERROR")</f>
        <v>350</v>
      </c>
      <c r="F76" s="112">
        <f>IFERROR(VLOOKUP($B76,MMWR_TRAD_AGG_STATE_PEN[],F$1,0),"ERROR")</f>
        <v>74</v>
      </c>
      <c r="G76" s="113">
        <f t="shared" si="8"/>
        <v>0.21142857142857144</v>
      </c>
      <c r="H76" s="111">
        <f>IFERROR(VLOOKUP($B76,MMWR_TRAD_AGG_STATE_PEN[],H$1,0),"ERROR")</f>
        <v>510</v>
      </c>
      <c r="I76" s="112">
        <f>IFERROR(VLOOKUP($B76,MMWR_TRAD_AGG_STATE_PEN[],I$1,0),"ERROR")</f>
        <v>154</v>
      </c>
      <c r="J76" s="114">
        <f t="shared" si="9"/>
        <v>0.30196078431372547</v>
      </c>
      <c r="K76" s="111">
        <f>IFERROR(VLOOKUP($B76,MMWR_TRAD_AGG_STATE_PEN[],K$1,0),"ERROR")</f>
        <v>11</v>
      </c>
      <c r="L76" s="112">
        <f>IFERROR(VLOOKUP($B76,MMWR_TRAD_AGG_STATE_PEN[],L$1,0),"ERROR")</f>
        <v>9</v>
      </c>
      <c r="M76" s="114">
        <f t="shared" si="10"/>
        <v>0.81818181818181823</v>
      </c>
      <c r="N76" s="111">
        <f>IFERROR(VLOOKUP($B76,MMWR_TRAD_AGG_STATE_PEN[],N$1,0),"ERROR")</f>
        <v>192</v>
      </c>
      <c r="O76" s="112">
        <f>IFERROR(VLOOKUP($B76,MMWR_TRAD_AGG_STATE_PEN[],O$1,0),"ERROR")</f>
        <v>23</v>
      </c>
      <c r="P76" s="114">
        <f t="shared" si="11"/>
        <v>0.11979166666666667</v>
      </c>
      <c r="Q76" s="115">
        <f>IFERROR(VLOOKUP($B76,MMWR_TRAD_AGG_STATE_PEN[],Q$1,0),"ERROR")</f>
        <v>54</v>
      </c>
      <c r="R76" s="115">
        <f>IFERROR(VLOOKUP($B76,MMWR_TRAD_AGG_STATE_PEN[],R$1,0),"ERROR")</f>
        <v>128</v>
      </c>
      <c r="S76" s="115">
        <f>IFERROR(VLOOKUP($B76,MMWR_APP_STATE_PEN[],S$1,0),"ERROR")</f>
        <v>116</v>
      </c>
      <c r="T76" s="28"/>
    </row>
    <row r="77" spans="1:20" s="123" customFormat="1" x14ac:dyDescent="0.2">
      <c r="A77" s="28"/>
      <c r="B77" s="127" t="s">
        <v>425</v>
      </c>
      <c r="C77" s="109">
        <f>IFERROR(VLOOKUP($B77,MMWR_TRAD_AGG_STATE_PEN[],C$1,0),"ERROR")</f>
        <v>86</v>
      </c>
      <c r="D77" s="110">
        <f>IFERROR(VLOOKUP($B77,MMWR_TRAD_AGG_STATE_PEN[],D$1,0),"ERROR")</f>
        <v>85.837209302299996</v>
      </c>
      <c r="E77" s="111">
        <f>IFERROR(VLOOKUP($B77,MMWR_TRAD_AGG_STATE_PEN[],E$1,0),"ERROR")</f>
        <v>98</v>
      </c>
      <c r="F77" s="112">
        <f>IFERROR(VLOOKUP($B77,MMWR_TRAD_AGG_STATE_PEN[],F$1,0),"ERROR")</f>
        <v>14</v>
      </c>
      <c r="G77" s="113">
        <f t="shared" si="8"/>
        <v>0.14285714285714285</v>
      </c>
      <c r="H77" s="111">
        <f>IFERROR(VLOOKUP($B77,MMWR_TRAD_AGG_STATE_PEN[],H$1,0),"ERROR")</f>
        <v>128</v>
      </c>
      <c r="I77" s="112">
        <f>IFERROR(VLOOKUP($B77,MMWR_TRAD_AGG_STATE_PEN[],I$1,0),"ERROR")</f>
        <v>38</v>
      </c>
      <c r="J77" s="114">
        <f t="shared" si="9"/>
        <v>0.296875</v>
      </c>
      <c r="K77" s="111">
        <f>IFERROR(VLOOKUP($B77,MMWR_TRAD_AGG_STATE_PEN[],K$1,0),"ERROR")</f>
        <v>3</v>
      </c>
      <c r="L77" s="112">
        <f>IFERROR(VLOOKUP($B77,MMWR_TRAD_AGG_STATE_PEN[],L$1,0),"ERROR")</f>
        <v>3</v>
      </c>
      <c r="M77" s="114">
        <f t="shared" si="10"/>
        <v>1</v>
      </c>
      <c r="N77" s="111">
        <f>IFERROR(VLOOKUP($B77,MMWR_TRAD_AGG_STATE_PEN[],N$1,0),"ERROR")</f>
        <v>46</v>
      </c>
      <c r="O77" s="112">
        <f>IFERROR(VLOOKUP($B77,MMWR_TRAD_AGG_STATE_PEN[],O$1,0),"ERROR")</f>
        <v>6</v>
      </c>
      <c r="P77" s="114">
        <f t="shared" si="11"/>
        <v>0.13043478260869565</v>
      </c>
      <c r="Q77" s="115">
        <f>IFERROR(VLOOKUP($B77,MMWR_TRAD_AGG_STATE_PEN[],Q$1,0),"ERROR")</f>
        <v>12</v>
      </c>
      <c r="R77" s="115">
        <f>IFERROR(VLOOKUP($B77,MMWR_TRAD_AGG_STATE_PEN[],R$1,0),"ERROR")</f>
        <v>26</v>
      </c>
      <c r="S77" s="115">
        <f>IFERROR(VLOOKUP($B77,MMWR_APP_STATE_PEN[],S$1,0),"ERROR")</f>
        <v>22</v>
      </c>
      <c r="T77" s="28"/>
    </row>
    <row r="78" spans="1:20" s="123" customFormat="1" x14ac:dyDescent="0.2">
      <c r="A78" s="28"/>
      <c r="B78" s="127" t="s">
        <v>384</v>
      </c>
      <c r="C78" s="109">
        <f>IFERROR(VLOOKUP($B78,MMWR_TRAD_AGG_STATE_PEN[],C$1,0),"ERROR")</f>
        <v>402</v>
      </c>
      <c r="D78" s="110">
        <f>IFERROR(VLOOKUP($B78,MMWR_TRAD_AGG_STATE_PEN[],D$1,0),"ERROR")</f>
        <v>91.987562189100004</v>
      </c>
      <c r="E78" s="111">
        <f>IFERROR(VLOOKUP($B78,MMWR_TRAD_AGG_STATE_PEN[],E$1,0),"ERROR")</f>
        <v>471</v>
      </c>
      <c r="F78" s="112">
        <f>IFERROR(VLOOKUP($B78,MMWR_TRAD_AGG_STATE_PEN[],F$1,0),"ERROR")</f>
        <v>97</v>
      </c>
      <c r="G78" s="113">
        <f t="shared" si="8"/>
        <v>0.20594479830148621</v>
      </c>
      <c r="H78" s="111">
        <f>IFERROR(VLOOKUP($B78,MMWR_TRAD_AGG_STATE_PEN[],H$1,0),"ERROR")</f>
        <v>600</v>
      </c>
      <c r="I78" s="112">
        <f>IFERROR(VLOOKUP($B78,MMWR_TRAD_AGG_STATE_PEN[],I$1,0),"ERROR")</f>
        <v>177</v>
      </c>
      <c r="J78" s="114">
        <f t="shared" si="9"/>
        <v>0.29499999999999998</v>
      </c>
      <c r="K78" s="111">
        <f>IFERROR(VLOOKUP($B78,MMWR_TRAD_AGG_STATE_PEN[],K$1,0),"ERROR")</f>
        <v>15</v>
      </c>
      <c r="L78" s="112">
        <f>IFERROR(VLOOKUP($B78,MMWR_TRAD_AGG_STATE_PEN[],L$1,0),"ERROR")</f>
        <v>15</v>
      </c>
      <c r="M78" s="114">
        <f t="shared" si="10"/>
        <v>1</v>
      </c>
      <c r="N78" s="111">
        <f>IFERROR(VLOOKUP($B78,MMWR_TRAD_AGG_STATE_PEN[],N$1,0),"ERROR")</f>
        <v>239</v>
      </c>
      <c r="O78" s="112">
        <f>IFERROR(VLOOKUP($B78,MMWR_TRAD_AGG_STATE_PEN[],O$1,0),"ERROR")</f>
        <v>41</v>
      </c>
      <c r="P78" s="114">
        <f t="shared" si="11"/>
        <v>0.17154811715481172</v>
      </c>
      <c r="Q78" s="115">
        <f>IFERROR(VLOOKUP($B78,MMWR_TRAD_AGG_STATE_PEN[],Q$1,0),"ERROR")</f>
        <v>67</v>
      </c>
      <c r="R78" s="115">
        <f>IFERROR(VLOOKUP($B78,MMWR_TRAD_AGG_STATE_PEN[],R$1,0),"ERROR")</f>
        <v>170</v>
      </c>
      <c r="S78" s="115">
        <f>IFERROR(VLOOKUP($B78,MMWR_APP_STATE_PEN[],S$1,0),"ERROR")</f>
        <v>183</v>
      </c>
      <c r="T78" s="28"/>
    </row>
    <row r="79" spans="1:20" s="123" customFormat="1" x14ac:dyDescent="0.2">
      <c r="A79" s="28"/>
      <c r="B79" s="127" t="s">
        <v>63</v>
      </c>
      <c r="C79" s="109">
        <f>IFERROR(VLOOKUP($B79,MMWR_TRAD_AGG_STATE_PEN[],C$1,0),"ERROR")</f>
        <v>1037</v>
      </c>
      <c r="D79" s="110">
        <f>IFERROR(VLOOKUP($B79,MMWR_TRAD_AGG_STATE_PEN[],D$1,0),"ERROR")</f>
        <v>89.122468659600003</v>
      </c>
      <c r="E79" s="111">
        <f>IFERROR(VLOOKUP($B79,MMWR_TRAD_AGG_STATE_PEN[],E$1,0),"ERROR")</f>
        <v>1375</v>
      </c>
      <c r="F79" s="112">
        <f>IFERROR(VLOOKUP($B79,MMWR_TRAD_AGG_STATE_PEN[],F$1,0),"ERROR")</f>
        <v>242</v>
      </c>
      <c r="G79" s="113">
        <f t="shared" si="8"/>
        <v>0.17599999999999999</v>
      </c>
      <c r="H79" s="111">
        <f>IFERROR(VLOOKUP($B79,MMWR_TRAD_AGG_STATE_PEN[],H$1,0),"ERROR")</f>
        <v>1724</v>
      </c>
      <c r="I79" s="112">
        <f>IFERROR(VLOOKUP($B79,MMWR_TRAD_AGG_STATE_PEN[],I$1,0),"ERROR")</f>
        <v>456</v>
      </c>
      <c r="J79" s="114">
        <f t="shared" si="9"/>
        <v>0.26450116009280744</v>
      </c>
      <c r="K79" s="111">
        <f>IFERROR(VLOOKUP($B79,MMWR_TRAD_AGG_STATE_PEN[],K$1,0),"ERROR")</f>
        <v>50</v>
      </c>
      <c r="L79" s="112">
        <f>IFERROR(VLOOKUP($B79,MMWR_TRAD_AGG_STATE_PEN[],L$1,0),"ERROR")</f>
        <v>48</v>
      </c>
      <c r="M79" s="114">
        <f t="shared" si="10"/>
        <v>0.96</v>
      </c>
      <c r="N79" s="111">
        <f>IFERROR(VLOOKUP($B79,MMWR_TRAD_AGG_STATE_PEN[],N$1,0),"ERROR")</f>
        <v>545</v>
      </c>
      <c r="O79" s="112">
        <f>IFERROR(VLOOKUP($B79,MMWR_TRAD_AGG_STATE_PEN[],O$1,0),"ERROR")</f>
        <v>95</v>
      </c>
      <c r="P79" s="114">
        <f t="shared" si="11"/>
        <v>0.1743119266055046</v>
      </c>
      <c r="Q79" s="115">
        <f>IFERROR(VLOOKUP($B79,MMWR_TRAD_AGG_STATE_PEN[],Q$1,0),"ERROR")</f>
        <v>119</v>
      </c>
      <c r="R79" s="115">
        <f>IFERROR(VLOOKUP($B79,MMWR_TRAD_AGG_STATE_PEN[],R$1,0),"ERROR")</f>
        <v>312</v>
      </c>
      <c r="S79" s="115">
        <f>IFERROR(VLOOKUP($B79,MMWR_APP_STATE_PEN[],S$1,0),"ERROR")</f>
        <v>263</v>
      </c>
      <c r="T79" s="28"/>
    </row>
    <row r="80" spans="1:20" s="123" customFormat="1" x14ac:dyDescent="0.2">
      <c r="A80" s="28"/>
      <c r="B80" s="127" t="s">
        <v>392</v>
      </c>
      <c r="C80" s="109">
        <f>IFERROR(VLOOKUP($B80,MMWR_TRAD_AGG_STATE_PEN[],C$1,0),"ERROR")</f>
        <v>1228</v>
      </c>
      <c r="D80" s="110">
        <f>IFERROR(VLOOKUP($B80,MMWR_TRAD_AGG_STATE_PEN[],D$1,0),"ERROR")</f>
        <v>97.076547231299998</v>
      </c>
      <c r="E80" s="111">
        <f>IFERROR(VLOOKUP($B80,MMWR_TRAD_AGG_STATE_PEN[],E$1,0),"ERROR")</f>
        <v>960</v>
      </c>
      <c r="F80" s="112">
        <f>IFERROR(VLOOKUP($B80,MMWR_TRAD_AGG_STATE_PEN[],F$1,0),"ERROR")</f>
        <v>166</v>
      </c>
      <c r="G80" s="113">
        <f t="shared" si="8"/>
        <v>0.17291666666666666</v>
      </c>
      <c r="H80" s="111">
        <f>IFERROR(VLOOKUP($B80,MMWR_TRAD_AGG_STATE_PEN[],H$1,0),"ERROR")</f>
        <v>2054</v>
      </c>
      <c r="I80" s="112">
        <f>IFERROR(VLOOKUP($B80,MMWR_TRAD_AGG_STATE_PEN[],I$1,0),"ERROR")</f>
        <v>572</v>
      </c>
      <c r="J80" s="114">
        <f t="shared" si="9"/>
        <v>0.27848101265822783</v>
      </c>
      <c r="K80" s="111">
        <f>IFERROR(VLOOKUP($B80,MMWR_TRAD_AGG_STATE_PEN[],K$1,0),"ERROR")</f>
        <v>65</v>
      </c>
      <c r="L80" s="112">
        <f>IFERROR(VLOOKUP($B80,MMWR_TRAD_AGG_STATE_PEN[],L$1,0),"ERROR")</f>
        <v>63</v>
      </c>
      <c r="M80" s="114">
        <f t="shared" si="10"/>
        <v>0.96923076923076923</v>
      </c>
      <c r="N80" s="111">
        <f>IFERROR(VLOOKUP($B80,MMWR_TRAD_AGG_STATE_PEN[],N$1,0),"ERROR")</f>
        <v>592</v>
      </c>
      <c r="O80" s="112">
        <f>IFERROR(VLOOKUP($B80,MMWR_TRAD_AGG_STATE_PEN[],O$1,0),"ERROR")</f>
        <v>88</v>
      </c>
      <c r="P80" s="114">
        <f t="shared" si="11"/>
        <v>0.14864864864864866</v>
      </c>
      <c r="Q80" s="115">
        <f>IFERROR(VLOOKUP($B80,MMWR_TRAD_AGG_STATE_PEN[],Q$1,0),"ERROR")</f>
        <v>200</v>
      </c>
      <c r="R80" s="115">
        <f>IFERROR(VLOOKUP($B80,MMWR_TRAD_AGG_STATE_PEN[],R$1,0),"ERROR")</f>
        <v>327</v>
      </c>
      <c r="S80" s="115">
        <f>IFERROR(VLOOKUP($B80,MMWR_APP_STATE_PEN[],S$1,0),"ERROR")</f>
        <v>231</v>
      </c>
      <c r="T80" s="28"/>
    </row>
    <row r="81" spans="1:20" s="123" customFormat="1" x14ac:dyDescent="0.2">
      <c r="A81" s="28"/>
      <c r="B81" s="127" t="s">
        <v>385</v>
      </c>
      <c r="C81" s="109">
        <f>IFERROR(VLOOKUP($B81,MMWR_TRAD_AGG_STATE_PEN[],C$1,0),"ERROR")</f>
        <v>1402</v>
      </c>
      <c r="D81" s="110">
        <f>IFERROR(VLOOKUP($B81,MMWR_TRAD_AGG_STATE_PEN[],D$1,0),"ERROR")</f>
        <v>88.262482168299996</v>
      </c>
      <c r="E81" s="111">
        <f>IFERROR(VLOOKUP($B81,MMWR_TRAD_AGG_STATE_PEN[],E$1,0),"ERROR")</f>
        <v>1648</v>
      </c>
      <c r="F81" s="112">
        <f>IFERROR(VLOOKUP($B81,MMWR_TRAD_AGG_STATE_PEN[],F$1,0),"ERROR")</f>
        <v>304</v>
      </c>
      <c r="G81" s="113">
        <f t="shared" si="8"/>
        <v>0.18446601941747573</v>
      </c>
      <c r="H81" s="111">
        <f>IFERROR(VLOOKUP($B81,MMWR_TRAD_AGG_STATE_PEN[],H$1,0),"ERROR")</f>
        <v>2192</v>
      </c>
      <c r="I81" s="112">
        <f>IFERROR(VLOOKUP($B81,MMWR_TRAD_AGG_STATE_PEN[],I$1,0),"ERROR")</f>
        <v>583</v>
      </c>
      <c r="J81" s="114">
        <f t="shared" si="9"/>
        <v>0.26596715328467152</v>
      </c>
      <c r="K81" s="111">
        <f>IFERROR(VLOOKUP($B81,MMWR_TRAD_AGG_STATE_PEN[],K$1,0),"ERROR")</f>
        <v>49</v>
      </c>
      <c r="L81" s="112">
        <f>IFERROR(VLOOKUP($B81,MMWR_TRAD_AGG_STATE_PEN[],L$1,0),"ERROR")</f>
        <v>49</v>
      </c>
      <c r="M81" s="114">
        <f t="shared" si="10"/>
        <v>1</v>
      </c>
      <c r="N81" s="111">
        <f>IFERROR(VLOOKUP($B81,MMWR_TRAD_AGG_STATE_PEN[],N$1,0),"ERROR")</f>
        <v>691</v>
      </c>
      <c r="O81" s="112">
        <f>IFERROR(VLOOKUP($B81,MMWR_TRAD_AGG_STATE_PEN[],O$1,0),"ERROR")</f>
        <v>87</v>
      </c>
      <c r="P81" s="114">
        <f t="shared" si="11"/>
        <v>0.12590448625180897</v>
      </c>
      <c r="Q81" s="115">
        <f>IFERROR(VLOOKUP($B81,MMWR_TRAD_AGG_STATE_PEN[],Q$1,0),"ERROR")</f>
        <v>126</v>
      </c>
      <c r="R81" s="115">
        <f>IFERROR(VLOOKUP($B81,MMWR_TRAD_AGG_STATE_PEN[],R$1,0),"ERROR")</f>
        <v>373</v>
      </c>
      <c r="S81" s="115">
        <f>IFERROR(VLOOKUP($B81,MMWR_APP_STATE_PEN[],S$1,0),"ERROR")</f>
        <v>283</v>
      </c>
      <c r="T81" s="28"/>
    </row>
    <row r="82" spans="1:20" s="123" customFormat="1" x14ac:dyDescent="0.2">
      <c r="A82" s="28"/>
      <c r="B82" s="127" t="s">
        <v>382</v>
      </c>
      <c r="C82" s="109">
        <f>IFERROR(VLOOKUP($B82,MMWR_TRAD_AGG_STATE_PEN[],C$1,0),"ERROR")</f>
        <v>57</v>
      </c>
      <c r="D82" s="110">
        <f>IFERROR(VLOOKUP($B82,MMWR_TRAD_AGG_STATE_PEN[],D$1,0),"ERROR")</f>
        <v>75.175438596500001</v>
      </c>
      <c r="E82" s="111">
        <f>IFERROR(VLOOKUP($B82,MMWR_TRAD_AGG_STATE_PEN[],E$1,0),"ERROR")</f>
        <v>108</v>
      </c>
      <c r="F82" s="112">
        <f>IFERROR(VLOOKUP($B82,MMWR_TRAD_AGG_STATE_PEN[],F$1,0),"ERROR")</f>
        <v>28</v>
      </c>
      <c r="G82" s="113">
        <f t="shared" si="8"/>
        <v>0.25925925925925924</v>
      </c>
      <c r="H82" s="111">
        <f>IFERROR(VLOOKUP($B82,MMWR_TRAD_AGG_STATE_PEN[],H$1,0),"ERROR")</f>
        <v>92</v>
      </c>
      <c r="I82" s="112">
        <f>IFERROR(VLOOKUP($B82,MMWR_TRAD_AGG_STATE_PEN[],I$1,0),"ERROR")</f>
        <v>16</v>
      </c>
      <c r="J82" s="114">
        <f t="shared" si="9"/>
        <v>0.17391304347826086</v>
      </c>
      <c r="K82" s="111">
        <f>IFERROR(VLOOKUP($B82,MMWR_TRAD_AGG_STATE_PEN[],K$1,0),"ERROR")</f>
        <v>5</v>
      </c>
      <c r="L82" s="112">
        <f>IFERROR(VLOOKUP($B82,MMWR_TRAD_AGG_STATE_PEN[],L$1,0),"ERROR")</f>
        <v>5</v>
      </c>
      <c r="M82" s="114">
        <f t="shared" si="10"/>
        <v>1</v>
      </c>
      <c r="N82" s="111">
        <f>IFERROR(VLOOKUP($B82,MMWR_TRAD_AGG_STATE_PEN[],N$1,0),"ERROR")</f>
        <v>41</v>
      </c>
      <c r="O82" s="112">
        <f>IFERROR(VLOOKUP($B82,MMWR_TRAD_AGG_STATE_PEN[],O$1,0),"ERROR")</f>
        <v>3</v>
      </c>
      <c r="P82" s="114">
        <f t="shared" si="11"/>
        <v>7.3170731707317069E-2</v>
      </c>
      <c r="Q82" s="115">
        <f>IFERROR(VLOOKUP($B82,MMWR_TRAD_AGG_STATE_PEN[],Q$1,0),"ERROR")</f>
        <v>17</v>
      </c>
      <c r="R82" s="115">
        <f>IFERROR(VLOOKUP($B82,MMWR_TRAD_AGG_STATE_PEN[],R$1,0),"ERROR")</f>
        <v>26</v>
      </c>
      <c r="S82" s="115">
        <f>IFERROR(VLOOKUP($B82,MMWR_APP_STATE_PEN[],S$1,0),"ERROR")</f>
        <v>23</v>
      </c>
      <c r="T82" s="28"/>
    </row>
    <row r="83" spans="1:20" s="123" customFormat="1" x14ac:dyDescent="0.2">
      <c r="A83" s="28"/>
      <c r="B83" s="127" t="s">
        <v>427</v>
      </c>
      <c r="C83" s="109">
        <f>IFERROR(VLOOKUP($B83,MMWR_TRAD_AGG_STATE_PEN[],C$1,0),"ERROR")</f>
        <v>27</v>
      </c>
      <c r="D83" s="110">
        <f>IFERROR(VLOOKUP($B83,MMWR_TRAD_AGG_STATE_PEN[],D$1,0),"ERROR")</f>
        <v>98.148148148100006</v>
      </c>
      <c r="E83" s="111">
        <f>IFERROR(VLOOKUP($B83,MMWR_TRAD_AGG_STATE_PEN[],E$1,0),"ERROR")</f>
        <v>24</v>
      </c>
      <c r="F83" s="112">
        <f>IFERROR(VLOOKUP($B83,MMWR_TRAD_AGG_STATE_PEN[],F$1,0),"ERROR")</f>
        <v>4</v>
      </c>
      <c r="G83" s="113">
        <f t="shared" si="8"/>
        <v>0.16666666666666666</v>
      </c>
      <c r="H83" s="111">
        <f>IFERROR(VLOOKUP($B83,MMWR_TRAD_AGG_STATE_PEN[],H$1,0),"ERROR")</f>
        <v>40</v>
      </c>
      <c r="I83" s="112">
        <f>IFERROR(VLOOKUP($B83,MMWR_TRAD_AGG_STATE_PEN[],I$1,0),"ERROR")</f>
        <v>14</v>
      </c>
      <c r="J83" s="114">
        <f t="shared" si="9"/>
        <v>0.35</v>
      </c>
      <c r="K83" s="111">
        <f>IFERROR(VLOOKUP($B83,MMWR_TRAD_AGG_STATE_PEN[],K$1,0),"ERROR")</f>
        <v>1</v>
      </c>
      <c r="L83" s="112">
        <f>IFERROR(VLOOKUP($B83,MMWR_TRAD_AGG_STATE_PEN[],L$1,0),"ERROR")</f>
        <v>1</v>
      </c>
      <c r="M83" s="114">
        <f t="shared" si="10"/>
        <v>1</v>
      </c>
      <c r="N83" s="111">
        <f>IFERROR(VLOOKUP($B83,MMWR_TRAD_AGG_STATE_PEN[],N$1,0),"ERROR")</f>
        <v>15</v>
      </c>
      <c r="O83" s="112">
        <f>IFERROR(VLOOKUP($B83,MMWR_TRAD_AGG_STATE_PEN[],O$1,0),"ERROR")</f>
        <v>2</v>
      </c>
      <c r="P83" s="114">
        <f t="shared" si="11"/>
        <v>0.13333333333333333</v>
      </c>
      <c r="Q83" s="115">
        <f>IFERROR(VLOOKUP($B83,MMWR_TRAD_AGG_STATE_PEN[],Q$1,0),"ERROR")</f>
        <v>8</v>
      </c>
      <c r="R83" s="115">
        <f>IFERROR(VLOOKUP($B83,MMWR_TRAD_AGG_STATE_PEN[],R$1,0),"ERROR")</f>
        <v>5</v>
      </c>
      <c r="S83" s="115">
        <f>IFERROR(VLOOKUP($B83,MMWR_APP_STATE_PEN[],S$1,0),"ERROR")</f>
        <v>5</v>
      </c>
      <c r="T83" s="28"/>
    </row>
    <row r="84" spans="1:20" s="123" customFormat="1" x14ac:dyDescent="0.2">
      <c r="A84" s="28"/>
      <c r="B84" s="127" t="s">
        <v>388</v>
      </c>
      <c r="C84" s="109">
        <f>IFERROR(VLOOKUP($B84,MMWR_TRAD_AGG_STATE_PEN[],C$1,0),"ERROR")</f>
        <v>686</v>
      </c>
      <c r="D84" s="110">
        <f>IFERROR(VLOOKUP($B84,MMWR_TRAD_AGG_STATE_PEN[],D$1,0),"ERROR")</f>
        <v>92.654518950400004</v>
      </c>
      <c r="E84" s="111">
        <f>IFERROR(VLOOKUP($B84,MMWR_TRAD_AGG_STATE_PEN[],E$1,0),"ERROR")</f>
        <v>599</v>
      </c>
      <c r="F84" s="112">
        <f>IFERROR(VLOOKUP($B84,MMWR_TRAD_AGG_STATE_PEN[],F$1,0),"ERROR")</f>
        <v>121</v>
      </c>
      <c r="G84" s="113">
        <f t="shared" si="8"/>
        <v>0.2020033388981636</v>
      </c>
      <c r="H84" s="111">
        <f>IFERROR(VLOOKUP($B84,MMWR_TRAD_AGG_STATE_PEN[],H$1,0),"ERROR")</f>
        <v>1073</v>
      </c>
      <c r="I84" s="112">
        <f>IFERROR(VLOOKUP($B84,MMWR_TRAD_AGG_STATE_PEN[],I$1,0),"ERROR")</f>
        <v>277</v>
      </c>
      <c r="J84" s="114">
        <f t="shared" si="9"/>
        <v>0.25815470643056848</v>
      </c>
      <c r="K84" s="111">
        <f>IFERROR(VLOOKUP($B84,MMWR_TRAD_AGG_STATE_PEN[],K$1,0),"ERROR")</f>
        <v>158</v>
      </c>
      <c r="L84" s="112">
        <f>IFERROR(VLOOKUP($B84,MMWR_TRAD_AGG_STATE_PEN[],L$1,0),"ERROR")</f>
        <v>157</v>
      </c>
      <c r="M84" s="114">
        <f t="shared" si="10"/>
        <v>0.99367088607594933</v>
      </c>
      <c r="N84" s="111">
        <f>IFERROR(VLOOKUP($B84,MMWR_TRAD_AGG_STATE_PEN[],N$1,0),"ERROR")</f>
        <v>347</v>
      </c>
      <c r="O84" s="112">
        <f>IFERROR(VLOOKUP($B84,MMWR_TRAD_AGG_STATE_PEN[],O$1,0),"ERROR")</f>
        <v>50</v>
      </c>
      <c r="P84" s="114">
        <f t="shared" si="11"/>
        <v>0.14409221902017291</v>
      </c>
      <c r="Q84" s="115">
        <f>IFERROR(VLOOKUP($B84,MMWR_TRAD_AGG_STATE_PEN[],Q$1,0),"ERROR")</f>
        <v>125</v>
      </c>
      <c r="R84" s="115">
        <f>IFERROR(VLOOKUP($B84,MMWR_TRAD_AGG_STATE_PEN[],R$1,0),"ERROR")</f>
        <v>232</v>
      </c>
      <c r="S84" s="115">
        <f>IFERROR(VLOOKUP($B84,MMWR_APP_STATE_PEN[],S$1,0),"ERROR")</f>
        <v>169</v>
      </c>
      <c r="T84" s="28"/>
    </row>
    <row r="85" spans="1:20" s="123" customFormat="1" x14ac:dyDescent="0.2">
      <c r="A85" s="28"/>
      <c r="B85" s="127" t="s">
        <v>389</v>
      </c>
      <c r="C85" s="109">
        <f>IFERROR(VLOOKUP($B85,MMWR_TRAD_AGG_STATE_PEN[],C$1,0),"ERROR")</f>
        <v>235</v>
      </c>
      <c r="D85" s="110">
        <f>IFERROR(VLOOKUP($B85,MMWR_TRAD_AGG_STATE_PEN[],D$1,0),"ERROR")</f>
        <v>99.582978723400004</v>
      </c>
      <c r="E85" s="111">
        <f>IFERROR(VLOOKUP($B85,MMWR_TRAD_AGG_STATE_PEN[],E$1,0),"ERROR")</f>
        <v>185</v>
      </c>
      <c r="F85" s="112">
        <f>IFERROR(VLOOKUP($B85,MMWR_TRAD_AGG_STATE_PEN[],F$1,0),"ERROR")</f>
        <v>35</v>
      </c>
      <c r="G85" s="113">
        <f t="shared" si="8"/>
        <v>0.1891891891891892</v>
      </c>
      <c r="H85" s="111">
        <f>IFERROR(VLOOKUP($B85,MMWR_TRAD_AGG_STATE_PEN[],H$1,0),"ERROR")</f>
        <v>341</v>
      </c>
      <c r="I85" s="112">
        <f>IFERROR(VLOOKUP($B85,MMWR_TRAD_AGG_STATE_PEN[],I$1,0),"ERROR")</f>
        <v>101</v>
      </c>
      <c r="J85" s="114">
        <f t="shared" si="9"/>
        <v>0.29618768328445749</v>
      </c>
      <c r="K85" s="111">
        <f>IFERROR(VLOOKUP($B85,MMWR_TRAD_AGG_STATE_PEN[],K$1,0),"ERROR")</f>
        <v>9</v>
      </c>
      <c r="L85" s="112">
        <f>IFERROR(VLOOKUP($B85,MMWR_TRAD_AGG_STATE_PEN[],L$1,0),"ERROR")</f>
        <v>9</v>
      </c>
      <c r="M85" s="114">
        <f t="shared" si="10"/>
        <v>1</v>
      </c>
      <c r="N85" s="111">
        <f>IFERROR(VLOOKUP($B85,MMWR_TRAD_AGG_STATE_PEN[],N$1,0),"ERROR")</f>
        <v>115</v>
      </c>
      <c r="O85" s="112">
        <f>IFERROR(VLOOKUP($B85,MMWR_TRAD_AGG_STATE_PEN[],O$1,0),"ERROR")</f>
        <v>15</v>
      </c>
      <c r="P85" s="114">
        <f t="shared" si="11"/>
        <v>0.13043478260869565</v>
      </c>
      <c r="Q85" s="115">
        <f>IFERROR(VLOOKUP($B85,MMWR_TRAD_AGG_STATE_PEN[],Q$1,0),"ERROR")</f>
        <v>40</v>
      </c>
      <c r="R85" s="115">
        <f>IFERROR(VLOOKUP($B85,MMWR_TRAD_AGG_STATE_PEN[],R$1,0),"ERROR")</f>
        <v>62</v>
      </c>
      <c r="S85" s="115">
        <f>IFERROR(VLOOKUP($B85,MMWR_APP_STATE_PEN[],S$1,0),"ERROR")</f>
        <v>47</v>
      </c>
      <c r="T85" s="28"/>
    </row>
    <row r="86" spans="1:20" s="123" customFormat="1" x14ac:dyDescent="0.2">
      <c r="A86" s="28"/>
      <c r="B86" s="126" t="s">
        <v>400</v>
      </c>
      <c r="C86" s="102">
        <f>IFERROR(VLOOKUP($B86,MMWR_TRAD_AGG_ST_DISTRICT_PEN[],C$1,0),"ERROR")</f>
        <v>3124</v>
      </c>
      <c r="D86" s="103">
        <f>IFERROR(VLOOKUP($B86,MMWR_TRAD_AGG_ST_DISTRICT_PEN[],D$1,0),"ERROR")</f>
        <v>59.539052496799997</v>
      </c>
      <c r="E86" s="102">
        <f>IFERROR(VLOOKUP($B86,MMWR_TRAD_AGG_ST_DISTRICT_PEN[],E$1,0),"ERROR")</f>
        <v>4572</v>
      </c>
      <c r="F86" s="102">
        <f>IFERROR(VLOOKUP($B86,MMWR_TRAD_AGG_ST_DISTRICT_PEN[],F$1,0),"ERROR")</f>
        <v>351</v>
      </c>
      <c r="G86" s="104">
        <f t="shared" si="8"/>
        <v>7.6771653543307089E-2</v>
      </c>
      <c r="H86" s="102">
        <f>IFERROR(VLOOKUP($B86,MMWR_TRAD_AGG_ST_DISTRICT_PEN[],H$1,0),"ERROR")</f>
        <v>4947</v>
      </c>
      <c r="I86" s="102">
        <f>IFERROR(VLOOKUP($B86,MMWR_TRAD_AGG_ST_DISTRICT_PEN[],I$1,0),"ERROR")</f>
        <v>503</v>
      </c>
      <c r="J86" s="104">
        <f t="shared" si="9"/>
        <v>0.1016777845158682</v>
      </c>
      <c r="K86" s="102">
        <f>IFERROR(VLOOKUP($B86,MMWR_TRAD_AGG_ST_DISTRICT_PEN[],K$1,0),"ERROR")</f>
        <v>58</v>
      </c>
      <c r="L86" s="102">
        <f>IFERROR(VLOOKUP($B86,MMWR_TRAD_AGG_ST_DISTRICT_PEN[],L$1,0),"ERROR")</f>
        <v>57</v>
      </c>
      <c r="M86" s="104">
        <f t="shared" si="10"/>
        <v>0.98275862068965514</v>
      </c>
      <c r="N86" s="102">
        <f>IFERROR(VLOOKUP($B86,MMWR_TRAD_AGG_ST_DISTRICT_PEN[],N$1,0),"ERROR")</f>
        <v>305</v>
      </c>
      <c r="O86" s="102">
        <f>IFERROR(VLOOKUP($B86,MMWR_TRAD_AGG_ST_DISTRICT_PEN[],O$1,0),"ERROR")</f>
        <v>84</v>
      </c>
      <c r="P86" s="104">
        <f t="shared" si="11"/>
        <v>0.27540983606557379</v>
      </c>
      <c r="Q86" s="102">
        <f>IFERROR(VLOOKUP($B86,MMWR_TRAD_AGG_ST_DISTRICT_PEN[],Q$1,0),"ERROR")</f>
        <v>3718</v>
      </c>
      <c r="R86" s="106">
        <f>IFERROR(VLOOKUP($B86,MMWR_TRAD_AGG_ST_DISTRICT_PEN[],R$1,0),"ERROR")</f>
        <v>453</v>
      </c>
      <c r="S86" s="106">
        <f>IFERROR(VLOOKUP($B86,MMWR_APP_STATE_PEN[],S$1,0),"ERROR")</f>
        <v>1281</v>
      </c>
      <c r="T86" s="28"/>
    </row>
    <row r="87" spans="1:20" s="123" customFormat="1" x14ac:dyDescent="0.2">
      <c r="A87" s="28"/>
      <c r="B87" s="127" t="s">
        <v>404</v>
      </c>
      <c r="C87" s="109">
        <f>IFERROR(VLOOKUP($B87,MMWR_TRAD_AGG_STATE_PEN[],C$1,0),"ERROR")</f>
        <v>413</v>
      </c>
      <c r="D87" s="110">
        <f>IFERROR(VLOOKUP($B87,MMWR_TRAD_AGG_STATE_PEN[],D$1,0),"ERROR")</f>
        <v>67.188861985499997</v>
      </c>
      <c r="E87" s="111">
        <f>IFERROR(VLOOKUP($B87,MMWR_TRAD_AGG_STATE_PEN[],E$1,0),"ERROR")</f>
        <v>610</v>
      </c>
      <c r="F87" s="112">
        <f>IFERROR(VLOOKUP($B87,MMWR_TRAD_AGG_STATE_PEN[],F$1,0),"ERROR")</f>
        <v>52</v>
      </c>
      <c r="G87" s="113">
        <f t="shared" si="8"/>
        <v>8.5245901639344257E-2</v>
      </c>
      <c r="H87" s="111">
        <f>IFERROR(VLOOKUP($B87,MMWR_TRAD_AGG_STATE_PEN[],H$1,0),"ERROR")</f>
        <v>622</v>
      </c>
      <c r="I87" s="112">
        <f>IFERROR(VLOOKUP($B87,MMWR_TRAD_AGG_STATE_PEN[],I$1,0),"ERROR")</f>
        <v>78</v>
      </c>
      <c r="J87" s="114">
        <f t="shared" si="9"/>
        <v>0.12540192926045016</v>
      </c>
      <c r="K87" s="111">
        <f>IFERROR(VLOOKUP($B87,MMWR_TRAD_AGG_STATE_PEN[],K$1,0),"ERROR")</f>
        <v>8</v>
      </c>
      <c r="L87" s="112">
        <f>IFERROR(VLOOKUP($B87,MMWR_TRAD_AGG_STATE_PEN[],L$1,0),"ERROR")</f>
        <v>7</v>
      </c>
      <c r="M87" s="114">
        <f t="shared" si="10"/>
        <v>0.875</v>
      </c>
      <c r="N87" s="111">
        <f>IFERROR(VLOOKUP($B87,MMWR_TRAD_AGG_STATE_PEN[],N$1,0),"ERROR")</f>
        <v>65</v>
      </c>
      <c r="O87" s="112">
        <f>IFERROR(VLOOKUP($B87,MMWR_TRAD_AGG_STATE_PEN[],O$1,0),"ERROR")</f>
        <v>20</v>
      </c>
      <c r="P87" s="114">
        <f t="shared" si="11"/>
        <v>0.30769230769230771</v>
      </c>
      <c r="Q87" s="115">
        <f>IFERROR(VLOOKUP($B87,MMWR_TRAD_AGG_STATE_PEN[],Q$1,0),"ERROR")</f>
        <v>545</v>
      </c>
      <c r="R87" s="115">
        <f>IFERROR(VLOOKUP($B87,MMWR_TRAD_AGG_STATE_PEN[],R$1,0),"ERROR")</f>
        <v>54</v>
      </c>
      <c r="S87" s="115">
        <f>IFERROR(VLOOKUP($B87,MMWR_APP_STATE_PEN[],S$1,0),"ERROR")</f>
        <v>320</v>
      </c>
      <c r="T87" s="28"/>
    </row>
    <row r="88" spans="1:20" s="123" customFormat="1" x14ac:dyDescent="0.2">
      <c r="A88" s="28"/>
      <c r="B88" s="127" t="s">
        <v>402</v>
      </c>
      <c r="C88" s="109">
        <f>IFERROR(VLOOKUP($B88,MMWR_TRAD_AGG_STATE_PEN[],C$1,0),"ERROR")</f>
        <v>318</v>
      </c>
      <c r="D88" s="110">
        <f>IFERROR(VLOOKUP($B88,MMWR_TRAD_AGG_STATE_PEN[],D$1,0),"ERROR")</f>
        <v>63.748427673000002</v>
      </c>
      <c r="E88" s="111">
        <f>IFERROR(VLOOKUP($B88,MMWR_TRAD_AGG_STATE_PEN[],E$1,0),"ERROR")</f>
        <v>470</v>
      </c>
      <c r="F88" s="112">
        <f>IFERROR(VLOOKUP($B88,MMWR_TRAD_AGG_STATE_PEN[],F$1,0),"ERROR")</f>
        <v>39</v>
      </c>
      <c r="G88" s="113">
        <f t="shared" si="8"/>
        <v>8.2978723404255314E-2</v>
      </c>
      <c r="H88" s="111">
        <f>IFERROR(VLOOKUP($B88,MMWR_TRAD_AGG_STATE_PEN[],H$1,0),"ERROR")</f>
        <v>533</v>
      </c>
      <c r="I88" s="112">
        <f>IFERROR(VLOOKUP($B88,MMWR_TRAD_AGG_STATE_PEN[],I$1,0),"ERROR")</f>
        <v>63</v>
      </c>
      <c r="J88" s="114">
        <f t="shared" si="9"/>
        <v>0.11819887429643527</v>
      </c>
      <c r="K88" s="111">
        <f>IFERROR(VLOOKUP($B88,MMWR_TRAD_AGG_STATE_PEN[],K$1,0),"ERROR")</f>
        <v>4</v>
      </c>
      <c r="L88" s="112">
        <f>IFERROR(VLOOKUP($B88,MMWR_TRAD_AGG_STATE_PEN[],L$1,0),"ERROR")</f>
        <v>4</v>
      </c>
      <c r="M88" s="114">
        <f t="shared" si="10"/>
        <v>1</v>
      </c>
      <c r="N88" s="111">
        <f>IFERROR(VLOOKUP($B88,MMWR_TRAD_AGG_STATE_PEN[],N$1,0),"ERROR")</f>
        <v>43</v>
      </c>
      <c r="O88" s="112">
        <f>IFERROR(VLOOKUP($B88,MMWR_TRAD_AGG_STATE_PEN[],O$1,0),"ERROR")</f>
        <v>14</v>
      </c>
      <c r="P88" s="114">
        <f t="shared" si="11"/>
        <v>0.32558139534883723</v>
      </c>
      <c r="Q88" s="115">
        <f>IFERROR(VLOOKUP($B88,MMWR_TRAD_AGG_STATE_PEN[],Q$1,0),"ERROR")</f>
        <v>358</v>
      </c>
      <c r="R88" s="115">
        <f>IFERROR(VLOOKUP($B88,MMWR_TRAD_AGG_STATE_PEN[],R$1,0),"ERROR")</f>
        <v>42</v>
      </c>
      <c r="S88" s="115">
        <f>IFERROR(VLOOKUP($B88,MMWR_APP_STATE_PEN[],S$1,0),"ERROR")</f>
        <v>118</v>
      </c>
      <c r="T88" s="28"/>
    </row>
    <row r="89" spans="1:20" s="123" customFormat="1" x14ac:dyDescent="0.2">
      <c r="A89" s="28"/>
      <c r="B89" s="127" t="s">
        <v>409</v>
      </c>
      <c r="C89" s="109">
        <f>IFERROR(VLOOKUP($B89,MMWR_TRAD_AGG_STATE_PEN[],C$1,0),"ERROR")</f>
        <v>105</v>
      </c>
      <c r="D89" s="110">
        <f>IFERROR(VLOOKUP($B89,MMWR_TRAD_AGG_STATE_PEN[],D$1,0),"ERROR")</f>
        <v>43.1904761905</v>
      </c>
      <c r="E89" s="111">
        <f>IFERROR(VLOOKUP($B89,MMWR_TRAD_AGG_STATE_PEN[],E$1,0),"ERROR")</f>
        <v>296</v>
      </c>
      <c r="F89" s="112">
        <f>IFERROR(VLOOKUP($B89,MMWR_TRAD_AGG_STATE_PEN[],F$1,0),"ERROR")</f>
        <v>6</v>
      </c>
      <c r="G89" s="113">
        <f t="shared" si="8"/>
        <v>2.0270270270270271E-2</v>
      </c>
      <c r="H89" s="111">
        <f>IFERROR(VLOOKUP($B89,MMWR_TRAD_AGG_STATE_PEN[],H$1,0),"ERROR")</f>
        <v>179</v>
      </c>
      <c r="I89" s="112">
        <f>IFERROR(VLOOKUP($B89,MMWR_TRAD_AGG_STATE_PEN[],I$1,0),"ERROR")</f>
        <v>6</v>
      </c>
      <c r="J89" s="114">
        <f t="shared" si="9"/>
        <v>3.3519553072625698E-2</v>
      </c>
      <c r="K89" s="111">
        <f>IFERROR(VLOOKUP($B89,MMWR_TRAD_AGG_STATE_PEN[],K$1,0),"ERROR")</f>
        <v>1</v>
      </c>
      <c r="L89" s="112">
        <f>IFERROR(VLOOKUP($B89,MMWR_TRAD_AGG_STATE_PEN[],L$1,0),"ERROR")</f>
        <v>1</v>
      </c>
      <c r="M89" s="114">
        <f t="shared" si="10"/>
        <v>1</v>
      </c>
      <c r="N89" s="111">
        <f>IFERROR(VLOOKUP($B89,MMWR_TRAD_AGG_STATE_PEN[],N$1,0),"ERROR")</f>
        <v>2</v>
      </c>
      <c r="O89" s="112">
        <f>IFERROR(VLOOKUP($B89,MMWR_TRAD_AGG_STATE_PEN[],O$1,0),"ERROR")</f>
        <v>1</v>
      </c>
      <c r="P89" s="114">
        <f t="shared" si="11"/>
        <v>0.5</v>
      </c>
      <c r="Q89" s="115">
        <f>IFERROR(VLOOKUP($B89,MMWR_TRAD_AGG_STATE_PEN[],Q$1,0),"ERROR")</f>
        <v>179</v>
      </c>
      <c r="R89" s="115">
        <f>IFERROR(VLOOKUP($B89,MMWR_TRAD_AGG_STATE_PEN[],R$1,0),"ERROR")</f>
        <v>24</v>
      </c>
      <c r="S89" s="115">
        <f>IFERROR(VLOOKUP($B89,MMWR_APP_STATE_PEN[],S$1,0),"ERROR")</f>
        <v>35</v>
      </c>
      <c r="T89" s="28"/>
    </row>
    <row r="90" spans="1:20" s="123" customFormat="1" x14ac:dyDescent="0.2">
      <c r="A90" s="28"/>
      <c r="B90" s="127" t="s">
        <v>432</v>
      </c>
      <c r="C90" s="109">
        <f>IFERROR(VLOOKUP($B90,MMWR_TRAD_AGG_STATE_PEN[],C$1,0),"ERROR")</f>
        <v>96</v>
      </c>
      <c r="D90" s="110">
        <f>IFERROR(VLOOKUP($B90,MMWR_TRAD_AGG_STATE_PEN[],D$1,0),"ERROR")</f>
        <v>40.145833333299997</v>
      </c>
      <c r="E90" s="111">
        <f>IFERROR(VLOOKUP($B90,MMWR_TRAD_AGG_STATE_PEN[],E$1,0),"ERROR")</f>
        <v>248</v>
      </c>
      <c r="F90" s="112">
        <f>IFERROR(VLOOKUP($B90,MMWR_TRAD_AGG_STATE_PEN[],F$1,0),"ERROR")</f>
        <v>15</v>
      </c>
      <c r="G90" s="113">
        <f t="shared" si="8"/>
        <v>6.0483870967741937E-2</v>
      </c>
      <c r="H90" s="111">
        <f>IFERROR(VLOOKUP($B90,MMWR_TRAD_AGG_STATE_PEN[],H$1,0),"ERROR")</f>
        <v>168</v>
      </c>
      <c r="I90" s="112">
        <f>IFERROR(VLOOKUP($B90,MMWR_TRAD_AGG_STATE_PEN[],I$1,0),"ERROR")</f>
        <v>7</v>
      </c>
      <c r="J90" s="114">
        <f t="shared" si="9"/>
        <v>4.1666666666666664E-2</v>
      </c>
      <c r="K90" s="111">
        <f>IFERROR(VLOOKUP($B90,MMWR_TRAD_AGG_STATE_PEN[],K$1,0),"ERROR")</f>
        <v>2</v>
      </c>
      <c r="L90" s="112">
        <f>IFERROR(VLOOKUP($B90,MMWR_TRAD_AGG_STATE_PEN[],L$1,0),"ERROR")</f>
        <v>2</v>
      </c>
      <c r="M90" s="114">
        <f t="shared" si="10"/>
        <v>1</v>
      </c>
      <c r="N90" s="111">
        <f>IFERROR(VLOOKUP($B90,MMWR_TRAD_AGG_STATE_PEN[],N$1,0),"ERROR")</f>
        <v>9</v>
      </c>
      <c r="O90" s="112">
        <f>IFERROR(VLOOKUP($B90,MMWR_TRAD_AGG_STATE_PEN[],O$1,0),"ERROR")</f>
        <v>2</v>
      </c>
      <c r="P90" s="114">
        <f t="shared" si="11"/>
        <v>0.22222222222222221</v>
      </c>
      <c r="Q90" s="115">
        <f>IFERROR(VLOOKUP($B90,MMWR_TRAD_AGG_STATE_PEN[],Q$1,0),"ERROR")</f>
        <v>110</v>
      </c>
      <c r="R90" s="115">
        <f>IFERROR(VLOOKUP($B90,MMWR_TRAD_AGG_STATE_PEN[],R$1,0),"ERROR")</f>
        <v>44</v>
      </c>
      <c r="S90" s="115">
        <f>IFERROR(VLOOKUP($B90,MMWR_APP_STATE_PEN[],S$1,0),"ERROR")</f>
        <v>24</v>
      </c>
      <c r="T90" s="28"/>
    </row>
    <row r="91" spans="1:20" s="123" customFormat="1" x14ac:dyDescent="0.2">
      <c r="A91" s="28"/>
      <c r="B91" s="127" t="s">
        <v>405</v>
      </c>
      <c r="C91" s="109">
        <f>IFERROR(VLOOKUP($B91,MMWR_TRAD_AGG_STATE_PEN[],C$1,0),"ERROR")</f>
        <v>563</v>
      </c>
      <c r="D91" s="110">
        <f>IFERROR(VLOOKUP($B91,MMWR_TRAD_AGG_STATE_PEN[],D$1,0),"ERROR")</f>
        <v>63.078152753099999</v>
      </c>
      <c r="E91" s="111">
        <f>IFERROR(VLOOKUP($B91,MMWR_TRAD_AGG_STATE_PEN[],E$1,0),"ERROR")</f>
        <v>837</v>
      </c>
      <c r="F91" s="112">
        <f>IFERROR(VLOOKUP($B91,MMWR_TRAD_AGG_STATE_PEN[],F$1,0),"ERROR")</f>
        <v>74</v>
      </c>
      <c r="G91" s="113">
        <f t="shared" si="8"/>
        <v>8.8410991636798095E-2</v>
      </c>
      <c r="H91" s="111">
        <f>IFERROR(VLOOKUP($B91,MMWR_TRAD_AGG_STATE_PEN[],H$1,0),"ERROR")</f>
        <v>891</v>
      </c>
      <c r="I91" s="112">
        <f>IFERROR(VLOOKUP($B91,MMWR_TRAD_AGG_STATE_PEN[],I$1,0),"ERROR")</f>
        <v>107</v>
      </c>
      <c r="J91" s="114">
        <f t="shared" si="9"/>
        <v>0.12008978675645342</v>
      </c>
      <c r="K91" s="111">
        <f>IFERROR(VLOOKUP($B91,MMWR_TRAD_AGG_STATE_PEN[],K$1,0),"ERROR")</f>
        <v>10</v>
      </c>
      <c r="L91" s="112">
        <f>IFERROR(VLOOKUP($B91,MMWR_TRAD_AGG_STATE_PEN[],L$1,0),"ERROR")</f>
        <v>10</v>
      </c>
      <c r="M91" s="114">
        <f t="shared" si="10"/>
        <v>1</v>
      </c>
      <c r="N91" s="111">
        <f>IFERROR(VLOOKUP($B91,MMWR_TRAD_AGG_STATE_PEN[],N$1,0),"ERROR")</f>
        <v>60</v>
      </c>
      <c r="O91" s="112">
        <f>IFERROR(VLOOKUP($B91,MMWR_TRAD_AGG_STATE_PEN[],O$1,0),"ERROR")</f>
        <v>12</v>
      </c>
      <c r="P91" s="114">
        <f t="shared" si="11"/>
        <v>0.2</v>
      </c>
      <c r="Q91" s="115">
        <f>IFERROR(VLOOKUP($B91,MMWR_TRAD_AGG_STATE_PEN[],Q$1,0),"ERROR")</f>
        <v>507</v>
      </c>
      <c r="R91" s="115">
        <f>IFERROR(VLOOKUP($B91,MMWR_TRAD_AGG_STATE_PEN[],R$1,0),"ERROR")</f>
        <v>67</v>
      </c>
      <c r="S91" s="115">
        <f>IFERROR(VLOOKUP($B91,MMWR_APP_STATE_PEN[],S$1,0),"ERROR")</f>
        <v>221</v>
      </c>
      <c r="T91" s="28"/>
    </row>
    <row r="92" spans="1:20" s="123" customFormat="1" x14ac:dyDescent="0.2">
      <c r="A92" s="28"/>
      <c r="B92" s="127" t="s">
        <v>411</v>
      </c>
      <c r="C92" s="109">
        <f>IFERROR(VLOOKUP($B92,MMWR_TRAD_AGG_STATE_PEN[],C$1,0),"ERROR")</f>
        <v>131</v>
      </c>
      <c r="D92" s="110">
        <f>IFERROR(VLOOKUP($B92,MMWR_TRAD_AGG_STATE_PEN[],D$1,0),"ERROR")</f>
        <v>36.610687022900002</v>
      </c>
      <c r="E92" s="111">
        <f>IFERROR(VLOOKUP($B92,MMWR_TRAD_AGG_STATE_PEN[],E$1,0),"ERROR")</f>
        <v>303</v>
      </c>
      <c r="F92" s="112">
        <f>IFERROR(VLOOKUP($B92,MMWR_TRAD_AGG_STATE_PEN[],F$1,0),"ERROR")</f>
        <v>14</v>
      </c>
      <c r="G92" s="113">
        <f t="shared" si="8"/>
        <v>4.6204620462046202E-2</v>
      </c>
      <c r="H92" s="111">
        <f>IFERROR(VLOOKUP($B92,MMWR_TRAD_AGG_STATE_PEN[],H$1,0),"ERROR")</f>
        <v>207</v>
      </c>
      <c r="I92" s="112">
        <f>IFERROR(VLOOKUP($B92,MMWR_TRAD_AGG_STATE_PEN[],I$1,0),"ERROR")</f>
        <v>1</v>
      </c>
      <c r="J92" s="114">
        <f t="shared" si="9"/>
        <v>4.830917874396135E-3</v>
      </c>
      <c r="K92" s="111">
        <f>IFERROR(VLOOKUP($B92,MMWR_TRAD_AGG_STATE_PEN[],K$1,0),"ERROR")</f>
        <v>3</v>
      </c>
      <c r="L92" s="112">
        <f>IFERROR(VLOOKUP($B92,MMWR_TRAD_AGG_STATE_PEN[],L$1,0),"ERROR")</f>
        <v>3</v>
      </c>
      <c r="M92" s="114">
        <f t="shared" si="10"/>
        <v>1</v>
      </c>
      <c r="N92" s="111">
        <f>IFERROR(VLOOKUP($B92,MMWR_TRAD_AGG_STATE_PEN[],N$1,0),"ERROR")</f>
        <v>7</v>
      </c>
      <c r="O92" s="112">
        <f>IFERROR(VLOOKUP($B92,MMWR_TRAD_AGG_STATE_PEN[],O$1,0),"ERROR")</f>
        <v>2</v>
      </c>
      <c r="P92" s="114">
        <f t="shared" si="11"/>
        <v>0.2857142857142857</v>
      </c>
      <c r="Q92" s="115">
        <f>IFERROR(VLOOKUP($B92,MMWR_TRAD_AGG_STATE_PEN[],Q$1,0),"ERROR")</f>
        <v>416</v>
      </c>
      <c r="R92" s="115">
        <f>IFERROR(VLOOKUP($B92,MMWR_TRAD_AGG_STATE_PEN[],R$1,0),"ERROR")</f>
        <v>41</v>
      </c>
      <c r="S92" s="115">
        <f>IFERROR(VLOOKUP($B92,MMWR_APP_STATE_PEN[],S$1,0),"ERROR")</f>
        <v>34</v>
      </c>
      <c r="T92" s="28"/>
    </row>
    <row r="93" spans="1:20" s="123" customFormat="1" x14ac:dyDescent="0.2">
      <c r="A93" s="28"/>
      <c r="B93" s="127" t="s">
        <v>407</v>
      </c>
      <c r="C93" s="109">
        <f>IFERROR(VLOOKUP($B93,MMWR_TRAD_AGG_STATE_PEN[],C$1,0),"ERROR")</f>
        <v>473</v>
      </c>
      <c r="D93" s="110">
        <f>IFERROR(VLOOKUP($B93,MMWR_TRAD_AGG_STATE_PEN[],D$1,0),"ERROR")</f>
        <v>57.911205074000002</v>
      </c>
      <c r="E93" s="111">
        <f>IFERROR(VLOOKUP($B93,MMWR_TRAD_AGG_STATE_PEN[],E$1,0),"ERROR")</f>
        <v>424</v>
      </c>
      <c r="F93" s="112">
        <f>IFERROR(VLOOKUP($B93,MMWR_TRAD_AGG_STATE_PEN[],F$1,0),"ERROR")</f>
        <v>37</v>
      </c>
      <c r="G93" s="113">
        <f t="shared" si="8"/>
        <v>8.7264150943396221E-2</v>
      </c>
      <c r="H93" s="111">
        <f>IFERROR(VLOOKUP($B93,MMWR_TRAD_AGG_STATE_PEN[],H$1,0),"ERROR")</f>
        <v>741</v>
      </c>
      <c r="I93" s="112">
        <f>IFERROR(VLOOKUP($B93,MMWR_TRAD_AGG_STATE_PEN[],I$1,0),"ERROR")</f>
        <v>72</v>
      </c>
      <c r="J93" s="114">
        <f t="shared" si="9"/>
        <v>9.7165991902834009E-2</v>
      </c>
      <c r="K93" s="111">
        <f>IFERROR(VLOOKUP($B93,MMWR_TRAD_AGG_STATE_PEN[],K$1,0),"ERROR")</f>
        <v>4</v>
      </c>
      <c r="L93" s="112">
        <f>IFERROR(VLOOKUP($B93,MMWR_TRAD_AGG_STATE_PEN[],L$1,0),"ERROR")</f>
        <v>4</v>
      </c>
      <c r="M93" s="114">
        <f t="shared" si="10"/>
        <v>1</v>
      </c>
      <c r="N93" s="111">
        <f>IFERROR(VLOOKUP($B93,MMWR_TRAD_AGG_STATE_PEN[],N$1,0),"ERROR")</f>
        <v>37</v>
      </c>
      <c r="O93" s="112">
        <f>IFERROR(VLOOKUP($B93,MMWR_TRAD_AGG_STATE_PEN[],O$1,0),"ERROR")</f>
        <v>14</v>
      </c>
      <c r="P93" s="114">
        <f t="shared" si="11"/>
        <v>0.3783783783783784</v>
      </c>
      <c r="Q93" s="115">
        <f>IFERROR(VLOOKUP($B93,MMWR_TRAD_AGG_STATE_PEN[],Q$1,0),"ERROR")</f>
        <v>446</v>
      </c>
      <c r="R93" s="115">
        <f>IFERROR(VLOOKUP($B93,MMWR_TRAD_AGG_STATE_PEN[],R$1,0),"ERROR")</f>
        <v>46</v>
      </c>
      <c r="S93" s="115">
        <f>IFERROR(VLOOKUP($B93,MMWR_APP_STATE_PEN[],S$1,0),"ERROR")</f>
        <v>188</v>
      </c>
      <c r="T93" s="28"/>
    </row>
    <row r="94" spans="1:20" s="123" customFormat="1" x14ac:dyDescent="0.2">
      <c r="A94" s="28"/>
      <c r="B94" s="127" t="s">
        <v>410</v>
      </c>
      <c r="C94" s="109">
        <f>IFERROR(VLOOKUP($B94,MMWR_TRAD_AGG_STATE_PEN[],C$1,0),"ERROR")</f>
        <v>56</v>
      </c>
      <c r="D94" s="110">
        <f>IFERROR(VLOOKUP($B94,MMWR_TRAD_AGG_STATE_PEN[],D$1,0),"ERROR")</f>
        <v>34.785714285700003</v>
      </c>
      <c r="E94" s="111">
        <f>IFERROR(VLOOKUP($B94,MMWR_TRAD_AGG_STATE_PEN[],E$1,0),"ERROR")</f>
        <v>88</v>
      </c>
      <c r="F94" s="112">
        <f>IFERROR(VLOOKUP($B94,MMWR_TRAD_AGG_STATE_PEN[],F$1,0),"ERROR")</f>
        <v>4</v>
      </c>
      <c r="G94" s="113">
        <f t="shared" si="8"/>
        <v>4.5454545454545456E-2</v>
      </c>
      <c r="H94" s="111">
        <f>IFERROR(VLOOKUP($B94,MMWR_TRAD_AGG_STATE_PEN[],H$1,0),"ERROR")</f>
        <v>77</v>
      </c>
      <c r="I94" s="112">
        <f>IFERROR(VLOOKUP($B94,MMWR_TRAD_AGG_STATE_PEN[],I$1,0),"ERROR")</f>
        <v>0</v>
      </c>
      <c r="J94" s="114">
        <f t="shared" si="9"/>
        <v>0</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124</v>
      </c>
      <c r="R94" s="115">
        <f>IFERROR(VLOOKUP($B94,MMWR_TRAD_AGG_STATE_PEN[],R$1,0),"ERROR")</f>
        <v>24</v>
      </c>
      <c r="S94" s="115">
        <f>IFERROR(VLOOKUP($B94,MMWR_APP_STATE_PEN[],S$1,0),"ERROR")</f>
        <v>32</v>
      </c>
      <c r="T94" s="28"/>
    </row>
    <row r="95" spans="1:20" s="123" customFormat="1" x14ac:dyDescent="0.2">
      <c r="A95" s="28"/>
      <c r="B95" s="127" t="s">
        <v>429</v>
      </c>
      <c r="C95" s="109">
        <f>IFERROR(VLOOKUP($B95,MMWR_TRAD_AGG_STATE_PEN[],C$1,0),"ERROR")</f>
        <v>23</v>
      </c>
      <c r="D95" s="110">
        <f>IFERROR(VLOOKUP($B95,MMWR_TRAD_AGG_STATE_PEN[],D$1,0),"ERROR")</f>
        <v>40.086956521700003</v>
      </c>
      <c r="E95" s="111">
        <f>IFERROR(VLOOKUP($B95,MMWR_TRAD_AGG_STATE_PEN[],E$1,0),"ERROR")</f>
        <v>21</v>
      </c>
      <c r="F95" s="112">
        <f>IFERROR(VLOOKUP($B95,MMWR_TRAD_AGG_STATE_PEN[],F$1,0),"ERROR")</f>
        <v>0</v>
      </c>
      <c r="G95" s="113">
        <f t="shared" si="8"/>
        <v>0</v>
      </c>
      <c r="H95" s="111">
        <f>IFERROR(VLOOKUP($B95,MMWR_TRAD_AGG_STATE_PEN[],H$1,0),"ERROR")</f>
        <v>35</v>
      </c>
      <c r="I95" s="112">
        <f>IFERROR(VLOOKUP($B95,MMWR_TRAD_AGG_STATE_PEN[],I$1,0),"ERROR")</f>
        <v>0</v>
      </c>
      <c r="J95" s="114">
        <f t="shared" si="9"/>
        <v>0</v>
      </c>
      <c r="K95" s="111">
        <f>IFERROR(VLOOKUP($B95,MMWR_TRAD_AGG_STATE_PEN[],K$1,0),"ERROR")</f>
        <v>1</v>
      </c>
      <c r="L95" s="112">
        <f>IFERROR(VLOOKUP($B95,MMWR_TRAD_AGG_STATE_PEN[],L$1,0),"ERROR")</f>
        <v>1</v>
      </c>
      <c r="M95" s="114">
        <f t="shared" si="10"/>
        <v>1</v>
      </c>
      <c r="N95" s="111">
        <f>IFERROR(VLOOKUP($B95,MMWR_TRAD_AGG_STATE_PEN[],N$1,0),"ERROR")</f>
        <v>0</v>
      </c>
      <c r="O95" s="112">
        <f>IFERROR(VLOOKUP($B95,MMWR_TRAD_AGG_STATE_PEN[],O$1,0),"ERROR")</f>
        <v>0</v>
      </c>
      <c r="P95" s="114" t="str">
        <f t="shared" si="11"/>
        <v>0%</v>
      </c>
      <c r="Q95" s="115">
        <f>IFERROR(VLOOKUP($B95,MMWR_TRAD_AGG_STATE_PEN[],Q$1,0),"ERROR")</f>
        <v>37</v>
      </c>
      <c r="R95" s="115">
        <f>IFERROR(VLOOKUP($B95,MMWR_TRAD_AGG_STATE_PEN[],R$1,0),"ERROR")</f>
        <v>6</v>
      </c>
      <c r="S95" s="115">
        <f>IFERROR(VLOOKUP($B95,MMWR_APP_STATE_PEN[],S$1,0),"ERROR")</f>
        <v>5</v>
      </c>
      <c r="T95" s="28"/>
    </row>
    <row r="96" spans="1:20" s="123" customFormat="1" x14ac:dyDescent="0.2">
      <c r="A96" s="28"/>
      <c r="B96" s="127" t="s">
        <v>401</v>
      </c>
      <c r="C96" s="109">
        <f>IFERROR(VLOOKUP($B96,MMWR_TRAD_AGG_STATE_PEN[],C$1,0),"ERROR")</f>
        <v>631</v>
      </c>
      <c r="D96" s="110">
        <f>IFERROR(VLOOKUP($B96,MMWR_TRAD_AGG_STATE_PEN[],D$1,0),"ERROR")</f>
        <v>64.760697305899996</v>
      </c>
      <c r="E96" s="111">
        <f>IFERROR(VLOOKUP($B96,MMWR_TRAD_AGG_STATE_PEN[],E$1,0),"ERROR")</f>
        <v>927</v>
      </c>
      <c r="F96" s="112">
        <f>IFERROR(VLOOKUP($B96,MMWR_TRAD_AGG_STATE_PEN[],F$1,0),"ERROR")</f>
        <v>85</v>
      </c>
      <c r="G96" s="113">
        <f t="shared" si="8"/>
        <v>9.1693635382955774E-2</v>
      </c>
      <c r="H96" s="111">
        <f>IFERROR(VLOOKUP($B96,MMWR_TRAD_AGG_STATE_PEN[],H$1,0),"ERROR")</f>
        <v>1041</v>
      </c>
      <c r="I96" s="112">
        <f>IFERROR(VLOOKUP($B96,MMWR_TRAD_AGG_STATE_PEN[],I$1,0),"ERROR")</f>
        <v>132</v>
      </c>
      <c r="J96" s="114">
        <f t="shared" si="9"/>
        <v>0.12680115273775217</v>
      </c>
      <c r="K96" s="111">
        <f>IFERROR(VLOOKUP($B96,MMWR_TRAD_AGG_STATE_PEN[],K$1,0),"ERROR")</f>
        <v>19</v>
      </c>
      <c r="L96" s="112">
        <f>IFERROR(VLOOKUP($B96,MMWR_TRAD_AGG_STATE_PEN[],L$1,0),"ERROR")</f>
        <v>19</v>
      </c>
      <c r="M96" s="114">
        <f t="shared" si="10"/>
        <v>1</v>
      </c>
      <c r="N96" s="111">
        <f>IFERROR(VLOOKUP($B96,MMWR_TRAD_AGG_STATE_PEN[],N$1,0),"ERROR")</f>
        <v>66</v>
      </c>
      <c r="O96" s="112">
        <f>IFERROR(VLOOKUP($B96,MMWR_TRAD_AGG_STATE_PEN[],O$1,0),"ERROR")</f>
        <v>16</v>
      </c>
      <c r="P96" s="114">
        <f t="shared" si="11"/>
        <v>0.24242424242424243</v>
      </c>
      <c r="Q96" s="115">
        <f>IFERROR(VLOOKUP($B96,MMWR_TRAD_AGG_STATE_PEN[],Q$1,0),"ERROR")</f>
        <v>564</v>
      </c>
      <c r="R96" s="115">
        <f>IFERROR(VLOOKUP($B96,MMWR_TRAD_AGG_STATE_PEN[],R$1,0),"ERROR")</f>
        <v>74</v>
      </c>
      <c r="S96" s="115">
        <f>IFERROR(VLOOKUP($B96,MMWR_APP_STATE_PEN[],S$1,0),"ERROR")</f>
        <v>222</v>
      </c>
      <c r="T96" s="28"/>
    </row>
    <row r="97" spans="1:20" s="123" customFormat="1" x14ac:dyDescent="0.2">
      <c r="A97" s="28"/>
      <c r="B97" s="127" t="s">
        <v>430</v>
      </c>
      <c r="C97" s="109">
        <f>IFERROR(VLOOKUP($B97,MMWR_TRAD_AGG_STATE_PEN[],C$1,0),"ERROR")</f>
        <v>40</v>
      </c>
      <c r="D97" s="110">
        <f>IFERROR(VLOOKUP($B97,MMWR_TRAD_AGG_STATE_PEN[],D$1,0),"ERROR")</f>
        <v>56.075000000000003</v>
      </c>
      <c r="E97" s="111">
        <f>IFERROR(VLOOKUP($B97,MMWR_TRAD_AGG_STATE_PEN[],E$1,0),"ERROR")</f>
        <v>56</v>
      </c>
      <c r="F97" s="112">
        <f>IFERROR(VLOOKUP($B97,MMWR_TRAD_AGG_STATE_PEN[],F$1,0),"ERROR")</f>
        <v>2</v>
      </c>
      <c r="G97" s="113">
        <f t="shared" si="8"/>
        <v>3.5714285714285712E-2</v>
      </c>
      <c r="H97" s="111">
        <f>IFERROR(VLOOKUP($B97,MMWR_TRAD_AGG_STATE_PEN[],H$1,0),"ERROR")</f>
        <v>51</v>
      </c>
      <c r="I97" s="112">
        <f>IFERROR(VLOOKUP($B97,MMWR_TRAD_AGG_STATE_PEN[],I$1,0),"ERROR")</f>
        <v>2</v>
      </c>
      <c r="J97" s="114">
        <f t="shared" si="9"/>
        <v>3.9215686274509803E-2</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88</v>
      </c>
      <c r="R97" s="115">
        <f>IFERROR(VLOOKUP($B97,MMWR_TRAD_AGG_STATE_PEN[],R$1,0),"ERROR")</f>
        <v>4</v>
      </c>
      <c r="S97" s="115">
        <f>IFERROR(VLOOKUP($B97,MMWR_APP_STATE_PEN[],S$1,0),"ERROR")</f>
        <v>9</v>
      </c>
      <c r="T97" s="28"/>
    </row>
    <row r="98" spans="1:20" s="123" customFormat="1" x14ac:dyDescent="0.2">
      <c r="A98" s="28"/>
      <c r="B98" s="127" t="s">
        <v>406</v>
      </c>
      <c r="C98" s="109">
        <f>IFERROR(VLOOKUP($B98,MMWR_TRAD_AGG_STATE_PEN[],C$1,0),"ERROR")</f>
        <v>275</v>
      </c>
      <c r="D98" s="110">
        <f>IFERROR(VLOOKUP($B98,MMWR_TRAD_AGG_STATE_PEN[],D$1,0),"ERROR")</f>
        <v>57.861818181799997</v>
      </c>
      <c r="E98" s="111">
        <f>IFERROR(VLOOKUP($B98,MMWR_TRAD_AGG_STATE_PEN[],E$1,0),"ERROR")</f>
        <v>292</v>
      </c>
      <c r="F98" s="112">
        <f>IFERROR(VLOOKUP($B98,MMWR_TRAD_AGG_STATE_PEN[],F$1,0),"ERROR")</f>
        <v>23</v>
      </c>
      <c r="G98" s="113">
        <f t="shared" si="8"/>
        <v>7.8767123287671229E-2</v>
      </c>
      <c r="H98" s="111">
        <f>IFERROR(VLOOKUP($B98,MMWR_TRAD_AGG_STATE_PEN[],H$1,0),"ERROR")</f>
        <v>402</v>
      </c>
      <c r="I98" s="112">
        <f>IFERROR(VLOOKUP($B98,MMWR_TRAD_AGG_STATE_PEN[],I$1,0),"ERROR")</f>
        <v>35</v>
      </c>
      <c r="J98" s="114">
        <f t="shared" si="9"/>
        <v>8.7064676616915429E-2</v>
      </c>
      <c r="K98" s="111">
        <f>IFERROR(VLOOKUP($B98,MMWR_TRAD_AGG_STATE_PEN[],K$1,0),"ERROR")</f>
        <v>6</v>
      </c>
      <c r="L98" s="112">
        <f>IFERROR(VLOOKUP($B98,MMWR_TRAD_AGG_STATE_PEN[],L$1,0),"ERROR")</f>
        <v>6</v>
      </c>
      <c r="M98" s="114">
        <f t="shared" si="10"/>
        <v>1</v>
      </c>
      <c r="N98" s="111">
        <f>IFERROR(VLOOKUP($B98,MMWR_TRAD_AGG_STATE_PEN[],N$1,0),"ERROR")</f>
        <v>13</v>
      </c>
      <c r="O98" s="112">
        <f>IFERROR(VLOOKUP($B98,MMWR_TRAD_AGG_STATE_PEN[],O$1,0),"ERROR")</f>
        <v>3</v>
      </c>
      <c r="P98" s="114">
        <f t="shared" si="11"/>
        <v>0.23076923076923078</v>
      </c>
      <c r="Q98" s="115">
        <f>IFERROR(VLOOKUP($B98,MMWR_TRAD_AGG_STATE_PEN[],Q$1,0),"ERROR")</f>
        <v>344</v>
      </c>
      <c r="R98" s="115">
        <f>IFERROR(VLOOKUP($B98,MMWR_TRAD_AGG_STATE_PEN[],R$1,0),"ERROR")</f>
        <v>27</v>
      </c>
      <c r="S98" s="115">
        <f>IFERROR(VLOOKUP($B98,MMWR_APP_STATE_PEN[],S$1,0),"ERROR")</f>
        <v>73</v>
      </c>
      <c r="T98" s="28"/>
    </row>
    <row r="99" spans="1:20" s="123" customFormat="1" x14ac:dyDescent="0.2">
      <c r="A99" s="28"/>
      <c r="B99" s="126" t="s">
        <v>395</v>
      </c>
      <c r="C99" s="102">
        <f>IFERROR(VLOOKUP($B99,MMWR_TRAD_AGG_ST_DISTRICT_PEN[],C$1,0),"ERROR")</f>
        <v>1779</v>
      </c>
      <c r="D99" s="103">
        <f>IFERROR(VLOOKUP($B99,MMWR_TRAD_AGG_ST_DISTRICT_PEN[],D$1,0),"ERROR")</f>
        <v>59.631815626799998</v>
      </c>
      <c r="E99" s="102">
        <f>IFERROR(VLOOKUP($B99,MMWR_TRAD_AGG_ST_DISTRICT_PEN[],E$1,0),"ERROR")</f>
        <v>2962</v>
      </c>
      <c r="F99" s="102">
        <f>IFERROR(VLOOKUP($B99,MMWR_TRAD_AGG_ST_DISTRICT_PEN[],F$1,0),"ERROR")</f>
        <v>136</v>
      </c>
      <c r="G99" s="104">
        <f t="shared" si="8"/>
        <v>4.5914922349763673E-2</v>
      </c>
      <c r="H99" s="102">
        <f>IFERROR(VLOOKUP($B99,MMWR_TRAD_AGG_ST_DISTRICT_PEN[],H$1,0),"ERROR")</f>
        <v>3050</v>
      </c>
      <c r="I99" s="102">
        <f>IFERROR(VLOOKUP($B99,MMWR_TRAD_AGG_ST_DISTRICT_PEN[],I$1,0),"ERROR")</f>
        <v>297</v>
      </c>
      <c r="J99" s="104">
        <f t="shared" si="9"/>
        <v>9.7377049180327871E-2</v>
      </c>
      <c r="K99" s="102">
        <f>IFERROR(VLOOKUP($B99,MMWR_TRAD_AGG_ST_DISTRICT_PEN[],K$1,0),"ERROR")</f>
        <v>37</v>
      </c>
      <c r="L99" s="102">
        <f>IFERROR(VLOOKUP($B99,MMWR_TRAD_AGG_ST_DISTRICT_PEN[],L$1,0),"ERROR")</f>
        <v>36</v>
      </c>
      <c r="M99" s="104">
        <f t="shared" si="10"/>
        <v>0.97297297297297303</v>
      </c>
      <c r="N99" s="102">
        <f>IFERROR(VLOOKUP($B99,MMWR_TRAD_AGG_ST_DISTRICT_PEN[],N$1,0),"ERROR")</f>
        <v>178</v>
      </c>
      <c r="O99" s="102">
        <f>IFERROR(VLOOKUP($B99,MMWR_TRAD_AGG_ST_DISTRICT_PEN[],O$1,0),"ERROR")</f>
        <v>66</v>
      </c>
      <c r="P99" s="104">
        <f t="shared" si="11"/>
        <v>0.3707865168539326</v>
      </c>
      <c r="Q99" s="102">
        <f>IFERROR(VLOOKUP($B99,MMWR_TRAD_AGG_ST_DISTRICT_PEN[],Q$1,0),"ERROR")</f>
        <v>2286</v>
      </c>
      <c r="R99" s="106">
        <f>IFERROR(VLOOKUP($B99,MMWR_TRAD_AGG_ST_DISTRICT_PEN[],R$1,0),"ERROR")</f>
        <v>488</v>
      </c>
      <c r="S99" s="106">
        <f>IFERROR(VLOOKUP($B99,MMWR_APP_STATE_PEN[],S$1,0),"ERROR")</f>
        <v>870</v>
      </c>
      <c r="T99" s="28"/>
    </row>
    <row r="100" spans="1:20" s="123" customFormat="1" x14ac:dyDescent="0.2">
      <c r="A100" s="28"/>
      <c r="B100" s="127" t="s">
        <v>421</v>
      </c>
      <c r="C100" s="109">
        <f>IFERROR(VLOOKUP($B100,MMWR_TRAD_AGG_STATE_PEN[],C$1,0),"ERROR")</f>
        <v>214</v>
      </c>
      <c r="D100" s="110">
        <f>IFERROR(VLOOKUP($B100,MMWR_TRAD_AGG_STATE_PEN[],D$1,0),"ERROR")</f>
        <v>67.785046729000001</v>
      </c>
      <c r="E100" s="111">
        <f>IFERROR(VLOOKUP($B100,MMWR_TRAD_AGG_STATE_PEN[],E$1,0),"ERROR")</f>
        <v>208</v>
      </c>
      <c r="F100" s="112">
        <f>IFERROR(VLOOKUP($B100,MMWR_TRAD_AGG_STATE_PEN[],F$1,0),"ERROR")</f>
        <v>19</v>
      </c>
      <c r="G100" s="113">
        <f t="shared" si="8"/>
        <v>9.1346153846153841E-2</v>
      </c>
      <c r="H100" s="111">
        <f>IFERROR(VLOOKUP($B100,MMWR_TRAD_AGG_STATE_PEN[],H$1,0),"ERROR")</f>
        <v>330</v>
      </c>
      <c r="I100" s="112">
        <f>IFERROR(VLOOKUP($B100,MMWR_TRAD_AGG_STATE_PEN[],I$1,0),"ERROR")</f>
        <v>46</v>
      </c>
      <c r="J100" s="114">
        <f t="shared" si="9"/>
        <v>0.1393939393939394</v>
      </c>
      <c r="K100" s="111">
        <f>IFERROR(VLOOKUP($B100,MMWR_TRAD_AGG_STATE_PEN[],K$1,0),"ERROR")</f>
        <v>13</v>
      </c>
      <c r="L100" s="112">
        <f>IFERROR(VLOOKUP($B100,MMWR_TRAD_AGG_STATE_PEN[],L$1,0),"ERROR")</f>
        <v>13</v>
      </c>
      <c r="M100" s="114">
        <f t="shared" si="10"/>
        <v>1</v>
      </c>
      <c r="N100" s="111">
        <f>IFERROR(VLOOKUP($B100,MMWR_TRAD_AGG_STATE_PEN[],N$1,0),"ERROR")</f>
        <v>24</v>
      </c>
      <c r="O100" s="112">
        <f>IFERROR(VLOOKUP($B100,MMWR_TRAD_AGG_STATE_PEN[],O$1,0),"ERROR")</f>
        <v>6</v>
      </c>
      <c r="P100" s="114">
        <f t="shared" si="11"/>
        <v>0.25</v>
      </c>
      <c r="Q100" s="115">
        <f>IFERROR(VLOOKUP($B100,MMWR_TRAD_AGG_STATE_PEN[],Q$1,0),"ERROR")</f>
        <v>270</v>
      </c>
      <c r="R100" s="115">
        <f>IFERROR(VLOOKUP($B100,MMWR_TRAD_AGG_STATE_PEN[],R$1,0),"ERROR")</f>
        <v>21</v>
      </c>
      <c r="S100" s="115">
        <f>IFERROR(VLOOKUP($B100,MMWR_APP_STATE_PEN[],S$1,0),"ERROR")</f>
        <v>116</v>
      </c>
      <c r="T100" s="28"/>
    </row>
    <row r="101" spans="1:20" s="123" customFormat="1" x14ac:dyDescent="0.2">
      <c r="A101" s="28"/>
      <c r="B101" s="127" t="s">
        <v>413</v>
      </c>
      <c r="C101" s="109">
        <f>IFERROR(VLOOKUP($B101,MMWR_TRAD_AGG_STATE_PEN[],C$1,0),"ERROR")</f>
        <v>116</v>
      </c>
      <c r="D101" s="110">
        <f>IFERROR(VLOOKUP($B101,MMWR_TRAD_AGG_STATE_PEN[],D$1,0),"ERROR")</f>
        <v>52.172413793099999</v>
      </c>
      <c r="E101" s="111">
        <f>IFERROR(VLOOKUP($B101,MMWR_TRAD_AGG_STATE_PEN[],E$1,0),"ERROR")</f>
        <v>207</v>
      </c>
      <c r="F101" s="112">
        <f>IFERROR(VLOOKUP($B101,MMWR_TRAD_AGG_STATE_PEN[],F$1,0),"ERROR")</f>
        <v>9</v>
      </c>
      <c r="G101" s="113">
        <f t="shared" ref="G101:G127" si="12">IFERROR(F101/E101,"0%")</f>
        <v>4.3478260869565216E-2</v>
      </c>
      <c r="H101" s="111">
        <f>IFERROR(VLOOKUP($B101,MMWR_TRAD_AGG_STATE_PEN[],H$1,0),"ERROR")</f>
        <v>217</v>
      </c>
      <c r="I101" s="112">
        <f>IFERROR(VLOOKUP($B101,MMWR_TRAD_AGG_STATE_PEN[],I$1,0),"ERROR")</f>
        <v>19</v>
      </c>
      <c r="J101" s="114">
        <f t="shared" ref="J101:J127" si="13">IFERROR(I101/H101,"0%")</f>
        <v>8.755760368663594E-2</v>
      </c>
      <c r="K101" s="111">
        <f>IFERROR(VLOOKUP($B101,MMWR_TRAD_AGG_STATE_PEN[],K$1,0),"ERROR")</f>
        <v>2</v>
      </c>
      <c r="L101" s="112">
        <f>IFERROR(VLOOKUP($B101,MMWR_TRAD_AGG_STATE_PEN[],L$1,0),"ERROR")</f>
        <v>2</v>
      </c>
      <c r="M101" s="114">
        <f t="shared" ref="M101:M127" si="14">IFERROR(L101/K101,"0%")</f>
        <v>1</v>
      </c>
      <c r="N101" s="111">
        <f>IFERROR(VLOOKUP($B101,MMWR_TRAD_AGG_STATE_PEN[],N$1,0),"ERROR")</f>
        <v>22</v>
      </c>
      <c r="O101" s="112">
        <f>IFERROR(VLOOKUP($B101,MMWR_TRAD_AGG_STATE_PEN[],O$1,0),"ERROR")</f>
        <v>11</v>
      </c>
      <c r="P101" s="114">
        <f t="shared" ref="P101:P127" si="15">IFERROR(O101/N101,"0%")</f>
        <v>0.5</v>
      </c>
      <c r="Q101" s="115">
        <f>IFERROR(VLOOKUP($B101,MMWR_TRAD_AGG_STATE_PEN[],Q$1,0),"ERROR")</f>
        <v>213</v>
      </c>
      <c r="R101" s="115">
        <f>IFERROR(VLOOKUP($B101,MMWR_TRAD_AGG_STATE_PEN[],R$1,0),"ERROR")</f>
        <v>45</v>
      </c>
      <c r="S101" s="115">
        <f>IFERROR(VLOOKUP($B101,MMWR_APP_STATE_PEN[],S$1,0),"ERROR")</f>
        <v>51</v>
      </c>
      <c r="T101" s="28"/>
    </row>
    <row r="102" spans="1:20" s="123" customFormat="1" x14ac:dyDescent="0.2">
      <c r="A102" s="28"/>
      <c r="B102" s="127" t="s">
        <v>397</v>
      </c>
      <c r="C102" s="109">
        <f>IFERROR(VLOOKUP($B102,MMWR_TRAD_AGG_STATE_PEN[],C$1,0),"ERROR")</f>
        <v>346</v>
      </c>
      <c r="D102" s="110">
        <f>IFERROR(VLOOKUP($B102,MMWR_TRAD_AGG_STATE_PEN[],D$1,0),"ERROR")</f>
        <v>68.586705202299996</v>
      </c>
      <c r="E102" s="111">
        <f>IFERROR(VLOOKUP($B102,MMWR_TRAD_AGG_STATE_PEN[],E$1,0),"ERROR")</f>
        <v>350</v>
      </c>
      <c r="F102" s="112">
        <f>IFERROR(VLOOKUP($B102,MMWR_TRAD_AGG_STATE_PEN[],F$1,0),"ERROR")</f>
        <v>23</v>
      </c>
      <c r="G102" s="113">
        <f t="shared" si="12"/>
        <v>6.5714285714285711E-2</v>
      </c>
      <c r="H102" s="111">
        <f>IFERROR(VLOOKUP($B102,MMWR_TRAD_AGG_STATE_PEN[],H$1,0),"ERROR")</f>
        <v>534</v>
      </c>
      <c r="I102" s="112">
        <f>IFERROR(VLOOKUP($B102,MMWR_TRAD_AGG_STATE_PEN[],I$1,0),"ERROR")</f>
        <v>66</v>
      </c>
      <c r="J102" s="114">
        <f t="shared" si="13"/>
        <v>0.12359550561797752</v>
      </c>
      <c r="K102" s="111">
        <f>IFERROR(VLOOKUP($B102,MMWR_TRAD_AGG_STATE_PEN[],K$1,0),"ERROR")</f>
        <v>5</v>
      </c>
      <c r="L102" s="112">
        <f>IFERROR(VLOOKUP($B102,MMWR_TRAD_AGG_STATE_PEN[],L$1,0),"ERROR")</f>
        <v>5</v>
      </c>
      <c r="M102" s="114">
        <f t="shared" si="14"/>
        <v>1</v>
      </c>
      <c r="N102" s="111">
        <f>IFERROR(VLOOKUP($B102,MMWR_TRAD_AGG_STATE_PEN[],N$1,0),"ERROR")</f>
        <v>23</v>
      </c>
      <c r="O102" s="112">
        <f>IFERROR(VLOOKUP($B102,MMWR_TRAD_AGG_STATE_PEN[],O$1,0),"ERROR")</f>
        <v>6</v>
      </c>
      <c r="P102" s="114">
        <f t="shared" si="15"/>
        <v>0.2608695652173913</v>
      </c>
      <c r="Q102" s="115">
        <f>IFERROR(VLOOKUP($B102,MMWR_TRAD_AGG_STATE_PEN[],Q$1,0),"ERROR")</f>
        <v>228</v>
      </c>
      <c r="R102" s="115">
        <f>IFERROR(VLOOKUP($B102,MMWR_TRAD_AGG_STATE_PEN[],R$1,0),"ERROR")</f>
        <v>33</v>
      </c>
      <c r="S102" s="115">
        <f>IFERROR(VLOOKUP($B102,MMWR_APP_STATE_PEN[],S$1,0),"ERROR")</f>
        <v>156</v>
      </c>
      <c r="T102" s="28"/>
    </row>
    <row r="103" spans="1:20" s="123" customFormat="1" x14ac:dyDescent="0.2">
      <c r="A103" s="28"/>
      <c r="B103" s="127" t="s">
        <v>399</v>
      </c>
      <c r="C103" s="109">
        <f>IFERROR(VLOOKUP($B103,MMWR_TRAD_AGG_STATE_PEN[],C$1,0),"ERROR")</f>
        <v>245</v>
      </c>
      <c r="D103" s="110">
        <f>IFERROR(VLOOKUP($B103,MMWR_TRAD_AGG_STATE_PEN[],D$1,0),"ERROR")</f>
        <v>73.587755102000003</v>
      </c>
      <c r="E103" s="111">
        <f>IFERROR(VLOOKUP($B103,MMWR_TRAD_AGG_STATE_PEN[],E$1,0),"ERROR")</f>
        <v>217</v>
      </c>
      <c r="F103" s="112">
        <f>IFERROR(VLOOKUP($B103,MMWR_TRAD_AGG_STATE_PEN[],F$1,0),"ERROR")</f>
        <v>21</v>
      </c>
      <c r="G103" s="113">
        <f t="shared" si="12"/>
        <v>9.6774193548387094E-2</v>
      </c>
      <c r="H103" s="111">
        <f>IFERROR(VLOOKUP($B103,MMWR_TRAD_AGG_STATE_PEN[],H$1,0),"ERROR")</f>
        <v>353</v>
      </c>
      <c r="I103" s="112">
        <f>IFERROR(VLOOKUP($B103,MMWR_TRAD_AGG_STATE_PEN[],I$1,0),"ERROR")</f>
        <v>41</v>
      </c>
      <c r="J103" s="114">
        <f t="shared" si="13"/>
        <v>0.11614730878186968</v>
      </c>
      <c r="K103" s="111">
        <f>IFERROR(VLOOKUP($B103,MMWR_TRAD_AGG_STATE_PEN[],K$1,0),"ERROR")</f>
        <v>5</v>
      </c>
      <c r="L103" s="112">
        <f>IFERROR(VLOOKUP($B103,MMWR_TRAD_AGG_STATE_PEN[],L$1,0),"ERROR")</f>
        <v>5</v>
      </c>
      <c r="M103" s="114">
        <f t="shared" si="14"/>
        <v>1</v>
      </c>
      <c r="N103" s="111">
        <f>IFERROR(VLOOKUP($B103,MMWR_TRAD_AGG_STATE_PEN[],N$1,0),"ERROR")</f>
        <v>34</v>
      </c>
      <c r="O103" s="112">
        <f>IFERROR(VLOOKUP($B103,MMWR_TRAD_AGG_STATE_PEN[],O$1,0),"ERROR")</f>
        <v>6</v>
      </c>
      <c r="P103" s="114">
        <f t="shared" si="15"/>
        <v>0.17647058823529413</v>
      </c>
      <c r="Q103" s="115">
        <f>IFERROR(VLOOKUP($B103,MMWR_TRAD_AGG_STATE_PEN[],Q$1,0),"ERROR")</f>
        <v>229</v>
      </c>
      <c r="R103" s="115">
        <f>IFERROR(VLOOKUP($B103,MMWR_TRAD_AGG_STATE_PEN[],R$1,0),"ERROR")</f>
        <v>25</v>
      </c>
      <c r="S103" s="115">
        <f>IFERROR(VLOOKUP($B103,MMWR_APP_STATE_PEN[],S$1,0),"ERROR")</f>
        <v>114</v>
      </c>
      <c r="T103" s="28"/>
    </row>
    <row r="104" spans="1:20" s="123" customFormat="1" x14ac:dyDescent="0.2">
      <c r="A104" s="28"/>
      <c r="B104" s="127" t="s">
        <v>428</v>
      </c>
      <c r="C104" s="109">
        <f>IFERROR(VLOOKUP($B104,MMWR_TRAD_AGG_STATE_PEN[],C$1,0),"ERROR")</f>
        <v>26</v>
      </c>
      <c r="D104" s="110">
        <f>IFERROR(VLOOKUP($B104,MMWR_TRAD_AGG_STATE_PEN[],D$1,0),"ERROR")</f>
        <v>36.346153846199996</v>
      </c>
      <c r="E104" s="111">
        <f>IFERROR(VLOOKUP($B104,MMWR_TRAD_AGG_STATE_PEN[],E$1,0),"ERROR")</f>
        <v>74</v>
      </c>
      <c r="F104" s="112">
        <f>IFERROR(VLOOKUP($B104,MMWR_TRAD_AGG_STATE_PEN[],F$1,0),"ERROR")</f>
        <v>1</v>
      </c>
      <c r="G104" s="113">
        <f t="shared" si="12"/>
        <v>1.3513513513513514E-2</v>
      </c>
      <c r="H104" s="111">
        <f>IFERROR(VLOOKUP($B104,MMWR_TRAD_AGG_STATE_PEN[],H$1,0),"ERROR")</f>
        <v>55</v>
      </c>
      <c r="I104" s="112">
        <f>IFERROR(VLOOKUP($B104,MMWR_TRAD_AGG_STATE_PEN[],I$1,0),"ERROR")</f>
        <v>5</v>
      </c>
      <c r="J104" s="114">
        <f t="shared" si="13"/>
        <v>9.0909090909090912E-2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54</v>
      </c>
      <c r="R104" s="115">
        <f>IFERROR(VLOOKUP($B104,MMWR_TRAD_AGG_STATE_PEN[],R$1,0),"ERROR")</f>
        <v>6</v>
      </c>
      <c r="S104" s="115">
        <f>IFERROR(VLOOKUP($B104,MMWR_APP_STATE_PEN[],S$1,0),"ERROR")</f>
        <v>4</v>
      </c>
      <c r="T104" s="28"/>
    </row>
    <row r="105" spans="1:20" s="123" customFormat="1" x14ac:dyDescent="0.2">
      <c r="A105" s="28"/>
      <c r="B105" s="127" t="s">
        <v>422</v>
      </c>
      <c r="C105" s="109">
        <f>IFERROR(VLOOKUP($B105,MMWR_TRAD_AGG_STATE_PEN[],C$1,0),"ERROR")</f>
        <v>145</v>
      </c>
      <c r="D105" s="110">
        <f>IFERROR(VLOOKUP($B105,MMWR_TRAD_AGG_STATE_PEN[],D$1,0),"ERROR")</f>
        <v>42.627586206899998</v>
      </c>
      <c r="E105" s="111">
        <f>IFERROR(VLOOKUP($B105,MMWR_TRAD_AGG_STATE_PEN[],E$1,0),"ERROR")</f>
        <v>262</v>
      </c>
      <c r="F105" s="112">
        <f>IFERROR(VLOOKUP($B105,MMWR_TRAD_AGG_STATE_PEN[],F$1,0),"ERROR")</f>
        <v>9</v>
      </c>
      <c r="G105" s="113">
        <f t="shared" si="12"/>
        <v>3.4351145038167941E-2</v>
      </c>
      <c r="H105" s="111">
        <f>IFERROR(VLOOKUP($B105,MMWR_TRAD_AGG_STATE_PEN[],H$1,0),"ERROR")</f>
        <v>249</v>
      </c>
      <c r="I105" s="112">
        <f>IFERROR(VLOOKUP($B105,MMWR_TRAD_AGG_STATE_PEN[],I$1,0),"ERROR")</f>
        <v>7</v>
      </c>
      <c r="J105" s="114">
        <f t="shared" si="13"/>
        <v>2.8112449799196786E-2</v>
      </c>
      <c r="K105" s="111">
        <f>IFERROR(VLOOKUP($B105,MMWR_TRAD_AGG_STATE_PEN[],K$1,0),"ERROR")</f>
        <v>2</v>
      </c>
      <c r="L105" s="112">
        <f>IFERROR(VLOOKUP($B105,MMWR_TRAD_AGG_STATE_PEN[],L$1,0),"ERROR")</f>
        <v>2</v>
      </c>
      <c r="M105" s="114">
        <f t="shared" si="14"/>
        <v>1</v>
      </c>
      <c r="N105" s="111">
        <f>IFERROR(VLOOKUP($B105,MMWR_TRAD_AGG_STATE_PEN[],N$1,0),"ERROR")</f>
        <v>15</v>
      </c>
      <c r="O105" s="112">
        <f>IFERROR(VLOOKUP($B105,MMWR_TRAD_AGG_STATE_PEN[],O$1,0),"ERROR")</f>
        <v>4</v>
      </c>
      <c r="P105" s="114">
        <f t="shared" si="15"/>
        <v>0.26666666666666666</v>
      </c>
      <c r="Q105" s="115">
        <f>IFERROR(VLOOKUP($B105,MMWR_TRAD_AGG_STATE_PEN[],Q$1,0),"ERROR")</f>
        <v>311</v>
      </c>
      <c r="R105" s="115">
        <f>IFERROR(VLOOKUP($B105,MMWR_TRAD_AGG_STATE_PEN[],R$1,0),"ERROR")</f>
        <v>61</v>
      </c>
      <c r="S105" s="115">
        <f>IFERROR(VLOOKUP($B105,MMWR_APP_STATE_PEN[],S$1,0),"ERROR")</f>
        <v>71</v>
      </c>
      <c r="T105" s="28"/>
    </row>
    <row r="106" spans="1:20" s="123" customFormat="1" x14ac:dyDescent="0.2">
      <c r="A106" s="28"/>
      <c r="B106" s="127" t="s">
        <v>420</v>
      </c>
      <c r="C106" s="109">
        <f>IFERROR(VLOOKUP($B106,MMWR_TRAD_AGG_STATE_PEN[],C$1,0),"ERROR")</f>
        <v>622</v>
      </c>
      <c r="D106" s="110">
        <f>IFERROR(VLOOKUP($B106,MMWR_TRAD_AGG_STATE_PEN[],D$1,0),"ERROR")</f>
        <v>54.212218649500002</v>
      </c>
      <c r="E106" s="111">
        <f>IFERROR(VLOOKUP($B106,MMWR_TRAD_AGG_STATE_PEN[],E$1,0),"ERROR")</f>
        <v>1455</v>
      </c>
      <c r="F106" s="112">
        <f>IFERROR(VLOOKUP($B106,MMWR_TRAD_AGG_STATE_PEN[],F$1,0),"ERROR")</f>
        <v>47</v>
      </c>
      <c r="G106" s="113">
        <f t="shared" si="12"/>
        <v>3.230240549828179E-2</v>
      </c>
      <c r="H106" s="111">
        <f>IFERROR(VLOOKUP($B106,MMWR_TRAD_AGG_STATE_PEN[],H$1,0),"ERROR")</f>
        <v>1183</v>
      </c>
      <c r="I106" s="112">
        <f>IFERROR(VLOOKUP($B106,MMWR_TRAD_AGG_STATE_PEN[],I$1,0),"ERROR")</f>
        <v>102</v>
      </c>
      <c r="J106" s="114">
        <f t="shared" si="13"/>
        <v>8.6221470836855454E-2</v>
      </c>
      <c r="K106" s="111">
        <f>IFERROR(VLOOKUP($B106,MMWR_TRAD_AGG_STATE_PEN[],K$1,0),"ERROR")</f>
        <v>10</v>
      </c>
      <c r="L106" s="112">
        <f>IFERROR(VLOOKUP($B106,MMWR_TRAD_AGG_STATE_PEN[],L$1,0),"ERROR")</f>
        <v>9</v>
      </c>
      <c r="M106" s="114">
        <f t="shared" si="14"/>
        <v>0.9</v>
      </c>
      <c r="N106" s="111">
        <f>IFERROR(VLOOKUP($B106,MMWR_TRAD_AGG_STATE_PEN[],N$1,0),"ERROR")</f>
        <v>55</v>
      </c>
      <c r="O106" s="112">
        <f>IFERROR(VLOOKUP($B106,MMWR_TRAD_AGG_STATE_PEN[],O$1,0),"ERROR")</f>
        <v>30</v>
      </c>
      <c r="P106" s="114">
        <f t="shared" si="15"/>
        <v>0.54545454545454541</v>
      </c>
      <c r="Q106" s="115">
        <f>IFERROR(VLOOKUP($B106,MMWR_TRAD_AGG_STATE_PEN[],Q$1,0),"ERROR")</f>
        <v>863</v>
      </c>
      <c r="R106" s="115">
        <f>IFERROR(VLOOKUP($B106,MMWR_TRAD_AGG_STATE_PEN[],R$1,0),"ERROR")</f>
        <v>274</v>
      </c>
      <c r="S106" s="115">
        <f>IFERROR(VLOOKUP($B106,MMWR_APP_STATE_PEN[],S$1,0),"ERROR")</f>
        <v>331</v>
      </c>
      <c r="T106" s="28"/>
    </row>
    <row r="107" spans="1:20" s="123" customFormat="1" x14ac:dyDescent="0.2">
      <c r="A107" s="28"/>
      <c r="B107" s="127" t="s">
        <v>416</v>
      </c>
      <c r="C107" s="109">
        <f>IFERROR(VLOOKUP($B107,MMWR_TRAD_AGG_STATE_PEN[],C$1,0),"ERROR")</f>
        <v>51</v>
      </c>
      <c r="D107" s="110">
        <f>IFERROR(VLOOKUP($B107,MMWR_TRAD_AGG_STATE_PEN[],D$1,0),"ERROR")</f>
        <v>42.8431372549</v>
      </c>
      <c r="E107" s="111">
        <f>IFERROR(VLOOKUP($B107,MMWR_TRAD_AGG_STATE_PEN[],E$1,0),"ERROR")</f>
        <v>152</v>
      </c>
      <c r="F107" s="112">
        <f>IFERROR(VLOOKUP($B107,MMWR_TRAD_AGG_STATE_PEN[],F$1,0),"ERROR")</f>
        <v>7</v>
      </c>
      <c r="G107" s="113">
        <f t="shared" si="12"/>
        <v>4.6052631578947366E-2</v>
      </c>
      <c r="H107" s="111">
        <f>IFERROR(VLOOKUP($B107,MMWR_TRAD_AGG_STATE_PEN[],H$1,0),"ERROR")</f>
        <v>99</v>
      </c>
      <c r="I107" s="112">
        <f>IFERROR(VLOOKUP($B107,MMWR_TRAD_AGG_STATE_PEN[],I$1,0),"ERROR")</f>
        <v>5</v>
      </c>
      <c r="J107" s="114">
        <f t="shared" si="13"/>
        <v>5.0505050505050504E-2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3</v>
      </c>
      <c r="P107" s="114">
        <f t="shared" si="15"/>
        <v>0.75</v>
      </c>
      <c r="Q107" s="115">
        <f>IFERROR(VLOOKUP($B107,MMWR_TRAD_AGG_STATE_PEN[],Q$1,0),"ERROR")</f>
        <v>85</v>
      </c>
      <c r="R107" s="115">
        <f>IFERROR(VLOOKUP($B107,MMWR_TRAD_AGG_STATE_PEN[],R$1,0),"ERROR")</f>
        <v>21</v>
      </c>
      <c r="S107" s="115">
        <f>IFERROR(VLOOKUP($B107,MMWR_APP_STATE_PEN[],S$1,0),"ERROR")</f>
        <v>20</v>
      </c>
      <c r="T107" s="28"/>
    </row>
    <row r="108" spans="1:20" s="123" customFormat="1" x14ac:dyDescent="0.2">
      <c r="A108" s="28"/>
      <c r="B108" s="127" t="s">
        <v>431</v>
      </c>
      <c r="C108" s="109">
        <f>IFERROR(VLOOKUP($B108,MMWR_TRAD_AGG_STATE_PEN[],C$1,0),"ERROR")</f>
        <v>14</v>
      </c>
      <c r="D108" s="110">
        <f>IFERROR(VLOOKUP($B108,MMWR_TRAD_AGG_STATE_PEN[],D$1,0),"ERROR")</f>
        <v>52.571428571399998</v>
      </c>
      <c r="E108" s="111">
        <f>IFERROR(VLOOKUP($B108,MMWR_TRAD_AGG_STATE_PEN[],E$1,0),"ERROR")</f>
        <v>37</v>
      </c>
      <c r="F108" s="112">
        <f>IFERROR(VLOOKUP($B108,MMWR_TRAD_AGG_STATE_PEN[],F$1,0),"ERROR")</f>
        <v>0</v>
      </c>
      <c r="G108" s="113">
        <f t="shared" si="12"/>
        <v>0</v>
      </c>
      <c r="H108" s="111">
        <f>IFERROR(VLOOKUP($B108,MMWR_TRAD_AGG_STATE_PEN[],H$1,0),"ERROR")</f>
        <v>30</v>
      </c>
      <c r="I108" s="112">
        <f>IFERROR(VLOOKUP($B108,MMWR_TRAD_AGG_STATE_PEN[],I$1,0),"ERROR")</f>
        <v>6</v>
      </c>
      <c r="J108" s="114">
        <f t="shared" si="13"/>
        <v>0.2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33</v>
      </c>
      <c r="R108" s="115">
        <f>IFERROR(VLOOKUP($B108,MMWR_TRAD_AGG_STATE_PEN[],R$1,0),"ERROR")</f>
        <v>2</v>
      </c>
      <c r="S108" s="115">
        <f>IFERROR(VLOOKUP($B108,MMWR_APP_STATE_PEN[],S$1,0),"ERROR")</f>
        <v>7</v>
      </c>
      <c r="T108" s="28"/>
    </row>
    <row r="109" spans="1:20" s="123" customFormat="1" x14ac:dyDescent="0.2">
      <c r="A109" s="28"/>
      <c r="B109" s="126" t="s">
        <v>414</v>
      </c>
      <c r="C109" s="102">
        <f>IFERROR(VLOOKUP($B109,MMWR_TRAD_AGG_ST_DISTRICT_PEN[],C$1,0),"ERROR")</f>
        <v>1374</v>
      </c>
      <c r="D109" s="103">
        <f>IFERROR(VLOOKUP($B109,MMWR_TRAD_AGG_ST_DISTRICT_PEN[],D$1,0),"ERROR")</f>
        <v>46.9868995633</v>
      </c>
      <c r="E109" s="102">
        <f>IFERROR(VLOOKUP($B109,MMWR_TRAD_AGG_ST_DISTRICT_PEN[],E$1,0),"ERROR")</f>
        <v>3613</v>
      </c>
      <c r="F109" s="102">
        <f>IFERROR(VLOOKUP($B109,MMWR_TRAD_AGG_ST_DISTRICT_PEN[],F$1,0),"ERROR")</f>
        <v>135</v>
      </c>
      <c r="G109" s="104">
        <f t="shared" si="12"/>
        <v>3.736507057846665E-2</v>
      </c>
      <c r="H109" s="102">
        <f>IFERROR(VLOOKUP($B109,MMWR_TRAD_AGG_ST_DISTRICT_PEN[],H$1,0),"ERROR")</f>
        <v>2370</v>
      </c>
      <c r="I109" s="102">
        <f>IFERROR(VLOOKUP($B109,MMWR_TRAD_AGG_ST_DISTRICT_PEN[],I$1,0),"ERROR")</f>
        <v>202</v>
      </c>
      <c r="J109" s="104">
        <f t="shared" si="13"/>
        <v>8.5232067510548529E-2</v>
      </c>
      <c r="K109" s="102">
        <f>IFERROR(VLOOKUP($B109,MMWR_TRAD_AGG_ST_DISTRICT_PEN[],K$1,0),"ERROR")</f>
        <v>26</v>
      </c>
      <c r="L109" s="102">
        <f>IFERROR(VLOOKUP($B109,MMWR_TRAD_AGG_ST_DISTRICT_PEN[],L$1,0),"ERROR")</f>
        <v>24</v>
      </c>
      <c r="M109" s="104">
        <f t="shared" si="14"/>
        <v>0.92307692307692313</v>
      </c>
      <c r="N109" s="102">
        <f>IFERROR(VLOOKUP($B109,MMWR_TRAD_AGG_ST_DISTRICT_PEN[],N$1,0),"ERROR")</f>
        <v>132</v>
      </c>
      <c r="O109" s="102">
        <f>IFERROR(VLOOKUP($B109,MMWR_TRAD_AGG_ST_DISTRICT_PEN[],O$1,0),"ERROR")</f>
        <v>58</v>
      </c>
      <c r="P109" s="104">
        <f t="shared" si="15"/>
        <v>0.43939393939393939</v>
      </c>
      <c r="Q109" s="102">
        <f>IFERROR(VLOOKUP($B109,MMWR_TRAD_AGG_ST_DISTRICT_PEN[],Q$1,0),"ERROR")</f>
        <v>1932</v>
      </c>
      <c r="R109" s="106">
        <f>IFERROR(VLOOKUP($B109,MMWR_TRAD_AGG_ST_DISTRICT_PEN[],R$1,0),"ERROR")</f>
        <v>651</v>
      </c>
      <c r="S109" s="106">
        <f>IFERROR(VLOOKUP($B109,MMWR_APP_STATE_PEN[],S$1,0),"ERROR")</f>
        <v>624</v>
      </c>
      <c r="T109" s="28"/>
    </row>
    <row r="110" spans="1:20" s="123" customFormat="1" x14ac:dyDescent="0.2">
      <c r="A110" s="28"/>
      <c r="B110" s="127" t="s">
        <v>434</v>
      </c>
      <c r="C110" s="109">
        <f>IFERROR(VLOOKUP($B110,MMWR_TRAD_AGG_STATE_PEN[],C$1,0),"ERROR")</f>
        <v>6</v>
      </c>
      <c r="D110" s="110">
        <f>IFERROR(VLOOKUP($B110,MMWR_TRAD_AGG_STATE_PEN[],D$1,0),"ERROR")</f>
        <v>53.666666666700003</v>
      </c>
      <c r="E110" s="111">
        <f>IFERROR(VLOOKUP($B110,MMWR_TRAD_AGG_STATE_PEN[],E$1,0),"ERROR")</f>
        <v>11</v>
      </c>
      <c r="F110" s="112">
        <f>IFERROR(VLOOKUP($B110,MMWR_TRAD_AGG_STATE_PEN[],F$1,0),"ERROR")</f>
        <v>0</v>
      </c>
      <c r="G110" s="113">
        <f t="shared" si="12"/>
        <v>0</v>
      </c>
      <c r="H110" s="111">
        <f>IFERROR(VLOOKUP($B110,MMWR_TRAD_AGG_STATE_PEN[],H$1,0),"ERROR")</f>
        <v>19</v>
      </c>
      <c r="I110" s="112">
        <f>IFERROR(VLOOKUP($B110,MMWR_TRAD_AGG_STATE_PEN[],I$1,0),"ERROR")</f>
        <v>3</v>
      </c>
      <c r="J110" s="114">
        <f t="shared" si="13"/>
        <v>0.15789473684210525</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19</v>
      </c>
      <c r="R110" s="115">
        <f>IFERROR(VLOOKUP($B110,MMWR_TRAD_AGG_STATE_PEN[],R$1,0),"ERROR")</f>
        <v>8</v>
      </c>
      <c r="S110" s="115">
        <f>IFERROR(VLOOKUP($B110,MMWR_APP_STATE_PEN[],S$1,0),"ERROR")</f>
        <v>5</v>
      </c>
      <c r="T110" s="28"/>
    </row>
    <row r="111" spans="1:20" s="123" customFormat="1" x14ac:dyDescent="0.2">
      <c r="A111" s="28"/>
      <c r="B111" s="127" t="s">
        <v>436</v>
      </c>
      <c r="C111" s="109">
        <f>IFERROR(VLOOKUP($B111,MMWR_TRAD_AGG_STATE_PEN[],C$1,0),"ERROR")</f>
        <v>181</v>
      </c>
      <c r="D111" s="110">
        <f>IFERROR(VLOOKUP($B111,MMWR_TRAD_AGG_STATE_PEN[],D$1,0),"ERROR")</f>
        <v>43.9944751381</v>
      </c>
      <c r="E111" s="111">
        <f>IFERROR(VLOOKUP($B111,MMWR_TRAD_AGG_STATE_PEN[],E$1,0),"ERROR")</f>
        <v>460</v>
      </c>
      <c r="F111" s="112">
        <f>IFERROR(VLOOKUP($B111,MMWR_TRAD_AGG_STATE_PEN[],F$1,0),"ERROR")</f>
        <v>21</v>
      </c>
      <c r="G111" s="113">
        <f t="shared" si="12"/>
        <v>4.5652173913043478E-2</v>
      </c>
      <c r="H111" s="111">
        <f>IFERROR(VLOOKUP($B111,MMWR_TRAD_AGG_STATE_PEN[],H$1,0),"ERROR")</f>
        <v>282</v>
      </c>
      <c r="I111" s="112">
        <f>IFERROR(VLOOKUP($B111,MMWR_TRAD_AGG_STATE_PEN[],I$1,0),"ERROR")</f>
        <v>21</v>
      </c>
      <c r="J111" s="114">
        <f t="shared" si="13"/>
        <v>7.4468085106382975E-2</v>
      </c>
      <c r="K111" s="111">
        <f>IFERROR(VLOOKUP($B111,MMWR_TRAD_AGG_STATE_PEN[],K$1,0),"ERROR")</f>
        <v>3</v>
      </c>
      <c r="L111" s="112">
        <f>IFERROR(VLOOKUP($B111,MMWR_TRAD_AGG_STATE_PEN[],L$1,0),"ERROR")</f>
        <v>3</v>
      </c>
      <c r="M111" s="114">
        <f t="shared" si="14"/>
        <v>1</v>
      </c>
      <c r="N111" s="111">
        <f>IFERROR(VLOOKUP($B111,MMWR_TRAD_AGG_STATE_PEN[],N$1,0),"ERROR")</f>
        <v>13</v>
      </c>
      <c r="O111" s="112">
        <f>IFERROR(VLOOKUP($B111,MMWR_TRAD_AGG_STATE_PEN[],O$1,0),"ERROR")</f>
        <v>3</v>
      </c>
      <c r="P111" s="114">
        <f t="shared" si="15"/>
        <v>0.23076923076923078</v>
      </c>
      <c r="Q111" s="115">
        <f>IFERROR(VLOOKUP($B111,MMWR_TRAD_AGG_STATE_PEN[],Q$1,0),"ERROR")</f>
        <v>264</v>
      </c>
      <c r="R111" s="115">
        <f>IFERROR(VLOOKUP($B111,MMWR_TRAD_AGG_STATE_PEN[],R$1,0),"ERROR")</f>
        <v>72</v>
      </c>
      <c r="S111" s="115">
        <f>IFERROR(VLOOKUP($B111,MMWR_APP_STATE_PEN[],S$1,0),"ERROR")</f>
        <v>76</v>
      </c>
      <c r="T111" s="28"/>
    </row>
    <row r="112" spans="1:20" s="123" customFormat="1" x14ac:dyDescent="0.2">
      <c r="A112" s="28"/>
      <c r="B112" s="127" t="s">
        <v>417</v>
      </c>
      <c r="C112" s="109">
        <f>IFERROR(VLOOKUP($B112,MMWR_TRAD_AGG_STATE_PEN[],C$1,0),"ERROR")</f>
        <v>730</v>
      </c>
      <c r="D112" s="110">
        <f>IFERROR(VLOOKUP($B112,MMWR_TRAD_AGG_STATE_PEN[],D$1,0),"ERROR")</f>
        <v>45.141095890400003</v>
      </c>
      <c r="E112" s="111">
        <f>IFERROR(VLOOKUP($B112,MMWR_TRAD_AGG_STATE_PEN[],E$1,0),"ERROR")</f>
        <v>1957</v>
      </c>
      <c r="F112" s="112">
        <f>IFERROR(VLOOKUP($B112,MMWR_TRAD_AGG_STATE_PEN[],F$1,0),"ERROR")</f>
        <v>66</v>
      </c>
      <c r="G112" s="113">
        <f t="shared" si="12"/>
        <v>3.3725089422585591E-2</v>
      </c>
      <c r="H112" s="111">
        <f>IFERROR(VLOOKUP($B112,MMWR_TRAD_AGG_STATE_PEN[],H$1,0),"ERROR")</f>
        <v>1240</v>
      </c>
      <c r="I112" s="112">
        <f>IFERROR(VLOOKUP($B112,MMWR_TRAD_AGG_STATE_PEN[],I$1,0),"ERROR")</f>
        <v>105</v>
      </c>
      <c r="J112" s="114">
        <f t="shared" si="13"/>
        <v>8.4677419354838704E-2</v>
      </c>
      <c r="K112" s="111">
        <f>IFERROR(VLOOKUP($B112,MMWR_TRAD_AGG_STATE_PEN[],K$1,0),"ERROR")</f>
        <v>16</v>
      </c>
      <c r="L112" s="112">
        <f>IFERROR(VLOOKUP($B112,MMWR_TRAD_AGG_STATE_PEN[],L$1,0),"ERROR")</f>
        <v>15</v>
      </c>
      <c r="M112" s="114">
        <f t="shared" si="14"/>
        <v>0.9375</v>
      </c>
      <c r="N112" s="111">
        <f>IFERROR(VLOOKUP($B112,MMWR_TRAD_AGG_STATE_PEN[],N$1,0),"ERROR")</f>
        <v>71</v>
      </c>
      <c r="O112" s="112">
        <f>IFERROR(VLOOKUP($B112,MMWR_TRAD_AGG_STATE_PEN[],O$1,0),"ERROR")</f>
        <v>34</v>
      </c>
      <c r="P112" s="114">
        <f t="shared" si="15"/>
        <v>0.47887323943661969</v>
      </c>
      <c r="Q112" s="115">
        <f>IFERROR(VLOOKUP($B112,MMWR_TRAD_AGG_STATE_PEN[],Q$1,0),"ERROR")</f>
        <v>810</v>
      </c>
      <c r="R112" s="115">
        <f>IFERROR(VLOOKUP($B112,MMWR_TRAD_AGG_STATE_PEN[],R$1,0),"ERROR")</f>
        <v>343</v>
      </c>
      <c r="S112" s="115">
        <f>IFERROR(VLOOKUP($B112,MMWR_APP_STATE_PEN[],S$1,0),"ERROR")</f>
        <v>324</v>
      </c>
      <c r="T112" s="28"/>
    </row>
    <row r="113" spans="1:20" s="123" customFormat="1" x14ac:dyDescent="0.2">
      <c r="A113" s="28"/>
      <c r="B113" s="127" t="s">
        <v>438</v>
      </c>
      <c r="C113" s="109">
        <f>IFERROR(VLOOKUP($B113,MMWR_TRAD_AGG_STATE_PEN[],C$1,0),"ERROR")</f>
        <v>16</v>
      </c>
      <c r="D113" s="110">
        <f>IFERROR(VLOOKUP($B113,MMWR_TRAD_AGG_STATE_PEN[],D$1,0),"ERROR")</f>
        <v>40.5</v>
      </c>
      <c r="E113" s="111">
        <f>IFERROR(VLOOKUP($B113,MMWR_TRAD_AGG_STATE_PEN[],E$1,0),"ERROR")</f>
        <v>28</v>
      </c>
      <c r="F113" s="112">
        <f>IFERROR(VLOOKUP($B113,MMWR_TRAD_AGG_STATE_PEN[],F$1,0),"ERROR")</f>
        <v>0</v>
      </c>
      <c r="G113" s="113">
        <f t="shared" si="12"/>
        <v>0</v>
      </c>
      <c r="H113" s="111">
        <f>IFERROR(VLOOKUP($B113,MMWR_TRAD_AGG_STATE_PEN[],H$1,0),"ERROR")</f>
        <v>24</v>
      </c>
      <c r="I113" s="112">
        <f>IFERROR(VLOOKUP($B113,MMWR_TRAD_AGG_STATE_PEN[],I$1,0),"ERROR")</f>
        <v>2</v>
      </c>
      <c r="J113" s="114">
        <f t="shared" si="13"/>
        <v>8.3333333333333329E-2</v>
      </c>
      <c r="K113" s="111">
        <f>IFERROR(VLOOKUP($B113,MMWR_TRAD_AGG_STATE_PEN[],K$1,0),"ERROR")</f>
        <v>3</v>
      </c>
      <c r="L113" s="112">
        <f>IFERROR(VLOOKUP($B113,MMWR_TRAD_AGG_STATE_PEN[],L$1,0),"ERROR")</f>
        <v>2</v>
      </c>
      <c r="M113" s="114">
        <f t="shared" si="14"/>
        <v>0.66666666666666663</v>
      </c>
      <c r="N113" s="111">
        <f>IFERROR(VLOOKUP($B113,MMWR_TRAD_AGG_STATE_PEN[],N$1,0),"ERROR")</f>
        <v>0</v>
      </c>
      <c r="O113" s="112">
        <f>IFERROR(VLOOKUP($B113,MMWR_TRAD_AGG_STATE_PEN[],O$1,0),"ERROR")</f>
        <v>0</v>
      </c>
      <c r="P113" s="114" t="str">
        <f t="shared" si="15"/>
        <v>0%</v>
      </c>
      <c r="Q113" s="115">
        <f>IFERROR(VLOOKUP($B113,MMWR_TRAD_AGG_STATE_PEN[],Q$1,0),"ERROR")</f>
        <v>40</v>
      </c>
      <c r="R113" s="115">
        <f>IFERROR(VLOOKUP($B113,MMWR_TRAD_AGG_STATE_PEN[],R$1,0),"ERROR")</f>
        <v>9</v>
      </c>
      <c r="S113" s="115">
        <f>IFERROR(VLOOKUP($B113,MMWR_APP_STATE_PEN[],S$1,0),"ERROR")</f>
        <v>13</v>
      </c>
      <c r="T113" s="28"/>
    </row>
    <row r="114" spans="1:20" s="123" customFormat="1" x14ac:dyDescent="0.2">
      <c r="A114" s="28"/>
      <c r="B114" s="127" t="s">
        <v>418</v>
      </c>
      <c r="C114" s="109">
        <f>IFERROR(VLOOKUP($B114,MMWR_TRAD_AGG_STATE_PEN[],C$1,0),"ERROR")</f>
        <v>46</v>
      </c>
      <c r="D114" s="110">
        <f>IFERROR(VLOOKUP($B114,MMWR_TRAD_AGG_STATE_PEN[],D$1,0),"ERROR")</f>
        <v>46.652173912999999</v>
      </c>
      <c r="E114" s="111">
        <f>IFERROR(VLOOKUP($B114,MMWR_TRAD_AGG_STATE_PEN[],E$1,0),"ERROR")</f>
        <v>125</v>
      </c>
      <c r="F114" s="112">
        <f>IFERROR(VLOOKUP($B114,MMWR_TRAD_AGG_STATE_PEN[],F$1,0),"ERROR")</f>
        <v>8</v>
      </c>
      <c r="G114" s="113">
        <f t="shared" si="12"/>
        <v>6.4000000000000001E-2</v>
      </c>
      <c r="H114" s="111">
        <f>IFERROR(VLOOKUP($B114,MMWR_TRAD_AGG_STATE_PEN[],H$1,0),"ERROR")</f>
        <v>70</v>
      </c>
      <c r="I114" s="112">
        <f>IFERROR(VLOOKUP($B114,MMWR_TRAD_AGG_STATE_PEN[],I$1,0),"ERROR")</f>
        <v>1</v>
      </c>
      <c r="J114" s="114">
        <f t="shared" si="13"/>
        <v>1.4285714285714285E-2</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65</v>
      </c>
      <c r="R114" s="115">
        <f>IFERROR(VLOOKUP($B114,MMWR_TRAD_AGG_STATE_PEN[],R$1,0),"ERROR")</f>
        <v>14</v>
      </c>
      <c r="S114" s="115">
        <f>IFERROR(VLOOKUP($B114,MMWR_APP_STATE_PEN[],S$1,0),"ERROR")</f>
        <v>12</v>
      </c>
      <c r="T114" s="28"/>
    </row>
    <row r="115" spans="1:20" s="123" customFormat="1" x14ac:dyDescent="0.2">
      <c r="A115" s="28"/>
      <c r="B115" s="127" t="s">
        <v>423</v>
      </c>
      <c r="C115" s="109">
        <f>IFERROR(VLOOKUP($B115,MMWR_TRAD_AGG_STATE_PEN[],C$1,0),"ERROR")</f>
        <v>89</v>
      </c>
      <c r="D115" s="110">
        <f>IFERROR(VLOOKUP($B115,MMWR_TRAD_AGG_STATE_PEN[],D$1,0),"ERROR")</f>
        <v>51.539325842700002</v>
      </c>
      <c r="E115" s="111">
        <f>IFERROR(VLOOKUP($B115,MMWR_TRAD_AGG_STATE_PEN[],E$1,0),"ERROR")</f>
        <v>179</v>
      </c>
      <c r="F115" s="112">
        <f>IFERROR(VLOOKUP($B115,MMWR_TRAD_AGG_STATE_PEN[],F$1,0),"ERROR")</f>
        <v>5</v>
      </c>
      <c r="G115" s="113">
        <f t="shared" si="12"/>
        <v>2.7932960893854747E-2</v>
      </c>
      <c r="H115" s="111">
        <f>IFERROR(VLOOKUP($B115,MMWR_TRAD_AGG_STATE_PEN[],H$1,0),"ERROR")</f>
        <v>148</v>
      </c>
      <c r="I115" s="112">
        <f>IFERROR(VLOOKUP($B115,MMWR_TRAD_AGG_STATE_PEN[],I$1,0),"ERROR")</f>
        <v>10</v>
      </c>
      <c r="J115" s="114">
        <f t="shared" si="13"/>
        <v>6.7567567567567571E-2</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4</v>
      </c>
      <c r="P115" s="114">
        <f t="shared" si="15"/>
        <v>0.44444444444444442</v>
      </c>
      <c r="Q115" s="115">
        <f>IFERROR(VLOOKUP($B115,MMWR_TRAD_AGG_STATE_PEN[],Q$1,0),"ERROR")</f>
        <v>104</v>
      </c>
      <c r="R115" s="115">
        <f>IFERROR(VLOOKUP($B115,MMWR_TRAD_AGG_STATE_PEN[],R$1,0),"ERROR")</f>
        <v>42</v>
      </c>
      <c r="S115" s="115">
        <f>IFERROR(VLOOKUP($B115,MMWR_APP_STATE_PEN[],S$1,0),"ERROR")</f>
        <v>56</v>
      </c>
      <c r="T115" s="28"/>
    </row>
    <row r="116" spans="1:20" s="123" customFormat="1" x14ac:dyDescent="0.2">
      <c r="A116" s="28"/>
      <c r="B116" s="127" t="s">
        <v>415</v>
      </c>
      <c r="C116" s="109">
        <f>IFERROR(VLOOKUP($B116,MMWR_TRAD_AGG_STATE_PEN[],C$1,0),"ERROR")</f>
        <v>41</v>
      </c>
      <c r="D116" s="110">
        <f>IFERROR(VLOOKUP($B116,MMWR_TRAD_AGG_STATE_PEN[],D$1,0),"ERROR")</f>
        <v>61.1707317073</v>
      </c>
      <c r="E116" s="111">
        <f>IFERROR(VLOOKUP($B116,MMWR_TRAD_AGG_STATE_PEN[],E$1,0),"ERROR")</f>
        <v>137</v>
      </c>
      <c r="F116" s="112">
        <f>IFERROR(VLOOKUP($B116,MMWR_TRAD_AGG_STATE_PEN[],F$1,0),"ERROR")</f>
        <v>6</v>
      </c>
      <c r="G116" s="113">
        <f t="shared" si="12"/>
        <v>4.3795620437956206E-2</v>
      </c>
      <c r="H116" s="111">
        <f>IFERROR(VLOOKUP($B116,MMWR_TRAD_AGG_STATE_PEN[],H$1,0),"ERROR")</f>
        <v>88</v>
      </c>
      <c r="I116" s="112">
        <f>IFERROR(VLOOKUP($B116,MMWR_TRAD_AGG_STATE_PEN[],I$1,0),"ERROR")</f>
        <v>13</v>
      </c>
      <c r="J116" s="114">
        <f t="shared" si="13"/>
        <v>0.14772727272727273</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2</v>
      </c>
      <c r="P116" s="114">
        <f t="shared" si="15"/>
        <v>0.33333333333333331</v>
      </c>
      <c r="Q116" s="115">
        <f>IFERROR(VLOOKUP($B116,MMWR_TRAD_AGG_STATE_PEN[],Q$1,0),"ERROR")</f>
        <v>139</v>
      </c>
      <c r="R116" s="115">
        <f>IFERROR(VLOOKUP($B116,MMWR_TRAD_AGG_STATE_PEN[],R$1,0),"ERROR")</f>
        <v>21</v>
      </c>
      <c r="S116" s="115">
        <f>IFERROR(VLOOKUP($B116,MMWR_APP_STATE_PEN[],S$1,0),"ERROR")</f>
        <v>25</v>
      </c>
      <c r="T116" s="28"/>
    </row>
    <row r="117" spans="1:20" s="123" customFormat="1" x14ac:dyDescent="0.2">
      <c r="A117" s="28"/>
      <c r="B117" s="127" t="s">
        <v>419</v>
      </c>
      <c r="C117" s="109">
        <f>IFERROR(VLOOKUP($B117,MMWR_TRAD_AGG_STATE_PEN[],C$1,0),"ERROR")</f>
        <v>123</v>
      </c>
      <c r="D117" s="110">
        <f>IFERROR(VLOOKUP($B117,MMWR_TRAD_AGG_STATE_PEN[],D$1,0),"ERROR")</f>
        <v>50.1056910569</v>
      </c>
      <c r="E117" s="111">
        <f>IFERROR(VLOOKUP($B117,MMWR_TRAD_AGG_STATE_PEN[],E$1,0),"ERROR")</f>
        <v>267</v>
      </c>
      <c r="F117" s="112">
        <f>IFERROR(VLOOKUP($B117,MMWR_TRAD_AGG_STATE_PEN[],F$1,0),"ERROR")</f>
        <v>8</v>
      </c>
      <c r="G117" s="113">
        <f t="shared" si="12"/>
        <v>2.9962546816479401E-2</v>
      </c>
      <c r="H117" s="111">
        <f>IFERROR(VLOOKUP($B117,MMWR_TRAD_AGG_STATE_PEN[],H$1,0),"ERROR")</f>
        <v>198</v>
      </c>
      <c r="I117" s="112">
        <f>IFERROR(VLOOKUP($B117,MMWR_TRAD_AGG_STATE_PEN[],I$1,0),"ERROR")</f>
        <v>11</v>
      </c>
      <c r="J117" s="114">
        <f t="shared" si="13"/>
        <v>5.5555555555555552E-2</v>
      </c>
      <c r="K117" s="111">
        <f>IFERROR(VLOOKUP($B117,MMWR_TRAD_AGG_STATE_PEN[],K$1,0),"ERROR")</f>
        <v>2</v>
      </c>
      <c r="L117" s="112">
        <f>IFERROR(VLOOKUP($B117,MMWR_TRAD_AGG_STATE_PEN[],L$1,0),"ERROR")</f>
        <v>2</v>
      </c>
      <c r="M117" s="114">
        <f t="shared" si="14"/>
        <v>1</v>
      </c>
      <c r="N117" s="111">
        <f>IFERROR(VLOOKUP($B117,MMWR_TRAD_AGG_STATE_PEN[],N$1,0),"ERROR")</f>
        <v>10</v>
      </c>
      <c r="O117" s="112">
        <f>IFERROR(VLOOKUP($B117,MMWR_TRAD_AGG_STATE_PEN[],O$1,0),"ERROR")</f>
        <v>6</v>
      </c>
      <c r="P117" s="114">
        <f t="shared" si="15"/>
        <v>0.6</v>
      </c>
      <c r="Q117" s="115">
        <f>IFERROR(VLOOKUP($B117,MMWR_TRAD_AGG_STATE_PEN[],Q$1,0),"ERROR")</f>
        <v>221</v>
      </c>
      <c r="R117" s="115">
        <f>IFERROR(VLOOKUP($B117,MMWR_TRAD_AGG_STATE_PEN[],R$1,0),"ERROR")</f>
        <v>55</v>
      </c>
      <c r="S117" s="115">
        <f>IFERROR(VLOOKUP($B117,MMWR_APP_STATE_PEN[],S$1,0),"ERROR")</f>
        <v>35</v>
      </c>
      <c r="T117" s="28"/>
    </row>
    <row r="118" spans="1:20" s="123" customFormat="1" x14ac:dyDescent="0.2">
      <c r="A118" s="28"/>
      <c r="B118" s="127" t="s">
        <v>83</v>
      </c>
      <c r="C118" s="109">
        <f>IFERROR(VLOOKUP($B118,MMWR_TRAD_AGG_STATE_PEN[],C$1,0),"ERROR")</f>
        <v>142</v>
      </c>
      <c r="D118" s="110">
        <f>IFERROR(VLOOKUP($B118,MMWR_TRAD_AGG_STATE_PEN[],D$1,0),"ERROR")</f>
        <v>51.1971830986</v>
      </c>
      <c r="E118" s="111">
        <f>IFERROR(VLOOKUP($B118,MMWR_TRAD_AGG_STATE_PEN[],E$1,0),"ERROR")</f>
        <v>449</v>
      </c>
      <c r="F118" s="112">
        <f>IFERROR(VLOOKUP($B118,MMWR_TRAD_AGG_STATE_PEN[],F$1,0),"ERROR")</f>
        <v>21</v>
      </c>
      <c r="G118" s="113">
        <f t="shared" si="12"/>
        <v>4.6770601336302897E-2</v>
      </c>
      <c r="H118" s="111">
        <f>IFERROR(VLOOKUP($B118,MMWR_TRAD_AGG_STATE_PEN[],H$1,0),"ERROR")</f>
        <v>301</v>
      </c>
      <c r="I118" s="112">
        <f>IFERROR(VLOOKUP($B118,MMWR_TRAD_AGG_STATE_PEN[],I$1,0),"ERROR")</f>
        <v>36</v>
      </c>
      <c r="J118" s="114">
        <f t="shared" si="13"/>
        <v>0.11960132890365449</v>
      </c>
      <c r="K118" s="111">
        <f>IFERROR(VLOOKUP($B118,MMWR_TRAD_AGG_STATE_PEN[],K$1,0),"ERROR")</f>
        <v>1</v>
      </c>
      <c r="L118" s="112">
        <f>IFERROR(VLOOKUP($B118,MMWR_TRAD_AGG_STATE_PEN[],L$1,0),"ERROR")</f>
        <v>1</v>
      </c>
      <c r="M118" s="114">
        <f t="shared" si="14"/>
        <v>1</v>
      </c>
      <c r="N118" s="111">
        <f>IFERROR(VLOOKUP($B118,MMWR_TRAD_AGG_STATE_PEN[],N$1,0),"ERROR")</f>
        <v>22</v>
      </c>
      <c r="O118" s="112">
        <f>IFERROR(VLOOKUP($B118,MMWR_TRAD_AGG_STATE_PEN[],O$1,0),"ERROR")</f>
        <v>8</v>
      </c>
      <c r="P118" s="114">
        <f t="shared" si="15"/>
        <v>0.36363636363636365</v>
      </c>
      <c r="Q118" s="115">
        <f>IFERROR(VLOOKUP($B118,MMWR_TRAD_AGG_STATE_PEN[],Q$1,0),"ERROR")</f>
        <v>270</v>
      </c>
      <c r="R118" s="115">
        <f>IFERROR(VLOOKUP($B118,MMWR_TRAD_AGG_STATE_PEN[],R$1,0),"ERROR")</f>
        <v>87</v>
      </c>
      <c r="S118" s="115">
        <f>IFERROR(VLOOKUP($B118,MMWR_APP_STATE_PEN[],S$1,0),"ERROR")</f>
        <v>78</v>
      </c>
      <c r="T118" s="28"/>
    </row>
    <row r="119" spans="1:20" s="123" customFormat="1" x14ac:dyDescent="0.2">
      <c r="A119" s="28"/>
      <c r="B119" s="126" t="s">
        <v>390</v>
      </c>
      <c r="C119" s="102">
        <f>IFERROR(VLOOKUP($B119,MMWR_TRAD_AGG_ST_DISTRICT_PEN[],C$1,0),"ERROR")</f>
        <v>6736</v>
      </c>
      <c r="D119" s="103">
        <f>IFERROR(VLOOKUP($B119,MMWR_TRAD_AGG_ST_DISTRICT_PEN[],D$1,0),"ERROR")</f>
        <v>90.365201900200006</v>
      </c>
      <c r="E119" s="102">
        <f>IFERROR(VLOOKUP($B119,MMWR_TRAD_AGG_ST_DISTRICT_PEN[],E$1,0),"ERROR")</f>
        <v>5715</v>
      </c>
      <c r="F119" s="102">
        <f>IFERROR(VLOOKUP($B119,MMWR_TRAD_AGG_ST_DISTRICT_PEN[],F$1,0),"ERROR")</f>
        <v>933</v>
      </c>
      <c r="G119" s="104">
        <f t="shared" si="12"/>
        <v>0.16325459317585303</v>
      </c>
      <c r="H119" s="102">
        <f>IFERROR(VLOOKUP($B119,MMWR_TRAD_AGG_ST_DISTRICT_PEN[],H$1,0),"ERROR")</f>
        <v>10535</v>
      </c>
      <c r="I119" s="102">
        <f>IFERROR(VLOOKUP($B119,MMWR_TRAD_AGG_ST_DISTRICT_PEN[],I$1,0),"ERROR")</f>
        <v>2615</v>
      </c>
      <c r="J119" s="104">
        <f t="shared" si="13"/>
        <v>0.24822021831988608</v>
      </c>
      <c r="K119" s="102">
        <f>IFERROR(VLOOKUP($B119,MMWR_TRAD_AGG_ST_DISTRICT_PEN[],K$1,0),"ERROR")</f>
        <v>224</v>
      </c>
      <c r="L119" s="102">
        <f>IFERROR(VLOOKUP($B119,MMWR_TRAD_AGG_ST_DISTRICT_PEN[],L$1,0),"ERROR")</f>
        <v>213</v>
      </c>
      <c r="M119" s="104">
        <f t="shared" si="14"/>
        <v>0.9508928571428571</v>
      </c>
      <c r="N119" s="102">
        <f>IFERROR(VLOOKUP($B119,MMWR_TRAD_AGG_ST_DISTRICT_PEN[],N$1,0),"ERROR")</f>
        <v>2106</v>
      </c>
      <c r="O119" s="102">
        <f>IFERROR(VLOOKUP($B119,MMWR_TRAD_AGG_ST_DISTRICT_PEN[],O$1,0),"ERROR")</f>
        <v>338</v>
      </c>
      <c r="P119" s="104">
        <f t="shared" si="15"/>
        <v>0.16049382716049382</v>
      </c>
      <c r="Q119" s="102">
        <f>IFERROR(VLOOKUP($B119,MMWR_TRAD_AGG_ST_DISTRICT_PEN[],Q$1,0),"ERROR")</f>
        <v>1765</v>
      </c>
      <c r="R119" s="106">
        <f>IFERROR(VLOOKUP($B119,MMWR_TRAD_AGG_ST_DISTRICT_PEN[],R$1,0),"ERROR")</f>
        <v>1402</v>
      </c>
      <c r="S119" s="106">
        <f>IFERROR(VLOOKUP($B119,MMWR_APP_STATE_PEN[],S$1,0),"ERROR")</f>
        <v>1635</v>
      </c>
      <c r="T119" s="28"/>
    </row>
    <row r="120" spans="1:20" s="123" customFormat="1" x14ac:dyDescent="0.2">
      <c r="A120" s="28"/>
      <c r="B120" s="127" t="s">
        <v>398</v>
      </c>
      <c r="C120" s="109">
        <f>IFERROR(VLOOKUP($B120,MMWR_TRAD_AGG_STATE_PEN[],C$1,0),"ERROR")</f>
        <v>667</v>
      </c>
      <c r="D120" s="110">
        <f>IFERROR(VLOOKUP($B120,MMWR_TRAD_AGG_STATE_PEN[],D$1,0),"ERROR")</f>
        <v>67.481259370299995</v>
      </c>
      <c r="E120" s="111">
        <f>IFERROR(VLOOKUP($B120,MMWR_TRAD_AGG_STATE_PEN[],E$1,0),"ERROR")</f>
        <v>582</v>
      </c>
      <c r="F120" s="112">
        <f>IFERROR(VLOOKUP($B120,MMWR_TRAD_AGG_STATE_PEN[],F$1,0),"ERROR")</f>
        <v>33</v>
      </c>
      <c r="G120" s="113">
        <f t="shared" si="12"/>
        <v>5.6701030927835051E-2</v>
      </c>
      <c r="H120" s="111">
        <f>IFERROR(VLOOKUP($B120,MMWR_TRAD_AGG_STATE_PEN[],H$1,0),"ERROR")</f>
        <v>1047</v>
      </c>
      <c r="I120" s="112">
        <f>IFERROR(VLOOKUP($B120,MMWR_TRAD_AGG_STATE_PEN[],I$1,0),"ERROR")</f>
        <v>127</v>
      </c>
      <c r="J120" s="114">
        <f t="shared" si="13"/>
        <v>0.12129894937917861</v>
      </c>
      <c r="K120" s="111">
        <f>IFERROR(VLOOKUP($B120,MMWR_TRAD_AGG_STATE_PEN[],K$1,0),"ERROR")</f>
        <v>16</v>
      </c>
      <c r="L120" s="112">
        <f>IFERROR(VLOOKUP($B120,MMWR_TRAD_AGG_STATE_PEN[],L$1,0),"ERROR")</f>
        <v>15</v>
      </c>
      <c r="M120" s="114">
        <f t="shared" si="14"/>
        <v>0.9375</v>
      </c>
      <c r="N120" s="111">
        <f>IFERROR(VLOOKUP($B120,MMWR_TRAD_AGG_STATE_PEN[],N$1,0),"ERROR")</f>
        <v>76</v>
      </c>
      <c r="O120" s="112">
        <f>IFERROR(VLOOKUP($B120,MMWR_TRAD_AGG_STATE_PEN[],O$1,0),"ERROR")</f>
        <v>22</v>
      </c>
      <c r="P120" s="114">
        <f t="shared" si="15"/>
        <v>0.28947368421052633</v>
      </c>
      <c r="Q120" s="115">
        <f>IFERROR(VLOOKUP($B120,MMWR_TRAD_AGG_STATE_PEN[],Q$1,0),"ERROR")</f>
        <v>386</v>
      </c>
      <c r="R120" s="115">
        <f>IFERROR(VLOOKUP($B120,MMWR_TRAD_AGG_STATE_PEN[],R$1,0),"ERROR")</f>
        <v>55</v>
      </c>
      <c r="S120" s="115">
        <f>IFERROR(VLOOKUP($B120,MMWR_APP_STATE_PEN[],S$1,0),"ERROR")</f>
        <v>182</v>
      </c>
      <c r="T120" s="28"/>
    </row>
    <row r="121" spans="1:20" s="123" customFormat="1" x14ac:dyDescent="0.2">
      <c r="A121" s="28"/>
      <c r="B121" s="127" t="s">
        <v>435</v>
      </c>
      <c r="C121" s="109">
        <f>IFERROR(VLOOKUP($B121,MMWR_TRAD_AGG_STATE_PEN[],C$1,0),"ERROR")</f>
        <v>2183</v>
      </c>
      <c r="D121" s="110">
        <f>IFERROR(VLOOKUP($B121,MMWR_TRAD_AGG_STATE_PEN[],D$1,0),"ERROR")</f>
        <v>91.823179111300007</v>
      </c>
      <c r="E121" s="111">
        <f>IFERROR(VLOOKUP($B121,MMWR_TRAD_AGG_STATE_PEN[],E$1,0),"ERROR")</f>
        <v>2293</v>
      </c>
      <c r="F121" s="112">
        <f>IFERROR(VLOOKUP($B121,MMWR_TRAD_AGG_STATE_PEN[],F$1,0),"ERROR")</f>
        <v>461</v>
      </c>
      <c r="G121" s="113">
        <f t="shared" si="12"/>
        <v>0.20104666375926733</v>
      </c>
      <c r="H121" s="111">
        <f>IFERROR(VLOOKUP($B121,MMWR_TRAD_AGG_STATE_PEN[],H$1,0),"ERROR")</f>
        <v>3422</v>
      </c>
      <c r="I121" s="112">
        <f>IFERROR(VLOOKUP($B121,MMWR_TRAD_AGG_STATE_PEN[],I$1,0),"ERROR")</f>
        <v>900</v>
      </c>
      <c r="J121" s="114">
        <f t="shared" si="13"/>
        <v>0.2630040911747516</v>
      </c>
      <c r="K121" s="111">
        <f>IFERROR(VLOOKUP($B121,MMWR_TRAD_AGG_STATE_PEN[],K$1,0),"ERROR")</f>
        <v>99</v>
      </c>
      <c r="L121" s="112">
        <f>IFERROR(VLOOKUP($B121,MMWR_TRAD_AGG_STATE_PEN[],L$1,0),"ERROR")</f>
        <v>97</v>
      </c>
      <c r="M121" s="114">
        <f t="shared" si="14"/>
        <v>0.97979797979797978</v>
      </c>
      <c r="N121" s="111">
        <f>IFERROR(VLOOKUP($B121,MMWR_TRAD_AGG_STATE_PEN[],N$1,0),"ERROR")</f>
        <v>918</v>
      </c>
      <c r="O121" s="112">
        <f>IFERROR(VLOOKUP($B121,MMWR_TRAD_AGG_STATE_PEN[],O$1,0),"ERROR")</f>
        <v>128</v>
      </c>
      <c r="P121" s="114">
        <f t="shared" si="15"/>
        <v>0.13943355119825709</v>
      </c>
      <c r="Q121" s="115">
        <f>IFERROR(VLOOKUP($B121,MMWR_TRAD_AGG_STATE_PEN[],Q$1,0),"ERROR")</f>
        <v>278</v>
      </c>
      <c r="R121" s="115">
        <f>IFERROR(VLOOKUP($B121,MMWR_TRAD_AGG_STATE_PEN[],R$1,0),"ERROR")</f>
        <v>568</v>
      </c>
      <c r="S121" s="115">
        <f>IFERROR(VLOOKUP($B121,MMWR_APP_STATE_PEN[],S$1,0),"ERROR")</f>
        <v>496</v>
      </c>
      <c r="T121" s="28"/>
    </row>
    <row r="122" spans="1:20" s="123" customFormat="1" x14ac:dyDescent="0.2">
      <c r="A122" s="28"/>
      <c r="B122" s="127" t="s">
        <v>391</v>
      </c>
      <c r="C122" s="109">
        <f>IFERROR(VLOOKUP($B122,MMWR_TRAD_AGG_STATE_PEN[],C$1,0),"ERROR")</f>
        <v>1126</v>
      </c>
      <c r="D122" s="110">
        <f>IFERROR(VLOOKUP($B122,MMWR_TRAD_AGG_STATE_PEN[],D$1,0),"ERROR")</f>
        <v>99.697158081699996</v>
      </c>
      <c r="E122" s="111">
        <f>IFERROR(VLOOKUP($B122,MMWR_TRAD_AGG_STATE_PEN[],E$1,0),"ERROR")</f>
        <v>996</v>
      </c>
      <c r="F122" s="112">
        <f>IFERROR(VLOOKUP($B122,MMWR_TRAD_AGG_STATE_PEN[],F$1,0),"ERROR")</f>
        <v>197</v>
      </c>
      <c r="G122" s="113">
        <f t="shared" si="12"/>
        <v>0.19779116465863453</v>
      </c>
      <c r="H122" s="111">
        <f>IFERROR(VLOOKUP($B122,MMWR_TRAD_AGG_STATE_PEN[],H$1,0),"ERROR")</f>
        <v>1737</v>
      </c>
      <c r="I122" s="112">
        <f>IFERROR(VLOOKUP($B122,MMWR_TRAD_AGG_STATE_PEN[],I$1,0),"ERROR")</f>
        <v>528</v>
      </c>
      <c r="J122" s="114">
        <f t="shared" si="13"/>
        <v>0.30397236614853196</v>
      </c>
      <c r="K122" s="111">
        <f>IFERROR(VLOOKUP($B122,MMWR_TRAD_AGG_STATE_PEN[],K$1,0),"ERROR")</f>
        <v>57</v>
      </c>
      <c r="L122" s="112">
        <f>IFERROR(VLOOKUP($B122,MMWR_TRAD_AGG_STATE_PEN[],L$1,0),"ERROR")</f>
        <v>56</v>
      </c>
      <c r="M122" s="114">
        <f t="shared" si="14"/>
        <v>0.98245614035087714</v>
      </c>
      <c r="N122" s="111">
        <f>IFERROR(VLOOKUP($B122,MMWR_TRAD_AGG_STATE_PEN[],N$1,0),"ERROR")</f>
        <v>504</v>
      </c>
      <c r="O122" s="112">
        <f>IFERROR(VLOOKUP($B122,MMWR_TRAD_AGG_STATE_PEN[],O$1,0),"ERROR")</f>
        <v>92</v>
      </c>
      <c r="P122" s="114">
        <f t="shared" si="15"/>
        <v>0.18253968253968253</v>
      </c>
      <c r="Q122" s="115">
        <f>IFERROR(VLOOKUP($B122,MMWR_TRAD_AGG_STATE_PEN[],Q$1,0),"ERROR")</f>
        <v>172</v>
      </c>
      <c r="R122" s="115">
        <f>IFERROR(VLOOKUP($B122,MMWR_TRAD_AGG_STATE_PEN[],R$1,0),"ERROR")</f>
        <v>371</v>
      </c>
      <c r="S122" s="115">
        <f>IFERROR(VLOOKUP($B122,MMWR_APP_STATE_PEN[],S$1,0),"ERROR")</f>
        <v>344</v>
      </c>
      <c r="T122" s="28"/>
    </row>
    <row r="123" spans="1:20" s="123" customFormat="1" x14ac:dyDescent="0.2">
      <c r="A123" s="28"/>
      <c r="B123" s="127" t="s">
        <v>403</v>
      </c>
      <c r="C123" s="109">
        <f>IFERROR(VLOOKUP($B123,MMWR_TRAD_AGG_STATE_PEN[],C$1,0),"ERROR")</f>
        <v>253</v>
      </c>
      <c r="D123" s="110">
        <f>IFERROR(VLOOKUP($B123,MMWR_TRAD_AGG_STATE_PEN[],D$1,0),"ERROR")</f>
        <v>72.391304347800002</v>
      </c>
      <c r="E123" s="111">
        <f>IFERROR(VLOOKUP($B123,MMWR_TRAD_AGG_STATE_PEN[],E$1,0),"ERROR")</f>
        <v>273</v>
      </c>
      <c r="F123" s="112">
        <f>IFERROR(VLOOKUP($B123,MMWR_TRAD_AGG_STATE_PEN[],F$1,0),"ERROR")</f>
        <v>20</v>
      </c>
      <c r="G123" s="113">
        <f t="shared" si="12"/>
        <v>7.3260073260073263E-2</v>
      </c>
      <c r="H123" s="111">
        <f>IFERROR(VLOOKUP($B123,MMWR_TRAD_AGG_STATE_PEN[],H$1,0),"ERROR")</f>
        <v>418</v>
      </c>
      <c r="I123" s="112">
        <f>IFERROR(VLOOKUP($B123,MMWR_TRAD_AGG_STATE_PEN[],I$1,0),"ERROR")</f>
        <v>52</v>
      </c>
      <c r="J123" s="114">
        <f t="shared" si="13"/>
        <v>0.12440191387559808</v>
      </c>
      <c r="K123" s="111">
        <f>IFERROR(VLOOKUP($B123,MMWR_TRAD_AGG_STATE_PEN[],K$1,0),"ERROR")</f>
        <v>5</v>
      </c>
      <c r="L123" s="112">
        <f>IFERROR(VLOOKUP($B123,MMWR_TRAD_AGG_STATE_PEN[],L$1,0),"ERROR")</f>
        <v>5</v>
      </c>
      <c r="M123" s="114">
        <f t="shared" si="14"/>
        <v>1</v>
      </c>
      <c r="N123" s="111">
        <f>IFERROR(VLOOKUP($B123,MMWR_TRAD_AGG_STATE_PEN[],N$1,0),"ERROR")</f>
        <v>47</v>
      </c>
      <c r="O123" s="112">
        <f>IFERROR(VLOOKUP($B123,MMWR_TRAD_AGG_STATE_PEN[],O$1,0),"ERROR")</f>
        <v>6</v>
      </c>
      <c r="P123" s="114">
        <f t="shared" si="15"/>
        <v>0.1276595744680851</v>
      </c>
      <c r="Q123" s="115">
        <f>IFERROR(VLOOKUP($B123,MMWR_TRAD_AGG_STATE_PEN[],Q$1,0),"ERROR")</f>
        <v>335</v>
      </c>
      <c r="R123" s="115">
        <f>IFERROR(VLOOKUP($B123,MMWR_TRAD_AGG_STATE_PEN[],R$1,0),"ERROR")</f>
        <v>31</v>
      </c>
      <c r="S123" s="115">
        <f>IFERROR(VLOOKUP($B123,MMWR_APP_STATE_PEN[],S$1,0),"ERROR")</f>
        <v>122</v>
      </c>
      <c r="T123" s="28"/>
    </row>
    <row r="124" spans="1:20" s="123" customFormat="1" x14ac:dyDescent="0.2">
      <c r="A124" s="28"/>
      <c r="B124" s="127" t="s">
        <v>437</v>
      </c>
      <c r="C124" s="109">
        <f>IFERROR(VLOOKUP($B124,MMWR_TRAD_AGG_STATE_PEN[],C$1,0),"ERROR")</f>
        <v>1260</v>
      </c>
      <c r="D124" s="110">
        <f>IFERROR(VLOOKUP($B124,MMWR_TRAD_AGG_STATE_PEN[],D$1,0),"ERROR")</f>
        <v>102.6817460317</v>
      </c>
      <c r="E124" s="111">
        <f>IFERROR(VLOOKUP($B124,MMWR_TRAD_AGG_STATE_PEN[],E$1,0),"ERROR")</f>
        <v>406</v>
      </c>
      <c r="F124" s="112">
        <f>IFERROR(VLOOKUP($B124,MMWR_TRAD_AGG_STATE_PEN[],F$1,0),"ERROR")</f>
        <v>83</v>
      </c>
      <c r="G124" s="113">
        <f t="shared" si="12"/>
        <v>0.20443349753694581</v>
      </c>
      <c r="H124" s="111">
        <f>IFERROR(VLOOKUP($B124,MMWR_TRAD_AGG_STATE_PEN[],H$1,0),"ERROR")</f>
        <v>1959</v>
      </c>
      <c r="I124" s="112">
        <f>IFERROR(VLOOKUP($B124,MMWR_TRAD_AGG_STATE_PEN[],I$1,0),"ERROR")</f>
        <v>549</v>
      </c>
      <c r="J124" s="114">
        <f t="shared" si="13"/>
        <v>0.28024502297090353</v>
      </c>
      <c r="K124" s="111">
        <f>IFERROR(VLOOKUP($B124,MMWR_TRAD_AGG_STATE_PEN[],K$1,0),"ERROR")</f>
        <v>19</v>
      </c>
      <c r="L124" s="112">
        <f>IFERROR(VLOOKUP($B124,MMWR_TRAD_AGG_STATE_PEN[],L$1,0),"ERROR")</f>
        <v>12</v>
      </c>
      <c r="M124" s="114">
        <f t="shared" si="14"/>
        <v>0.63157894736842102</v>
      </c>
      <c r="N124" s="111">
        <f>IFERROR(VLOOKUP($B124,MMWR_TRAD_AGG_STATE_PEN[],N$1,0),"ERROR")</f>
        <v>190</v>
      </c>
      <c r="O124" s="112">
        <f>IFERROR(VLOOKUP($B124,MMWR_TRAD_AGG_STATE_PEN[],O$1,0),"ERROR")</f>
        <v>31</v>
      </c>
      <c r="P124" s="114">
        <f t="shared" si="15"/>
        <v>0.16315789473684211</v>
      </c>
      <c r="Q124" s="115">
        <f>IFERROR(VLOOKUP($B124,MMWR_TRAD_AGG_STATE_PEN[],Q$1,0),"ERROR")</f>
        <v>71</v>
      </c>
      <c r="R124" s="115">
        <f>IFERROR(VLOOKUP($B124,MMWR_TRAD_AGG_STATE_PEN[],R$1,0),"ERROR")</f>
        <v>98</v>
      </c>
      <c r="S124" s="115">
        <f>IFERROR(VLOOKUP($B124,MMWR_APP_STATE_PEN[],S$1,0),"ERROR")</f>
        <v>115</v>
      </c>
      <c r="T124" s="28"/>
    </row>
    <row r="125" spans="1:20" s="123" customFormat="1" x14ac:dyDescent="0.2">
      <c r="A125" s="28"/>
      <c r="B125" s="127" t="s">
        <v>393</v>
      </c>
      <c r="C125" s="109">
        <f>IFERROR(VLOOKUP($B125,MMWR_TRAD_AGG_STATE_PEN[],C$1,0),"ERROR")</f>
        <v>753</v>
      </c>
      <c r="D125" s="110">
        <f>IFERROR(VLOOKUP($B125,MMWR_TRAD_AGG_STATE_PEN[],D$1,0),"ERROR")</f>
        <v>93.808764940200007</v>
      </c>
      <c r="E125" s="111">
        <f>IFERROR(VLOOKUP($B125,MMWR_TRAD_AGG_STATE_PEN[],E$1,0),"ERROR")</f>
        <v>626</v>
      </c>
      <c r="F125" s="112">
        <f>IFERROR(VLOOKUP($B125,MMWR_TRAD_AGG_STATE_PEN[],F$1,0),"ERROR")</f>
        <v>110</v>
      </c>
      <c r="G125" s="113">
        <f t="shared" si="12"/>
        <v>0.1757188498402556</v>
      </c>
      <c r="H125" s="111">
        <f>IFERROR(VLOOKUP($B125,MMWR_TRAD_AGG_STATE_PEN[],H$1,0),"ERROR")</f>
        <v>1197</v>
      </c>
      <c r="I125" s="112">
        <f>IFERROR(VLOOKUP($B125,MMWR_TRAD_AGG_STATE_PEN[],I$1,0),"ERROR")</f>
        <v>363</v>
      </c>
      <c r="J125" s="114">
        <f t="shared" si="13"/>
        <v>0.3032581453634085</v>
      </c>
      <c r="K125" s="111">
        <f>IFERROR(VLOOKUP($B125,MMWR_TRAD_AGG_STATE_PEN[],K$1,0),"ERROR")</f>
        <v>15</v>
      </c>
      <c r="L125" s="112">
        <f>IFERROR(VLOOKUP($B125,MMWR_TRAD_AGG_STATE_PEN[],L$1,0),"ERROR")</f>
        <v>15</v>
      </c>
      <c r="M125" s="114">
        <f t="shared" si="14"/>
        <v>1</v>
      </c>
      <c r="N125" s="111">
        <f>IFERROR(VLOOKUP($B125,MMWR_TRAD_AGG_STATE_PEN[],N$1,0),"ERROR")</f>
        <v>324</v>
      </c>
      <c r="O125" s="112">
        <f>IFERROR(VLOOKUP($B125,MMWR_TRAD_AGG_STATE_PEN[],O$1,0),"ERROR")</f>
        <v>42</v>
      </c>
      <c r="P125" s="114">
        <f t="shared" si="15"/>
        <v>0.12962962962962962</v>
      </c>
      <c r="Q125" s="115">
        <f>IFERROR(VLOOKUP($B125,MMWR_TRAD_AGG_STATE_PEN[],Q$1,0),"ERROR")</f>
        <v>116</v>
      </c>
      <c r="R125" s="115">
        <f>IFERROR(VLOOKUP($B125,MMWR_TRAD_AGG_STATE_PEN[],R$1,0),"ERROR")</f>
        <v>226</v>
      </c>
      <c r="S125" s="115">
        <f>IFERROR(VLOOKUP($B125,MMWR_APP_STATE_PEN[],S$1,0),"ERROR")</f>
        <v>153</v>
      </c>
      <c r="T125" s="28"/>
    </row>
    <row r="126" spans="1:20" s="123" customFormat="1" x14ac:dyDescent="0.2">
      <c r="A126" s="28"/>
      <c r="B126" s="127" t="s">
        <v>394</v>
      </c>
      <c r="C126" s="109">
        <f>IFERROR(VLOOKUP($B126,MMWR_TRAD_AGG_STATE_PEN[],C$1,0),"ERROR")</f>
        <v>494</v>
      </c>
      <c r="D126" s="110">
        <f>IFERROR(VLOOKUP($B126,MMWR_TRAD_AGG_STATE_PEN[],D$1,0),"ERROR")</f>
        <v>66.091093117400007</v>
      </c>
      <c r="E126" s="111">
        <f>IFERROR(VLOOKUP($B126,MMWR_TRAD_AGG_STATE_PEN[],E$1,0),"ERROR")</f>
        <v>539</v>
      </c>
      <c r="F126" s="112">
        <f>IFERROR(VLOOKUP($B126,MMWR_TRAD_AGG_STATE_PEN[],F$1,0),"ERROR")</f>
        <v>29</v>
      </c>
      <c r="G126" s="113">
        <f t="shared" si="12"/>
        <v>5.3803339517625233E-2</v>
      </c>
      <c r="H126" s="111">
        <f>IFERROR(VLOOKUP($B126,MMWR_TRAD_AGG_STATE_PEN[],H$1,0),"ERROR")</f>
        <v>755</v>
      </c>
      <c r="I126" s="112">
        <f>IFERROR(VLOOKUP($B126,MMWR_TRAD_AGG_STATE_PEN[],I$1,0),"ERROR")</f>
        <v>96</v>
      </c>
      <c r="J126" s="114">
        <f t="shared" si="13"/>
        <v>0.1271523178807947</v>
      </c>
      <c r="K126" s="111">
        <f>IFERROR(VLOOKUP($B126,MMWR_TRAD_AGG_STATE_PEN[],K$1,0),"ERROR")</f>
        <v>13</v>
      </c>
      <c r="L126" s="112">
        <f>IFERROR(VLOOKUP($B126,MMWR_TRAD_AGG_STATE_PEN[],L$1,0),"ERROR")</f>
        <v>13</v>
      </c>
      <c r="M126" s="114">
        <f t="shared" si="14"/>
        <v>1</v>
      </c>
      <c r="N126" s="111">
        <f>IFERROR(VLOOKUP($B126,MMWR_TRAD_AGG_STATE_PEN[],N$1,0),"ERROR")</f>
        <v>47</v>
      </c>
      <c r="O126" s="112">
        <f>IFERROR(VLOOKUP($B126,MMWR_TRAD_AGG_STATE_PEN[],O$1,0),"ERROR")</f>
        <v>17</v>
      </c>
      <c r="P126" s="114">
        <f t="shared" si="15"/>
        <v>0.36170212765957449</v>
      </c>
      <c r="Q126" s="115">
        <f>IFERROR(VLOOKUP($B126,MMWR_TRAD_AGG_STATE_PEN[],Q$1,0),"ERROR")</f>
        <v>407</v>
      </c>
      <c r="R126" s="115">
        <f>IFERROR(VLOOKUP($B126,MMWR_TRAD_AGG_STATE_PEN[],R$1,0),"ERROR")</f>
        <v>53</v>
      </c>
      <c r="S126" s="115">
        <f>IFERROR(VLOOKUP($B126,MMWR_APP_STATE_PEN[],S$1,0),"ERROR")</f>
        <v>223</v>
      </c>
      <c r="T126" s="28"/>
    </row>
    <row r="127" spans="1:20" s="123" customFormat="1" x14ac:dyDescent="0.2">
      <c r="A127" s="28"/>
      <c r="B127" s="128" t="s">
        <v>8</v>
      </c>
      <c r="C127" s="102">
        <f>IFERROR(VLOOKUP($B127,MMWR_TRAD_AGG_ST_DISTRICT_PEN[],C$1,0),"ERROR")</f>
        <v>211</v>
      </c>
      <c r="D127" s="103">
        <f>IFERROR(VLOOKUP($B127,MMWR_TRAD_AGG_ST_DISTRICT_PEN[],D$1,0),"ERROR")</f>
        <v>80.341232227500001</v>
      </c>
      <c r="E127" s="102">
        <f>IFERROR(VLOOKUP($B127,MMWR_TRAD_AGG_ST_DISTRICT_PEN[],E$1,0),"ERROR")</f>
        <v>174</v>
      </c>
      <c r="F127" s="102">
        <f>IFERROR(VLOOKUP($B127,MMWR_TRAD_AGG_ST_DISTRICT_PEN[],F$1,0),"ERROR")</f>
        <v>66</v>
      </c>
      <c r="G127" s="104">
        <f t="shared" si="12"/>
        <v>0.37931034482758619</v>
      </c>
      <c r="H127" s="102">
        <f>IFERROR(VLOOKUP($B127,MMWR_TRAD_AGG_ST_DISTRICT_PEN[],H$1,0),"ERROR")</f>
        <v>473</v>
      </c>
      <c r="I127" s="102">
        <f>IFERROR(VLOOKUP($B127,MMWR_TRAD_AGG_ST_DISTRICT_PEN[],I$1,0),"ERROR")</f>
        <v>173</v>
      </c>
      <c r="J127" s="104">
        <f t="shared" si="13"/>
        <v>0.36575052854122619</v>
      </c>
      <c r="K127" s="102">
        <f>IFERROR(VLOOKUP($B127,MMWR_TRAD_AGG_ST_DISTRICT_PEN[],K$1,0),"ERROR")</f>
        <v>24</v>
      </c>
      <c r="L127" s="102">
        <f>IFERROR(VLOOKUP($B127,MMWR_TRAD_AGG_ST_DISTRICT_PEN[],L$1,0),"ERROR")</f>
        <v>23</v>
      </c>
      <c r="M127" s="104">
        <f t="shared" si="14"/>
        <v>0.95833333333333337</v>
      </c>
      <c r="N127" s="102">
        <f>IFERROR(VLOOKUP($B127,MMWR_TRAD_AGG_ST_DISTRICT_PEN[],N$1,0),"ERROR")</f>
        <v>157</v>
      </c>
      <c r="O127" s="102">
        <f>IFERROR(VLOOKUP($B127,MMWR_TRAD_AGG_ST_DISTRICT_PEN[],O$1,0),"ERROR")</f>
        <v>28</v>
      </c>
      <c r="P127" s="104">
        <f t="shared" si="15"/>
        <v>0.17834394904458598</v>
      </c>
      <c r="Q127" s="102">
        <f>IFERROR(VLOOKUP($B127,MMWR_TRAD_AGG_ST_DISTRICT_PEN[],Q$1,0),"ERROR")</f>
        <v>56</v>
      </c>
      <c r="R127" s="106">
        <f>IFERROR(VLOOKUP($B127,MMWR_TRAD_AGG_ST_DISTRICT_PEN[],R$1,0),"ERROR")</f>
        <v>16</v>
      </c>
      <c r="S127" s="106">
        <f>IFERROR(VLOOKUP($B127,MMWR_APP_STATE_PEN[],S$1,0),"ERROR")</f>
        <v>3</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663</v>
      </c>
      <c r="C2" t="s">
        <v>466</v>
      </c>
      <c r="D2" t="s">
        <v>468</v>
      </c>
      <c r="F2" t="s">
        <v>662</v>
      </c>
      <c r="G2" t="s">
        <v>315</v>
      </c>
      <c r="H2" t="s">
        <v>139</v>
      </c>
      <c r="I2" t="s">
        <v>222</v>
      </c>
      <c r="J2" t="s">
        <v>223</v>
      </c>
      <c r="K2" t="s">
        <v>224</v>
      </c>
      <c r="L2" t="s">
        <v>225</v>
      </c>
      <c r="M2" t="s">
        <v>226</v>
      </c>
      <c r="N2" t="s">
        <v>227</v>
      </c>
      <c r="O2" t="s">
        <v>228</v>
      </c>
      <c r="P2" t="s">
        <v>229</v>
      </c>
      <c r="Q2" t="s">
        <v>230</v>
      </c>
      <c r="R2" t="s">
        <v>231</v>
      </c>
      <c r="T2" t="s">
        <v>661</v>
      </c>
      <c r="U2" t="s">
        <v>315</v>
      </c>
      <c r="V2" t="s">
        <v>139</v>
      </c>
      <c r="W2" t="s">
        <v>222</v>
      </c>
      <c r="X2" t="s">
        <v>469</v>
      </c>
      <c r="Y2" t="s">
        <v>224</v>
      </c>
      <c r="Z2" t="s">
        <v>225</v>
      </c>
      <c r="AA2" t="s">
        <v>226</v>
      </c>
      <c r="AB2" t="s">
        <v>470</v>
      </c>
      <c r="AC2" t="s">
        <v>228</v>
      </c>
      <c r="AD2" t="s">
        <v>229</v>
      </c>
      <c r="AE2" t="s">
        <v>230</v>
      </c>
      <c r="AF2" t="s">
        <v>231</v>
      </c>
      <c r="AH2" t="s">
        <v>660</v>
      </c>
      <c r="AI2" t="s">
        <v>315</v>
      </c>
      <c r="AJ2" t="s">
        <v>139</v>
      </c>
      <c r="AK2" t="s">
        <v>222</v>
      </c>
      <c r="AL2" t="s">
        <v>223</v>
      </c>
      <c r="AM2" t="s">
        <v>224</v>
      </c>
      <c r="AN2" t="s">
        <v>225</v>
      </c>
      <c r="AO2" t="s">
        <v>226</v>
      </c>
      <c r="AP2" t="s">
        <v>227</v>
      </c>
      <c r="AQ2" t="s">
        <v>228</v>
      </c>
      <c r="AR2" t="s">
        <v>229</v>
      </c>
      <c r="AS2" t="s">
        <v>230</v>
      </c>
      <c r="AT2" t="s">
        <v>231</v>
      </c>
      <c r="AV2" t="s">
        <v>659</v>
      </c>
      <c r="AW2" t="s">
        <v>315</v>
      </c>
      <c r="AX2" t="s">
        <v>139</v>
      </c>
      <c r="AY2" t="s">
        <v>222</v>
      </c>
      <c r="AZ2" t="s">
        <v>469</v>
      </c>
      <c r="BA2" t="s">
        <v>224</v>
      </c>
      <c r="BB2" t="s">
        <v>225</v>
      </c>
      <c r="BC2" t="s">
        <v>226</v>
      </c>
      <c r="BD2" t="s">
        <v>470</v>
      </c>
      <c r="BE2" t="s">
        <v>228</v>
      </c>
      <c r="BF2" t="s">
        <v>229</v>
      </c>
      <c r="BG2" t="s">
        <v>230</v>
      </c>
      <c r="BH2" t="s">
        <v>231</v>
      </c>
      <c r="BJ2" t="s">
        <v>721</v>
      </c>
      <c r="BK2" t="s">
        <v>740</v>
      </c>
      <c r="BL2" t="s">
        <v>709</v>
      </c>
      <c r="BM2" t="s">
        <v>710</v>
      </c>
      <c r="BN2" t="s">
        <v>711</v>
      </c>
      <c r="BO2" t="s">
        <v>712</v>
      </c>
      <c r="BP2" t="s">
        <v>713</v>
      </c>
      <c r="BQ2" t="s">
        <v>722</v>
      </c>
      <c r="BR2" t="s">
        <v>723</v>
      </c>
      <c r="BS2" t="s">
        <v>714</v>
      </c>
      <c r="BT2" t="s">
        <v>715</v>
      </c>
      <c r="BU2" t="s">
        <v>716</v>
      </c>
      <c r="BV2" t="s">
        <v>717</v>
      </c>
      <c r="BW2" t="s">
        <v>718</v>
      </c>
      <c r="BX2" t="s">
        <v>719</v>
      </c>
      <c r="BY2" t="s">
        <v>720</v>
      </c>
      <c r="CA2" t="s">
        <v>1043</v>
      </c>
      <c r="CB2" t="s">
        <v>745</v>
      </c>
      <c r="CC2" t="s">
        <v>746</v>
      </c>
      <c r="CD2" t="s">
        <v>724</v>
      </c>
      <c r="CE2" t="s">
        <v>725</v>
      </c>
      <c r="CF2" t="s">
        <v>726</v>
      </c>
      <c r="CG2" t="s">
        <v>727</v>
      </c>
      <c r="CH2" t="s">
        <v>728</v>
      </c>
      <c r="CI2" t="s">
        <v>729</v>
      </c>
      <c r="CJ2" t="s">
        <v>730</v>
      </c>
      <c r="CL2" t="s">
        <v>1044</v>
      </c>
      <c r="CM2" t="s">
        <v>745</v>
      </c>
      <c r="CN2" t="s">
        <v>746</v>
      </c>
      <c r="CO2" t="s">
        <v>724</v>
      </c>
      <c r="CP2" t="s">
        <v>725</v>
      </c>
      <c r="CQ2" t="s">
        <v>726</v>
      </c>
      <c r="CR2" t="s">
        <v>727</v>
      </c>
      <c r="CS2" t="s">
        <v>728</v>
      </c>
      <c r="CT2" t="s">
        <v>729</v>
      </c>
      <c r="CU2" t="s">
        <v>730</v>
      </c>
      <c r="CW2" t="s">
        <v>1045</v>
      </c>
      <c r="CX2" t="s">
        <v>745</v>
      </c>
      <c r="CY2" t="s">
        <v>746</v>
      </c>
      <c r="CZ2" t="s">
        <v>724</v>
      </c>
      <c r="DA2" t="s">
        <v>725</v>
      </c>
      <c r="DB2" t="s">
        <v>726</v>
      </c>
      <c r="DC2" t="s">
        <v>727</v>
      </c>
      <c r="DD2" t="s">
        <v>728</v>
      </c>
      <c r="DE2" t="s">
        <v>729</v>
      </c>
      <c r="DF2" t="s">
        <v>730</v>
      </c>
      <c r="DH2" t="s">
        <v>1046</v>
      </c>
      <c r="DI2" t="s">
        <v>745</v>
      </c>
      <c r="DJ2" t="s">
        <v>746</v>
      </c>
      <c r="DK2" t="s">
        <v>724</v>
      </c>
      <c r="DL2" t="s">
        <v>725</v>
      </c>
      <c r="DM2" t="s">
        <v>726</v>
      </c>
      <c r="DN2" t="s">
        <v>727</v>
      </c>
      <c r="DO2" t="s">
        <v>728</v>
      </c>
      <c r="DP2" t="s">
        <v>729</v>
      </c>
      <c r="DQ2" t="s">
        <v>730</v>
      </c>
    </row>
    <row r="3" spans="2:121" x14ac:dyDescent="0.2">
      <c r="C3">
        <v>327416</v>
      </c>
      <c r="D3">
        <v>250266</v>
      </c>
      <c r="F3" t="s">
        <v>34</v>
      </c>
      <c r="G3">
        <v>1375</v>
      </c>
      <c r="H3">
        <v>139.14909090910001</v>
      </c>
      <c r="I3">
        <v>2975</v>
      </c>
      <c r="J3">
        <v>1004</v>
      </c>
      <c r="K3">
        <v>2004</v>
      </c>
      <c r="L3">
        <v>709</v>
      </c>
      <c r="M3">
        <v>180</v>
      </c>
      <c r="N3">
        <v>96</v>
      </c>
      <c r="O3">
        <v>440</v>
      </c>
      <c r="P3">
        <v>261</v>
      </c>
      <c r="Q3">
        <v>0</v>
      </c>
      <c r="R3">
        <v>17</v>
      </c>
      <c r="T3" t="s">
        <v>217</v>
      </c>
      <c r="U3">
        <v>4875</v>
      </c>
      <c r="V3">
        <v>65.068717948699998</v>
      </c>
      <c r="W3">
        <v>5725</v>
      </c>
      <c r="X3">
        <v>476</v>
      </c>
      <c r="Y3">
        <v>7666</v>
      </c>
      <c r="Z3">
        <v>726</v>
      </c>
      <c r="AA3">
        <v>83</v>
      </c>
      <c r="AB3">
        <v>82</v>
      </c>
      <c r="AC3">
        <v>446</v>
      </c>
      <c r="AD3">
        <v>84</v>
      </c>
      <c r="AE3">
        <v>4601</v>
      </c>
      <c r="AF3">
        <v>481</v>
      </c>
      <c r="AH3" t="s">
        <v>398</v>
      </c>
      <c r="AI3">
        <v>14619</v>
      </c>
      <c r="AJ3">
        <v>363.44838908269998</v>
      </c>
      <c r="AK3">
        <v>8576</v>
      </c>
      <c r="AL3">
        <v>2884</v>
      </c>
      <c r="AM3">
        <v>17120</v>
      </c>
      <c r="AN3">
        <v>12169</v>
      </c>
      <c r="AO3">
        <v>4336</v>
      </c>
      <c r="AP3">
        <v>3955</v>
      </c>
      <c r="AQ3">
        <v>3220</v>
      </c>
      <c r="AR3">
        <v>2208</v>
      </c>
      <c r="AS3">
        <v>22</v>
      </c>
      <c r="AT3">
        <v>347</v>
      </c>
      <c r="AV3" t="s">
        <v>423</v>
      </c>
      <c r="AW3">
        <v>89</v>
      </c>
      <c r="AX3">
        <v>51.539325842700002</v>
      </c>
      <c r="AY3">
        <v>179</v>
      </c>
      <c r="AZ3">
        <v>5</v>
      </c>
      <c r="BA3">
        <v>148</v>
      </c>
      <c r="BB3">
        <v>10</v>
      </c>
      <c r="BC3">
        <v>0</v>
      </c>
      <c r="BE3">
        <v>9</v>
      </c>
      <c r="BF3">
        <v>4</v>
      </c>
      <c r="BG3">
        <v>104</v>
      </c>
      <c r="BH3">
        <v>42</v>
      </c>
      <c r="BJ3" t="s">
        <v>738</v>
      </c>
      <c r="BK3" t="s">
        <v>741</v>
      </c>
      <c r="BL3">
        <v>339945</v>
      </c>
      <c r="BM3">
        <v>111115</v>
      </c>
      <c r="BN3">
        <v>119.0660518613</v>
      </c>
      <c r="BO3">
        <v>963944</v>
      </c>
      <c r="BP3">
        <v>77999</v>
      </c>
      <c r="BQ3">
        <v>189.93718514770001</v>
      </c>
      <c r="BR3">
        <v>163.8051769894</v>
      </c>
      <c r="BS3">
        <v>339945</v>
      </c>
      <c r="BT3">
        <v>111115</v>
      </c>
      <c r="BU3">
        <v>119.0660518613</v>
      </c>
      <c r="BV3">
        <v>963943</v>
      </c>
      <c r="BW3">
        <v>77999</v>
      </c>
      <c r="BX3">
        <v>189.93693506770001</v>
      </c>
      <c r="BY3">
        <v>163.8051769894</v>
      </c>
      <c r="CA3" t="s">
        <v>1049</v>
      </c>
      <c r="CB3" t="s">
        <v>741</v>
      </c>
      <c r="CC3" t="s">
        <v>927</v>
      </c>
      <c r="CD3">
        <v>8428</v>
      </c>
      <c r="CE3">
        <v>1084</v>
      </c>
      <c r="CF3">
        <v>74.608448030399998</v>
      </c>
      <c r="CG3">
        <v>21090</v>
      </c>
      <c r="CH3">
        <v>1577</v>
      </c>
      <c r="CI3">
        <v>153.1345187293</v>
      </c>
      <c r="CJ3">
        <v>139.32213062779999</v>
      </c>
      <c r="CL3" t="s">
        <v>1049</v>
      </c>
      <c r="CM3" t="s">
        <v>741</v>
      </c>
      <c r="CN3" t="s">
        <v>927</v>
      </c>
      <c r="CO3">
        <v>8428</v>
      </c>
      <c r="CP3">
        <v>1084</v>
      </c>
      <c r="CQ3">
        <v>74.608448030399998</v>
      </c>
      <c r="CR3">
        <v>21090</v>
      </c>
      <c r="CS3">
        <v>1577</v>
      </c>
      <c r="CT3">
        <v>153.1345187293</v>
      </c>
      <c r="CU3">
        <v>139.32213062779999</v>
      </c>
      <c r="CW3" t="s">
        <v>1049</v>
      </c>
      <c r="CX3" t="s">
        <v>741</v>
      </c>
      <c r="CY3" t="s">
        <v>927</v>
      </c>
      <c r="CZ3">
        <v>8428</v>
      </c>
      <c r="DA3">
        <v>1084</v>
      </c>
      <c r="DB3">
        <v>74.608448030399998</v>
      </c>
      <c r="DC3">
        <v>21090</v>
      </c>
      <c r="DD3">
        <v>1577</v>
      </c>
      <c r="DE3">
        <v>153.1345187293</v>
      </c>
      <c r="DF3">
        <v>139.32213062779999</v>
      </c>
      <c r="DH3" t="s">
        <v>1049</v>
      </c>
      <c r="DI3" t="s">
        <v>741</v>
      </c>
      <c r="DJ3" t="s">
        <v>927</v>
      </c>
      <c r="DK3">
        <v>8428</v>
      </c>
      <c r="DL3">
        <v>1084</v>
      </c>
      <c r="DM3">
        <v>74.608448030399998</v>
      </c>
      <c r="DN3">
        <v>21090</v>
      </c>
      <c r="DO3">
        <v>1577</v>
      </c>
      <c r="DP3">
        <v>153.1345187293</v>
      </c>
      <c r="DQ3">
        <v>139.32213062779999</v>
      </c>
    </row>
    <row r="4" spans="2:121" x14ac:dyDescent="0.2">
      <c r="B4" t="s">
        <v>113</v>
      </c>
      <c r="C4">
        <v>104601</v>
      </c>
      <c r="D4">
        <v>72694</v>
      </c>
      <c r="F4" t="s">
        <v>80</v>
      </c>
      <c r="G4">
        <v>15214</v>
      </c>
      <c r="H4">
        <v>346.86946233729998</v>
      </c>
      <c r="I4">
        <v>24075</v>
      </c>
      <c r="J4">
        <v>9252</v>
      </c>
      <c r="K4">
        <v>19132</v>
      </c>
      <c r="L4">
        <v>11620</v>
      </c>
      <c r="M4">
        <v>2298</v>
      </c>
      <c r="N4">
        <v>1616</v>
      </c>
      <c r="O4">
        <v>9835</v>
      </c>
      <c r="P4">
        <v>6345</v>
      </c>
      <c r="Q4">
        <v>7</v>
      </c>
      <c r="R4">
        <v>233</v>
      </c>
      <c r="T4" t="s">
        <v>232</v>
      </c>
      <c r="U4">
        <v>0</v>
      </c>
      <c r="W4">
        <v>236</v>
      </c>
      <c r="X4">
        <v>105</v>
      </c>
      <c r="Y4">
        <v>954</v>
      </c>
      <c r="Z4">
        <v>795</v>
      </c>
      <c r="AA4">
        <v>276</v>
      </c>
      <c r="AB4">
        <v>268</v>
      </c>
      <c r="AC4">
        <v>307</v>
      </c>
      <c r="AD4">
        <v>256</v>
      </c>
      <c r="AE4">
        <v>114</v>
      </c>
      <c r="AF4">
        <v>0</v>
      </c>
      <c r="AH4" t="s">
        <v>434</v>
      </c>
      <c r="AI4">
        <v>2337</v>
      </c>
      <c r="AJ4">
        <v>473.46598202820002</v>
      </c>
      <c r="AK4">
        <v>1064</v>
      </c>
      <c r="AL4">
        <v>199</v>
      </c>
      <c r="AM4">
        <v>3072</v>
      </c>
      <c r="AN4">
        <v>2166</v>
      </c>
      <c r="AO4">
        <v>1569</v>
      </c>
      <c r="AP4">
        <v>1416</v>
      </c>
      <c r="AQ4">
        <v>268</v>
      </c>
      <c r="AR4">
        <v>178</v>
      </c>
      <c r="AS4">
        <v>0</v>
      </c>
      <c r="AT4">
        <v>2</v>
      </c>
      <c r="AV4" t="s">
        <v>437</v>
      </c>
      <c r="AW4">
        <v>1260</v>
      </c>
      <c r="AX4">
        <v>102.6817460317</v>
      </c>
      <c r="AY4">
        <v>406</v>
      </c>
      <c r="AZ4">
        <v>83</v>
      </c>
      <c r="BA4">
        <v>1959</v>
      </c>
      <c r="BB4">
        <v>549</v>
      </c>
      <c r="BC4">
        <v>19</v>
      </c>
      <c r="BD4">
        <v>12</v>
      </c>
      <c r="BE4">
        <v>190</v>
      </c>
      <c r="BF4">
        <v>31</v>
      </c>
      <c r="BG4">
        <v>71</v>
      </c>
      <c r="BH4">
        <v>98</v>
      </c>
      <c r="BJ4" t="s">
        <v>647</v>
      </c>
      <c r="BK4" t="s">
        <v>395</v>
      </c>
      <c r="BL4">
        <v>916</v>
      </c>
      <c r="BM4">
        <v>205</v>
      </c>
      <c r="BN4">
        <v>91.783842794799995</v>
      </c>
      <c r="BO4">
        <v>2439</v>
      </c>
      <c r="BP4">
        <v>157</v>
      </c>
      <c r="BQ4">
        <v>134.01681016809999</v>
      </c>
      <c r="BR4">
        <v>143.70700636940001</v>
      </c>
      <c r="BS4">
        <v>1080</v>
      </c>
      <c r="BT4">
        <v>278</v>
      </c>
      <c r="BU4">
        <v>101.1712962963</v>
      </c>
      <c r="BV4">
        <v>2857</v>
      </c>
      <c r="BW4">
        <v>200</v>
      </c>
      <c r="BX4">
        <v>152.3951697585</v>
      </c>
      <c r="BY4">
        <v>155.19499999999999</v>
      </c>
      <c r="CA4" t="s">
        <v>1048</v>
      </c>
      <c r="CB4" t="s">
        <v>741</v>
      </c>
      <c r="CC4" t="s">
        <v>927</v>
      </c>
      <c r="CD4">
        <v>339945</v>
      </c>
      <c r="CE4">
        <v>111115</v>
      </c>
      <c r="CF4">
        <v>119.0660518613</v>
      </c>
      <c r="CG4">
        <v>963943</v>
      </c>
      <c r="CH4">
        <v>77999</v>
      </c>
      <c r="CI4">
        <v>189.93693506770001</v>
      </c>
      <c r="CJ4">
        <v>163.8051769894</v>
      </c>
      <c r="CL4" t="s">
        <v>1048</v>
      </c>
      <c r="CM4" t="s">
        <v>741</v>
      </c>
      <c r="CN4" t="s">
        <v>927</v>
      </c>
      <c r="CO4">
        <v>339945</v>
      </c>
      <c r="CP4">
        <v>111115</v>
      </c>
      <c r="CQ4">
        <v>119.0660518613</v>
      </c>
      <c r="CR4">
        <v>963943</v>
      </c>
      <c r="CS4">
        <v>77999</v>
      </c>
      <c r="CT4">
        <v>189.93693506770001</v>
      </c>
      <c r="CU4">
        <v>163.8051769894</v>
      </c>
      <c r="CW4" t="s">
        <v>1048</v>
      </c>
      <c r="CX4" t="s">
        <v>741</v>
      </c>
      <c r="CY4" t="s">
        <v>927</v>
      </c>
      <c r="CZ4">
        <v>339945</v>
      </c>
      <c r="DA4">
        <v>111115</v>
      </c>
      <c r="DB4">
        <v>119.0660518613</v>
      </c>
      <c r="DC4">
        <v>963943</v>
      </c>
      <c r="DD4">
        <v>77999</v>
      </c>
      <c r="DE4">
        <v>189.93693506770001</v>
      </c>
      <c r="DF4">
        <v>163.8051769894</v>
      </c>
      <c r="DH4" t="s">
        <v>1048</v>
      </c>
      <c r="DI4" t="s">
        <v>741</v>
      </c>
      <c r="DJ4" t="s">
        <v>927</v>
      </c>
      <c r="DK4">
        <v>339945</v>
      </c>
      <c r="DL4">
        <v>111115</v>
      </c>
      <c r="DM4">
        <v>119.0660518613</v>
      </c>
      <c r="DN4">
        <v>963943</v>
      </c>
      <c r="DO4">
        <v>77999</v>
      </c>
      <c r="DP4">
        <v>189.93693506770001</v>
      </c>
      <c r="DQ4">
        <v>163.8051769894</v>
      </c>
    </row>
    <row r="5" spans="2:121" x14ac:dyDescent="0.2">
      <c r="B5" t="s">
        <v>101</v>
      </c>
      <c r="C5">
        <v>142058</v>
      </c>
      <c r="D5">
        <v>92586</v>
      </c>
      <c r="F5" t="s">
        <v>54</v>
      </c>
      <c r="G5">
        <v>4943</v>
      </c>
      <c r="H5">
        <v>322.11147076669999</v>
      </c>
      <c r="I5">
        <v>3359</v>
      </c>
      <c r="J5">
        <v>862</v>
      </c>
      <c r="K5">
        <v>8235</v>
      </c>
      <c r="L5">
        <v>4006</v>
      </c>
      <c r="M5">
        <v>3587</v>
      </c>
      <c r="N5">
        <v>2168</v>
      </c>
      <c r="O5">
        <v>8439</v>
      </c>
      <c r="P5">
        <v>7537</v>
      </c>
      <c r="Q5">
        <v>0</v>
      </c>
      <c r="R5">
        <v>162</v>
      </c>
      <c r="T5" t="s">
        <v>218</v>
      </c>
      <c r="U5">
        <v>11796</v>
      </c>
      <c r="V5">
        <v>93.952356731099997</v>
      </c>
      <c r="W5">
        <v>10885</v>
      </c>
      <c r="X5">
        <v>2013</v>
      </c>
      <c r="Y5">
        <v>18090</v>
      </c>
      <c r="Z5">
        <v>4894</v>
      </c>
      <c r="AA5">
        <v>407</v>
      </c>
      <c r="AB5">
        <v>393</v>
      </c>
      <c r="AC5">
        <v>5283</v>
      </c>
      <c r="AD5">
        <v>684</v>
      </c>
      <c r="AE5">
        <v>1442</v>
      </c>
      <c r="AF5">
        <v>3264</v>
      </c>
      <c r="AH5" t="s">
        <v>436</v>
      </c>
      <c r="AI5">
        <v>8020</v>
      </c>
      <c r="AJ5">
        <v>302.0982543641</v>
      </c>
      <c r="AK5">
        <v>6451</v>
      </c>
      <c r="AL5">
        <v>1964</v>
      </c>
      <c r="AM5">
        <v>10276</v>
      </c>
      <c r="AN5">
        <v>6155</v>
      </c>
      <c r="AO5">
        <v>606</v>
      </c>
      <c r="AP5">
        <v>476</v>
      </c>
      <c r="AQ5">
        <v>3323</v>
      </c>
      <c r="AR5">
        <v>2518</v>
      </c>
      <c r="AS5">
        <v>7</v>
      </c>
      <c r="AT5">
        <v>72</v>
      </c>
      <c r="AV5" t="s">
        <v>410</v>
      </c>
      <c r="AW5">
        <v>56</v>
      </c>
      <c r="AX5">
        <v>34.785714285700003</v>
      </c>
      <c r="AY5">
        <v>88</v>
      </c>
      <c r="AZ5">
        <v>4</v>
      </c>
      <c r="BA5">
        <v>77</v>
      </c>
      <c r="BC5">
        <v>0</v>
      </c>
      <c r="BE5">
        <v>1</v>
      </c>
      <c r="BG5">
        <v>124</v>
      </c>
      <c r="BH5">
        <v>24</v>
      </c>
      <c r="BJ5" t="s">
        <v>395</v>
      </c>
      <c r="BK5" t="s">
        <v>395</v>
      </c>
      <c r="BL5">
        <v>68024</v>
      </c>
      <c r="BM5">
        <v>22539</v>
      </c>
      <c r="BN5">
        <v>121.83901270139999</v>
      </c>
      <c r="BO5">
        <v>173406</v>
      </c>
      <c r="BP5">
        <v>14874</v>
      </c>
      <c r="BQ5">
        <v>194.61287960050001</v>
      </c>
      <c r="BR5">
        <v>173.60474653759999</v>
      </c>
      <c r="BS5">
        <v>69182</v>
      </c>
      <c r="BT5">
        <v>22430</v>
      </c>
      <c r="BU5">
        <v>119.15895753229999</v>
      </c>
      <c r="BV5">
        <v>175123</v>
      </c>
      <c r="BW5">
        <v>15356</v>
      </c>
      <c r="BX5">
        <v>195.6121183397</v>
      </c>
      <c r="BY5">
        <v>169.06336285489999</v>
      </c>
      <c r="CA5" t="s">
        <v>1050</v>
      </c>
      <c r="CB5" t="s">
        <v>741</v>
      </c>
      <c r="CC5" t="s">
        <v>927</v>
      </c>
      <c r="CD5">
        <v>18538</v>
      </c>
      <c r="CE5">
        <v>1946</v>
      </c>
      <c r="CF5">
        <v>63.4223756608</v>
      </c>
      <c r="CG5">
        <v>124867</v>
      </c>
      <c r="CH5">
        <v>9164</v>
      </c>
      <c r="CI5">
        <v>64.464205915099996</v>
      </c>
      <c r="CJ5">
        <v>64.808271497199996</v>
      </c>
      <c r="CL5" t="s">
        <v>1050</v>
      </c>
      <c r="CM5" t="s">
        <v>741</v>
      </c>
      <c r="CN5" t="s">
        <v>927</v>
      </c>
      <c r="CO5">
        <v>18538</v>
      </c>
      <c r="CP5">
        <v>1946</v>
      </c>
      <c r="CQ5">
        <v>63.4223756608</v>
      </c>
      <c r="CR5">
        <v>124867</v>
      </c>
      <c r="CS5">
        <v>9164</v>
      </c>
      <c r="CT5">
        <v>64.464205915099996</v>
      </c>
      <c r="CU5">
        <v>64.808271497199996</v>
      </c>
      <c r="CW5" t="s">
        <v>1050</v>
      </c>
      <c r="CX5" t="s">
        <v>741</v>
      </c>
      <c r="CY5" t="s">
        <v>927</v>
      </c>
      <c r="CZ5">
        <v>18538</v>
      </c>
      <c r="DA5">
        <v>1946</v>
      </c>
      <c r="DB5">
        <v>63.4223756608</v>
      </c>
      <c r="DC5">
        <v>124867</v>
      </c>
      <c r="DD5">
        <v>9164</v>
      </c>
      <c r="DE5">
        <v>64.464205915099996</v>
      </c>
      <c r="DF5">
        <v>64.808271497199996</v>
      </c>
      <c r="DH5" t="s">
        <v>1050</v>
      </c>
      <c r="DI5" t="s">
        <v>741</v>
      </c>
      <c r="DJ5" t="s">
        <v>927</v>
      </c>
      <c r="DK5">
        <v>18538</v>
      </c>
      <c r="DL5">
        <v>1946</v>
      </c>
      <c r="DM5">
        <v>63.4223756608</v>
      </c>
      <c r="DN5">
        <v>124867</v>
      </c>
      <c r="DO5">
        <v>9164</v>
      </c>
      <c r="DP5">
        <v>64.464205915099996</v>
      </c>
      <c r="DQ5">
        <v>64.808271497199996</v>
      </c>
    </row>
    <row r="6" spans="2:121" x14ac:dyDescent="0.2">
      <c r="B6" t="s">
        <v>93</v>
      </c>
      <c r="C6">
        <v>6433</v>
      </c>
      <c r="D6">
        <v>1105</v>
      </c>
      <c r="F6" t="s">
        <v>187</v>
      </c>
      <c r="G6">
        <v>908</v>
      </c>
      <c r="H6">
        <v>182.82048458150001</v>
      </c>
      <c r="I6">
        <v>861</v>
      </c>
      <c r="J6">
        <v>88</v>
      </c>
      <c r="K6">
        <v>1327</v>
      </c>
      <c r="L6">
        <v>446</v>
      </c>
      <c r="M6">
        <v>313</v>
      </c>
      <c r="N6">
        <v>190</v>
      </c>
      <c r="O6">
        <v>84</v>
      </c>
      <c r="P6">
        <v>30</v>
      </c>
      <c r="Q6">
        <v>0</v>
      </c>
      <c r="R6">
        <v>3</v>
      </c>
      <c r="T6" t="s">
        <v>220</v>
      </c>
      <c r="U6">
        <v>2690</v>
      </c>
      <c r="V6">
        <v>43.843494423800003</v>
      </c>
      <c r="W6">
        <v>6798</v>
      </c>
      <c r="X6">
        <v>243</v>
      </c>
      <c r="Y6">
        <v>4449</v>
      </c>
      <c r="Z6">
        <v>54</v>
      </c>
      <c r="AA6">
        <v>10</v>
      </c>
      <c r="AB6">
        <v>8</v>
      </c>
      <c r="AC6">
        <v>88</v>
      </c>
      <c r="AD6">
        <v>22</v>
      </c>
      <c r="AE6">
        <v>4475</v>
      </c>
      <c r="AF6">
        <v>1196</v>
      </c>
      <c r="AH6" t="s">
        <v>421</v>
      </c>
      <c r="AI6">
        <v>5673</v>
      </c>
      <c r="AJ6">
        <v>328.39626300020001</v>
      </c>
      <c r="AK6">
        <v>3540</v>
      </c>
      <c r="AL6">
        <v>901</v>
      </c>
      <c r="AM6">
        <v>8053</v>
      </c>
      <c r="AN6">
        <v>4570</v>
      </c>
      <c r="AO6">
        <v>2498</v>
      </c>
      <c r="AP6">
        <v>1536</v>
      </c>
      <c r="AQ6">
        <v>6036</v>
      </c>
      <c r="AR6">
        <v>5073</v>
      </c>
      <c r="AS6">
        <v>6</v>
      </c>
      <c r="AT6">
        <v>157</v>
      </c>
      <c r="AV6" t="s">
        <v>430</v>
      </c>
      <c r="AW6">
        <v>40</v>
      </c>
      <c r="AX6">
        <v>56.075000000000003</v>
      </c>
      <c r="AY6">
        <v>56</v>
      </c>
      <c r="AZ6">
        <v>2</v>
      </c>
      <c r="BA6">
        <v>51</v>
      </c>
      <c r="BB6">
        <v>2</v>
      </c>
      <c r="BC6">
        <v>0</v>
      </c>
      <c r="BE6">
        <v>2</v>
      </c>
      <c r="BG6">
        <v>88</v>
      </c>
      <c r="BH6">
        <v>4</v>
      </c>
      <c r="BJ6" t="s">
        <v>594</v>
      </c>
      <c r="BK6" t="s">
        <v>395</v>
      </c>
      <c r="BL6">
        <v>7244</v>
      </c>
      <c r="BM6">
        <v>2807</v>
      </c>
      <c r="BN6">
        <v>133.80935946989999</v>
      </c>
      <c r="BO6">
        <v>16969</v>
      </c>
      <c r="BP6">
        <v>1297</v>
      </c>
      <c r="BQ6">
        <v>205.45088101830001</v>
      </c>
      <c r="BR6">
        <v>185.95913646880001</v>
      </c>
      <c r="BS6">
        <v>7488</v>
      </c>
      <c r="BT6">
        <v>2595</v>
      </c>
      <c r="BU6">
        <v>126.4715544872</v>
      </c>
      <c r="BV6">
        <v>16686</v>
      </c>
      <c r="BW6">
        <v>1231</v>
      </c>
      <c r="BX6">
        <v>204.92898238039999</v>
      </c>
      <c r="BY6">
        <v>175.63363119420001</v>
      </c>
      <c r="CA6" t="s">
        <v>1051</v>
      </c>
      <c r="CB6" t="s">
        <v>741</v>
      </c>
      <c r="CC6" t="s">
        <v>927</v>
      </c>
      <c r="CD6">
        <v>8129</v>
      </c>
      <c r="CE6">
        <v>1220</v>
      </c>
      <c r="CF6">
        <v>73.851642268399999</v>
      </c>
      <c r="CG6">
        <v>21009</v>
      </c>
      <c r="CH6">
        <v>1611</v>
      </c>
      <c r="CI6">
        <v>134.488838117</v>
      </c>
      <c r="CJ6">
        <v>125.3538175047</v>
      </c>
      <c r="CL6" t="s">
        <v>1051</v>
      </c>
      <c r="CM6" t="s">
        <v>741</v>
      </c>
      <c r="CN6" t="s">
        <v>927</v>
      </c>
      <c r="CO6">
        <v>8129</v>
      </c>
      <c r="CP6">
        <v>1220</v>
      </c>
      <c r="CQ6">
        <v>73.851642268399999</v>
      </c>
      <c r="CR6">
        <v>21009</v>
      </c>
      <c r="CS6">
        <v>1611</v>
      </c>
      <c r="CT6">
        <v>134.488838117</v>
      </c>
      <c r="CU6">
        <v>125.3538175047</v>
      </c>
      <c r="CW6" t="s">
        <v>1051</v>
      </c>
      <c r="CX6" t="s">
        <v>741</v>
      </c>
      <c r="CY6" t="s">
        <v>927</v>
      </c>
      <c r="CZ6">
        <v>8129</v>
      </c>
      <c r="DA6">
        <v>1220</v>
      </c>
      <c r="DB6">
        <v>73.851642268399999</v>
      </c>
      <c r="DC6">
        <v>21009</v>
      </c>
      <c r="DD6">
        <v>1611</v>
      </c>
      <c r="DE6">
        <v>134.488838117</v>
      </c>
      <c r="DF6">
        <v>125.3538175047</v>
      </c>
      <c r="DH6" t="s">
        <v>1051</v>
      </c>
      <c r="DI6" t="s">
        <v>741</v>
      </c>
      <c r="DJ6" t="s">
        <v>927</v>
      </c>
      <c r="DK6">
        <v>8129</v>
      </c>
      <c r="DL6">
        <v>1220</v>
      </c>
      <c r="DM6">
        <v>73.851642268399999</v>
      </c>
      <c r="DN6">
        <v>21009</v>
      </c>
      <c r="DO6">
        <v>1611</v>
      </c>
      <c r="DP6">
        <v>134.488838117</v>
      </c>
      <c r="DQ6">
        <v>125.3538175047</v>
      </c>
    </row>
    <row r="7" spans="2:121" x14ac:dyDescent="0.2">
      <c r="B7" t="s">
        <v>94</v>
      </c>
      <c r="C7">
        <v>255</v>
      </c>
      <c r="D7">
        <v>38</v>
      </c>
      <c r="F7" t="s">
        <v>61</v>
      </c>
      <c r="G7">
        <v>5203</v>
      </c>
      <c r="H7">
        <v>228.83201998850001</v>
      </c>
      <c r="I7">
        <v>9138</v>
      </c>
      <c r="J7">
        <v>2484</v>
      </c>
      <c r="K7">
        <v>8255</v>
      </c>
      <c r="L7">
        <v>4176</v>
      </c>
      <c r="M7">
        <v>1603</v>
      </c>
      <c r="N7">
        <v>1340</v>
      </c>
      <c r="O7">
        <v>1612</v>
      </c>
      <c r="P7">
        <v>1296</v>
      </c>
      <c r="Q7">
        <v>5</v>
      </c>
      <c r="R7">
        <v>215</v>
      </c>
      <c r="T7" t="s">
        <v>472</v>
      </c>
      <c r="U7">
        <v>19361</v>
      </c>
      <c r="V7">
        <v>79.717524921199995</v>
      </c>
      <c r="W7">
        <v>23644</v>
      </c>
      <c r="X7">
        <v>2837</v>
      </c>
      <c r="Y7">
        <v>31159</v>
      </c>
      <c r="Z7">
        <v>6469</v>
      </c>
      <c r="AA7">
        <v>776</v>
      </c>
      <c r="AB7">
        <v>751</v>
      </c>
      <c r="AC7">
        <v>6124</v>
      </c>
      <c r="AD7">
        <v>1046</v>
      </c>
      <c r="AE7">
        <v>10632</v>
      </c>
      <c r="AF7">
        <v>4941</v>
      </c>
      <c r="AH7" t="s">
        <v>417</v>
      </c>
      <c r="AI7">
        <v>33414</v>
      </c>
      <c r="AJ7">
        <v>366.22712036870001</v>
      </c>
      <c r="AK7">
        <v>33258</v>
      </c>
      <c r="AL7">
        <v>10561</v>
      </c>
      <c r="AM7">
        <v>46244</v>
      </c>
      <c r="AN7">
        <v>30231</v>
      </c>
      <c r="AO7">
        <v>6782</v>
      </c>
      <c r="AP7">
        <v>5175</v>
      </c>
      <c r="AQ7">
        <v>11602</v>
      </c>
      <c r="AR7">
        <v>7984</v>
      </c>
      <c r="AS7">
        <v>44</v>
      </c>
      <c r="AT7">
        <v>164</v>
      </c>
      <c r="AV7" t="s">
        <v>398</v>
      </c>
      <c r="AW7">
        <v>667</v>
      </c>
      <c r="AX7">
        <v>67.481259370299995</v>
      </c>
      <c r="AY7">
        <v>582</v>
      </c>
      <c r="AZ7">
        <v>33</v>
      </c>
      <c r="BA7">
        <v>1047</v>
      </c>
      <c r="BB7">
        <v>127</v>
      </c>
      <c r="BC7">
        <v>16</v>
      </c>
      <c r="BD7">
        <v>15</v>
      </c>
      <c r="BE7">
        <v>76</v>
      </c>
      <c r="BF7">
        <v>22</v>
      </c>
      <c r="BG7">
        <v>386</v>
      </c>
      <c r="BH7">
        <v>55</v>
      </c>
      <c r="BJ7" t="s">
        <v>641</v>
      </c>
      <c r="BK7" t="s">
        <v>395</v>
      </c>
      <c r="BL7">
        <v>894</v>
      </c>
      <c r="BM7">
        <v>88</v>
      </c>
      <c r="BN7">
        <v>69.683445190200004</v>
      </c>
      <c r="BO7">
        <v>2868</v>
      </c>
      <c r="BP7">
        <v>262</v>
      </c>
      <c r="BQ7">
        <v>104.88633193859999</v>
      </c>
      <c r="BR7">
        <v>113.91984732820001</v>
      </c>
      <c r="BS7">
        <v>1753</v>
      </c>
      <c r="BT7">
        <v>553</v>
      </c>
      <c r="BU7">
        <v>128.40159726179999</v>
      </c>
      <c r="BV7">
        <v>5237</v>
      </c>
      <c r="BW7">
        <v>448</v>
      </c>
      <c r="BX7">
        <v>170.49589459609999</v>
      </c>
      <c r="BY7">
        <v>200.203125</v>
      </c>
      <c r="CA7" t="s">
        <v>421</v>
      </c>
      <c r="CB7" t="s">
        <v>777</v>
      </c>
      <c r="CC7" t="s">
        <v>1006</v>
      </c>
      <c r="CD7">
        <v>3667</v>
      </c>
      <c r="CE7">
        <v>873</v>
      </c>
      <c r="CF7">
        <v>95.513498772800006</v>
      </c>
      <c r="CG7">
        <v>11561</v>
      </c>
      <c r="CH7">
        <v>831</v>
      </c>
      <c r="CI7">
        <v>169.07767494160001</v>
      </c>
      <c r="CJ7">
        <v>150.89049338149999</v>
      </c>
      <c r="CL7" t="s">
        <v>421</v>
      </c>
      <c r="CM7" t="s">
        <v>758</v>
      </c>
      <c r="CN7" t="s">
        <v>757</v>
      </c>
      <c r="CO7">
        <v>210</v>
      </c>
      <c r="CP7">
        <v>20</v>
      </c>
      <c r="CQ7">
        <v>58.771428571400001</v>
      </c>
      <c r="CR7">
        <v>1662</v>
      </c>
      <c r="CS7">
        <v>112</v>
      </c>
      <c r="CT7">
        <v>49.4271961492</v>
      </c>
      <c r="CU7">
        <v>47.285714285700003</v>
      </c>
      <c r="CW7" t="s">
        <v>421</v>
      </c>
      <c r="CX7" t="s">
        <v>768</v>
      </c>
      <c r="CY7" t="s">
        <v>767</v>
      </c>
      <c r="CZ7">
        <v>30</v>
      </c>
      <c r="DA7">
        <v>5</v>
      </c>
      <c r="DB7">
        <v>70.366666666699999</v>
      </c>
      <c r="DC7">
        <v>121</v>
      </c>
      <c r="DD7">
        <v>8</v>
      </c>
      <c r="DE7">
        <v>137.867768595</v>
      </c>
      <c r="DF7">
        <v>124.25</v>
      </c>
      <c r="DH7" t="s">
        <v>421</v>
      </c>
      <c r="DI7" t="s">
        <v>748</v>
      </c>
      <c r="DJ7" t="s">
        <v>747</v>
      </c>
      <c r="DK7">
        <v>30</v>
      </c>
      <c r="DL7">
        <v>4</v>
      </c>
      <c r="DM7">
        <v>72.733333333299996</v>
      </c>
      <c r="DN7">
        <v>102</v>
      </c>
      <c r="DO7">
        <v>3</v>
      </c>
      <c r="DP7">
        <v>147.1274509804</v>
      </c>
      <c r="DQ7">
        <v>165.3333333333</v>
      </c>
    </row>
    <row r="8" spans="2:121" x14ac:dyDescent="0.2">
      <c r="B8" t="s">
        <v>103</v>
      </c>
      <c r="C8">
        <v>239</v>
      </c>
      <c r="D8">
        <v>173</v>
      </c>
      <c r="F8" t="s">
        <v>27</v>
      </c>
      <c r="G8">
        <v>2877</v>
      </c>
      <c r="H8">
        <v>153.52902328810001</v>
      </c>
      <c r="I8">
        <v>6878</v>
      </c>
      <c r="J8">
        <v>1856</v>
      </c>
      <c r="K8">
        <v>9245</v>
      </c>
      <c r="L8">
        <v>2894</v>
      </c>
      <c r="M8">
        <v>1095</v>
      </c>
      <c r="N8">
        <v>487</v>
      </c>
      <c r="O8">
        <v>464</v>
      </c>
      <c r="P8">
        <v>202</v>
      </c>
      <c r="Q8">
        <v>0</v>
      </c>
      <c r="R8">
        <v>66</v>
      </c>
      <c r="AH8" t="s">
        <v>413</v>
      </c>
      <c r="AI8">
        <v>8246</v>
      </c>
      <c r="AJ8">
        <v>397.83507154979998</v>
      </c>
      <c r="AK8">
        <v>7783</v>
      </c>
      <c r="AL8">
        <v>2890</v>
      </c>
      <c r="AM8">
        <v>10948</v>
      </c>
      <c r="AN8">
        <v>7189</v>
      </c>
      <c r="AO8">
        <v>2009</v>
      </c>
      <c r="AP8">
        <v>1719</v>
      </c>
      <c r="AQ8">
        <v>4921</v>
      </c>
      <c r="AR8">
        <v>3277</v>
      </c>
      <c r="AS8">
        <v>6</v>
      </c>
      <c r="AT8">
        <v>61</v>
      </c>
      <c r="AV8" t="s">
        <v>419</v>
      </c>
      <c r="AW8">
        <v>123</v>
      </c>
      <c r="AX8">
        <v>50.1056910569</v>
      </c>
      <c r="AY8">
        <v>267</v>
      </c>
      <c r="AZ8">
        <v>8</v>
      </c>
      <c r="BA8">
        <v>198</v>
      </c>
      <c r="BB8">
        <v>11</v>
      </c>
      <c r="BC8">
        <v>2</v>
      </c>
      <c r="BD8">
        <v>2</v>
      </c>
      <c r="BE8">
        <v>10</v>
      </c>
      <c r="BF8">
        <v>6</v>
      </c>
      <c r="BG8">
        <v>221</v>
      </c>
      <c r="BH8">
        <v>55</v>
      </c>
      <c r="BJ8" t="s">
        <v>629</v>
      </c>
      <c r="BK8" t="s">
        <v>395</v>
      </c>
      <c r="BL8">
        <v>17988</v>
      </c>
      <c r="BM8">
        <v>6441</v>
      </c>
      <c r="BN8">
        <v>133.8486213031</v>
      </c>
      <c r="BO8">
        <v>42293</v>
      </c>
      <c r="BP8">
        <v>3711</v>
      </c>
      <c r="BQ8">
        <v>215.1854207552</v>
      </c>
      <c r="BR8">
        <v>194.6351387766</v>
      </c>
      <c r="BS8">
        <v>14327</v>
      </c>
      <c r="BT8">
        <v>4061</v>
      </c>
      <c r="BU8">
        <v>118.8631953654</v>
      </c>
      <c r="BV8">
        <v>30532</v>
      </c>
      <c r="BW8">
        <v>2631</v>
      </c>
      <c r="BX8">
        <v>217.33142276960001</v>
      </c>
      <c r="BY8">
        <v>178.24173318129999</v>
      </c>
      <c r="CA8" t="s">
        <v>413</v>
      </c>
      <c r="CB8" t="s">
        <v>777</v>
      </c>
      <c r="CC8" t="s">
        <v>1007</v>
      </c>
      <c r="CD8">
        <v>7450</v>
      </c>
      <c r="CE8">
        <v>2855</v>
      </c>
      <c r="CF8">
        <v>133.37838926169999</v>
      </c>
      <c r="CG8">
        <v>18504</v>
      </c>
      <c r="CH8">
        <v>1458</v>
      </c>
      <c r="CI8">
        <v>191.87602680500001</v>
      </c>
      <c r="CJ8">
        <v>174.71193415639999</v>
      </c>
      <c r="CL8" t="s">
        <v>413</v>
      </c>
      <c r="CM8" t="s">
        <v>758</v>
      </c>
      <c r="CN8" t="s">
        <v>759</v>
      </c>
      <c r="CO8">
        <v>283</v>
      </c>
      <c r="CP8">
        <v>24</v>
      </c>
      <c r="CQ8">
        <v>64.063604240299995</v>
      </c>
      <c r="CR8">
        <v>1746</v>
      </c>
      <c r="CS8">
        <v>132</v>
      </c>
      <c r="CT8">
        <v>60.507445589900001</v>
      </c>
      <c r="CU8">
        <v>59.803030303</v>
      </c>
      <c r="CW8" t="s">
        <v>413</v>
      </c>
      <c r="CX8" t="s">
        <v>768</v>
      </c>
      <c r="CY8" t="s">
        <v>769</v>
      </c>
      <c r="CZ8">
        <v>236</v>
      </c>
      <c r="DA8">
        <v>34</v>
      </c>
      <c r="DB8">
        <v>73.186440677999997</v>
      </c>
      <c r="DC8">
        <v>666</v>
      </c>
      <c r="DD8">
        <v>65</v>
      </c>
      <c r="DE8">
        <v>122.89639639639999</v>
      </c>
      <c r="DF8">
        <v>113.0923076923</v>
      </c>
      <c r="DH8" t="s">
        <v>413</v>
      </c>
      <c r="DI8" t="s">
        <v>748</v>
      </c>
      <c r="DJ8" t="s">
        <v>749</v>
      </c>
      <c r="DK8">
        <v>345</v>
      </c>
      <c r="DL8">
        <v>21</v>
      </c>
      <c r="DM8">
        <v>67.327536231899998</v>
      </c>
      <c r="DN8">
        <v>957</v>
      </c>
      <c r="DO8">
        <v>69</v>
      </c>
      <c r="DP8">
        <v>160.71368861019999</v>
      </c>
      <c r="DQ8">
        <v>143.5362318841</v>
      </c>
    </row>
    <row r="9" spans="2:121" x14ac:dyDescent="0.2">
      <c r="B9" t="s">
        <v>95</v>
      </c>
      <c r="C9">
        <v>15</v>
      </c>
      <c r="D9">
        <v>7</v>
      </c>
      <c r="F9" t="s">
        <v>24</v>
      </c>
      <c r="G9">
        <v>1044</v>
      </c>
      <c r="H9">
        <v>95.520114942500001</v>
      </c>
      <c r="I9">
        <v>4648</v>
      </c>
      <c r="J9">
        <v>1391</v>
      </c>
      <c r="K9">
        <v>1898</v>
      </c>
      <c r="L9">
        <v>419</v>
      </c>
      <c r="M9">
        <v>146</v>
      </c>
      <c r="N9">
        <v>44</v>
      </c>
      <c r="O9">
        <v>459</v>
      </c>
      <c r="P9">
        <v>307</v>
      </c>
      <c r="Q9">
        <v>0</v>
      </c>
      <c r="R9">
        <v>0</v>
      </c>
      <c r="AH9" t="s">
        <v>383</v>
      </c>
      <c r="AI9">
        <v>2215</v>
      </c>
      <c r="AJ9">
        <v>231.64695259589999</v>
      </c>
      <c r="AK9">
        <v>2051</v>
      </c>
      <c r="AL9">
        <v>551</v>
      </c>
      <c r="AM9">
        <v>3596</v>
      </c>
      <c r="AN9">
        <v>1873</v>
      </c>
      <c r="AO9">
        <v>367</v>
      </c>
      <c r="AP9">
        <v>277</v>
      </c>
      <c r="AQ9">
        <v>762</v>
      </c>
      <c r="AR9">
        <v>499</v>
      </c>
      <c r="AS9">
        <v>165</v>
      </c>
      <c r="AT9">
        <v>3</v>
      </c>
      <c r="AV9" t="s">
        <v>427</v>
      </c>
      <c r="AW9">
        <v>27</v>
      </c>
      <c r="AX9">
        <v>98.148148148100006</v>
      </c>
      <c r="AY9">
        <v>24</v>
      </c>
      <c r="AZ9">
        <v>4</v>
      </c>
      <c r="BA9">
        <v>40</v>
      </c>
      <c r="BB9">
        <v>14</v>
      </c>
      <c r="BC9">
        <v>1</v>
      </c>
      <c r="BD9">
        <v>1</v>
      </c>
      <c r="BE9">
        <v>15</v>
      </c>
      <c r="BF9">
        <v>2</v>
      </c>
      <c r="BG9">
        <v>8</v>
      </c>
      <c r="BH9">
        <v>5</v>
      </c>
      <c r="BJ9" t="s">
        <v>565</v>
      </c>
      <c r="BK9" t="s">
        <v>395</v>
      </c>
      <c r="BL9">
        <v>4291</v>
      </c>
      <c r="BM9">
        <v>2009</v>
      </c>
      <c r="BN9">
        <v>165.6870193428</v>
      </c>
      <c r="BO9">
        <v>13144</v>
      </c>
      <c r="BP9">
        <v>1147</v>
      </c>
      <c r="BQ9">
        <v>246.777465003</v>
      </c>
      <c r="BR9">
        <v>209.45074106359999</v>
      </c>
      <c r="BS9">
        <v>4411</v>
      </c>
      <c r="BT9">
        <v>1708</v>
      </c>
      <c r="BU9">
        <v>140.24166855589999</v>
      </c>
      <c r="BV9">
        <v>12220</v>
      </c>
      <c r="BW9">
        <v>1095</v>
      </c>
      <c r="BX9">
        <v>240.7695581015</v>
      </c>
      <c r="BY9">
        <v>184.4831050228</v>
      </c>
      <c r="CA9" t="s">
        <v>397</v>
      </c>
      <c r="CB9" t="s">
        <v>777</v>
      </c>
      <c r="CC9" t="s">
        <v>1008</v>
      </c>
      <c r="CD9">
        <v>5953</v>
      </c>
      <c r="CE9">
        <v>1822</v>
      </c>
      <c r="CF9">
        <v>110.8046363178</v>
      </c>
      <c r="CG9">
        <v>15859</v>
      </c>
      <c r="CH9">
        <v>1329</v>
      </c>
      <c r="CI9">
        <v>180.38545936060001</v>
      </c>
      <c r="CJ9">
        <v>169.89315274640001</v>
      </c>
      <c r="CL9" t="s">
        <v>397</v>
      </c>
      <c r="CM9" t="s">
        <v>758</v>
      </c>
      <c r="CN9" t="s">
        <v>760</v>
      </c>
      <c r="CO9">
        <v>319</v>
      </c>
      <c r="CP9">
        <v>34</v>
      </c>
      <c r="CQ9">
        <v>58.0595611285</v>
      </c>
      <c r="CR9">
        <v>2491</v>
      </c>
      <c r="CS9">
        <v>160</v>
      </c>
      <c r="CT9">
        <v>52.265756724200003</v>
      </c>
      <c r="CU9">
        <v>41.524999999999999</v>
      </c>
      <c r="CW9" t="s">
        <v>397</v>
      </c>
      <c r="CX9" t="s">
        <v>768</v>
      </c>
      <c r="CY9" t="s">
        <v>770</v>
      </c>
      <c r="CZ9">
        <v>76</v>
      </c>
      <c r="DA9">
        <v>13</v>
      </c>
      <c r="DB9">
        <v>75.197368421099995</v>
      </c>
      <c r="DC9">
        <v>203</v>
      </c>
      <c r="DD9">
        <v>17</v>
      </c>
      <c r="DE9">
        <v>137</v>
      </c>
      <c r="DF9">
        <v>121.76470588239999</v>
      </c>
      <c r="DH9" t="s">
        <v>397</v>
      </c>
      <c r="DI9" t="s">
        <v>748</v>
      </c>
      <c r="DJ9" t="s">
        <v>750</v>
      </c>
      <c r="DK9">
        <v>115</v>
      </c>
      <c r="DL9">
        <v>6</v>
      </c>
      <c r="DM9">
        <v>66.234782608700002</v>
      </c>
      <c r="DN9">
        <v>418</v>
      </c>
      <c r="DO9">
        <v>36</v>
      </c>
      <c r="DP9">
        <v>159.16507177029999</v>
      </c>
      <c r="DQ9">
        <v>139.6666666667</v>
      </c>
    </row>
    <row r="10" spans="2:121" x14ac:dyDescent="0.2">
      <c r="B10" t="s">
        <v>323</v>
      </c>
      <c r="C10">
        <v>1</v>
      </c>
      <c r="D10">
        <v>1</v>
      </c>
      <c r="F10" t="s">
        <v>62</v>
      </c>
      <c r="G10">
        <v>5964</v>
      </c>
      <c r="H10">
        <v>414.3333333333</v>
      </c>
      <c r="I10">
        <v>5574</v>
      </c>
      <c r="J10">
        <v>1743</v>
      </c>
      <c r="K10">
        <v>7215</v>
      </c>
      <c r="L10">
        <v>4876</v>
      </c>
      <c r="M10">
        <v>519</v>
      </c>
      <c r="N10">
        <v>468</v>
      </c>
      <c r="O10">
        <v>761</v>
      </c>
      <c r="P10">
        <v>421</v>
      </c>
      <c r="Q10">
        <v>2</v>
      </c>
      <c r="R10">
        <v>316</v>
      </c>
      <c r="AH10" t="s">
        <v>433</v>
      </c>
      <c r="AI10">
        <v>1087</v>
      </c>
      <c r="AJ10">
        <v>334.25942962279998</v>
      </c>
      <c r="AK10">
        <v>1010</v>
      </c>
      <c r="AL10">
        <v>371</v>
      </c>
      <c r="AM10">
        <v>1323</v>
      </c>
      <c r="AN10">
        <v>712</v>
      </c>
      <c r="AO10">
        <v>71</v>
      </c>
      <c r="AP10">
        <v>51</v>
      </c>
      <c r="AQ10">
        <v>463</v>
      </c>
      <c r="AR10">
        <v>201</v>
      </c>
      <c r="AS10">
        <v>46</v>
      </c>
      <c r="AT10">
        <v>1</v>
      </c>
      <c r="AV10" t="s">
        <v>381</v>
      </c>
      <c r="AW10">
        <v>309</v>
      </c>
      <c r="AX10">
        <v>89.391585760500007</v>
      </c>
      <c r="AY10">
        <v>350</v>
      </c>
      <c r="AZ10">
        <v>74</v>
      </c>
      <c r="BA10">
        <v>510</v>
      </c>
      <c r="BB10">
        <v>154</v>
      </c>
      <c r="BC10">
        <v>11</v>
      </c>
      <c r="BD10">
        <v>9</v>
      </c>
      <c r="BE10">
        <v>192</v>
      </c>
      <c r="BF10">
        <v>23</v>
      </c>
      <c r="BG10">
        <v>54</v>
      </c>
      <c r="BH10">
        <v>128</v>
      </c>
      <c r="BJ10" t="s">
        <v>617</v>
      </c>
      <c r="BK10" t="s">
        <v>395</v>
      </c>
      <c r="BL10">
        <v>3664</v>
      </c>
      <c r="BM10">
        <v>867</v>
      </c>
      <c r="BN10">
        <v>96.860534934499995</v>
      </c>
      <c r="BO10">
        <v>11108</v>
      </c>
      <c r="BP10">
        <v>803</v>
      </c>
      <c r="BQ10">
        <v>171.2126395391</v>
      </c>
      <c r="BR10">
        <v>153.2291407223</v>
      </c>
      <c r="BS10">
        <v>4430</v>
      </c>
      <c r="BT10">
        <v>1370</v>
      </c>
      <c r="BU10">
        <v>109.3191873589</v>
      </c>
      <c r="BV10">
        <v>13059</v>
      </c>
      <c r="BW10">
        <v>1120</v>
      </c>
      <c r="BX10">
        <v>175.55302856270001</v>
      </c>
      <c r="BY10">
        <v>159.82767857140001</v>
      </c>
      <c r="CA10" t="s">
        <v>399</v>
      </c>
      <c r="CB10" t="s">
        <v>777</v>
      </c>
      <c r="CC10" t="s">
        <v>1009</v>
      </c>
      <c r="CD10">
        <v>3865</v>
      </c>
      <c r="CE10">
        <v>1544</v>
      </c>
      <c r="CF10">
        <v>146.9565329884</v>
      </c>
      <c r="CG10">
        <v>12975</v>
      </c>
      <c r="CH10">
        <v>1091</v>
      </c>
      <c r="CI10">
        <v>228.11082851640001</v>
      </c>
      <c r="CJ10">
        <v>195.39138405130001</v>
      </c>
      <c r="CL10" t="s">
        <v>399</v>
      </c>
      <c r="CM10" t="s">
        <v>758</v>
      </c>
      <c r="CN10" t="s">
        <v>761</v>
      </c>
      <c r="CO10">
        <v>275</v>
      </c>
      <c r="CP10">
        <v>32</v>
      </c>
      <c r="CQ10">
        <v>62.825454545500001</v>
      </c>
      <c r="CR10">
        <v>1767</v>
      </c>
      <c r="CS10">
        <v>106</v>
      </c>
      <c r="CT10">
        <v>59.500848896400001</v>
      </c>
      <c r="CU10">
        <v>61.377358490600002</v>
      </c>
      <c r="CW10" t="s">
        <v>399</v>
      </c>
      <c r="CX10" t="s">
        <v>768</v>
      </c>
      <c r="CY10" t="s">
        <v>771</v>
      </c>
      <c r="CZ10">
        <v>78</v>
      </c>
      <c r="DA10">
        <v>12</v>
      </c>
      <c r="DB10">
        <v>79.576923076900002</v>
      </c>
      <c r="DC10">
        <v>129</v>
      </c>
      <c r="DD10">
        <v>7</v>
      </c>
      <c r="DE10">
        <v>150.37984496120001</v>
      </c>
      <c r="DF10">
        <v>145.1428571429</v>
      </c>
      <c r="DH10" t="s">
        <v>399</v>
      </c>
      <c r="DI10" t="s">
        <v>748</v>
      </c>
      <c r="DJ10" t="s">
        <v>751</v>
      </c>
      <c r="DK10">
        <v>55</v>
      </c>
      <c r="DL10">
        <v>15</v>
      </c>
      <c r="DM10">
        <v>92.145454545500002</v>
      </c>
      <c r="DN10">
        <v>197</v>
      </c>
      <c r="DO10">
        <v>18</v>
      </c>
      <c r="DP10">
        <v>128.3096446701</v>
      </c>
      <c r="DQ10">
        <v>123.6111111111</v>
      </c>
    </row>
    <row r="11" spans="2:121" x14ac:dyDescent="0.2">
      <c r="B11" t="s">
        <v>100</v>
      </c>
      <c r="C11">
        <v>185</v>
      </c>
      <c r="D11">
        <v>102</v>
      </c>
      <c r="F11" t="s">
        <v>60</v>
      </c>
      <c r="G11">
        <v>12634</v>
      </c>
      <c r="H11">
        <v>373.45709988919998</v>
      </c>
      <c r="I11">
        <v>7747</v>
      </c>
      <c r="J11">
        <v>2638</v>
      </c>
      <c r="K11">
        <v>14168</v>
      </c>
      <c r="L11">
        <v>10290</v>
      </c>
      <c r="M11">
        <v>4340</v>
      </c>
      <c r="N11">
        <v>3993</v>
      </c>
      <c r="O11">
        <v>2529</v>
      </c>
      <c r="P11">
        <v>2046</v>
      </c>
      <c r="Q11">
        <v>2</v>
      </c>
      <c r="R11">
        <v>349</v>
      </c>
      <c r="AH11" t="s">
        <v>424</v>
      </c>
      <c r="AI11">
        <v>477</v>
      </c>
      <c r="AJ11">
        <v>460.1362683438</v>
      </c>
      <c r="AK11">
        <v>534</v>
      </c>
      <c r="AL11">
        <v>194</v>
      </c>
      <c r="AM11">
        <v>663</v>
      </c>
      <c r="AN11">
        <v>444</v>
      </c>
      <c r="AO11">
        <v>97</v>
      </c>
      <c r="AP11">
        <v>74</v>
      </c>
      <c r="AQ11">
        <v>316</v>
      </c>
      <c r="AR11">
        <v>234</v>
      </c>
      <c r="AS11">
        <v>20</v>
      </c>
      <c r="AT11">
        <v>1</v>
      </c>
      <c r="AV11" t="s">
        <v>418</v>
      </c>
      <c r="AW11">
        <v>46</v>
      </c>
      <c r="AX11">
        <v>46.652173912999999</v>
      </c>
      <c r="AY11">
        <v>125</v>
      </c>
      <c r="AZ11">
        <v>8</v>
      </c>
      <c r="BA11">
        <v>70</v>
      </c>
      <c r="BB11">
        <v>1</v>
      </c>
      <c r="BC11">
        <v>1</v>
      </c>
      <c r="BD11">
        <v>1</v>
      </c>
      <c r="BE11">
        <v>0</v>
      </c>
      <c r="BG11">
        <v>65</v>
      </c>
      <c r="BH11">
        <v>14</v>
      </c>
      <c r="BJ11" t="s">
        <v>619</v>
      </c>
      <c r="BK11" t="s">
        <v>395</v>
      </c>
      <c r="BL11">
        <v>6942</v>
      </c>
      <c r="BM11">
        <v>1854</v>
      </c>
      <c r="BN11">
        <v>99.761163929700004</v>
      </c>
      <c r="BO11">
        <v>18993</v>
      </c>
      <c r="BP11">
        <v>1892</v>
      </c>
      <c r="BQ11">
        <v>162.95830042649999</v>
      </c>
      <c r="BR11">
        <v>135.23784355180001</v>
      </c>
      <c r="BS11">
        <v>9136</v>
      </c>
      <c r="BT11">
        <v>3015</v>
      </c>
      <c r="BU11">
        <v>113.62259194400001</v>
      </c>
      <c r="BV11">
        <v>27390</v>
      </c>
      <c r="BW11">
        <v>2759</v>
      </c>
      <c r="BX11">
        <v>178.44600219060001</v>
      </c>
      <c r="BY11">
        <v>149.32294309529999</v>
      </c>
      <c r="CA11" t="s">
        <v>428</v>
      </c>
      <c r="CB11" t="s">
        <v>777</v>
      </c>
      <c r="CC11" t="s">
        <v>1010</v>
      </c>
      <c r="CD11">
        <v>949</v>
      </c>
      <c r="CE11">
        <v>119</v>
      </c>
      <c r="CF11">
        <v>77.576396206499993</v>
      </c>
      <c r="CG11">
        <v>3221</v>
      </c>
      <c r="CH11">
        <v>286</v>
      </c>
      <c r="CI11">
        <v>113.8528407327</v>
      </c>
      <c r="CJ11">
        <v>118.4825174825</v>
      </c>
      <c r="CL11" t="s">
        <v>428</v>
      </c>
      <c r="CM11" t="s">
        <v>758</v>
      </c>
      <c r="CN11" t="s">
        <v>762</v>
      </c>
      <c r="CO11">
        <v>81</v>
      </c>
      <c r="CP11">
        <v>3</v>
      </c>
      <c r="CQ11">
        <v>53.777777777799997</v>
      </c>
      <c r="CR11">
        <v>488</v>
      </c>
      <c r="CS11">
        <v>36</v>
      </c>
      <c r="CT11">
        <v>51.924180327899997</v>
      </c>
      <c r="CU11">
        <v>41.361111111100001</v>
      </c>
      <c r="CW11" t="s">
        <v>428</v>
      </c>
      <c r="CX11" t="s">
        <v>768</v>
      </c>
      <c r="CY11" t="s">
        <v>772</v>
      </c>
      <c r="CZ11">
        <v>18</v>
      </c>
      <c r="DA11">
        <v>2</v>
      </c>
      <c r="DB11">
        <v>58.222222222200003</v>
      </c>
      <c r="DC11">
        <v>73</v>
      </c>
      <c r="DD11">
        <v>7</v>
      </c>
      <c r="DE11">
        <v>135.12328767119999</v>
      </c>
      <c r="DF11">
        <v>99.285714285699996</v>
      </c>
      <c r="DH11" t="s">
        <v>428</v>
      </c>
      <c r="DI11" t="s">
        <v>748</v>
      </c>
      <c r="DJ11" t="s">
        <v>752</v>
      </c>
      <c r="DK11">
        <v>5</v>
      </c>
      <c r="DL11">
        <v>1</v>
      </c>
      <c r="DM11">
        <v>73.2</v>
      </c>
      <c r="DN11">
        <v>54</v>
      </c>
      <c r="DO11">
        <v>0</v>
      </c>
      <c r="DP11">
        <v>172.14814814810001</v>
      </c>
      <c r="DQ11">
        <v>0</v>
      </c>
    </row>
    <row r="12" spans="2:121" x14ac:dyDescent="0.2">
      <c r="B12" t="s">
        <v>127</v>
      </c>
      <c r="C12">
        <v>623</v>
      </c>
      <c r="D12">
        <v>306</v>
      </c>
      <c r="F12" t="s">
        <v>36</v>
      </c>
      <c r="G12">
        <v>6930</v>
      </c>
      <c r="H12">
        <v>617.38441558440002</v>
      </c>
      <c r="I12">
        <v>5264</v>
      </c>
      <c r="J12">
        <v>1892</v>
      </c>
      <c r="K12">
        <v>8215</v>
      </c>
      <c r="L12">
        <v>6777</v>
      </c>
      <c r="M12">
        <v>1062</v>
      </c>
      <c r="N12">
        <v>939</v>
      </c>
      <c r="O12">
        <v>6200</v>
      </c>
      <c r="P12">
        <v>5350</v>
      </c>
      <c r="Q12">
        <v>31</v>
      </c>
      <c r="R12">
        <v>3</v>
      </c>
      <c r="T12" t="s">
        <v>658</v>
      </c>
      <c r="U12" t="s">
        <v>315</v>
      </c>
      <c r="V12" t="s">
        <v>139</v>
      </c>
      <c r="W12" t="s">
        <v>222</v>
      </c>
      <c r="X12" t="s">
        <v>223</v>
      </c>
      <c r="Y12" t="s">
        <v>224</v>
      </c>
      <c r="Z12" t="s">
        <v>225</v>
      </c>
      <c r="AA12" t="s">
        <v>226</v>
      </c>
      <c r="AB12" t="s">
        <v>227</v>
      </c>
      <c r="AC12" t="s">
        <v>228</v>
      </c>
      <c r="AD12" t="s">
        <v>229</v>
      </c>
      <c r="AE12" t="s">
        <v>230</v>
      </c>
      <c r="AF12" t="s">
        <v>231</v>
      </c>
      <c r="AH12" t="s">
        <v>435</v>
      </c>
      <c r="AI12">
        <v>20591</v>
      </c>
      <c r="AJ12">
        <v>356.6790830946</v>
      </c>
      <c r="AK12">
        <v>26350</v>
      </c>
      <c r="AL12">
        <v>10082</v>
      </c>
      <c r="AM12">
        <v>28731</v>
      </c>
      <c r="AN12">
        <v>17278</v>
      </c>
      <c r="AO12">
        <v>3582</v>
      </c>
      <c r="AP12">
        <v>2530</v>
      </c>
      <c r="AQ12">
        <v>10672</v>
      </c>
      <c r="AR12">
        <v>6659</v>
      </c>
      <c r="AS12">
        <v>1179</v>
      </c>
      <c r="AT12">
        <v>250</v>
      </c>
      <c r="AV12" t="s">
        <v>435</v>
      </c>
      <c r="AW12">
        <v>2183</v>
      </c>
      <c r="AX12">
        <v>91.823179111300007</v>
      </c>
      <c r="AY12">
        <v>2293</v>
      </c>
      <c r="AZ12">
        <v>461</v>
      </c>
      <c r="BA12">
        <v>3422</v>
      </c>
      <c r="BB12">
        <v>900</v>
      </c>
      <c r="BC12">
        <v>99</v>
      </c>
      <c r="BD12">
        <v>97</v>
      </c>
      <c r="BE12">
        <v>918</v>
      </c>
      <c r="BF12">
        <v>128</v>
      </c>
      <c r="BG12">
        <v>278</v>
      </c>
      <c r="BH12">
        <v>568</v>
      </c>
      <c r="BJ12" t="s">
        <v>561</v>
      </c>
      <c r="BK12" t="s">
        <v>395</v>
      </c>
      <c r="BL12">
        <v>5778</v>
      </c>
      <c r="BM12">
        <v>1743</v>
      </c>
      <c r="BN12">
        <v>109.3182762201</v>
      </c>
      <c r="BO12">
        <v>14464</v>
      </c>
      <c r="BP12">
        <v>1243</v>
      </c>
      <c r="BQ12">
        <v>187.1993224558</v>
      </c>
      <c r="BR12">
        <v>174.73209975859999</v>
      </c>
      <c r="BS12">
        <v>4737</v>
      </c>
      <c r="BT12">
        <v>960</v>
      </c>
      <c r="BU12">
        <v>88.271479839600005</v>
      </c>
      <c r="BV12">
        <v>11029</v>
      </c>
      <c r="BW12">
        <v>881</v>
      </c>
      <c r="BX12">
        <v>183.11551364580001</v>
      </c>
      <c r="BY12">
        <v>158.13280363219999</v>
      </c>
      <c r="CA12" t="s">
        <v>422</v>
      </c>
      <c r="CB12" t="s">
        <v>777</v>
      </c>
      <c r="CC12" t="s">
        <v>1011</v>
      </c>
      <c r="CD12">
        <v>7102</v>
      </c>
      <c r="CE12">
        <v>1912</v>
      </c>
      <c r="CF12">
        <v>100.88651084200001</v>
      </c>
      <c r="CG12">
        <v>20015</v>
      </c>
      <c r="CH12">
        <v>1969</v>
      </c>
      <c r="CI12">
        <v>158.51326505119999</v>
      </c>
      <c r="CJ12">
        <v>133.27120365670001</v>
      </c>
      <c r="CL12" t="s">
        <v>422</v>
      </c>
      <c r="CM12" t="s">
        <v>758</v>
      </c>
      <c r="CN12" t="s">
        <v>763</v>
      </c>
      <c r="CO12">
        <v>410</v>
      </c>
      <c r="CP12">
        <v>28</v>
      </c>
      <c r="CQ12">
        <v>57.402439024400003</v>
      </c>
      <c r="CR12">
        <v>2471</v>
      </c>
      <c r="CS12">
        <v>196</v>
      </c>
      <c r="CT12">
        <v>60.225010117399997</v>
      </c>
      <c r="CU12">
        <v>59.831632653100002</v>
      </c>
      <c r="CW12" t="s">
        <v>422</v>
      </c>
      <c r="CX12" t="s">
        <v>768</v>
      </c>
      <c r="CY12" t="s">
        <v>773</v>
      </c>
      <c r="CZ12">
        <v>117</v>
      </c>
      <c r="DA12">
        <v>25</v>
      </c>
      <c r="DB12">
        <v>81.094017093999994</v>
      </c>
      <c r="DC12">
        <v>347</v>
      </c>
      <c r="DD12">
        <v>27</v>
      </c>
      <c r="DE12">
        <v>125.2132564841</v>
      </c>
      <c r="DF12">
        <v>98</v>
      </c>
      <c r="DH12" t="s">
        <v>422</v>
      </c>
      <c r="DI12" t="s">
        <v>748</v>
      </c>
      <c r="DJ12" t="s">
        <v>753</v>
      </c>
      <c r="DK12">
        <v>180</v>
      </c>
      <c r="DL12">
        <v>16</v>
      </c>
      <c r="DM12">
        <v>73.511111111100007</v>
      </c>
      <c r="DN12">
        <v>637</v>
      </c>
      <c r="DO12">
        <v>50</v>
      </c>
      <c r="DP12">
        <v>161.47566719</v>
      </c>
      <c r="DQ12">
        <v>130.68</v>
      </c>
    </row>
    <row r="13" spans="2:121" x14ac:dyDescent="0.2">
      <c r="B13" t="s">
        <v>117</v>
      </c>
      <c r="C13">
        <v>5420</v>
      </c>
      <c r="D13">
        <v>280</v>
      </c>
      <c r="F13" t="s">
        <v>37</v>
      </c>
      <c r="G13">
        <v>429</v>
      </c>
      <c r="H13">
        <v>91.498834498799994</v>
      </c>
      <c r="I13">
        <v>1539</v>
      </c>
      <c r="J13">
        <v>425</v>
      </c>
      <c r="K13">
        <v>1054</v>
      </c>
      <c r="L13">
        <v>106</v>
      </c>
      <c r="M13">
        <v>140</v>
      </c>
      <c r="N13">
        <v>60</v>
      </c>
      <c r="O13">
        <v>81</v>
      </c>
      <c r="P13">
        <v>41</v>
      </c>
      <c r="Q13">
        <v>1</v>
      </c>
      <c r="R13">
        <v>10</v>
      </c>
      <c r="T13" t="s">
        <v>395</v>
      </c>
      <c r="U13">
        <v>61827</v>
      </c>
      <c r="V13">
        <v>326.64253481489999</v>
      </c>
      <c r="W13">
        <v>69497</v>
      </c>
      <c r="X13">
        <v>23329</v>
      </c>
      <c r="Y13">
        <v>92338</v>
      </c>
      <c r="Z13">
        <v>52004</v>
      </c>
      <c r="AA13">
        <v>13621</v>
      </c>
      <c r="AB13">
        <v>9778</v>
      </c>
      <c r="AC13">
        <v>25191</v>
      </c>
      <c r="AD13">
        <v>19142</v>
      </c>
      <c r="AE13">
        <v>116</v>
      </c>
      <c r="AF13">
        <v>1243</v>
      </c>
      <c r="AH13" t="s">
        <v>391</v>
      </c>
      <c r="AI13">
        <v>16507</v>
      </c>
      <c r="AJ13">
        <v>355.57830011509998</v>
      </c>
      <c r="AK13">
        <v>16658</v>
      </c>
      <c r="AL13">
        <v>5786</v>
      </c>
      <c r="AM13">
        <v>23918</v>
      </c>
      <c r="AN13">
        <v>15291</v>
      </c>
      <c r="AO13">
        <v>5281</v>
      </c>
      <c r="AP13">
        <v>4367</v>
      </c>
      <c r="AQ13">
        <v>13311</v>
      </c>
      <c r="AR13">
        <v>8838</v>
      </c>
      <c r="AS13">
        <v>603</v>
      </c>
      <c r="AT13">
        <v>39</v>
      </c>
      <c r="AV13" t="s">
        <v>397</v>
      </c>
      <c r="AW13">
        <v>346</v>
      </c>
      <c r="AX13">
        <v>68.586705202299996</v>
      </c>
      <c r="AY13">
        <v>350</v>
      </c>
      <c r="AZ13">
        <v>23</v>
      </c>
      <c r="BA13">
        <v>534</v>
      </c>
      <c r="BB13">
        <v>66</v>
      </c>
      <c r="BC13">
        <v>5</v>
      </c>
      <c r="BD13">
        <v>5</v>
      </c>
      <c r="BE13">
        <v>23</v>
      </c>
      <c r="BF13">
        <v>6</v>
      </c>
      <c r="BG13">
        <v>228</v>
      </c>
      <c r="BH13">
        <v>33</v>
      </c>
      <c r="BJ13" t="s">
        <v>598</v>
      </c>
      <c r="BK13" t="s">
        <v>395</v>
      </c>
      <c r="BL13">
        <v>1993</v>
      </c>
      <c r="BM13">
        <v>500</v>
      </c>
      <c r="BN13">
        <v>98.198695434000001</v>
      </c>
      <c r="BO13">
        <v>4463</v>
      </c>
      <c r="BP13">
        <v>353</v>
      </c>
      <c r="BQ13">
        <v>147.6540443648</v>
      </c>
      <c r="BR13">
        <v>163.77337110479999</v>
      </c>
      <c r="BS13">
        <v>4337</v>
      </c>
      <c r="BT13">
        <v>2065</v>
      </c>
      <c r="BU13">
        <v>139.07862577820001</v>
      </c>
      <c r="BV13">
        <v>9798</v>
      </c>
      <c r="BW13">
        <v>1054</v>
      </c>
      <c r="BX13">
        <v>180.18912022859999</v>
      </c>
      <c r="BY13">
        <v>188.99525616700001</v>
      </c>
      <c r="CA13" t="s">
        <v>420</v>
      </c>
      <c r="CB13" t="s">
        <v>777</v>
      </c>
      <c r="CC13" t="s">
        <v>1012</v>
      </c>
      <c r="CD13">
        <v>37259</v>
      </c>
      <c r="CE13">
        <v>12706</v>
      </c>
      <c r="CF13">
        <v>125.8045036099</v>
      </c>
      <c r="CG13">
        <v>96252</v>
      </c>
      <c r="CH13">
        <v>8279</v>
      </c>
      <c r="CI13">
        <v>192.4523022898</v>
      </c>
      <c r="CJ13">
        <v>172.01606474210001</v>
      </c>
      <c r="CL13" t="s">
        <v>420</v>
      </c>
      <c r="CM13" t="s">
        <v>758</v>
      </c>
      <c r="CN13" t="s">
        <v>764</v>
      </c>
      <c r="CO13">
        <v>1780</v>
      </c>
      <c r="CP13">
        <v>137</v>
      </c>
      <c r="CQ13">
        <v>59.267415730300002</v>
      </c>
      <c r="CR13">
        <v>9957</v>
      </c>
      <c r="CS13">
        <v>760</v>
      </c>
      <c r="CT13">
        <v>61.582203474899998</v>
      </c>
      <c r="CU13">
        <v>66.8</v>
      </c>
      <c r="CW13" t="s">
        <v>420</v>
      </c>
      <c r="CX13" t="s">
        <v>768</v>
      </c>
      <c r="CY13" t="s">
        <v>774</v>
      </c>
      <c r="CZ13">
        <v>882</v>
      </c>
      <c r="DA13">
        <v>143</v>
      </c>
      <c r="DB13">
        <v>76.620181405899999</v>
      </c>
      <c r="DC13">
        <v>2346</v>
      </c>
      <c r="DD13">
        <v>202</v>
      </c>
      <c r="DE13">
        <v>136.13597612960001</v>
      </c>
      <c r="DF13">
        <v>127.5742574257</v>
      </c>
      <c r="DH13" t="s">
        <v>420</v>
      </c>
      <c r="DI13" t="s">
        <v>748</v>
      </c>
      <c r="DJ13" t="s">
        <v>754</v>
      </c>
      <c r="DK13">
        <v>910</v>
      </c>
      <c r="DL13">
        <v>141</v>
      </c>
      <c r="DM13">
        <v>80.478021978000001</v>
      </c>
      <c r="DN13">
        <v>2773</v>
      </c>
      <c r="DO13">
        <v>208</v>
      </c>
      <c r="DP13">
        <v>168.08041831950001</v>
      </c>
      <c r="DQ13">
        <v>139.82692307689999</v>
      </c>
    </row>
    <row r="14" spans="2:121" x14ac:dyDescent="0.2">
      <c r="B14" t="s">
        <v>134</v>
      </c>
      <c r="C14">
        <v>900</v>
      </c>
      <c r="D14">
        <v>47</v>
      </c>
      <c r="F14" t="s">
        <v>41</v>
      </c>
      <c r="G14">
        <v>9022</v>
      </c>
      <c r="H14">
        <v>538.19585457769995</v>
      </c>
      <c r="I14">
        <v>8461</v>
      </c>
      <c r="J14">
        <v>2325</v>
      </c>
      <c r="K14">
        <v>11328</v>
      </c>
      <c r="L14">
        <v>9325</v>
      </c>
      <c r="M14">
        <v>1593</v>
      </c>
      <c r="N14">
        <v>1560</v>
      </c>
      <c r="O14">
        <v>5397</v>
      </c>
      <c r="P14">
        <v>3981</v>
      </c>
      <c r="Q14">
        <v>15</v>
      </c>
      <c r="R14">
        <v>344</v>
      </c>
      <c r="T14" t="s">
        <v>400</v>
      </c>
      <c r="U14">
        <v>51009</v>
      </c>
      <c r="V14">
        <v>355.51810464819999</v>
      </c>
      <c r="W14">
        <v>57778</v>
      </c>
      <c r="X14">
        <v>15880</v>
      </c>
      <c r="Y14">
        <v>80654</v>
      </c>
      <c r="Z14">
        <v>41114</v>
      </c>
      <c r="AA14">
        <v>9828</v>
      </c>
      <c r="AB14">
        <v>8164</v>
      </c>
      <c r="AC14">
        <v>21727</v>
      </c>
      <c r="AD14">
        <v>16569</v>
      </c>
      <c r="AE14">
        <v>177</v>
      </c>
      <c r="AF14">
        <v>1199</v>
      </c>
      <c r="AH14" t="s">
        <v>438</v>
      </c>
      <c r="AI14">
        <v>2068</v>
      </c>
      <c r="AJ14">
        <v>271.03239845259998</v>
      </c>
      <c r="AK14">
        <v>2107</v>
      </c>
      <c r="AL14">
        <v>641</v>
      </c>
      <c r="AM14">
        <v>2759</v>
      </c>
      <c r="AN14">
        <v>1552</v>
      </c>
      <c r="AO14">
        <v>383</v>
      </c>
      <c r="AP14">
        <v>331</v>
      </c>
      <c r="AQ14">
        <v>557</v>
      </c>
      <c r="AR14">
        <v>333</v>
      </c>
      <c r="AS14">
        <v>6</v>
      </c>
      <c r="AT14">
        <v>3</v>
      </c>
      <c r="AV14" t="s">
        <v>403</v>
      </c>
      <c r="AW14">
        <v>253</v>
      </c>
      <c r="AX14">
        <v>72.391304347800002</v>
      </c>
      <c r="AY14">
        <v>273</v>
      </c>
      <c r="AZ14">
        <v>20</v>
      </c>
      <c r="BA14">
        <v>418</v>
      </c>
      <c r="BB14">
        <v>52</v>
      </c>
      <c r="BC14">
        <v>5</v>
      </c>
      <c r="BD14">
        <v>5</v>
      </c>
      <c r="BE14">
        <v>47</v>
      </c>
      <c r="BF14">
        <v>6</v>
      </c>
      <c r="BG14">
        <v>335</v>
      </c>
      <c r="BH14">
        <v>31</v>
      </c>
      <c r="BJ14" t="s">
        <v>615</v>
      </c>
      <c r="BK14" t="s">
        <v>395</v>
      </c>
      <c r="BL14">
        <v>18314</v>
      </c>
      <c r="BM14">
        <v>6025</v>
      </c>
      <c r="BN14">
        <v>118.9728622911</v>
      </c>
      <c r="BO14">
        <v>46665</v>
      </c>
      <c r="BP14">
        <v>4009</v>
      </c>
      <c r="BQ14">
        <v>191.258030644</v>
      </c>
      <c r="BR14">
        <v>167.66051384389999</v>
      </c>
      <c r="BS14">
        <v>17483</v>
      </c>
      <c r="BT14">
        <v>5825</v>
      </c>
      <c r="BU14">
        <v>119.94840702400001</v>
      </c>
      <c r="BV14">
        <v>46315</v>
      </c>
      <c r="BW14">
        <v>3937</v>
      </c>
      <c r="BX14">
        <v>193.57512684880001</v>
      </c>
      <c r="BY14">
        <v>167.31877063749999</v>
      </c>
      <c r="CA14" t="s">
        <v>416</v>
      </c>
      <c r="CB14" t="s">
        <v>777</v>
      </c>
      <c r="CC14" t="s">
        <v>1013</v>
      </c>
      <c r="CD14">
        <v>1881</v>
      </c>
      <c r="CE14">
        <v>524</v>
      </c>
      <c r="CF14">
        <v>104.08825093039999</v>
      </c>
      <c r="CG14">
        <v>4437</v>
      </c>
      <c r="CH14">
        <v>328</v>
      </c>
      <c r="CI14">
        <v>147.38178949740001</v>
      </c>
      <c r="CJ14">
        <v>163.8231707317</v>
      </c>
      <c r="CL14" t="s">
        <v>416</v>
      </c>
      <c r="CM14" t="s">
        <v>758</v>
      </c>
      <c r="CN14" t="s">
        <v>765</v>
      </c>
      <c r="CO14">
        <v>170</v>
      </c>
      <c r="CP14">
        <v>15</v>
      </c>
      <c r="CQ14">
        <v>60.5411764706</v>
      </c>
      <c r="CR14">
        <v>987</v>
      </c>
      <c r="CS14">
        <v>69</v>
      </c>
      <c r="CT14">
        <v>65.275582573500003</v>
      </c>
      <c r="CU14">
        <v>73.420289855099995</v>
      </c>
      <c r="CW14" t="s">
        <v>416</v>
      </c>
      <c r="CX14" t="s">
        <v>768</v>
      </c>
      <c r="CY14" t="s">
        <v>775</v>
      </c>
      <c r="CZ14">
        <v>57</v>
      </c>
      <c r="DA14">
        <v>4</v>
      </c>
      <c r="DB14">
        <v>64.649122806999998</v>
      </c>
      <c r="DC14">
        <v>185</v>
      </c>
      <c r="DD14">
        <v>8</v>
      </c>
      <c r="DE14">
        <v>132.85945945949999</v>
      </c>
      <c r="DF14">
        <v>122.25</v>
      </c>
      <c r="DH14" t="s">
        <v>416</v>
      </c>
      <c r="DI14" t="s">
        <v>748</v>
      </c>
      <c r="DJ14" t="s">
        <v>755</v>
      </c>
      <c r="DK14">
        <v>51</v>
      </c>
      <c r="DL14">
        <v>5</v>
      </c>
      <c r="DM14">
        <v>71.529411764700001</v>
      </c>
      <c r="DN14">
        <v>180</v>
      </c>
      <c r="DO14">
        <v>10</v>
      </c>
      <c r="DP14">
        <v>163.25555555560001</v>
      </c>
      <c r="DQ14">
        <v>119.5</v>
      </c>
    </row>
    <row r="15" spans="2:121" x14ac:dyDescent="0.2">
      <c r="B15" t="s">
        <v>124</v>
      </c>
      <c r="C15">
        <v>11</v>
      </c>
      <c r="D15">
        <v>4</v>
      </c>
      <c r="F15" t="s">
        <v>39</v>
      </c>
      <c r="G15">
        <v>688</v>
      </c>
      <c r="H15">
        <v>217.00290697669999</v>
      </c>
      <c r="I15">
        <v>879</v>
      </c>
      <c r="J15">
        <v>200</v>
      </c>
      <c r="K15">
        <v>956</v>
      </c>
      <c r="L15">
        <v>408</v>
      </c>
      <c r="M15">
        <v>226</v>
      </c>
      <c r="N15">
        <v>181</v>
      </c>
      <c r="O15">
        <v>121</v>
      </c>
      <c r="P15">
        <v>61</v>
      </c>
      <c r="Q15">
        <v>25</v>
      </c>
      <c r="R15">
        <v>8</v>
      </c>
      <c r="T15" t="s">
        <v>379</v>
      </c>
      <c r="U15">
        <v>109908</v>
      </c>
      <c r="V15">
        <v>401.78710375949998</v>
      </c>
      <c r="W15">
        <v>81676</v>
      </c>
      <c r="X15">
        <v>25807</v>
      </c>
      <c r="Y15">
        <v>138096</v>
      </c>
      <c r="Z15">
        <v>98772</v>
      </c>
      <c r="AA15">
        <v>18196</v>
      </c>
      <c r="AB15">
        <v>13248</v>
      </c>
      <c r="AC15">
        <v>37167</v>
      </c>
      <c r="AD15">
        <v>25486</v>
      </c>
      <c r="AE15">
        <v>7618</v>
      </c>
      <c r="AF15">
        <v>101</v>
      </c>
      <c r="AH15" t="s">
        <v>418</v>
      </c>
      <c r="AI15">
        <v>1021</v>
      </c>
      <c r="AJ15">
        <v>253.79040156709999</v>
      </c>
      <c r="AK15">
        <v>1731</v>
      </c>
      <c r="AL15">
        <v>492</v>
      </c>
      <c r="AM15">
        <v>1795</v>
      </c>
      <c r="AN15">
        <v>673</v>
      </c>
      <c r="AO15">
        <v>221</v>
      </c>
      <c r="AP15">
        <v>144</v>
      </c>
      <c r="AQ15">
        <v>244</v>
      </c>
      <c r="AR15">
        <v>132</v>
      </c>
      <c r="AS15">
        <v>1</v>
      </c>
      <c r="AT15">
        <v>10</v>
      </c>
      <c r="AV15" t="s">
        <v>422</v>
      </c>
      <c r="AW15">
        <v>145</v>
      </c>
      <c r="AX15">
        <v>42.627586206899998</v>
      </c>
      <c r="AY15">
        <v>262</v>
      </c>
      <c r="AZ15">
        <v>9</v>
      </c>
      <c r="BA15">
        <v>249</v>
      </c>
      <c r="BB15">
        <v>7</v>
      </c>
      <c r="BC15">
        <v>2</v>
      </c>
      <c r="BD15">
        <v>2</v>
      </c>
      <c r="BE15">
        <v>15</v>
      </c>
      <c r="BF15">
        <v>4</v>
      </c>
      <c r="BG15">
        <v>311</v>
      </c>
      <c r="BH15">
        <v>61</v>
      </c>
      <c r="BJ15" t="s">
        <v>577</v>
      </c>
      <c r="BK15" t="s">
        <v>400</v>
      </c>
      <c r="BL15">
        <v>7321</v>
      </c>
      <c r="BM15">
        <v>2511</v>
      </c>
      <c r="BN15">
        <v>131.5575741019</v>
      </c>
      <c r="BO15">
        <v>19970</v>
      </c>
      <c r="BP15">
        <v>1269</v>
      </c>
      <c r="BQ15">
        <v>233.83209814720001</v>
      </c>
      <c r="BR15">
        <v>230.46572104020001</v>
      </c>
      <c r="BS15">
        <v>5293</v>
      </c>
      <c r="BT15">
        <v>1111</v>
      </c>
      <c r="BU15">
        <v>107.99603249570001</v>
      </c>
      <c r="BV15">
        <v>12862</v>
      </c>
      <c r="BW15">
        <v>709</v>
      </c>
      <c r="BX15">
        <v>252.8299642357</v>
      </c>
      <c r="BY15">
        <v>223.2313117066</v>
      </c>
      <c r="CA15" t="s">
        <v>431</v>
      </c>
      <c r="CB15" t="s">
        <v>777</v>
      </c>
      <c r="CC15" t="s">
        <v>1014</v>
      </c>
      <c r="CD15">
        <v>958</v>
      </c>
      <c r="CE15">
        <v>240</v>
      </c>
      <c r="CF15">
        <v>100.15553235909999</v>
      </c>
      <c r="CG15">
        <v>2546</v>
      </c>
      <c r="CH15">
        <v>163</v>
      </c>
      <c r="CI15">
        <v>135.8880597015</v>
      </c>
      <c r="CJ15">
        <v>148.77914110430001</v>
      </c>
      <c r="CL15" t="s">
        <v>431</v>
      </c>
      <c r="CM15" t="s">
        <v>758</v>
      </c>
      <c r="CN15" t="s">
        <v>766</v>
      </c>
      <c r="CO15">
        <v>41</v>
      </c>
      <c r="CP15">
        <v>2</v>
      </c>
      <c r="CQ15">
        <v>60.048780487800002</v>
      </c>
      <c r="CR15">
        <v>232</v>
      </c>
      <c r="CS15">
        <v>13</v>
      </c>
      <c r="CT15">
        <v>67.646551724099993</v>
      </c>
      <c r="CU15">
        <v>54.307692307700002</v>
      </c>
      <c r="CW15" t="s">
        <v>431</v>
      </c>
      <c r="CX15" t="s">
        <v>768</v>
      </c>
      <c r="CY15" t="s">
        <v>776</v>
      </c>
      <c r="CZ15">
        <v>12</v>
      </c>
      <c r="DA15">
        <v>1</v>
      </c>
      <c r="DB15">
        <v>61.083333333299997</v>
      </c>
      <c r="DC15">
        <v>31</v>
      </c>
      <c r="DD15">
        <v>1</v>
      </c>
      <c r="DE15">
        <v>131.38709677419999</v>
      </c>
      <c r="DF15">
        <v>172</v>
      </c>
      <c r="DH15" t="s">
        <v>431</v>
      </c>
      <c r="DI15" t="s">
        <v>748</v>
      </c>
      <c r="DJ15" t="s">
        <v>756</v>
      </c>
      <c r="DK15">
        <v>14</v>
      </c>
      <c r="DL15">
        <v>4</v>
      </c>
      <c r="DM15">
        <v>90.714285714300004</v>
      </c>
      <c r="DN15">
        <v>41</v>
      </c>
      <c r="DO15">
        <v>1</v>
      </c>
      <c r="DP15">
        <v>127.6829268293</v>
      </c>
      <c r="DQ15">
        <v>120</v>
      </c>
    </row>
    <row r="16" spans="2:121" x14ac:dyDescent="0.2">
      <c r="B16" t="s">
        <v>988</v>
      </c>
      <c r="C16">
        <v>6</v>
      </c>
      <c r="F16" t="s">
        <v>64</v>
      </c>
      <c r="G16">
        <v>777</v>
      </c>
      <c r="H16">
        <v>120.0669240669</v>
      </c>
      <c r="I16">
        <v>2711</v>
      </c>
      <c r="J16">
        <v>862</v>
      </c>
      <c r="K16">
        <v>1486</v>
      </c>
      <c r="L16">
        <v>474</v>
      </c>
      <c r="M16">
        <v>369</v>
      </c>
      <c r="N16">
        <v>118</v>
      </c>
      <c r="O16">
        <v>2529</v>
      </c>
      <c r="P16">
        <v>1323</v>
      </c>
      <c r="Q16">
        <v>0</v>
      </c>
      <c r="R16">
        <v>2</v>
      </c>
      <c r="T16" t="s">
        <v>8</v>
      </c>
      <c r="U16">
        <v>51</v>
      </c>
      <c r="V16">
        <v>799.01960784309995</v>
      </c>
      <c r="W16">
        <v>1</v>
      </c>
      <c r="Y16">
        <v>54</v>
      </c>
      <c r="Z16">
        <v>54</v>
      </c>
      <c r="AA16">
        <v>1</v>
      </c>
      <c r="AB16">
        <v>1</v>
      </c>
      <c r="AC16">
        <v>17037</v>
      </c>
      <c r="AD16">
        <v>4376</v>
      </c>
      <c r="AE16">
        <v>0</v>
      </c>
      <c r="AF16">
        <v>0</v>
      </c>
      <c r="AH16" t="s">
        <v>404</v>
      </c>
      <c r="AI16">
        <v>7985</v>
      </c>
      <c r="AJ16">
        <v>470.65222291800001</v>
      </c>
      <c r="AK16">
        <v>7939</v>
      </c>
      <c r="AL16">
        <v>2669</v>
      </c>
      <c r="AM16">
        <v>10557</v>
      </c>
      <c r="AN16">
        <v>7359</v>
      </c>
      <c r="AO16">
        <v>1508</v>
      </c>
      <c r="AP16">
        <v>1372</v>
      </c>
      <c r="AQ16">
        <v>2984</v>
      </c>
      <c r="AR16">
        <v>2276</v>
      </c>
      <c r="AS16">
        <v>22</v>
      </c>
      <c r="AT16">
        <v>282</v>
      </c>
      <c r="AV16" t="s">
        <v>385</v>
      </c>
      <c r="AW16">
        <v>1402</v>
      </c>
      <c r="AX16">
        <v>88.262482168299996</v>
      </c>
      <c r="AY16">
        <v>1648</v>
      </c>
      <c r="AZ16">
        <v>304</v>
      </c>
      <c r="BA16">
        <v>2192</v>
      </c>
      <c r="BB16">
        <v>583</v>
      </c>
      <c r="BC16">
        <v>49</v>
      </c>
      <c r="BD16">
        <v>49</v>
      </c>
      <c r="BE16">
        <v>691</v>
      </c>
      <c r="BF16">
        <v>87</v>
      </c>
      <c r="BG16">
        <v>126</v>
      </c>
      <c r="BH16">
        <v>373</v>
      </c>
      <c r="BJ16" t="s">
        <v>569</v>
      </c>
      <c r="BK16" t="s">
        <v>400</v>
      </c>
      <c r="BL16">
        <v>8693</v>
      </c>
      <c r="BM16">
        <v>2353</v>
      </c>
      <c r="BN16">
        <v>108.6956171632</v>
      </c>
      <c r="BO16">
        <v>24460</v>
      </c>
      <c r="BP16">
        <v>1834</v>
      </c>
      <c r="BQ16">
        <v>164.17661488140001</v>
      </c>
      <c r="BR16">
        <v>145.36314067609999</v>
      </c>
      <c r="BS16">
        <v>11196</v>
      </c>
      <c r="BT16">
        <v>4279</v>
      </c>
      <c r="BU16">
        <v>134.40827081099999</v>
      </c>
      <c r="BV16">
        <v>31403</v>
      </c>
      <c r="BW16">
        <v>2589</v>
      </c>
      <c r="BX16">
        <v>179.80161131099999</v>
      </c>
      <c r="BY16">
        <v>173.7153341058</v>
      </c>
      <c r="CA16" t="s">
        <v>395</v>
      </c>
      <c r="CB16" t="s">
        <v>777</v>
      </c>
      <c r="CD16">
        <v>69084</v>
      </c>
      <c r="CE16">
        <v>22595</v>
      </c>
      <c r="CF16">
        <v>120.73315094669999</v>
      </c>
      <c r="CG16">
        <v>185370</v>
      </c>
      <c r="CH16">
        <v>15734</v>
      </c>
      <c r="CI16">
        <v>185.51458164749999</v>
      </c>
      <c r="CJ16">
        <v>166.3583958307</v>
      </c>
      <c r="CL16" t="s">
        <v>395</v>
      </c>
      <c r="CM16" t="s">
        <v>758</v>
      </c>
      <c r="CO16">
        <v>3569</v>
      </c>
      <c r="CP16">
        <v>295</v>
      </c>
      <c r="CQ16">
        <v>59.515550574400002</v>
      </c>
      <c r="CR16">
        <v>21801</v>
      </c>
      <c r="CS16">
        <v>1584</v>
      </c>
      <c r="CT16">
        <v>59.198018439499997</v>
      </c>
      <c r="CU16">
        <v>60.666666666700003</v>
      </c>
      <c r="CW16" t="s">
        <v>395</v>
      </c>
      <c r="CX16" t="s">
        <v>768</v>
      </c>
      <c r="CZ16">
        <v>1506</v>
      </c>
      <c r="DA16">
        <v>239</v>
      </c>
      <c r="DB16">
        <v>75.589641434300006</v>
      </c>
      <c r="DC16">
        <v>4101</v>
      </c>
      <c r="DD16">
        <v>342</v>
      </c>
      <c r="DE16">
        <v>133.40185320649999</v>
      </c>
      <c r="DF16">
        <v>121.9064327485</v>
      </c>
      <c r="DH16" t="s">
        <v>395</v>
      </c>
      <c r="DI16" t="s">
        <v>748</v>
      </c>
      <c r="DK16">
        <v>1705</v>
      </c>
      <c r="DL16">
        <v>213</v>
      </c>
      <c r="DM16">
        <v>76.156011730200007</v>
      </c>
      <c r="DN16">
        <v>5359</v>
      </c>
      <c r="DO16">
        <v>395</v>
      </c>
      <c r="DP16">
        <v>162.99346893079999</v>
      </c>
      <c r="DQ16">
        <v>138.19240506329999</v>
      </c>
    </row>
    <row r="17" spans="2:121" x14ac:dyDescent="0.2">
      <c r="B17" t="s">
        <v>97</v>
      </c>
      <c r="C17">
        <v>18</v>
      </c>
      <c r="D17">
        <v>5</v>
      </c>
      <c r="F17" t="s">
        <v>86</v>
      </c>
      <c r="G17">
        <v>16009</v>
      </c>
      <c r="H17">
        <v>329.29052408019999</v>
      </c>
      <c r="I17">
        <v>23513</v>
      </c>
      <c r="J17">
        <v>7239</v>
      </c>
      <c r="K17">
        <v>24621</v>
      </c>
      <c r="L17">
        <v>14036</v>
      </c>
      <c r="M17">
        <v>4671</v>
      </c>
      <c r="N17">
        <v>3945</v>
      </c>
      <c r="O17">
        <v>7575</v>
      </c>
      <c r="P17">
        <v>3951</v>
      </c>
      <c r="Q17">
        <v>0</v>
      </c>
      <c r="R17">
        <v>20</v>
      </c>
      <c r="T17" t="s">
        <v>414</v>
      </c>
      <c r="U17">
        <v>69642</v>
      </c>
      <c r="V17">
        <v>365.96009591910001</v>
      </c>
      <c r="W17">
        <v>66071</v>
      </c>
      <c r="X17">
        <v>21076</v>
      </c>
      <c r="Y17">
        <v>94915</v>
      </c>
      <c r="Z17">
        <v>59725</v>
      </c>
      <c r="AA17">
        <v>18397</v>
      </c>
      <c r="AB17">
        <v>15253</v>
      </c>
      <c r="AC17">
        <v>24806</v>
      </c>
      <c r="AD17">
        <v>18543</v>
      </c>
      <c r="AE17">
        <v>353</v>
      </c>
      <c r="AF17">
        <v>695</v>
      </c>
      <c r="AH17" t="s">
        <v>402</v>
      </c>
      <c r="AI17">
        <v>7785</v>
      </c>
      <c r="AJ17">
        <v>639.98741168909999</v>
      </c>
      <c r="AK17">
        <v>5203</v>
      </c>
      <c r="AL17">
        <v>1662</v>
      </c>
      <c r="AM17">
        <v>10343</v>
      </c>
      <c r="AN17">
        <v>7642</v>
      </c>
      <c r="AO17">
        <v>1160</v>
      </c>
      <c r="AP17">
        <v>991</v>
      </c>
      <c r="AQ17">
        <v>2260</v>
      </c>
      <c r="AR17">
        <v>1586</v>
      </c>
      <c r="AS17">
        <v>18</v>
      </c>
      <c r="AT17">
        <v>200</v>
      </c>
      <c r="AV17" t="s">
        <v>438</v>
      </c>
      <c r="AW17">
        <v>16</v>
      </c>
      <c r="AX17">
        <v>40.5</v>
      </c>
      <c r="AY17">
        <v>28</v>
      </c>
      <c r="BA17">
        <v>24</v>
      </c>
      <c r="BB17">
        <v>2</v>
      </c>
      <c r="BC17">
        <v>3</v>
      </c>
      <c r="BD17">
        <v>2</v>
      </c>
      <c r="BE17">
        <v>0</v>
      </c>
      <c r="BG17">
        <v>40</v>
      </c>
      <c r="BH17">
        <v>9</v>
      </c>
      <c r="BJ17" t="s">
        <v>586</v>
      </c>
      <c r="BK17" t="s">
        <v>400</v>
      </c>
      <c r="BL17">
        <v>2510</v>
      </c>
      <c r="BM17">
        <v>575</v>
      </c>
      <c r="BN17">
        <v>92.990438247</v>
      </c>
      <c r="BO17">
        <v>6907</v>
      </c>
      <c r="BP17">
        <v>539</v>
      </c>
      <c r="BQ17">
        <v>152.01578109159999</v>
      </c>
      <c r="BR17">
        <v>149.3747680891</v>
      </c>
      <c r="BS17">
        <v>3017</v>
      </c>
      <c r="BT17">
        <v>1087</v>
      </c>
      <c r="BU17">
        <v>128.1203181969</v>
      </c>
      <c r="BV17">
        <v>9790</v>
      </c>
      <c r="BW17">
        <v>785</v>
      </c>
      <c r="BX17">
        <v>181.26138917259999</v>
      </c>
      <c r="BY17">
        <v>188.3694267516</v>
      </c>
      <c r="CA17" t="s">
        <v>404</v>
      </c>
      <c r="CB17" t="s">
        <v>817</v>
      </c>
      <c r="CC17" t="s">
        <v>1015</v>
      </c>
      <c r="CD17">
        <v>7571</v>
      </c>
      <c r="CE17">
        <v>2613</v>
      </c>
      <c r="CF17">
        <v>131.23233390569999</v>
      </c>
      <c r="CG17">
        <v>20732</v>
      </c>
      <c r="CH17">
        <v>1369</v>
      </c>
      <c r="CI17">
        <v>224.43276094929999</v>
      </c>
      <c r="CJ17">
        <v>218.16435354270001</v>
      </c>
      <c r="CL17" t="s">
        <v>404</v>
      </c>
      <c r="CM17" t="s">
        <v>792</v>
      </c>
      <c r="CN17" t="s">
        <v>791</v>
      </c>
      <c r="CO17">
        <v>497</v>
      </c>
      <c r="CP17">
        <v>50</v>
      </c>
      <c r="CQ17">
        <v>55.255533199200002</v>
      </c>
      <c r="CR17">
        <v>3799</v>
      </c>
      <c r="CS17">
        <v>272</v>
      </c>
      <c r="CT17">
        <v>51.591734666999997</v>
      </c>
      <c r="CU17">
        <v>46.985294117599999</v>
      </c>
      <c r="CW17" t="s">
        <v>404</v>
      </c>
      <c r="CX17" t="s">
        <v>805</v>
      </c>
      <c r="CY17" t="s">
        <v>804</v>
      </c>
      <c r="CZ17">
        <v>192</v>
      </c>
      <c r="DA17">
        <v>38</v>
      </c>
      <c r="DB17">
        <v>76.078125</v>
      </c>
      <c r="DC17">
        <v>500</v>
      </c>
      <c r="DD17">
        <v>35</v>
      </c>
      <c r="DE17">
        <v>140.584</v>
      </c>
      <c r="DF17">
        <v>134.34285714289999</v>
      </c>
      <c r="DH17" t="s">
        <v>404</v>
      </c>
      <c r="DI17" t="s">
        <v>779</v>
      </c>
      <c r="DJ17" t="s">
        <v>778</v>
      </c>
      <c r="DK17">
        <v>159</v>
      </c>
      <c r="DL17">
        <v>25</v>
      </c>
      <c r="DM17">
        <v>78.899371069200001</v>
      </c>
      <c r="DN17">
        <v>455</v>
      </c>
      <c r="DO17">
        <v>32</v>
      </c>
      <c r="DP17">
        <v>148.95384615379999</v>
      </c>
      <c r="DQ17">
        <v>109.625</v>
      </c>
    </row>
    <row r="18" spans="2:121" x14ac:dyDescent="0.2">
      <c r="B18" t="s">
        <v>125</v>
      </c>
      <c r="C18">
        <v>205</v>
      </c>
      <c r="D18">
        <v>195</v>
      </c>
      <c r="F18" t="s">
        <v>73</v>
      </c>
      <c r="G18">
        <v>8218</v>
      </c>
      <c r="H18">
        <v>244.23679727429999</v>
      </c>
      <c r="I18">
        <v>4989</v>
      </c>
      <c r="J18">
        <v>865</v>
      </c>
      <c r="K18">
        <v>16124</v>
      </c>
      <c r="L18">
        <v>7421</v>
      </c>
      <c r="M18">
        <v>946</v>
      </c>
      <c r="N18">
        <v>551</v>
      </c>
      <c r="O18">
        <v>136</v>
      </c>
      <c r="P18">
        <v>64</v>
      </c>
      <c r="Q18">
        <v>0</v>
      </c>
      <c r="R18">
        <v>5</v>
      </c>
      <c r="T18" t="s">
        <v>390</v>
      </c>
      <c r="U18">
        <v>69910</v>
      </c>
      <c r="V18">
        <v>347.89982835069998</v>
      </c>
      <c r="W18">
        <v>74679</v>
      </c>
      <c r="X18">
        <v>27122</v>
      </c>
      <c r="Y18">
        <v>98071</v>
      </c>
      <c r="Z18">
        <v>62789</v>
      </c>
      <c r="AA18">
        <v>18053</v>
      </c>
      <c r="AB18">
        <v>15005</v>
      </c>
      <c r="AC18">
        <v>32632</v>
      </c>
      <c r="AD18">
        <v>21963</v>
      </c>
      <c r="AE18">
        <v>153</v>
      </c>
      <c r="AF18">
        <v>1133</v>
      </c>
      <c r="AH18" t="s">
        <v>409</v>
      </c>
      <c r="AI18">
        <v>1887</v>
      </c>
      <c r="AJ18">
        <v>168.45416004239999</v>
      </c>
      <c r="AK18">
        <v>2649</v>
      </c>
      <c r="AL18">
        <v>630</v>
      </c>
      <c r="AM18">
        <v>3524</v>
      </c>
      <c r="AN18">
        <v>1398</v>
      </c>
      <c r="AO18">
        <v>274</v>
      </c>
      <c r="AP18">
        <v>217</v>
      </c>
      <c r="AQ18">
        <v>1258</v>
      </c>
      <c r="AR18">
        <v>1056</v>
      </c>
      <c r="AS18">
        <v>0</v>
      </c>
      <c r="AT18">
        <v>11</v>
      </c>
      <c r="AV18" t="s">
        <v>409</v>
      </c>
      <c r="AW18">
        <v>105</v>
      </c>
      <c r="AX18">
        <v>43.1904761905</v>
      </c>
      <c r="AY18">
        <v>296</v>
      </c>
      <c r="AZ18">
        <v>6</v>
      </c>
      <c r="BA18">
        <v>179</v>
      </c>
      <c r="BB18">
        <v>6</v>
      </c>
      <c r="BC18">
        <v>1</v>
      </c>
      <c r="BD18">
        <v>1</v>
      </c>
      <c r="BE18">
        <v>2</v>
      </c>
      <c r="BF18">
        <v>1</v>
      </c>
      <c r="BG18">
        <v>179</v>
      </c>
      <c r="BH18">
        <v>24</v>
      </c>
      <c r="BJ18" t="s">
        <v>579</v>
      </c>
      <c r="BK18" t="s">
        <v>400</v>
      </c>
      <c r="BL18">
        <v>8165</v>
      </c>
      <c r="BM18">
        <v>2395</v>
      </c>
      <c r="BN18">
        <v>109.29295774649999</v>
      </c>
      <c r="BO18">
        <v>20516</v>
      </c>
      <c r="BP18">
        <v>1591</v>
      </c>
      <c r="BQ18">
        <v>177.2110547865</v>
      </c>
      <c r="BR18">
        <v>157.8252671276</v>
      </c>
      <c r="BS18">
        <v>8631</v>
      </c>
      <c r="BT18">
        <v>2743</v>
      </c>
      <c r="BU18">
        <v>113.88877302749999</v>
      </c>
      <c r="BV18">
        <v>22661</v>
      </c>
      <c r="BW18">
        <v>1735</v>
      </c>
      <c r="BX18">
        <v>178.5471073651</v>
      </c>
      <c r="BY18">
        <v>161.80057636890001</v>
      </c>
      <c r="CA18" t="s">
        <v>402</v>
      </c>
      <c r="CB18" t="s">
        <v>817</v>
      </c>
      <c r="CC18" t="s">
        <v>1016</v>
      </c>
      <c r="CD18">
        <v>5426</v>
      </c>
      <c r="CE18">
        <v>1770</v>
      </c>
      <c r="CF18">
        <v>121.04330998890001</v>
      </c>
      <c r="CG18">
        <v>18151</v>
      </c>
      <c r="CH18">
        <v>1360</v>
      </c>
      <c r="CI18">
        <v>207.21238499259999</v>
      </c>
      <c r="CJ18">
        <v>169.18602941180001</v>
      </c>
      <c r="CL18" t="s">
        <v>402</v>
      </c>
      <c r="CM18" t="s">
        <v>792</v>
      </c>
      <c r="CN18" t="s">
        <v>793</v>
      </c>
      <c r="CO18">
        <v>330</v>
      </c>
      <c r="CP18">
        <v>26</v>
      </c>
      <c r="CQ18">
        <v>56.318181818200003</v>
      </c>
      <c r="CR18">
        <v>2417</v>
      </c>
      <c r="CS18">
        <v>170</v>
      </c>
      <c r="CT18">
        <v>54.480761274300001</v>
      </c>
      <c r="CU18">
        <v>55.0823529412</v>
      </c>
      <c r="CW18" t="s">
        <v>402</v>
      </c>
      <c r="CX18" t="s">
        <v>805</v>
      </c>
      <c r="CY18" t="s">
        <v>806</v>
      </c>
      <c r="CZ18">
        <v>87</v>
      </c>
      <c r="DA18">
        <v>15</v>
      </c>
      <c r="DB18">
        <v>75.586206896600004</v>
      </c>
      <c r="DC18">
        <v>228</v>
      </c>
      <c r="DD18">
        <v>15</v>
      </c>
      <c r="DE18">
        <v>135.7061403509</v>
      </c>
      <c r="DF18">
        <v>122.7333333333</v>
      </c>
      <c r="DH18" t="s">
        <v>402</v>
      </c>
      <c r="DI18" t="s">
        <v>779</v>
      </c>
      <c r="DJ18" t="s">
        <v>780</v>
      </c>
      <c r="DK18">
        <v>74</v>
      </c>
      <c r="DL18">
        <v>9</v>
      </c>
      <c r="DM18">
        <v>71.243243243199998</v>
      </c>
      <c r="DN18">
        <v>164</v>
      </c>
      <c r="DO18">
        <v>21</v>
      </c>
      <c r="DP18">
        <v>143.44512195120001</v>
      </c>
      <c r="DQ18">
        <v>145.4761904762</v>
      </c>
    </row>
    <row r="19" spans="2:121" x14ac:dyDescent="0.2">
      <c r="B19" t="s">
        <v>129</v>
      </c>
      <c r="C19">
        <v>42</v>
      </c>
      <c r="D19">
        <v>25</v>
      </c>
      <c r="F19" t="s">
        <v>71</v>
      </c>
      <c r="G19">
        <v>3632</v>
      </c>
      <c r="H19">
        <v>479.67896475769999</v>
      </c>
      <c r="I19">
        <v>3695</v>
      </c>
      <c r="J19">
        <v>1302</v>
      </c>
      <c r="K19">
        <v>4440</v>
      </c>
      <c r="L19">
        <v>3196</v>
      </c>
      <c r="M19">
        <v>382</v>
      </c>
      <c r="N19">
        <v>346</v>
      </c>
      <c r="O19">
        <v>1168</v>
      </c>
      <c r="P19">
        <v>740</v>
      </c>
      <c r="Q19">
        <v>0</v>
      </c>
      <c r="R19">
        <v>106</v>
      </c>
      <c r="T19" t="s">
        <v>471</v>
      </c>
      <c r="U19">
        <v>362347</v>
      </c>
      <c r="V19">
        <v>365.22501359189999</v>
      </c>
      <c r="W19">
        <v>349702</v>
      </c>
      <c r="X19">
        <v>113214</v>
      </c>
      <c r="Y19">
        <v>504128</v>
      </c>
      <c r="Z19">
        <v>314458</v>
      </c>
      <c r="AA19">
        <v>78096</v>
      </c>
      <c r="AB19">
        <v>61449</v>
      </c>
      <c r="AC19">
        <v>158560</v>
      </c>
      <c r="AD19">
        <v>106079</v>
      </c>
      <c r="AE19">
        <v>8417</v>
      </c>
      <c r="AF19">
        <v>4371</v>
      </c>
      <c r="AH19" t="s">
        <v>432</v>
      </c>
      <c r="AI19">
        <v>2404</v>
      </c>
      <c r="AJ19">
        <v>210.8772878536</v>
      </c>
      <c r="AK19">
        <v>2773</v>
      </c>
      <c r="AL19">
        <v>724</v>
      </c>
      <c r="AM19">
        <v>3651</v>
      </c>
      <c r="AN19">
        <v>1541</v>
      </c>
      <c r="AO19">
        <v>373</v>
      </c>
      <c r="AP19">
        <v>243</v>
      </c>
      <c r="AQ19">
        <v>396</v>
      </c>
      <c r="AR19">
        <v>223</v>
      </c>
      <c r="AS19">
        <v>2</v>
      </c>
      <c r="AT19">
        <v>14</v>
      </c>
      <c r="AV19" t="s">
        <v>8</v>
      </c>
      <c r="AW19">
        <v>211</v>
      </c>
      <c r="AX19">
        <v>80.341232227500001</v>
      </c>
      <c r="AY19">
        <v>174</v>
      </c>
      <c r="AZ19">
        <v>66</v>
      </c>
      <c r="BA19">
        <v>473</v>
      </c>
      <c r="BB19">
        <v>173</v>
      </c>
      <c r="BC19">
        <v>24</v>
      </c>
      <c r="BD19">
        <v>23</v>
      </c>
      <c r="BE19">
        <v>157</v>
      </c>
      <c r="BF19">
        <v>28</v>
      </c>
      <c r="BG19">
        <v>56</v>
      </c>
      <c r="BH19">
        <v>16</v>
      </c>
      <c r="BJ19" t="s">
        <v>643</v>
      </c>
      <c r="BK19" t="s">
        <v>400</v>
      </c>
      <c r="BL19">
        <v>943</v>
      </c>
      <c r="BM19">
        <v>201</v>
      </c>
      <c r="BN19">
        <v>85.3414634146</v>
      </c>
      <c r="BO19">
        <v>2905</v>
      </c>
      <c r="BP19">
        <v>231</v>
      </c>
      <c r="BQ19">
        <v>133.9352839931</v>
      </c>
      <c r="BR19">
        <v>122.0303030303</v>
      </c>
      <c r="BS19">
        <v>1316</v>
      </c>
      <c r="BT19">
        <v>523</v>
      </c>
      <c r="BU19">
        <v>130.87993920970001</v>
      </c>
      <c r="BV19">
        <v>3786</v>
      </c>
      <c r="BW19">
        <v>353</v>
      </c>
      <c r="BX19">
        <v>156.65821447440001</v>
      </c>
      <c r="BY19">
        <v>165.8186968839</v>
      </c>
      <c r="CA19" t="s">
        <v>409</v>
      </c>
      <c r="CB19" t="s">
        <v>817</v>
      </c>
      <c r="CC19" t="s">
        <v>1017</v>
      </c>
      <c r="CD19">
        <v>2570</v>
      </c>
      <c r="CE19">
        <v>607</v>
      </c>
      <c r="CF19">
        <v>94.541634241200001</v>
      </c>
      <c r="CG19">
        <v>7183</v>
      </c>
      <c r="CH19">
        <v>563</v>
      </c>
      <c r="CI19">
        <v>151.3480439928</v>
      </c>
      <c r="CJ19">
        <v>148.3357015986</v>
      </c>
      <c r="CL19" t="s">
        <v>409</v>
      </c>
      <c r="CM19" t="s">
        <v>792</v>
      </c>
      <c r="CN19" t="s">
        <v>794</v>
      </c>
      <c r="CO19">
        <v>276</v>
      </c>
      <c r="CP19">
        <v>15</v>
      </c>
      <c r="CQ19">
        <v>52.318840579700002</v>
      </c>
      <c r="CR19">
        <v>1567</v>
      </c>
      <c r="CS19">
        <v>94</v>
      </c>
      <c r="CT19">
        <v>55.9438417358</v>
      </c>
      <c r="CU19">
        <v>67.521276595700002</v>
      </c>
      <c r="CW19" t="s">
        <v>409</v>
      </c>
      <c r="CX19" t="s">
        <v>805</v>
      </c>
      <c r="CY19" t="s">
        <v>807</v>
      </c>
      <c r="CZ19">
        <v>48</v>
      </c>
      <c r="DA19">
        <v>5</v>
      </c>
      <c r="DB19">
        <v>58.1875</v>
      </c>
      <c r="DC19">
        <v>118</v>
      </c>
      <c r="DD19">
        <v>7</v>
      </c>
      <c r="DE19">
        <v>119.8644067797</v>
      </c>
      <c r="DF19">
        <v>98.857142857100001</v>
      </c>
      <c r="DH19" t="s">
        <v>409</v>
      </c>
      <c r="DI19" t="s">
        <v>779</v>
      </c>
      <c r="DJ19" t="s">
        <v>781</v>
      </c>
      <c r="DK19">
        <v>39</v>
      </c>
      <c r="DL19">
        <v>4</v>
      </c>
      <c r="DM19">
        <v>81.666666666699996</v>
      </c>
      <c r="DN19">
        <v>73</v>
      </c>
      <c r="DO19">
        <v>3</v>
      </c>
      <c r="DP19">
        <v>156.95890410960001</v>
      </c>
      <c r="DQ19">
        <v>131.3333333333</v>
      </c>
    </row>
    <row r="20" spans="2:121" x14ac:dyDescent="0.2">
      <c r="B20" t="s">
        <v>122</v>
      </c>
      <c r="C20">
        <v>12302</v>
      </c>
      <c r="D20">
        <v>2557</v>
      </c>
      <c r="F20" t="s">
        <v>77</v>
      </c>
      <c r="G20">
        <v>764</v>
      </c>
      <c r="H20">
        <v>82.725130890100004</v>
      </c>
      <c r="I20">
        <v>879</v>
      </c>
      <c r="J20">
        <v>231</v>
      </c>
      <c r="K20">
        <v>1062</v>
      </c>
      <c r="L20">
        <v>140</v>
      </c>
      <c r="M20">
        <v>711</v>
      </c>
      <c r="N20">
        <v>107</v>
      </c>
      <c r="O20">
        <v>26</v>
      </c>
      <c r="P20">
        <v>10</v>
      </c>
      <c r="Q20">
        <v>0</v>
      </c>
      <c r="R20">
        <v>2</v>
      </c>
      <c r="AH20" t="s">
        <v>403</v>
      </c>
      <c r="AI20">
        <v>7656</v>
      </c>
      <c r="AJ20">
        <v>514.78618077320004</v>
      </c>
      <c r="AK20">
        <v>4533</v>
      </c>
      <c r="AL20">
        <v>1548</v>
      </c>
      <c r="AM20">
        <v>10347</v>
      </c>
      <c r="AN20">
        <v>7416</v>
      </c>
      <c r="AO20">
        <v>2193</v>
      </c>
      <c r="AP20">
        <v>1830</v>
      </c>
      <c r="AQ20">
        <v>1067</v>
      </c>
      <c r="AR20">
        <v>616</v>
      </c>
      <c r="AS20">
        <v>46</v>
      </c>
      <c r="AT20">
        <v>155</v>
      </c>
      <c r="AV20" t="s">
        <v>392</v>
      </c>
      <c r="AW20">
        <v>1228</v>
      </c>
      <c r="AX20">
        <v>97.076547231299998</v>
      </c>
      <c r="AY20">
        <v>960</v>
      </c>
      <c r="AZ20">
        <v>166</v>
      </c>
      <c r="BA20">
        <v>2054</v>
      </c>
      <c r="BB20">
        <v>572</v>
      </c>
      <c r="BC20">
        <v>65</v>
      </c>
      <c r="BD20">
        <v>63</v>
      </c>
      <c r="BE20">
        <v>592</v>
      </c>
      <c r="BF20">
        <v>88</v>
      </c>
      <c r="BG20">
        <v>200</v>
      </c>
      <c r="BH20">
        <v>327</v>
      </c>
      <c r="BJ20" t="s">
        <v>571</v>
      </c>
      <c r="BK20" t="s">
        <v>400</v>
      </c>
      <c r="BL20">
        <v>5312</v>
      </c>
      <c r="BM20">
        <v>1726</v>
      </c>
      <c r="BN20">
        <v>121.11238704820001</v>
      </c>
      <c r="BO20">
        <v>17303</v>
      </c>
      <c r="BP20">
        <v>1314</v>
      </c>
      <c r="BQ20">
        <v>214.64358781710001</v>
      </c>
      <c r="BR20">
        <v>176.1423135464</v>
      </c>
      <c r="BS20">
        <v>5490</v>
      </c>
      <c r="BT20">
        <v>1495</v>
      </c>
      <c r="BU20">
        <v>120.2604735883</v>
      </c>
      <c r="BV20">
        <v>13193</v>
      </c>
      <c r="BW20">
        <v>1153</v>
      </c>
      <c r="BX20">
        <v>217.601531115</v>
      </c>
      <c r="BY20">
        <v>169.16478751080001</v>
      </c>
      <c r="CA20" t="s">
        <v>432</v>
      </c>
      <c r="CB20" t="s">
        <v>817</v>
      </c>
      <c r="CC20" t="s">
        <v>1018</v>
      </c>
      <c r="CD20">
        <v>2713</v>
      </c>
      <c r="CE20">
        <v>700</v>
      </c>
      <c r="CF20">
        <v>99.882417987500006</v>
      </c>
      <c r="CG20">
        <v>7632</v>
      </c>
      <c r="CH20">
        <v>563</v>
      </c>
      <c r="CI20">
        <v>166.0753406709</v>
      </c>
      <c r="CJ20">
        <v>161.2717584369</v>
      </c>
      <c r="CL20" t="s">
        <v>432</v>
      </c>
      <c r="CM20" t="s">
        <v>792</v>
      </c>
      <c r="CN20" t="s">
        <v>795</v>
      </c>
      <c r="CO20">
        <v>243</v>
      </c>
      <c r="CP20">
        <v>16</v>
      </c>
      <c r="CQ20">
        <v>58.740740740699998</v>
      </c>
      <c r="CR20">
        <v>1365</v>
      </c>
      <c r="CS20">
        <v>114</v>
      </c>
      <c r="CT20">
        <v>62.449084249099997</v>
      </c>
      <c r="CU20">
        <v>59.991228070200002</v>
      </c>
      <c r="CW20" t="s">
        <v>432</v>
      </c>
      <c r="CX20" t="s">
        <v>805</v>
      </c>
      <c r="CY20" t="s">
        <v>808</v>
      </c>
      <c r="CZ20">
        <v>69</v>
      </c>
      <c r="DA20">
        <v>8</v>
      </c>
      <c r="DB20">
        <v>68.594202898600003</v>
      </c>
      <c r="DC20">
        <v>243</v>
      </c>
      <c r="DD20">
        <v>27</v>
      </c>
      <c r="DE20">
        <v>126.4238683128</v>
      </c>
      <c r="DF20">
        <v>108.2222222222</v>
      </c>
      <c r="DH20" t="s">
        <v>432</v>
      </c>
      <c r="DI20" t="s">
        <v>779</v>
      </c>
      <c r="DJ20" t="s">
        <v>782</v>
      </c>
      <c r="DK20">
        <v>116</v>
      </c>
      <c r="DL20">
        <v>13</v>
      </c>
      <c r="DM20">
        <v>68.318965517199999</v>
      </c>
      <c r="DN20">
        <v>272</v>
      </c>
      <c r="DO20">
        <v>27</v>
      </c>
      <c r="DP20">
        <v>162.9264705882</v>
      </c>
      <c r="DQ20">
        <v>128.3703703704</v>
      </c>
    </row>
    <row r="21" spans="2:121" x14ac:dyDescent="0.2">
      <c r="B21" t="s">
        <v>324</v>
      </c>
      <c r="C21">
        <v>1</v>
      </c>
      <c r="D21">
        <v>1</v>
      </c>
      <c r="F21" t="s">
        <v>8</v>
      </c>
      <c r="G21">
        <v>51</v>
      </c>
      <c r="H21">
        <v>799.01960784309995</v>
      </c>
      <c r="I21">
        <v>1</v>
      </c>
      <c r="K21">
        <v>54</v>
      </c>
      <c r="L21">
        <v>54</v>
      </c>
      <c r="M21">
        <v>1</v>
      </c>
      <c r="N21">
        <v>1</v>
      </c>
      <c r="O21">
        <v>17037</v>
      </c>
      <c r="P21">
        <v>4376</v>
      </c>
      <c r="Q21">
        <v>0</v>
      </c>
      <c r="R21">
        <v>0</v>
      </c>
      <c r="AH21" t="s">
        <v>397</v>
      </c>
      <c r="AI21">
        <v>7105</v>
      </c>
      <c r="AJ21">
        <v>402.18494018299998</v>
      </c>
      <c r="AK21">
        <v>6035</v>
      </c>
      <c r="AL21">
        <v>1858</v>
      </c>
      <c r="AM21">
        <v>9620</v>
      </c>
      <c r="AN21">
        <v>6113</v>
      </c>
      <c r="AO21">
        <v>656</v>
      </c>
      <c r="AP21">
        <v>552</v>
      </c>
      <c r="AQ21">
        <v>1162</v>
      </c>
      <c r="AR21">
        <v>592</v>
      </c>
      <c r="AS21">
        <v>9</v>
      </c>
      <c r="AT21">
        <v>313</v>
      </c>
      <c r="AV21" t="s">
        <v>386</v>
      </c>
      <c r="AW21">
        <v>337</v>
      </c>
      <c r="AX21">
        <v>94.896142433199998</v>
      </c>
      <c r="AY21">
        <v>378</v>
      </c>
      <c r="AZ21">
        <v>59</v>
      </c>
      <c r="BA21">
        <v>519</v>
      </c>
      <c r="BB21">
        <v>152</v>
      </c>
      <c r="BC21">
        <v>18</v>
      </c>
      <c r="BD21">
        <v>17</v>
      </c>
      <c r="BE21">
        <v>190</v>
      </c>
      <c r="BF21">
        <v>32</v>
      </c>
      <c r="BG21">
        <v>60</v>
      </c>
      <c r="BH21">
        <v>142</v>
      </c>
      <c r="BJ21" t="s">
        <v>588</v>
      </c>
      <c r="BK21" t="s">
        <v>400</v>
      </c>
      <c r="BL21">
        <v>2119</v>
      </c>
      <c r="BM21">
        <v>381</v>
      </c>
      <c r="BN21">
        <v>83.559226050000007</v>
      </c>
      <c r="BO21">
        <v>5719</v>
      </c>
      <c r="BP21">
        <v>719</v>
      </c>
      <c r="BQ21">
        <v>122.8807483826</v>
      </c>
      <c r="BR21">
        <v>127.347705146</v>
      </c>
      <c r="BS21">
        <v>5070</v>
      </c>
      <c r="BT21">
        <v>1606</v>
      </c>
      <c r="BU21">
        <v>117.96311637079999</v>
      </c>
      <c r="BV21">
        <v>15730</v>
      </c>
      <c r="BW21">
        <v>1761</v>
      </c>
      <c r="BX21">
        <v>177.42053401140001</v>
      </c>
      <c r="BY21">
        <v>165.3333333333</v>
      </c>
      <c r="CA21" t="s">
        <v>405</v>
      </c>
      <c r="CB21" t="s">
        <v>817</v>
      </c>
      <c r="CC21" t="s">
        <v>1019</v>
      </c>
      <c r="CD21">
        <v>8116</v>
      </c>
      <c r="CE21">
        <v>2442</v>
      </c>
      <c r="CF21">
        <v>111.2326269098</v>
      </c>
      <c r="CG21">
        <v>21019</v>
      </c>
      <c r="CH21">
        <v>1646</v>
      </c>
      <c r="CI21">
        <v>173.32432561019999</v>
      </c>
      <c r="CJ21">
        <v>153.65795868769999</v>
      </c>
      <c r="CL21" t="s">
        <v>405</v>
      </c>
      <c r="CM21" t="s">
        <v>792</v>
      </c>
      <c r="CN21" t="s">
        <v>796</v>
      </c>
      <c r="CO21">
        <v>594</v>
      </c>
      <c r="CP21">
        <v>45</v>
      </c>
      <c r="CQ21">
        <v>57.1447811448</v>
      </c>
      <c r="CR21">
        <v>4218</v>
      </c>
      <c r="CS21">
        <v>310</v>
      </c>
      <c r="CT21">
        <v>58.264817448999999</v>
      </c>
      <c r="CU21">
        <v>52.345161290299998</v>
      </c>
      <c r="CW21" t="s">
        <v>405</v>
      </c>
      <c r="CX21" t="s">
        <v>805</v>
      </c>
      <c r="CY21" t="s">
        <v>809</v>
      </c>
      <c r="CZ21">
        <v>130</v>
      </c>
      <c r="DA21">
        <v>17</v>
      </c>
      <c r="DB21">
        <v>67.961538461499998</v>
      </c>
      <c r="DC21">
        <v>324</v>
      </c>
      <c r="DD21">
        <v>37</v>
      </c>
      <c r="DE21">
        <v>139.5648148148</v>
      </c>
      <c r="DF21">
        <v>128.05405405409999</v>
      </c>
      <c r="DH21" t="s">
        <v>405</v>
      </c>
      <c r="DI21" t="s">
        <v>779</v>
      </c>
      <c r="DJ21" t="s">
        <v>783</v>
      </c>
      <c r="DK21">
        <v>105</v>
      </c>
      <c r="DL21">
        <v>9</v>
      </c>
      <c r="DM21">
        <v>74.085714285700007</v>
      </c>
      <c r="DN21">
        <v>209</v>
      </c>
      <c r="DO21">
        <v>24</v>
      </c>
      <c r="DP21">
        <v>148.2488038278</v>
      </c>
      <c r="DQ21">
        <v>137.0833333333</v>
      </c>
    </row>
    <row r="22" spans="2:121" x14ac:dyDescent="0.2">
      <c r="B22" t="s">
        <v>115</v>
      </c>
      <c r="C22">
        <v>21458</v>
      </c>
      <c r="D22">
        <v>18448</v>
      </c>
      <c r="F22" t="s">
        <v>47</v>
      </c>
      <c r="G22">
        <v>1996</v>
      </c>
      <c r="H22">
        <v>215.2049098196</v>
      </c>
      <c r="I22">
        <v>1887</v>
      </c>
      <c r="J22">
        <v>518</v>
      </c>
      <c r="K22">
        <v>3372</v>
      </c>
      <c r="L22">
        <v>1750</v>
      </c>
      <c r="M22">
        <v>348</v>
      </c>
      <c r="N22">
        <v>280</v>
      </c>
      <c r="O22">
        <v>668</v>
      </c>
      <c r="P22">
        <v>489</v>
      </c>
      <c r="Q22">
        <v>0</v>
      </c>
      <c r="R22">
        <v>3</v>
      </c>
      <c r="AH22" t="s">
        <v>426</v>
      </c>
      <c r="AI22">
        <v>1627</v>
      </c>
      <c r="AJ22">
        <v>247.24892440069999</v>
      </c>
      <c r="AK22">
        <v>1358</v>
      </c>
      <c r="AL22">
        <v>225</v>
      </c>
      <c r="AM22">
        <v>2157</v>
      </c>
      <c r="AN22">
        <v>1080</v>
      </c>
      <c r="AO22">
        <v>887</v>
      </c>
      <c r="AP22">
        <v>493</v>
      </c>
      <c r="AQ22">
        <v>319</v>
      </c>
      <c r="AR22">
        <v>177</v>
      </c>
      <c r="AS22">
        <v>236</v>
      </c>
      <c r="AT22">
        <v>2</v>
      </c>
      <c r="AV22" t="s">
        <v>432</v>
      </c>
      <c r="AW22">
        <v>96</v>
      </c>
      <c r="AX22">
        <v>40.145833333299997</v>
      </c>
      <c r="AY22">
        <v>248</v>
      </c>
      <c r="AZ22">
        <v>15</v>
      </c>
      <c r="BA22">
        <v>168</v>
      </c>
      <c r="BB22">
        <v>7</v>
      </c>
      <c r="BC22">
        <v>2</v>
      </c>
      <c r="BD22">
        <v>2</v>
      </c>
      <c r="BE22">
        <v>9</v>
      </c>
      <c r="BF22">
        <v>2</v>
      </c>
      <c r="BG22">
        <v>110</v>
      </c>
      <c r="BH22">
        <v>44</v>
      </c>
      <c r="BJ22" t="s">
        <v>400</v>
      </c>
      <c r="BK22" t="s">
        <v>400</v>
      </c>
      <c r="BL22">
        <v>55155</v>
      </c>
      <c r="BM22">
        <v>15603</v>
      </c>
      <c r="BN22">
        <v>108.8549360892</v>
      </c>
      <c r="BO22">
        <v>157911</v>
      </c>
      <c r="BP22">
        <v>12205</v>
      </c>
      <c r="BQ22">
        <v>177.95817264159999</v>
      </c>
      <c r="BR22">
        <v>158.9913969685</v>
      </c>
      <c r="BS22">
        <v>64862</v>
      </c>
      <c r="BT22">
        <v>21551</v>
      </c>
      <c r="BU22">
        <v>121.0351823872</v>
      </c>
      <c r="BV22">
        <v>185175</v>
      </c>
      <c r="BW22">
        <v>14940</v>
      </c>
      <c r="BX22">
        <v>186.03121911709999</v>
      </c>
      <c r="BY22">
        <v>169.8396251673</v>
      </c>
      <c r="CA22" t="s">
        <v>411</v>
      </c>
      <c r="CB22" t="s">
        <v>817</v>
      </c>
      <c r="CC22" t="s">
        <v>1020</v>
      </c>
      <c r="CD22">
        <v>5614</v>
      </c>
      <c r="CE22">
        <v>1378</v>
      </c>
      <c r="CF22">
        <v>97.290879942999993</v>
      </c>
      <c r="CG22">
        <v>15614</v>
      </c>
      <c r="CH22">
        <v>1205</v>
      </c>
      <c r="CI22">
        <v>142.6807352376</v>
      </c>
      <c r="CJ22">
        <v>126.24066390039999</v>
      </c>
      <c r="CL22" t="s">
        <v>411</v>
      </c>
      <c r="CM22" t="s">
        <v>792</v>
      </c>
      <c r="CN22" t="s">
        <v>797</v>
      </c>
      <c r="CO22">
        <v>297</v>
      </c>
      <c r="CP22">
        <v>20</v>
      </c>
      <c r="CQ22">
        <v>51.983164983199998</v>
      </c>
      <c r="CR22">
        <v>1638</v>
      </c>
      <c r="CS22">
        <v>118</v>
      </c>
      <c r="CT22">
        <v>52.1208791209</v>
      </c>
      <c r="CU22">
        <v>54.135593220300002</v>
      </c>
      <c r="CW22" t="s">
        <v>411</v>
      </c>
      <c r="CX22" t="s">
        <v>805</v>
      </c>
      <c r="CY22" t="s">
        <v>810</v>
      </c>
      <c r="CZ22">
        <v>52</v>
      </c>
      <c r="DA22">
        <v>4</v>
      </c>
      <c r="DB22">
        <v>55</v>
      </c>
      <c r="DC22">
        <v>169</v>
      </c>
      <c r="DD22">
        <v>13</v>
      </c>
      <c r="DE22">
        <v>128.3905325444</v>
      </c>
      <c r="DF22">
        <v>108.4615384615</v>
      </c>
      <c r="DH22" t="s">
        <v>411</v>
      </c>
      <c r="DI22" t="s">
        <v>779</v>
      </c>
      <c r="DJ22" t="s">
        <v>784</v>
      </c>
      <c r="DK22">
        <v>20</v>
      </c>
      <c r="DL22">
        <v>1</v>
      </c>
      <c r="DM22">
        <v>45.2</v>
      </c>
      <c r="DN22">
        <v>90</v>
      </c>
      <c r="DO22">
        <v>7</v>
      </c>
      <c r="DP22">
        <v>147.87777777779999</v>
      </c>
      <c r="DQ22">
        <v>96.428571428599994</v>
      </c>
    </row>
    <row r="23" spans="2:121" x14ac:dyDescent="0.2">
      <c r="B23" t="s">
        <v>116</v>
      </c>
      <c r="C23">
        <v>1691</v>
      </c>
      <c r="D23">
        <v>412</v>
      </c>
      <c r="F23" t="s">
        <v>46</v>
      </c>
      <c r="G23">
        <v>154</v>
      </c>
      <c r="H23">
        <v>65.071428571400006</v>
      </c>
      <c r="I23">
        <v>893</v>
      </c>
      <c r="J23">
        <v>201</v>
      </c>
      <c r="K23">
        <v>745</v>
      </c>
      <c r="L23">
        <v>32</v>
      </c>
      <c r="M23">
        <v>64</v>
      </c>
      <c r="N23">
        <v>16</v>
      </c>
      <c r="O23">
        <v>41</v>
      </c>
      <c r="P23">
        <v>13</v>
      </c>
      <c r="Q23">
        <v>0</v>
      </c>
      <c r="R23">
        <v>0</v>
      </c>
      <c r="AH23" t="s">
        <v>386</v>
      </c>
      <c r="AI23">
        <v>7618</v>
      </c>
      <c r="AJ23">
        <v>545.77920714100003</v>
      </c>
      <c r="AK23">
        <v>6026</v>
      </c>
      <c r="AL23">
        <v>2028</v>
      </c>
      <c r="AM23">
        <v>9566</v>
      </c>
      <c r="AN23">
        <v>7165</v>
      </c>
      <c r="AO23">
        <v>1252</v>
      </c>
      <c r="AP23">
        <v>1034</v>
      </c>
      <c r="AQ23">
        <v>6599</v>
      </c>
      <c r="AR23">
        <v>5547</v>
      </c>
      <c r="AS23">
        <v>284</v>
      </c>
      <c r="AT23">
        <v>5</v>
      </c>
      <c r="AV23" t="s">
        <v>413</v>
      </c>
      <c r="AW23">
        <v>116</v>
      </c>
      <c r="AX23">
        <v>52.172413793099999</v>
      </c>
      <c r="AY23">
        <v>207</v>
      </c>
      <c r="AZ23">
        <v>9</v>
      </c>
      <c r="BA23">
        <v>217</v>
      </c>
      <c r="BB23">
        <v>19</v>
      </c>
      <c r="BC23">
        <v>2</v>
      </c>
      <c r="BD23">
        <v>2</v>
      </c>
      <c r="BE23">
        <v>22</v>
      </c>
      <c r="BF23">
        <v>11</v>
      </c>
      <c r="BG23">
        <v>213</v>
      </c>
      <c r="BH23">
        <v>45</v>
      </c>
      <c r="BJ23" t="s">
        <v>581</v>
      </c>
      <c r="BK23" t="s">
        <v>400</v>
      </c>
      <c r="BL23">
        <v>4041</v>
      </c>
      <c r="BM23">
        <v>1139</v>
      </c>
      <c r="BN23">
        <v>101.5048255382</v>
      </c>
      <c r="BO23">
        <v>12101</v>
      </c>
      <c r="BP23">
        <v>874</v>
      </c>
      <c r="BQ23">
        <v>158.08329890089999</v>
      </c>
      <c r="BR23">
        <v>136.1830663616</v>
      </c>
      <c r="BS23">
        <v>5774</v>
      </c>
      <c r="BT23">
        <v>1986</v>
      </c>
      <c r="BU23">
        <v>118.70921371670001</v>
      </c>
      <c r="BV23">
        <v>15213</v>
      </c>
      <c r="BW23">
        <v>1159</v>
      </c>
      <c r="BX23">
        <v>170.8077302307</v>
      </c>
      <c r="BY23">
        <v>162.6074201898</v>
      </c>
      <c r="CA23" t="s">
        <v>407</v>
      </c>
      <c r="CB23" t="s">
        <v>817</v>
      </c>
      <c r="CC23" t="s">
        <v>1021</v>
      </c>
      <c r="CD23">
        <v>5055</v>
      </c>
      <c r="CE23">
        <v>1402</v>
      </c>
      <c r="CF23">
        <v>107.3869436202</v>
      </c>
      <c r="CG23">
        <v>20675</v>
      </c>
      <c r="CH23">
        <v>1601</v>
      </c>
      <c r="CI23">
        <v>174.67903264809999</v>
      </c>
      <c r="CJ23">
        <v>146.31980012490001</v>
      </c>
      <c r="CL23" t="s">
        <v>407</v>
      </c>
      <c r="CM23" t="s">
        <v>792</v>
      </c>
      <c r="CN23" t="s">
        <v>798</v>
      </c>
      <c r="CO23">
        <v>346</v>
      </c>
      <c r="CP23">
        <v>43</v>
      </c>
      <c r="CQ23">
        <v>64.156069364199993</v>
      </c>
      <c r="CR23">
        <v>2803</v>
      </c>
      <c r="CS23">
        <v>177</v>
      </c>
      <c r="CT23">
        <v>53.254727078099997</v>
      </c>
      <c r="CU23">
        <v>43.570621468900001</v>
      </c>
      <c r="CW23" t="s">
        <v>407</v>
      </c>
      <c r="CX23" t="s">
        <v>805</v>
      </c>
      <c r="CY23" t="s">
        <v>811</v>
      </c>
      <c r="CZ23">
        <v>142</v>
      </c>
      <c r="DA23">
        <v>19</v>
      </c>
      <c r="DB23">
        <v>65.845070422500001</v>
      </c>
      <c r="DC23">
        <v>370</v>
      </c>
      <c r="DD23">
        <v>24</v>
      </c>
      <c r="DE23">
        <v>126.2945945946</v>
      </c>
      <c r="DF23">
        <v>114.4166666667</v>
      </c>
      <c r="DH23" t="s">
        <v>407</v>
      </c>
      <c r="DI23" t="s">
        <v>779</v>
      </c>
      <c r="DJ23" t="s">
        <v>785</v>
      </c>
      <c r="DK23">
        <v>106</v>
      </c>
      <c r="DL23">
        <v>15</v>
      </c>
      <c r="DM23">
        <v>83.273584905700005</v>
      </c>
      <c r="DN23">
        <v>402</v>
      </c>
      <c r="DO23">
        <v>30</v>
      </c>
      <c r="DP23">
        <v>166.85323383080001</v>
      </c>
      <c r="DQ23">
        <v>130.73333333330001</v>
      </c>
    </row>
    <row r="24" spans="2:121" x14ac:dyDescent="0.2">
      <c r="B24" t="s">
        <v>110</v>
      </c>
      <c r="C24">
        <v>52</v>
      </c>
      <c r="D24">
        <v>51</v>
      </c>
      <c r="F24" t="s">
        <v>82</v>
      </c>
      <c r="G24">
        <v>13503</v>
      </c>
      <c r="H24">
        <v>305.87847145080002</v>
      </c>
      <c r="I24">
        <v>17915</v>
      </c>
      <c r="J24">
        <v>6014</v>
      </c>
      <c r="K24">
        <v>16166</v>
      </c>
      <c r="L24">
        <v>9551</v>
      </c>
      <c r="M24">
        <v>1403</v>
      </c>
      <c r="N24">
        <v>1085</v>
      </c>
      <c r="O24">
        <v>2792</v>
      </c>
      <c r="P24">
        <v>1350</v>
      </c>
      <c r="Q24">
        <v>2</v>
      </c>
      <c r="R24">
        <v>221</v>
      </c>
      <c r="T24" t="s">
        <v>657</v>
      </c>
      <c r="U24" t="s">
        <v>315</v>
      </c>
      <c r="V24" t="s">
        <v>139</v>
      </c>
      <c r="W24" t="s">
        <v>222</v>
      </c>
      <c r="X24" t="s">
        <v>223</v>
      </c>
      <c r="Y24" t="s">
        <v>224</v>
      </c>
      <c r="Z24" t="s">
        <v>225</v>
      </c>
      <c r="AA24" t="s">
        <v>226</v>
      </c>
      <c r="AB24" t="s">
        <v>227</v>
      </c>
      <c r="AC24" t="s">
        <v>228</v>
      </c>
      <c r="AD24" t="s">
        <v>229</v>
      </c>
      <c r="AE24" t="s">
        <v>230</v>
      </c>
      <c r="AF24" t="s">
        <v>231</v>
      </c>
      <c r="AH24" t="s">
        <v>381</v>
      </c>
      <c r="AI24">
        <v>5495</v>
      </c>
      <c r="AJ24">
        <v>441.70136487719998</v>
      </c>
      <c r="AK24">
        <v>4607</v>
      </c>
      <c r="AL24">
        <v>1367</v>
      </c>
      <c r="AM24">
        <v>8071</v>
      </c>
      <c r="AN24">
        <v>5039</v>
      </c>
      <c r="AO24">
        <v>2490</v>
      </c>
      <c r="AP24">
        <v>1856</v>
      </c>
      <c r="AQ24">
        <v>1288</v>
      </c>
      <c r="AR24">
        <v>990</v>
      </c>
      <c r="AS24">
        <v>503</v>
      </c>
      <c r="AT24">
        <v>13</v>
      </c>
      <c r="AV24" t="s">
        <v>83</v>
      </c>
      <c r="AW24">
        <v>142</v>
      </c>
      <c r="AX24">
        <v>51.1971830986</v>
      </c>
      <c r="AY24">
        <v>449</v>
      </c>
      <c r="AZ24">
        <v>21</v>
      </c>
      <c r="BA24">
        <v>301</v>
      </c>
      <c r="BB24">
        <v>36</v>
      </c>
      <c r="BC24">
        <v>1</v>
      </c>
      <c r="BD24">
        <v>1</v>
      </c>
      <c r="BE24">
        <v>22</v>
      </c>
      <c r="BF24">
        <v>8</v>
      </c>
      <c r="BG24">
        <v>270</v>
      </c>
      <c r="BH24">
        <v>87</v>
      </c>
      <c r="BJ24" t="s">
        <v>645</v>
      </c>
      <c r="BK24" t="s">
        <v>400</v>
      </c>
      <c r="BL24">
        <v>967</v>
      </c>
      <c r="BM24">
        <v>233</v>
      </c>
      <c r="BN24">
        <v>91.512926577000002</v>
      </c>
      <c r="BO24">
        <v>2989</v>
      </c>
      <c r="BP24">
        <v>246</v>
      </c>
      <c r="BQ24">
        <v>137.6942121111</v>
      </c>
      <c r="BR24">
        <v>124.2682926829</v>
      </c>
      <c r="BS24">
        <v>1719</v>
      </c>
      <c r="BT24">
        <v>771</v>
      </c>
      <c r="BU24">
        <v>145.71960442119999</v>
      </c>
      <c r="BV24">
        <v>5258</v>
      </c>
      <c r="BW24">
        <v>422</v>
      </c>
      <c r="BX24">
        <v>175.84823126660001</v>
      </c>
      <c r="BY24">
        <v>168.5900473934</v>
      </c>
      <c r="CA24" t="s">
        <v>410</v>
      </c>
      <c r="CB24" t="s">
        <v>817</v>
      </c>
      <c r="CC24" t="s">
        <v>1022</v>
      </c>
      <c r="CD24">
        <v>2125</v>
      </c>
      <c r="CE24">
        <v>381</v>
      </c>
      <c r="CF24">
        <v>83.078588235300003</v>
      </c>
      <c r="CG24">
        <v>6042</v>
      </c>
      <c r="CH24">
        <v>738</v>
      </c>
      <c r="CI24">
        <v>122.0446871897</v>
      </c>
      <c r="CJ24">
        <v>126.8712737127</v>
      </c>
      <c r="CL24" t="s">
        <v>410</v>
      </c>
      <c r="CM24" t="s">
        <v>792</v>
      </c>
      <c r="CN24" t="s">
        <v>799</v>
      </c>
      <c r="CO24">
        <v>121</v>
      </c>
      <c r="CP24">
        <v>7</v>
      </c>
      <c r="CQ24">
        <v>59.917355371900001</v>
      </c>
      <c r="CR24">
        <v>632</v>
      </c>
      <c r="CS24">
        <v>49</v>
      </c>
      <c r="CT24">
        <v>59.808544303799998</v>
      </c>
      <c r="CU24">
        <v>66.448979591799997</v>
      </c>
      <c r="CW24" t="s">
        <v>410</v>
      </c>
      <c r="CX24" t="s">
        <v>805</v>
      </c>
      <c r="CY24" t="s">
        <v>812</v>
      </c>
      <c r="CZ24">
        <v>31</v>
      </c>
      <c r="DA24">
        <v>1</v>
      </c>
      <c r="DB24">
        <v>52.612903225799997</v>
      </c>
      <c r="DC24">
        <v>155</v>
      </c>
      <c r="DD24">
        <v>8</v>
      </c>
      <c r="DE24">
        <v>107.99354838710001</v>
      </c>
      <c r="DF24">
        <v>109</v>
      </c>
      <c r="DH24" t="s">
        <v>410</v>
      </c>
      <c r="DI24" t="s">
        <v>779</v>
      </c>
      <c r="DJ24" t="s">
        <v>786</v>
      </c>
      <c r="DK24">
        <v>57</v>
      </c>
      <c r="DL24">
        <v>8</v>
      </c>
      <c r="DM24">
        <v>69.368421052599999</v>
      </c>
      <c r="DN24">
        <v>242</v>
      </c>
      <c r="DO24">
        <v>17</v>
      </c>
      <c r="DP24">
        <v>151.32231404960001</v>
      </c>
      <c r="DQ24">
        <v>138.29411764709999</v>
      </c>
    </row>
    <row r="25" spans="2:121" x14ac:dyDescent="0.2">
      <c r="B25" t="s">
        <v>108</v>
      </c>
      <c r="C25">
        <v>51</v>
      </c>
      <c r="D25">
        <v>51</v>
      </c>
      <c r="F25" t="s">
        <v>42</v>
      </c>
      <c r="G25">
        <v>11165</v>
      </c>
      <c r="H25">
        <v>300.5474249888</v>
      </c>
      <c r="I25">
        <v>9145</v>
      </c>
      <c r="J25">
        <v>2867</v>
      </c>
      <c r="K25">
        <v>20388</v>
      </c>
      <c r="L25">
        <v>12256</v>
      </c>
      <c r="M25">
        <v>2147</v>
      </c>
      <c r="N25">
        <v>1359</v>
      </c>
      <c r="O25">
        <v>1833</v>
      </c>
      <c r="P25">
        <v>1427</v>
      </c>
      <c r="Q25">
        <v>2</v>
      </c>
      <c r="R25">
        <v>57</v>
      </c>
      <c r="T25" t="s">
        <v>395</v>
      </c>
      <c r="U25">
        <v>69281</v>
      </c>
      <c r="V25">
        <v>340.73606039169999</v>
      </c>
      <c r="W25">
        <v>70833</v>
      </c>
      <c r="X25">
        <v>23137</v>
      </c>
      <c r="Y25">
        <v>96814</v>
      </c>
      <c r="Z25">
        <v>56958</v>
      </c>
      <c r="AA25">
        <v>12878</v>
      </c>
      <c r="AB25">
        <v>9477</v>
      </c>
      <c r="AC25">
        <v>25764</v>
      </c>
      <c r="AD25">
        <v>17457</v>
      </c>
      <c r="AE25">
        <v>94</v>
      </c>
      <c r="AF25">
        <v>1202</v>
      </c>
      <c r="AH25" t="s">
        <v>405</v>
      </c>
      <c r="AI25">
        <v>3910</v>
      </c>
      <c r="AJ25">
        <v>260.40562659850002</v>
      </c>
      <c r="AK25">
        <v>8105</v>
      </c>
      <c r="AL25">
        <v>2381</v>
      </c>
      <c r="AM25">
        <v>7542</v>
      </c>
      <c r="AN25">
        <v>3514</v>
      </c>
      <c r="AO25">
        <v>924</v>
      </c>
      <c r="AP25">
        <v>763</v>
      </c>
      <c r="AQ25">
        <v>1278</v>
      </c>
      <c r="AR25">
        <v>793</v>
      </c>
      <c r="AS25">
        <v>26</v>
      </c>
      <c r="AT25">
        <v>204</v>
      </c>
      <c r="AV25" t="s">
        <v>417</v>
      </c>
      <c r="AW25">
        <v>730</v>
      </c>
      <c r="AX25">
        <v>45.141095890400003</v>
      </c>
      <c r="AY25">
        <v>1957</v>
      </c>
      <c r="AZ25">
        <v>66</v>
      </c>
      <c r="BA25">
        <v>1240</v>
      </c>
      <c r="BB25">
        <v>105</v>
      </c>
      <c r="BC25">
        <v>16</v>
      </c>
      <c r="BD25">
        <v>15</v>
      </c>
      <c r="BE25">
        <v>71</v>
      </c>
      <c r="BF25">
        <v>34</v>
      </c>
      <c r="BG25">
        <v>810</v>
      </c>
      <c r="BH25">
        <v>343</v>
      </c>
      <c r="BJ25" t="s">
        <v>584</v>
      </c>
      <c r="BK25" t="s">
        <v>400</v>
      </c>
      <c r="BL25">
        <v>4857</v>
      </c>
      <c r="BM25">
        <v>1325</v>
      </c>
      <c r="BN25">
        <v>105.26744904260001</v>
      </c>
      <c r="BO25">
        <v>19356</v>
      </c>
      <c r="BP25">
        <v>1526</v>
      </c>
      <c r="BQ25">
        <v>180.2784149618</v>
      </c>
      <c r="BR25">
        <v>151.21625163830001</v>
      </c>
      <c r="BS25">
        <v>4841</v>
      </c>
      <c r="BT25">
        <v>1361</v>
      </c>
      <c r="BU25">
        <v>106.99111753770001</v>
      </c>
      <c r="BV25">
        <v>20169</v>
      </c>
      <c r="BW25">
        <v>1551</v>
      </c>
      <c r="BX25">
        <v>182.16926967129999</v>
      </c>
      <c r="BY25">
        <v>151.7769181173</v>
      </c>
      <c r="CA25" t="s">
        <v>429</v>
      </c>
      <c r="CB25" t="s">
        <v>817</v>
      </c>
      <c r="CC25" t="s">
        <v>1023</v>
      </c>
      <c r="CD25">
        <v>697</v>
      </c>
      <c r="CE25">
        <v>153</v>
      </c>
      <c r="CF25">
        <v>87.760401721700006</v>
      </c>
      <c r="CG25">
        <v>2260</v>
      </c>
      <c r="CH25">
        <v>177</v>
      </c>
      <c r="CI25">
        <v>133.53539823009999</v>
      </c>
      <c r="CJ25">
        <v>125.24858757059999</v>
      </c>
      <c r="CL25" t="s">
        <v>429</v>
      </c>
      <c r="CM25" t="s">
        <v>792</v>
      </c>
      <c r="CN25" t="s">
        <v>800</v>
      </c>
      <c r="CO25">
        <v>32</v>
      </c>
      <c r="CP25">
        <v>4</v>
      </c>
      <c r="CQ25">
        <v>55.625</v>
      </c>
      <c r="CR25">
        <v>201</v>
      </c>
      <c r="CS25">
        <v>15</v>
      </c>
      <c r="CT25">
        <v>50.437810945300001</v>
      </c>
      <c r="CU25">
        <v>64.400000000000006</v>
      </c>
      <c r="CW25" t="s">
        <v>429</v>
      </c>
      <c r="CX25" t="s">
        <v>805</v>
      </c>
      <c r="CY25" t="s">
        <v>813</v>
      </c>
      <c r="CZ25">
        <v>15</v>
      </c>
      <c r="DA25">
        <v>2</v>
      </c>
      <c r="DB25">
        <v>53.933333333299998</v>
      </c>
      <c r="DC25">
        <v>38</v>
      </c>
      <c r="DD25">
        <v>3</v>
      </c>
      <c r="DE25">
        <v>124.3421052632</v>
      </c>
      <c r="DF25">
        <v>42.333333333299997</v>
      </c>
      <c r="DH25" t="s">
        <v>429</v>
      </c>
      <c r="DI25" t="s">
        <v>779</v>
      </c>
      <c r="DJ25" t="s">
        <v>787</v>
      </c>
      <c r="DK25">
        <v>7</v>
      </c>
      <c r="DL25">
        <v>2</v>
      </c>
      <c r="DM25">
        <v>79.571428571400006</v>
      </c>
      <c r="DN25">
        <v>24</v>
      </c>
      <c r="DO25">
        <v>1</v>
      </c>
      <c r="DP25">
        <v>181.125</v>
      </c>
      <c r="DQ25">
        <v>144</v>
      </c>
    </row>
    <row r="26" spans="2:121" x14ac:dyDescent="0.2">
      <c r="B26" t="s">
        <v>112</v>
      </c>
      <c r="C26">
        <v>23951</v>
      </c>
      <c r="D26">
        <v>9189</v>
      </c>
      <c r="F26" t="s">
        <v>38</v>
      </c>
      <c r="G26">
        <v>4881</v>
      </c>
      <c r="H26">
        <v>486.44232739189999</v>
      </c>
      <c r="I26">
        <v>3655</v>
      </c>
      <c r="J26">
        <v>1112</v>
      </c>
      <c r="K26">
        <v>6366</v>
      </c>
      <c r="L26">
        <v>4498</v>
      </c>
      <c r="M26">
        <v>2104</v>
      </c>
      <c r="N26">
        <v>1931</v>
      </c>
      <c r="O26">
        <v>857</v>
      </c>
      <c r="P26">
        <v>736</v>
      </c>
      <c r="Q26">
        <v>2</v>
      </c>
      <c r="R26">
        <v>12</v>
      </c>
      <c r="T26" t="s">
        <v>400</v>
      </c>
      <c r="U26">
        <v>51078</v>
      </c>
      <c r="V26">
        <v>381.71054074160003</v>
      </c>
      <c r="W26">
        <v>53940</v>
      </c>
      <c r="X26">
        <v>15447</v>
      </c>
      <c r="Y26">
        <v>76456</v>
      </c>
      <c r="Z26">
        <v>43997</v>
      </c>
      <c r="AA26">
        <v>10223</v>
      </c>
      <c r="AB26">
        <v>8333</v>
      </c>
      <c r="AC26">
        <v>21472</v>
      </c>
      <c r="AD26">
        <v>14926</v>
      </c>
      <c r="AE26">
        <v>140</v>
      </c>
      <c r="AF26">
        <v>1202</v>
      </c>
      <c r="AH26" t="s">
        <v>411</v>
      </c>
      <c r="AI26">
        <v>2660</v>
      </c>
      <c r="AJ26">
        <v>138.80714285709999</v>
      </c>
      <c r="AK26">
        <v>5466</v>
      </c>
      <c r="AL26">
        <v>1389</v>
      </c>
      <c r="AM26">
        <v>6065</v>
      </c>
      <c r="AN26">
        <v>1385</v>
      </c>
      <c r="AO26">
        <v>366</v>
      </c>
      <c r="AP26">
        <v>264</v>
      </c>
      <c r="AQ26">
        <v>1120</v>
      </c>
      <c r="AR26">
        <v>412</v>
      </c>
      <c r="AS26">
        <v>5</v>
      </c>
      <c r="AT26">
        <v>3</v>
      </c>
      <c r="AV26" t="s">
        <v>407</v>
      </c>
      <c r="AW26">
        <v>473</v>
      </c>
      <c r="AX26">
        <v>57.911205074000002</v>
      </c>
      <c r="AY26">
        <v>424</v>
      </c>
      <c r="AZ26">
        <v>37</v>
      </c>
      <c r="BA26">
        <v>741</v>
      </c>
      <c r="BB26">
        <v>72</v>
      </c>
      <c r="BC26">
        <v>4</v>
      </c>
      <c r="BD26">
        <v>4</v>
      </c>
      <c r="BE26">
        <v>37</v>
      </c>
      <c r="BF26">
        <v>14</v>
      </c>
      <c r="BG26">
        <v>446</v>
      </c>
      <c r="BH26">
        <v>46</v>
      </c>
      <c r="BJ26" t="s">
        <v>590</v>
      </c>
      <c r="BK26" t="s">
        <v>400</v>
      </c>
      <c r="BL26">
        <v>7506</v>
      </c>
      <c r="BM26">
        <v>2074</v>
      </c>
      <c r="BN26">
        <v>105.3322675193</v>
      </c>
      <c r="BO26">
        <v>19069</v>
      </c>
      <c r="BP26">
        <v>1578</v>
      </c>
      <c r="BQ26">
        <v>152.81719020400001</v>
      </c>
      <c r="BR26">
        <v>146.1730038023</v>
      </c>
      <c r="BS26">
        <v>9893</v>
      </c>
      <c r="BT26">
        <v>3915</v>
      </c>
      <c r="BU26">
        <v>127.49519862530001</v>
      </c>
      <c r="BV26">
        <v>28638</v>
      </c>
      <c r="BW26">
        <v>2257</v>
      </c>
      <c r="BX26">
        <v>178.24652559539999</v>
      </c>
      <c r="BY26">
        <v>166.81878599909999</v>
      </c>
      <c r="CA26" t="s">
        <v>401</v>
      </c>
      <c r="CB26" t="s">
        <v>817</v>
      </c>
      <c r="CC26" t="s">
        <v>1024</v>
      </c>
      <c r="CD26">
        <v>8355</v>
      </c>
      <c r="CE26">
        <v>2487</v>
      </c>
      <c r="CF26">
        <v>113.3123877917</v>
      </c>
      <c r="CG26">
        <v>25843</v>
      </c>
      <c r="CH26">
        <v>1944</v>
      </c>
      <c r="CI26">
        <v>161.9149092598</v>
      </c>
      <c r="CJ26">
        <v>145.0925925926</v>
      </c>
      <c r="CL26" t="s">
        <v>401</v>
      </c>
      <c r="CM26" t="s">
        <v>792</v>
      </c>
      <c r="CN26" t="s">
        <v>801</v>
      </c>
      <c r="CO26">
        <v>651</v>
      </c>
      <c r="CP26">
        <v>71</v>
      </c>
      <c r="CQ26">
        <v>60.817204301099999</v>
      </c>
      <c r="CR26">
        <v>4791</v>
      </c>
      <c r="CS26">
        <v>331</v>
      </c>
      <c r="CT26">
        <v>57.572949279900001</v>
      </c>
      <c r="CU26">
        <v>49.921450151099997</v>
      </c>
      <c r="CW26" t="s">
        <v>401</v>
      </c>
      <c r="CX26" t="s">
        <v>805</v>
      </c>
      <c r="CY26" t="s">
        <v>814</v>
      </c>
      <c r="CZ26">
        <v>178</v>
      </c>
      <c r="DA26">
        <v>23</v>
      </c>
      <c r="DB26">
        <v>66.0168539326</v>
      </c>
      <c r="DC26">
        <v>443</v>
      </c>
      <c r="DD26">
        <v>33</v>
      </c>
      <c r="DE26">
        <v>134.006772009</v>
      </c>
      <c r="DF26">
        <v>113.0909090909</v>
      </c>
      <c r="DH26" t="s">
        <v>401</v>
      </c>
      <c r="DI26" t="s">
        <v>779</v>
      </c>
      <c r="DJ26" t="s">
        <v>788</v>
      </c>
      <c r="DK26">
        <v>123</v>
      </c>
      <c r="DL26">
        <v>21</v>
      </c>
      <c r="DM26">
        <v>85.991869918700004</v>
      </c>
      <c r="DN26">
        <v>305</v>
      </c>
      <c r="DO26">
        <v>11</v>
      </c>
      <c r="DP26">
        <v>145.64918032790001</v>
      </c>
      <c r="DQ26">
        <v>121.2727272727</v>
      </c>
    </row>
    <row r="27" spans="2:121" x14ac:dyDescent="0.2">
      <c r="B27" t="s">
        <v>99</v>
      </c>
      <c r="C27">
        <v>125707</v>
      </c>
      <c r="D27">
        <v>54200</v>
      </c>
      <c r="F27" t="s">
        <v>58</v>
      </c>
      <c r="G27">
        <v>690</v>
      </c>
      <c r="H27">
        <v>157.55652173909999</v>
      </c>
      <c r="I27">
        <v>1101</v>
      </c>
      <c r="J27">
        <v>425</v>
      </c>
      <c r="K27">
        <v>908</v>
      </c>
      <c r="L27">
        <v>391</v>
      </c>
      <c r="M27">
        <v>166</v>
      </c>
      <c r="N27">
        <v>132</v>
      </c>
      <c r="O27">
        <v>577</v>
      </c>
      <c r="P27">
        <v>422</v>
      </c>
      <c r="Q27">
        <v>350</v>
      </c>
      <c r="R27">
        <v>127</v>
      </c>
      <c r="T27" t="s">
        <v>379</v>
      </c>
      <c r="U27">
        <v>73287</v>
      </c>
      <c r="V27">
        <v>375.46596258549999</v>
      </c>
      <c r="W27">
        <v>76283</v>
      </c>
      <c r="X27">
        <v>24494</v>
      </c>
      <c r="Y27">
        <v>101709</v>
      </c>
      <c r="Z27">
        <v>63636</v>
      </c>
      <c r="AA27">
        <v>17100</v>
      </c>
      <c r="AB27">
        <v>12656</v>
      </c>
      <c r="AC27">
        <v>34788</v>
      </c>
      <c r="AD27">
        <v>22645</v>
      </c>
      <c r="AE27">
        <v>5271</v>
      </c>
      <c r="AF27">
        <v>159</v>
      </c>
      <c r="AH27" t="s">
        <v>399</v>
      </c>
      <c r="AI27">
        <v>5415</v>
      </c>
      <c r="AJ27">
        <v>363.37248384119999</v>
      </c>
      <c r="AK27">
        <v>4017</v>
      </c>
      <c r="AL27">
        <v>1560</v>
      </c>
      <c r="AM27">
        <v>7202</v>
      </c>
      <c r="AN27">
        <v>5097</v>
      </c>
      <c r="AO27">
        <v>895</v>
      </c>
      <c r="AP27">
        <v>782</v>
      </c>
      <c r="AQ27">
        <v>2343</v>
      </c>
      <c r="AR27">
        <v>1851</v>
      </c>
      <c r="AS27">
        <v>11</v>
      </c>
      <c r="AT27">
        <v>144</v>
      </c>
      <c r="AV27" t="s">
        <v>384</v>
      </c>
      <c r="AW27">
        <v>402</v>
      </c>
      <c r="AX27">
        <v>91.987562189100004</v>
      </c>
      <c r="AY27">
        <v>471</v>
      </c>
      <c r="AZ27">
        <v>97</v>
      </c>
      <c r="BA27">
        <v>600</v>
      </c>
      <c r="BB27">
        <v>177</v>
      </c>
      <c r="BC27">
        <v>15</v>
      </c>
      <c r="BD27">
        <v>15</v>
      </c>
      <c r="BE27">
        <v>239</v>
      </c>
      <c r="BF27">
        <v>41</v>
      </c>
      <c r="BG27">
        <v>67</v>
      </c>
      <c r="BH27">
        <v>170</v>
      </c>
      <c r="BJ27" t="s">
        <v>649</v>
      </c>
      <c r="BK27" t="s">
        <v>400</v>
      </c>
      <c r="BL27">
        <v>2721</v>
      </c>
      <c r="BM27">
        <v>690</v>
      </c>
      <c r="BN27">
        <v>98.719955898600006</v>
      </c>
      <c r="BO27">
        <v>6616</v>
      </c>
      <c r="BP27">
        <v>484</v>
      </c>
      <c r="BQ27">
        <v>180.8709189843</v>
      </c>
      <c r="BR27">
        <v>181.00413223140001</v>
      </c>
      <c r="BS27">
        <v>2622</v>
      </c>
      <c r="BT27">
        <v>674</v>
      </c>
      <c r="BU27">
        <v>98.741037375999994</v>
      </c>
      <c r="BV27">
        <v>6472</v>
      </c>
      <c r="BW27">
        <v>466</v>
      </c>
      <c r="BX27">
        <v>181.2211063041</v>
      </c>
      <c r="BY27">
        <v>181.40343347640001</v>
      </c>
      <c r="CA27" t="s">
        <v>430</v>
      </c>
      <c r="CB27" t="s">
        <v>817</v>
      </c>
      <c r="CC27" t="s">
        <v>1025</v>
      </c>
      <c r="CD27">
        <v>999</v>
      </c>
      <c r="CE27">
        <v>247</v>
      </c>
      <c r="CF27">
        <v>93.441441441400002</v>
      </c>
      <c r="CG27">
        <v>3131</v>
      </c>
      <c r="CH27">
        <v>247</v>
      </c>
      <c r="CI27">
        <v>135.34972852120001</v>
      </c>
      <c r="CJ27">
        <v>118.59919028340001</v>
      </c>
      <c r="CL27" t="s">
        <v>430</v>
      </c>
      <c r="CM27" t="s">
        <v>792</v>
      </c>
      <c r="CN27" t="s">
        <v>802</v>
      </c>
      <c r="CO27">
        <v>70</v>
      </c>
      <c r="CP27">
        <v>6</v>
      </c>
      <c r="CQ27">
        <v>55.885714285699997</v>
      </c>
      <c r="CR27">
        <v>339</v>
      </c>
      <c r="CS27">
        <v>15</v>
      </c>
      <c r="CT27">
        <v>52.587020649000003</v>
      </c>
      <c r="CU27">
        <v>51.2</v>
      </c>
      <c r="CW27" t="s">
        <v>430</v>
      </c>
      <c r="CX27" t="s">
        <v>805</v>
      </c>
      <c r="CY27" t="s">
        <v>815</v>
      </c>
      <c r="CZ27">
        <v>8</v>
      </c>
      <c r="DA27">
        <v>1</v>
      </c>
      <c r="DB27">
        <v>86.5</v>
      </c>
      <c r="DC27">
        <v>41</v>
      </c>
      <c r="DD27">
        <v>3</v>
      </c>
      <c r="DE27">
        <v>125.85365853659999</v>
      </c>
      <c r="DF27">
        <v>114.6666666667</v>
      </c>
      <c r="DH27" t="s">
        <v>430</v>
      </c>
      <c r="DI27" t="s">
        <v>779</v>
      </c>
      <c r="DJ27" t="s">
        <v>789</v>
      </c>
      <c r="DK27">
        <v>8</v>
      </c>
      <c r="DL27">
        <v>0</v>
      </c>
      <c r="DM27">
        <v>46.25</v>
      </c>
      <c r="DN27">
        <v>24</v>
      </c>
      <c r="DO27">
        <v>1</v>
      </c>
      <c r="DP27">
        <v>158.375</v>
      </c>
      <c r="DQ27">
        <v>124</v>
      </c>
    </row>
    <row r="28" spans="2:121" x14ac:dyDescent="0.2">
      <c r="B28" t="s">
        <v>20</v>
      </c>
      <c r="C28">
        <v>330</v>
      </c>
      <c r="D28">
        <v>218</v>
      </c>
      <c r="F28" t="s">
        <v>72</v>
      </c>
      <c r="G28">
        <v>13200</v>
      </c>
      <c r="H28">
        <v>412.78310606060001</v>
      </c>
      <c r="I28">
        <v>11331</v>
      </c>
      <c r="J28">
        <v>3364</v>
      </c>
      <c r="K28">
        <v>15727</v>
      </c>
      <c r="L28">
        <v>10337</v>
      </c>
      <c r="M28">
        <v>2598</v>
      </c>
      <c r="N28">
        <v>2226</v>
      </c>
      <c r="O28">
        <v>5129</v>
      </c>
      <c r="P28">
        <v>4325</v>
      </c>
      <c r="Q28">
        <v>6</v>
      </c>
      <c r="R28">
        <v>22</v>
      </c>
      <c r="T28" t="s">
        <v>8</v>
      </c>
      <c r="U28">
        <v>8960</v>
      </c>
      <c r="V28">
        <v>413.94185267860001</v>
      </c>
      <c r="W28">
        <v>4354</v>
      </c>
      <c r="X28">
        <v>2043</v>
      </c>
      <c r="Y28">
        <v>10914</v>
      </c>
      <c r="Z28">
        <v>8221</v>
      </c>
      <c r="AA28">
        <v>1351</v>
      </c>
      <c r="AB28">
        <v>1152</v>
      </c>
      <c r="AC28">
        <v>16161</v>
      </c>
      <c r="AD28">
        <v>10833</v>
      </c>
      <c r="AE28">
        <v>382</v>
      </c>
      <c r="AF28">
        <v>139</v>
      </c>
      <c r="AH28" t="s">
        <v>407</v>
      </c>
      <c r="AI28">
        <v>5941</v>
      </c>
      <c r="AJ28">
        <v>280.78572630870002</v>
      </c>
      <c r="AK28">
        <v>5302</v>
      </c>
      <c r="AL28">
        <v>1450</v>
      </c>
      <c r="AM28">
        <v>8826</v>
      </c>
      <c r="AN28">
        <v>5391</v>
      </c>
      <c r="AO28">
        <v>2184</v>
      </c>
      <c r="AP28">
        <v>2027</v>
      </c>
      <c r="AQ28">
        <v>6032</v>
      </c>
      <c r="AR28">
        <v>4562</v>
      </c>
      <c r="AS28">
        <v>13</v>
      </c>
      <c r="AT28">
        <v>119</v>
      </c>
      <c r="AV28" t="s">
        <v>391</v>
      </c>
      <c r="AW28">
        <v>1126</v>
      </c>
      <c r="AX28">
        <v>99.697158081699996</v>
      </c>
      <c r="AY28">
        <v>996</v>
      </c>
      <c r="AZ28">
        <v>197</v>
      </c>
      <c r="BA28">
        <v>1737</v>
      </c>
      <c r="BB28">
        <v>528</v>
      </c>
      <c r="BC28">
        <v>57</v>
      </c>
      <c r="BD28">
        <v>56</v>
      </c>
      <c r="BE28">
        <v>504</v>
      </c>
      <c r="BF28">
        <v>92</v>
      </c>
      <c r="BG28">
        <v>172</v>
      </c>
      <c r="BH28">
        <v>371</v>
      </c>
      <c r="BJ28" t="s">
        <v>543</v>
      </c>
      <c r="BK28" t="s">
        <v>379</v>
      </c>
      <c r="BL28">
        <v>5127</v>
      </c>
      <c r="BM28">
        <v>1899</v>
      </c>
      <c r="BN28">
        <v>141.6184903452</v>
      </c>
      <c r="BO28">
        <v>16203</v>
      </c>
      <c r="BP28">
        <v>1554</v>
      </c>
      <c r="BQ28">
        <v>255.77325186690001</v>
      </c>
      <c r="BR28">
        <v>197.98777348780001</v>
      </c>
      <c r="BS28">
        <v>2334</v>
      </c>
      <c r="BT28">
        <v>403</v>
      </c>
      <c r="BU28">
        <v>86.862896315300006</v>
      </c>
      <c r="BV28">
        <v>4975</v>
      </c>
      <c r="BW28">
        <v>615</v>
      </c>
      <c r="BX28">
        <v>249.76221105530001</v>
      </c>
      <c r="BY28">
        <v>141.40487804879999</v>
      </c>
      <c r="CA28" t="s">
        <v>406</v>
      </c>
      <c r="CB28" t="s">
        <v>817</v>
      </c>
      <c r="CC28" t="s">
        <v>1026</v>
      </c>
      <c r="CD28">
        <v>4013</v>
      </c>
      <c r="CE28">
        <v>1151</v>
      </c>
      <c r="CF28">
        <v>102.530276601</v>
      </c>
      <c r="CG28">
        <v>12456</v>
      </c>
      <c r="CH28">
        <v>879</v>
      </c>
      <c r="CI28">
        <v>158.72687861270001</v>
      </c>
      <c r="CJ28">
        <v>137.35039817969999</v>
      </c>
      <c r="CL28" t="s">
        <v>406</v>
      </c>
      <c r="CM28" t="s">
        <v>792</v>
      </c>
      <c r="CN28" t="s">
        <v>803</v>
      </c>
      <c r="CO28">
        <v>235</v>
      </c>
      <c r="CP28">
        <v>19</v>
      </c>
      <c r="CQ28">
        <v>48.072340425500002</v>
      </c>
      <c r="CR28">
        <v>1910</v>
      </c>
      <c r="CS28">
        <v>134</v>
      </c>
      <c r="CT28">
        <v>42.756020942399999</v>
      </c>
      <c r="CU28">
        <v>45.402985074599997</v>
      </c>
      <c r="CW28" t="s">
        <v>406</v>
      </c>
      <c r="CX28" t="s">
        <v>805</v>
      </c>
      <c r="CY28" t="s">
        <v>816</v>
      </c>
      <c r="CZ28">
        <v>91</v>
      </c>
      <c r="DA28">
        <v>11</v>
      </c>
      <c r="DB28">
        <v>66.483516483499997</v>
      </c>
      <c r="DC28">
        <v>200</v>
      </c>
      <c r="DD28">
        <v>19</v>
      </c>
      <c r="DE28">
        <v>127.03</v>
      </c>
      <c r="DF28">
        <v>146.68421052630001</v>
      </c>
      <c r="DH28" t="s">
        <v>406</v>
      </c>
      <c r="DI28" t="s">
        <v>779</v>
      </c>
      <c r="DJ28" t="s">
        <v>790</v>
      </c>
      <c r="DK28">
        <v>67</v>
      </c>
      <c r="DL28">
        <v>8</v>
      </c>
      <c r="DM28">
        <v>72.731343283599998</v>
      </c>
      <c r="DN28">
        <v>145</v>
      </c>
      <c r="DO28">
        <v>3</v>
      </c>
      <c r="DP28">
        <v>157.71034482760001</v>
      </c>
      <c r="DQ28">
        <v>135.3333333333</v>
      </c>
    </row>
    <row r="29" spans="2:121" x14ac:dyDescent="0.2">
      <c r="B29" t="s">
        <v>91</v>
      </c>
      <c r="C29">
        <v>91238</v>
      </c>
      <c r="D29">
        <v>32837</v>
      </c>
      <c r="F29" t="s">
        <v>44</v>
      </c>
      <c r="G29">
        <v>1485</v>
      </c>
      <c r="H29">
        <v>124.11043771040001</v>
      </c>
      <c r="I29">
        <v>2418</v>
      </c>
      <c r="J29">
        <v>576</v>
      </c>
      <c r="K29">
        <v>2638</v>
      </c>
      <c r="L29">
        <v>839</v>
      </c>
      <c r="M29">
        <v>211</v>
      </c>
      <c r="N29">
        <v>166</v>
      </c>
      <c r="O29">
        <v>2834</v>
      </c>
      <c r="P29">
        <v>2710</v>
      </c>
      <c r="Q29">
        <v>0</v>
      </c>
      <c r="R29">
        <v>10</v>
      </c>
      <c r="T29" t="s">
        <v>414</v>
      </c>
      <c r="U29">
        <v>78642</v>
      </c>
      <c r="V29">
        <v>366.15250120799999</v>
      </c>
      <c r="W29">
        <v>65550</v>
      </c>
      <c r="X29">
        <v>20980</v>
      </c>
      <c r="Y29">
        <v>106634</v>
      </c>
      <c r="Z29">
        <v>68967</v>
      </c>
      <c r="AA29">
        <v>17523</v>
      </c>
      <c r="AB29">
        <v>14428</v>
      </c>
      <c r="AC29">
        <v>25695</v>
      </c>
      <c r="AD29">
        <v>17950</v>
      </c>
      <c r="AE29">
        <v>78</v>
      </c>
      <c r="AF29">
        <v>593</v>
      </c>
      <c r="AH29" t="s">
        <v>428</v>
      </c>
      <c r="AI29">
        <v>1254</v>
      </c>
      <c r="AJ29">
        <v>231.75917065389999</v>
      </c>
      <c r="AK29">
        <v>970</v>
      </c>
      <c r="AL29">
        <v>129</v>
      </c>
      <c r="AM29">
        <v>1823</v>
      </c>
      <c r="AN29">
        <v>815</v>
      </c>
      <c r="AO29">
        <v>372</v>
      </c>
      <c r="AP29">
        <v>245</v>
      </c>
      <c r="AQ29">
        <v>191</v>
      </c>
      <c r="AR29">
        <v>92</v>
      </c>
      <c r="AS29">
        <v>2</v>
      </c>
      <c r="AT29">
        <v>6</v>
      </c>
      <c r="AV29" t="s">
        <v>428</v>
      </c>
      <c r="AW29">
        <v>26</v>
      </c>
      <c r="AX29">
        <v>36.346153846199996</v>
      </c>
      <c r="AY29">
        <v>74</v>
      </c>
      <c r="AZ29">
        <v>1</v>
      </c>
      <c r="BA29">
        <v>55</v>
      </c>
      <c r="BB29">
        <v>5</v>
      </c>
      <c r="BC29">
        <v>0</v>
      </c>
      <c r="BE29">
        <v>1</v>
      </c>
      <c r="BG29">
        <v>54</v>
      </c>
      <c r="BH29">
        <v>6</v>
      </c>
      <c r="BJ29" t="s">
        <v>522</v>
      </c>
      <c r="BK29" t="s">
        <v>379</v>
      </c>
      <c r="BL29">
        <v>3798</v>
      </c>
      <c r="BM29">
        <v>1113</v>
      </c>
      <c r="BN29">
        <v>115.84412848869999</v>
      </c>
      <c r="BO29">
        <v>9968</v>
      </c>
      <c r="BP29">
        <v>765</v>
      </c>
      <c r="BQ29">
        <v>219.57634430179999</v>
      </c>
      <c r="BR29">
        <v>178.1647058824</v>
      </c>
      <c r="BS29">
        <v>3442</v>
      </c>
      <c r="BT29">
        <v>1119</v>
      </c>
      <c r="BU29">
        <v>99.328297501500003</v>
      </c>
      <c r="BV29">
        <v>8363</v>
      </c>
      <c r="BW29">
        <v>701</v>
      </c>
      <c r="BX29">
        <v>205.50938658379999</v>
      </c>
      <c r="BY29">
        <v>149.46504992870001</v>
      </c>
      <c r="CA29" t="s">
        <v>400</v>
      </c>
      <c r="CB29" t="s">
        <v>817</v>
      </c>
      <c r="CD29">
        <v>53254</v>
      </c>
      <c r="CE29">
        <v>15331</v>
      </c>
      <c r="CF29">
        <v>109.7631727194</v>
      </c>
      <c r="CG29">
        <v>160738</v>
      </c>
      <c r="CH29">
        <v>12292</v>
      </c>
      <c r="CI29">
        <v>173.4220595006</v>
      </c>
      <c r="CJ29">
        <v>153.77912463390001</v>
      </c>
      <c r="CL29" t="s">
        <v>400</v>
      </c>
      <c r="CM29" t="s">
        <v>792</v>
      </c>
      <c r="CO29">
        <v>3692</v>
      </c>
      <c r="CP29">
        <v>322</v>
      </c>
      <c r="CQ29">
        <v>56.926598049799999</v>
      </c>
      <c r="CR29">
        <v>25680</v>
      </c>
      <c r="CS29">
        <v>1799</v>
      </c>
      <c r="CT29">
        <v>54.682710280400002</v>
      </c>
      <c r="CU29">
        <v>51.837131739900002</v>
      </c>
      <c r="CW29" t="s">
        <v>400</v>
      </c>
      <c r="CX29" t="s">
        <v>805</v>
      </c>
      <c r="CZ29">
        <v>1043</v>
      </c>
      <c r="DA29">
        <v>144</v>
      </c>
      <c r="DB29">
        <v>67.772770853300003</v>
      </c>
      <c r="DC29">
        <v>2829</v>
      </c>
      <c r="DD29">
        <v>224</v>
      </c>
      <c r="DE29">
        <v>131.19088016969999</v>
      </c>
      <c r="DF29">
        <v>120.14732142859999</v>
      </c>
      <c r="DH29" t="s">
        <v>400</v>
      </c>
      <c r="DI29" t="s">
        <v>779</v>
      </c>
      <c r="DK29">
        <v>881</v>
      </c>
      <c r="DL29">
        <v>115</v>
      </c>
      <c r="DM29">
        <v>75.786606129399999</v>
      </c>
      <c r="DN29">
        <v>2405</v>
      </c>
      <c r="DO29">
        <v>177</v>
      </c>
      <c r="DP29">
        <v>154.05405405409999</v>
      </c>
      <c r="DQ29">
        <v>128.0734463277</v>
      </c>
    </row>
    <row r="30" spans="2:121" x14ac:dyDescent="0.2">
      <c r="B30" t="s">
        <v>120</v>
      </c>
      <c r="C30">
        <v>10434</v>
      </c>
      <c r="D30">
        <v>2365</v>
      </c>
      <c r="F30" t="s">
        <v>48</v>
      </c>
      <c r="G30">
        <v>2170</v>
      </c>
      <c r="H30">
        <v>224.81751152070001</v>
      </c>
      <c r="I30">
        <v>2532</v>
      </c>
      <c r="J30">
        <v>846</v>
      </c>
      <c r="K30">
        <v>2773</v>
      </c>
      <c r="L30">
        <v>1480</v>
      </c>
      <c r="M30">
        <v>433</v>
      </c>
      <c r="N30">
        <v>377</v>
      </c>
      <c r="O30">
        <v>475</v>
      </c>
      <c r="P30">
        <v>266</v>
      </c>
      <c r="Q30">
        <v>0</v>
      </c>
      <c r="R30">
        <v>1</v>
      </c>
      <c r="T30" t="s">
        <v>390</v>
      </c>
      <c r="U30">
        <v>81099</v>
      </c>
      <c r="V30">
        <v>360.22619267810001</v>
      </c>
      <c r="W30">
        <v>78742</v>
      </c>
      <c r="X30">
        <v>27113</v>
      </c>
      <c r="Y30">
        <v>111601</v>
      </c>
      <c r="Z30">
        <v>72679</v>
      </c>
      <c r="AA30">
        <v>19021</v>
      </c>
      <c r="AB30">
        <v>15403</v>
      </c>
      <c r="AC30">
        <v>34680</v>
      </c>
      <c r="AD30">
        <v>22268</v>
      </c>
      <c r="AE30">
        <v>2452</v>
      </c>
      <c r="AF30">
        <v>1076</v>
      </c>
      <c r="AH30" t="s">
        <v>410</v>
      </c>
      <c r="AI30">
        <v>1595</v>
      </c>
      <c r="AJ30">
        <v>185.8018808777</v>
      </c>
      <c r="AK30">
        <v>2153</v>
      </c>
      <c r="AL30">
        <v>398</v>
      </c>
      <c r="AM30">
        <v>2683</v>
      </c>
      <c r="AN30">
        <v>846</v>
      </c>
      <c r="AO30">
        <v>739</v>
      </c>
      <c r="AP30">
        <v>470</v>
      </c>
      <c r="AQ30">
        <v>352</v>
      </c>
      <c r="AR30">
        <v>155</v>
      </c>
      <c r="AS30">
        <v>0</v>
      </c>
      <c r="AT30">
        <v>16</v>
      </c>
      <c r="AV30" t="s">
        <v>394</v>
      </c>
      <c r="AW30">
        <v>494</v>
      </c>
      <c r="AX30">
        <v>66.091093117400007</v>
      </c>
      <c r="AY30">
        <v>539</v>
      </c>
      <c r="AZ30">
        <v>29</v>
      </c>
      <c r="BA30">
        <v>755</v>
      </c>
      <c r="BB30">
        <v>96</v>
      </c>
      <c r="BC30">
        <v>13</v>
      </c>
      <c r="BD30">
        <v>13</v>
      </c>
      <c r="BE30">
        <v>47</v>
      </c>
      <c r="BF30">
        <v>17</v>
      </c>
      <c r="BG30">
        <v>407</v>
      </c>
      <c r="BH30">
        <v>53</v>
      </c>
      <c r="BJ30" t="s">
        <v>530</v>
      </c>
      <c r="BK30" t="s">
        <v>379</v>
      </c>
      <c r="BL30">
        <v>4717</v>
      </c>
      <c r="BM30">
        <v>1389</v>
      </c>
      <c r="BN30">
        <v>113.4981980072</v>
      </c>
      <c r="BO30">
        <v>11002</v>
      </c>
      <c r="BP30">
        <v>924</v>
      </c>
      <c r="BQ30">
        <v>213.0284493728</v>
      </c>
      <c r="BR30">
        <v>191.21645021649999</v>
      </c>
      <c r="BS30">
        <v>4074</v>
      </c>
      <c r="BT30">
        <v>865</v>
      </c>
      <c r="BU30">
        <v>96.090819833099999</v>
      </c>
      <c r="BV30">
        <v>9551</v>
      </c>
      <c r="BW30">
        <v>676</v>
      </c>
      <c r="BX30">
        <v>212.26238090250001</v>
      </c>
      <c r="BY30">
        <v>178.3431952663</v>
      </c>
      <c r="CA30" t="s">
        <v>383</v>
      </c>
      <c r="CB30" t="s">
        <v>866</v>
      </c>
      <c r="CC30" t="s">
        <v>992</v>
      </c>
      <c r="CD30">
        <v>1962</v>
      </c>
      <c r="CE30">
        <v>542</v>
      </c>
      <c r="CF30">
        <v>101.118756371</v>
      </c>
      <c r="CG30">
        <v>5564</v>
      </c>
      <c r="CH30">
        <v>396</v>
      </c>
      <c r="CI30">
        <v>152.53396836810001</v>
      </c>
      <c r="CJ30">
        <v>135.70454545449999</v>
      </c>
      <c r="CL30" t="s">
        <v>383</v>
      </c>
      <c r="CM30" t="s">
        <v>835</v>
      </c>
      <c r="CN30" t="s">
        <v>834</v>
      </c>
      <c r="CO30">
        <v>95</v>
      </c>
      <c r="CP30">
        <v>14</v>
      </c>
      <c r="CQ30">
        <v>78.231578947399996</v>
      </c>
      <c r="CR30">
        <v>740</v>
      </c>
      <c r="CS30">
        <v>63</v>
      </c>
      <c r="CT30">
        <v>75.464864864899994</v>
      </c>
      <c r="CU30">
        <v>85.904761904799997</v>
      </c>
      <c r="CW30" t="s">
        <v>383</v>
      </c>
      <c r="CX30" t="s">
        <v>851</v>
      </c>
      <c r="CY30" t="s">
        <v>850</v>
      </c>
      <c r="CZ30">
        <v>45</v>
      </c>
      <c r="DA30">
        <v>1</v>
      </c>
      <c r="DB30">
        <v>63.5111111111</v>
      </c>
      <c r="DC30">
        <v>123</v>
      </c>
      <c r="DD30">
        <v>12</v>
      </c>
      <c r="DE30">
        <v>139.0731707317</v>
      </c>
      <c r="DF30">
        <v>102.5</v>
      </c>
      <c r="DH30" t="s">
        <v>383</v>
      </c>
      <c r="DI30" t="s">
        <v>819</v>
      </c>
      <c r="DJ30" t="s">
        <v>818</v>
      </c>
      <c r="DK30">
        <v>41</v>
      </c>
      <c r="DL30">
        <v>1</v>
      </c>
      <c r="DM30">
        <v>55.487804877999999</v>
      </c>
      <c r="DN30">
        <v>60</v>
      </c>
      <c r="DO30">
        <v>4</v>
      </c>
      <c r="DP30">
        <v>116.55</v>
      </c>
      <c r="DQ30">
        <v>118.75</v>
      </c>
    </row>
    <row r="31" spans="2:121" x14ac:dyDescent="0.2">
      <c r="B31" t="s">
        <v>96</v>
      </c>
      <c r="C31">
        <v>169</v>
      </c>
      <c r="D31">
        <v>106</v>
      </c>
      <c r="F31" t="s">
        <v>76</v>
      </c>
      <c r="G31">
        <v>15832</v>
      </c>
      <c r="H31">
        <v>377.11729408790001</v>
      </c>
      <c r="I31">
        <v>8186</v>
      </c>
      <c r="J31">
        <v>2413</v>
      </c>
      <c r="K31">
        <v>21486</v>
      </c>
      <c r="L31">
        <v>14687</v>
      </c>
      <c r="M31">
        <v>4116</v>
      </c>
      <c r="N31">
        <v>3756</v>
      </c>
      <c r="O31">
        <v>6408</v>
      </c>
      <c r="P31">
        <v>5273</v>
      </c>
      <c r="Q31">
        <v>0</v>
      </c>
      <c r="R31">
        <v>146</v>
      </c>
      <c r="T31" t="s">
        <v>471</v>
      </c>
      <c r="U31">
        <v>362347</v>
      </c>
      <c r="V31">
        <v>365.22501359189999</v>
      </c>
      <c r="W31">
        <v>349702</v>
      </c>
      <c r="X31">
        <v>113214</v>
      </c>
      <c r="Y31">
        <v>504128</v>
      </c>
      <c r="Z31">
        <v>314458</v>
      </c>
      <c r="AA31">
        <v>78096</v>
      </c>
      <c r="AB31">
        <v>61449</v>
      </c>
      <c r="AC31">
        <v>158560</v>
      </c>
      <c r="AD31">
        <v>106079</v>
      </c>
      <c r="AE31">
        <v>8417</v>
      </c>
      <c r="AF31">
        <v>4371</v>
      </c>
      <c r="AH31" t="s">
        <v>423</v>
      </c>
      <c r="AI31">
        <v>4418</v>
      </c>
      <c r="AJ31">
        <v>441.4506564056</v>
      </c>
      <c r="AK31">
        <v>4050</v>
      </c>
      <c r="AL31">
        <v>1369</v>
      </c>
      <c r="AM31">
        <v>5684</v>
      </c>
      <c r="AN31">
        <v>3866</v>
      </c>
      <c r="AO31">
        <v>517</v>
      </c>
      <c r="AP31">
        <v>446</v>
      </c>
      <c r="AQ31">
        <v>1485</v>
      </c>
      <c r="AR31">
        <v>908</v>
      </c>
      <c r="AS31">
        <v>8</v>
      </c>
      <c r="AT31">
        <v>100</v>
      </c>
      <c r="AV31" t="s">
        <v>415</v>
      </c>
      <c r="AW31">
        <v>41</v>
      </c>
      <c r="AX31">
        <v>61.1707317073</v>
      </c>
      <c r="AY31">
        <v>137</v>
      </c>
      <c r="AZ31">
        <v>6</v>
      </c>
      <c r="BA31">
        <v>88</v>
      </c>
      <c r="BB31">
        <v>13</v>
      </c>
      <c r="BC31">
        <v>0</v>
      </c>
      <c r="BE31">
        <v>6</v>
      </c>
      <c r="BF31">
        <v>2</v>
      </c>
      <c r="BG31">
        <v>139</v>
      </c>
      <c r="BH31">
        <v>21</v>
      </c>
      <c r="BJ31" t="s">
        <v>532</v>
      </c>
      <c r="BK31" t="s">
        <v>379</v>
      </c>
      <c r="BL31">
        <v>1919</v>
      </c>
      <c r="BM31">
        <v>521</v>
      </c>
      <c r="BN31">
        <v>100.1865554977</v>
      </c>
      <c r="BO31">
        <v>5248</v>
      </c>
      <c r="BP31">
        <v>367</v>
      </c>
      <c r="BQ31">
        <v>151.41920731709999</v>
      </c>
      <c r="BR31">
        <v>137.9128065395</v>
      </c>
      <c r="BS31">
        <v>2906</v>
      </c>
      <c r="BT31">
        <v>1210</v>
      </c>
      <c r="BU31">
        <v>134.41569167239999</v>
      </c>
      <c r="BV31">
        <v>8071</v>
      </c>
      <c r="BW31">
        <v>638</v>
      </c>
      <c r="BX31">
        <v>174.4768925784</v>
      </c>
      <c r="BY31">
        <v>176.1191222571</v>
      </c>
      <c r="CA31" t="s">
        <v>433</v>
      </c>
      <c r="CB31" t="s">
        <v>866</v>
      </c>
      <c r="CC31" t="s">
        <v>993</v>
      </c>
      <c r="CD31">
        <v>980</v>
      </c>
      <c r="CE31">
        <v>367</v>
      </c>
      <c r="CF31">
        <v>135.0734693878</v>
      </c>
      <c r="CG31">
        <v>2679</v>
      </c>
      <c r="CH31">
        <v>176</v>
      </c>
      <c r="CI31">
        <v>220.13885778279999</v>
      </c>
      <c r="CJ31">
        <v>211.625</v>
      </c>
      <c r="CL31" t="s">
        <v>433</v>
      </c>
      <c r="CM31" t="s">
        <v>835</v>
      </c>
      <c r="CN31" t="s">
        <v>836</v>
      </c>
      <c r="CO31">
        <v>29</v>
      </c>
      <c r="CP31">
        <v>3</v>
      </c>
      <c r="CQ31">
        <v>76.310344827600005</v>
      </c>
      <c r="CR31">
        <v>267</v>
      </c>
      <c r="CS31">
        <v>24</v>
      </c>
      <c r="CT31">
        <v>82.677902621699999</v>
      </c>
      <c r="CU31">
        <v>147.0833333333</v>
      </c>
      <c r="CW31" t="s">
        <v>433</v>
      </c>
      <c r="CX31" t="s">
        <v>851</v>
      </c>
      <c r="CY31" t="s">
        <v>852</v>
      </c>
      <c r="CZ31">
        <v>16</v>
      </c>
      <c r="DA31">
        <v>2</v>
      </c>
      <c r="DB31">
        <v>72</v>
      </c>
      <c r="DC31">
        <v>38</v>
      </c>
      <c r="DD31">
        <v>2</v>
      </c>
      <c r="DE31">
        <v>118.92105263160001</v>
      </c>
      <c r="DF31">
        <v>124</v>
      </c>
      <c r="DH31" t="s">
        <v>433</v>
      </c>
      <c r="DI31" t="s">
        <v>819</v>
      </c>
      <c r="DJ31" t="s">
        <v>820</v>
      </c>
      <c r="DK31">
        <v>16</v>
      </c>
      <c r="DL31">
        <v>2</v>
      </c>
      <c r="DM31">
        <v>86.25</v>
      </c>
      <c r="DN31">
        <v>32</v>
      </c>
      <c r="DO31">
        <v>3</v>
      </c>
      <c r="DP31">
        <v>117.34375</v>
      </c>
      <c r="DQ31">
        <v>124.3333333333</v>
      </c>
    </row>
    <row r="32" spans="2:121" x14ac:dyDescent="0.2">
      <c r="B32" t="s">
        <v>128</v>
      </c>
      <c r="C32">
        <v>439</v>
      </c>
      <c r="D32">
        <v>15</v>
      </c>
      <c r="F32" t="s">
        <v>68</v>
      </c>
      <c r="G32">
        <v>4148</v>
      </c>
      <c r="H32">
        <v>452.69455159109998</v>
      </c>
      <c r="I32">
        <v>4802</v>
      </c>
      <c r="J32">
        <v>1728</v>
      </c>
      <c r="K32">
        <v>5628</v>
      </c>
      <c r="L32">
        <v>4249</v>
      </c>
      <c r="M32">
        <v>553</v>
      </c>
      <c r="N32">
        <v>471</v>
      </c>
      <c r="O32">
        <v>1192</v>
      </c>
      <c r="P32">
        <v>927</v>
      </c>
      <c r="Q32">
        <v>1</v>
      </c>
      <c r="R32">
        <v>4</v>
      </c>
      <c r="AH32" t="s">
        <v>425</v>
      </c>
      <c r="AI32">
        <v>2036</v>
      </c>
      <c r="AJ32">
        <v>360.6218074656</v>
      </c>
      <c r="AK32">
        <v>1229</v>
      </c>
      <c r="AL32">
        <v>329</v>
      </c>
      <c r="AM32">
        <v>2711</v>
      </c>
      <c r="AN32">
        <v>1716</v>
      </c>
      <c r="AO32">
        <v>676</v>
      </c>
      <c r="AP32">
        <v>565</v>
      </c>
      <c r="AQ32">
        <v>167</v>
      </c>
      <c r="AR32">
        <v>93</v>
      </c>
      <c r="AS32">
        <v>96</v>
      </c>
      <c r="AT32">
        <v>3</v>
      </c>
      <c r="AV32" t="s">
        <v>425</v>
      </c>
      <c r="AW32">
        <v>86</v>
      </c>
      <c r="AX32">
        <v>85.837209302299996</v>
      </c>
      <c r="AY32">
        <v>98</v>
      </c>
      <c r="AZ32">
        <v>14</v>
      </c>
      <c r="BA32">
        <v>128</v>
      </c>
      <c r="BB32">
        <v>38</v>
      </c>
      <c r="BC32">
        <v>3</v>
      </c>
      <c r="BD32">
        <v>3</v>
      </c>
      <c r="BE32">
        <v>46</v>
      </c>
      <c r="BF32">
        <v>6</v>
      </c>
      <c r="BG32">
        <v>12</v>
      </c>
      <c r="BH32">
        <v>26</v>
      </c>
      <c r="BJ32" t="s">
        <v>547</v>
      </c>
      <c r="BK32" t="s">
        <v>379</v>
      </c>
      <c r="BL32">
        <v>2431</v>
      </c>
      <c r="BM32">
        <v>560</v>
      </c>
      <c r="BN32">
        <v>96.397778691900001</v>
      </c>
      <c r="BO32">
        <v>7495</v>
      </c>
      <c r="BP32">
        <v>810</v>
      </c>
      <c r="BQ32">
        <v>145.88845897260001</v>
      </c>
      <c r="BR32">
        <v>133.39629629629999</v>
      </c>
      <c r="BS32">
        <v>4350</v>
      </c>
      <c r="BT32">
        <v>1556</v>
      </c>
      <c r="BU32">
        <v>127.54229885060001</v>
      </c>
      <c r="BV32">
        <v>15076</v>
      </c>
      <c r="BW32">
        <v>1493</v>
      </c>
      <c r="BX32">
        <v>181.05996285489999</v>
      </c>
      <c r="BY32">
        <v>171.12324179500001</v>
      </c>
      <c r="CA32" t="s">
        <v>424</v>
      </c>
      <c r="CB32" t="s">
        <v>866</v>
      </c>
      <c r="CC32" t="s">
        <v>994</v>
      </c>
      <c r="CD32">
        <v>496</v>
      </c>
      <c r="CE32">
        <v>195</v>
      </c>
      <c r="CF32">
        <v>133.29838709680001</v>
      </c>
      <c r="CG32">
        <v>1333</v>
      </c>
      <c r="CH32">
        <v>124</v>
      </c>
      <c r="CI32">
        <v>215.59489872469999</v>
      </c>
      <c r="CJ32">
        <v>195.22580645159999</v>
      </c>
      <c r="CL32" t="s">
        <v>424</v>
      </c>
      <c r="CM32" t="s">
        <v>835</v>
      </c>
      <c r="CN32" t="s">
        <v>837</v>
      </c>
      <c r="CO32">
        <v>30</v>
      </c>
      <c r="CP32">
        <v>2</v>
      </c>
      <c r="CQ32">
        <v>75.166666666699996</v>
      </c>
      <c r="CR32">
        <v>152</v>
      </c>
      <c r="CS32">
        <v>15</v>
      </c>
      <c r="CT32">
        <v>86.717105263199997</v>
      </c>
      <c r="CU32">
        <v>93.533333333300007</v>
      </c>
      <c r="CW32" t="s">
        <v>424</v>
      </c>
      <c r="CX32" t="s">
        <v>851</v>
      </c>
      <c r="CY32" t="s">
        <v>853</v>
      </c>
      <c r="CZ32">
        <v>13</v>
      </c>
      <c r="DA32">
        <v>0</v>
      </c>
      <c r="DB32">
        <v>57.153846153800004</v>
      </c>
      <c r="DC32">
        <v>41</v>
      </c>
      <c r="DD32">
        <v>1</v>
      </c>
      <c r="DE32">
        <v>143.0731707317</v>
      </c>
      <c r="DF32">
        <v>153</v>
      </c>
      <c r="DH32" t="s">
        <v>424</v>
      </c>
      <c r="DI32" t="s">
        <v>819</v>
      </c>
      <c r="DJ32" t="s">
        <v>821</v>
      </c>
      <c r="DK32">
        <v>20</v>
      </c>
      <c r="DL32">
        <v>2</v>
      </c>
      <c r="DM32">
        <v>63.75</v>
      </c>
      <c r="DN32">
        <v>26</v>
      </c>
      <c r="DO32">
        <v>1</v>
      </c>
      <c r="DP32">
        <v>125.26923076920001</v>
      </c>
      <c r="DQ32">
        <v>130</v>
      </c>
    </row>
    <row r="33" spans="2:121" x14ac:dyDescent="0.2">
      <c r="B33" t="s">
        <v>22</v>
      </c>
      <c r="C33">
        <v>209702</v>
      </c>
      <c r="D33">
        <v>62520</v>
      </c>
      <c r="F33" t="s">
        <v>70</v>
      </c>
      <c r="G33">
        <v>841</v>
      </c>
      <c r="H33">
        <v>139.47324613559999</v>
      </c>
      <c r="I33">
        <v>1897</v>
      </c>
      <c r="J33">
        <v>458</v>
      </c>
      <c r="K33">
        <v>2911</v>
      </c>
      <c r="L33">
        <v>677</v>
      </c>
      <c r="M33">
        <v>1114</v>
      </c>
      <c r="N33">
        <v>279</v>
      </c>
      <c r="O33">
        <v>215</v>
      </c>
      <c r="P33">
        <v>122</v>
      </c>
      <c r="Q33">
        <v>0</v>
      </c>
      <c r="R33">
        <v>4</v>
      </c>
      <c r="AH33" t="s">
        <v>384</v>
      </c>
      <c r="AI33">
        <v>2534</v>
      </c>
      <c r="AJ33">
        <v>293.41870560379999</v>
      </c>
      <c r="AK33">
        <v>4410</v>
      </c>
      <c r="AL33">
        <v>1575</v>
      </c>
      <c r="AM33">
        <v>3919</v>
      </c>
      <c r="AN33">
        <v>2037</v>
      </c>
      <c r="AO33">
        <v>566</v>
      </c>
      <c r="AP33">
        <v>256</v>
      </c>
      <c r="AQ33">
        <v>2017</v>
      </c>
      <c r="AR33">
        <v>1185</v>
      </c>
      <c r="AS33">
        <v>484</v>
      </c>
      <c r="AT33">
        <v>7</v>
      </c>
      <c r="AV33" t="s">
        <v>436</v>
      </c>
      <c r="AW33">
        <v>181</v>
      </c>
      <c r="AX33">
        <v>43.9944751381</v>
      </c>
      <c r="AY33">
        <v>460</v>
      </c>
      <c r="AZ33">
        <v>21</v>
      </c>
      <c r="BA33">
        <v>282</v>
      </c>
      <c r="BB33">
        <v>21</v>
      </c>
      <c r="BC33">
        <v>3</v>
      </c>
      <c r="BD33">
        <v>3</v>
      </c>
      <c r="BE33">
        <v>13</v>
      </c>
      <c r="BF33">
        <v>3</v>
      </c>
      <c r="BG33">
        <v>264</v>
      </c>
      <c r="BH33">
        <v>72</v>
      </c>
      <c r="BJ33" t="s">
        <v>632</v>
      </c>
      <c r="BK33" t="s">
        <v>379</v>
      </c>
      <c r="BL33">
        <v>1369</v>
      </c>
      <c r="BM33">
        <v>297</v>
      </c>
      <c r="BN33">
        <v>97.473338203099999</v>
      </c>
      <c r="BO33">
        <v>3256</v>
      </c>
      <c r="BP33">
        <v>278</v>
      </c>
      <c r="BQ33">
        <v>179.34520884520001</v>
      </c>
      <c r="BR33">
        <v>158.9676258993</v>
      </c>
      <c r="BS33">
        <v>1542</v>
      </c>
      <c r="BT33">
        <v>429</v>
      </c>
      <c r="BU33">
        <v>116.87029831389999</v>
      </c>
      <c r="BV33">
        <v>3949</v>
      </c>
      <c r="BW33">
        <v>347</v>
      </c>
      <c r="BX33">
        <v>194.76854899969999</v>
      </c>
      <c r="BY33">
        <v>185.67435158500001</v>
      </c>
      <c r="CA33" t="s">
        <v>426</v>
      </c>
      <c r="CB33" t="s">
        <v>866</v>
      </c>
      <c r="CC33" t="s">
        <v>995</v>
      </c>
      <c r="CD33">
        <v>1472</v>
      </c>
      <c r="CE33">
        <v>220</v>
      </c>
      <c r="CF33">
        <v>81.959239130399993</v>
      </c>
      <c r="CG33">
        <v>3671</v>
      </c>
      <c r="CH33">
        <v>280</v>
      </c>
      <c r="CI33">
        <v>127.4336692999</v>
      </c>
      <c r="CJ33">
        <v>143.91428571430001</v>
      </c>
      <c r="CL33" t="s">
        <v>426</v>
      </c>
      <c r="CM33" t="s">
        <v>835</v>
      </c>
      <c r="CN33" t="s">
        <v>838</v>
      </c>
      <c r="CO33">
        <v>47</v>
      </c>
      <c r="CP33">
        <v>4</v>
      </c>
      <c r="CQ33">
        <v>57.872340425499999</v>
      </c>
      <c r="CR33">
        <v>461</v>
      </c>
      <c r="CS33">
        <v>30</v>
      </c>
      <c r="CT33">
        <v>64.498915401299996</v>
      </c>
      <c r="CU33">
        <v>71.166666666699996</v>
      </c>
      <c r="CW33" t="s">
        <v>426</v>
      </c>
      <c r="CX33" t="s">
        <v>851</v>
      </c>
      <c r="CY33" t="s">
        <v>854</v>
      </c>
      <c r="CZ33">
        <v>18</v>
      </c>
      <c r="DA33">
        <v>2</v>
      </c>
      <c r="DB33">
        <v>60.111111111100001</v>
      </c>
      <c r="DC33">
        <v>59</v>
      </c>
      <c r="DD33">
        <v>3</v>
      </c>
      <c r="DE33">
        <v>130.64406779660001</v>
      </c>
      <c r="DF33">
        <v>149.6666666667</v>
      </c>
      <c r="DH33" t="s">
        <v>426</v>
      </c>
      <c r="DI33" t="s">
        <v>819</v>
      </c>
      <c r="DJ33" t="s">
        <v>822</v>
      </c>
      <c r="DK33">
        <v>12</v>
      </c>
      <c r="DL33">
        <v>1</v>
      </c>
      <c r="DM33">
        <v>57.583333333299997</v>
      </c>
      <c r="DN33">
        <v>29</v>
      </c>
      <c r="DO33">
        <v>0</v>
      </c>
      <c r="DP33">
        <v>122.82758620689999</v>
      </c>
      <c r="DQ33">
        <v>0</v>
      </c>
    </row>
    <row r="34" spans="2:121" x14ac:dyDescent="0.2">
      <c r="B34" t="s">
        <v>92</v>
      </c>
      <c r="C34">
        <v>23</v>
      </c>
      <c r="F34" t="s">
        <v>40</v>
      </c>
      <c r="G34">
        <v>6722</v>
      </c>
      <c r="H34">
        <v>513.70856887829996</v>
      </c>
      <c r="I34">
        <v>7242</v>
      </c>
      <c r="J34">
        <v>2483</v>
      </c>
      <c r="K34">
        <v>8341</v>
      </c>
      <c r="L34">
        <v>6410</v>
      </c>
      <c r="M34">
        <v>1385</v>
      </c>
      <c r="N34">
        <v>1304</v>
      </c>
      <c r="O34">
        <v>2692</v>
      </c>
      <c r="P34">
        <v>2221</v>
      </c>
      <c r="Q34">
        <v>0</v>
      </c>
      <c r="R34">
        <v>289</v>
      </c>
      <c r="AH34" t="s">
        <v>415</v>
      </c>
      <c r="AI34">
        <v>1959</v>
      </c>
      <c r="AJ34">
        <v>212.3874425727</v>
      </c>
      <c r="AK34">
        <v>3204</v>
      </c>
      <c r="AL34">
        <v>1051</v>
      </c>
      <c r="AM34">
        <v>2742</v>
      </c>
      <c r="AN34">
        <v>1236</v>
      </c>
      <c r="AO34">
        <v>230</v>
      </c>
      <c r="AP34">
        <v>150</v>
      </c>
      <c r="AQ34">
        <v>650</v>
      </c>
      <c r="AR34">
        <v>332</v>
      </c>
      <c r="AS34">
        <v>3</v>
      </c>
      <c r="AT34">
        <v>17</v>
      </c>
      <c r="AV34" t="s">
        <v>382</v>
      </c>
      <c r="AW34">
        <v>57</v>
      </c>
      <c r="AX34">
        <v>75.175438596500001</v>
      </c>
      <c r="AY34">
        <v>108</v>
      </c>
      <c r="AZ34">
        <v>28</v>
      </c>
      <c r="BA34">
        <v>92</v>
      </c>
      <c r="BB34">
        <v>16</v>
      </c>
      <c r="BC34">
        <v>5</v>
      </c>
      <c r="BD34">
        <v>5</v>
      </c>
      <c r="BE34">
        <v>41</v>
      </c>
      <c r="BF34">
        <v>3</v>
      </c>
      <c r="BG34">
        <v>17</v>
      </c>
      <c r="BH34">
        <v>26</v>
      </c>
      <c r="BJ34" t="s">
        <v>528</v>
      </c>
      <c r="BK34" t="s">
        <v>379</v>
      </c>
      <c r="BL34">
        <v>4940</v>
      </c>
      <c r="BM34">
        <v>1692</v>
      </c>
      <c r="BN34">
        <v>120.62085020240001</v>
      </c>
      <c r="BO34">
        <v>13830</v>
      </c>
      <c r="BP34">
        <v>1181</v>
      </c>
      <c r="BQ34">
        <v>207.1780187997</v>
      </c>
      <c r="BR34">
        <v>179.00254022019999</v>
      </c>
      <c r="BS34">
        <v>4487</v>
      </c>
      <c r="BT34">
        <v>1203</v>
      </c>
      <c r="BU34">
        <v>99.020949409400004</v>
      </c>
      <c r="BV34">
        <v>11663</v>
      </c>
      <c r="BW34">
        <v>986</v>
      </c>
      <c r="BX34">
        <v>195.2607390894</v>
      </c>
      <c r="BY34">
        <v>154.58417849899999</v>
      </c>
      <c r="CA34" t="s">
        <v>386</v>
      </c>
      <c r="CB34" t="s">
        <v>866</v>
      </c>
      <c r="CC34" t="s">
        <v>996</v>
      </c>
      <c r="CD34">
        <v>5552</v>
      </c>
      <c r="CE34">
        <v>1960</v>
      </c>
      <c r="CF34">
        <v>135.26548991350001</v>
      </c>
      <c r="CG34">
        <v>17642</v>
      </c>
      <c r="CH34">
        <v>1660</v>
      </c>
      <c r="CI34">
        <v>237.91996372290001</v>
      </c>
      <c r="CJ34">
        <v>189.6445783133</v>
      </c>
      <c r="CL34" t="s">
        <v>386</v>
      </c>
      <c r="CM34" t="s">
        <v>835</v>
      </c>
      <c r="CN34" t="s">
        <v>839</v>
      </c>
      <c r="CO34">
        <v>229</v>
      </c>
      <c r="CP34">
        <v>36</v>
      </c>
      <c r="CQ34">
        <v>78.799126637599997</v>
      </c>
      <c r="CR34">
        <v>1571</v>
      </c>
      <c r="CS34">
        <v>136</v>
      </c>
      <c r="CT34">
        <v>86.413112667099995</v>
      </c>
      <c r="CU34">
        <v>90.051470588200004</v>
      </c>
      <c r="CW34" t="s">
        <v>386</v>
      </c>
      <c r="CX34" t="s">
        <v>851</v>
      </c>
      <c r="CY34" t="s">
        <v>855</v>
      </c>
      <c r="CZ34">
        <v>205</v>
      </c>
      <c r="DA34">
        <v>30</v>
      </c>
      <c r="DB34">
        <v>73.892682926800006</v>
      </c>
      <c r="DC34">
        <v>467</v>
      </c>
      <c r="DD34">
        <v>32</v>
      </c>
      <c r="DE34">
        <v>143.3832976445</v>
      </c>
      <c r="DF34">
        <v>132.59375</v>
      </c>
      <c r="DH34" t="s">
        <v>386</v>
      </c>
      <c r="DI34" t="s">
        <v>819</v>
      </c>
      <c r="DJ34" t="s">
        <v>823</v>
      </c>
      <c r="DK34">
        <v>250</v>
      </c>
      <c r="DL34">
        <v>35</v>
      </c>
      <c r="DM34">
        <v>76.3</v>
      </c>
      <c r="DN34">
        <v>535</v>
      </c>
      <c r="DO34">
        <v>39</v>
      </c>
      <c r="DP34">
        <v>149.8579439252</v>
      </c>
      <c r="DQ34">
        <v>155.641025641</v>
      </c>
    </row>
    <row r="35" spans="2:121" x14ac:dyDescent="0.2">
      <c r="B35" t="s">
        <v>105</v>
      </c>
      <c r="C35">
        <v>731</v>
      </c>
      <c r="D35">
        <v>654</v>
      </c>
      <c r="F35" t="s">
        <v>74</v>
      </c>
      <c r="G35">
        <v>9046</v>
      </c>
      <c r="H35">
        <v>308.78587220870003</v>
      </c>
      <c r="I35">
        <v>12173</v>
      </c>
      <c r="J35">
        <v>2548</v>
      </c>
      <c r="K35">
        <v>16680</v>
      </c>
      <c r="L35">
        <v>7253</v>
      </c>
      <c r="M35">
        <v>1775</v>
      </c>
      <c r="N35">
        <v>1211</v>
      </c>
      <c r="O35">
        <v>1944</v>
      </c>
      <c r="P35">
        <v>1355</v>
      </c>
      <c r="Q35">
        <v>0</v>
      </c>
      <c r="R35">
        <v>66</v>
      </c>
      <c r="AH35" t="s">
        <v>63</v>
      </c>
      <c r="AI35">
        <v>5884</v>
      </c>
      <c r="AJ35">
        <v>261.35333106730002</v>
      </c>
      <c r="AK35">
        <v>9958</v>
      </c>
      <c r="AL35">
        <v>3198</v>
      </c>
      <c r="AM35">
        <v>9089</v>
      </c>
      <c r="AN35">
        <v>4639</v>
      </c>
      <c r="AO35">
        <v>1818</v>
      </c>
      <c r="AP35">
        <v>1069</v>
      </c>
      <c r="AQ35">
        <v>1505</v>
      </c>
      <c r="AR35">
        <v>812</v>
      </c>
      <c r="AS35">
        <v>880</v>
      </c>
      <c r="AT35">
        <v>16</v>
      </c>
      <c r="AV35" t="s">
        <v>405</v>
      </c>
      <c r="AW35">
        <v>563</v>
      </c>
      <c r="AX35">
        <v>63.078152753099999</v>
      </c>
      <c r="AY35">
        <v>837</v>
      </c>
      <c r="AZ35">
        <v>74</v>
      </c>
      <c r="BA35">
        <v>891</v>
      </c>
      <c r="BB35">
        <v>107</v>
      </c>
      <c r="BC35">
        <v>10</v>
      </c>
      <c r="BD35">
        <v>10</v>
      </c>
      <c r="BE35">
        <v>60</v>
      </c>
      <c r="BF35">
        <v>12</v>
      </c>
      <c r="BG35">
        <v>507</v>
      </c>
      <c r="BH35">
        <v>67</v>
      </c>
      <c r="BJ35" t="s">
        <v>534</v>
      </c>
      <c r="BK35" t="s">
        <v>379</v>
      </c>
      <c r="BL35">
        <v>2881</v>
      </c>
      <c r="BM35">
        <v>866</v>
      </c>
      <c r="BN35">
        <v>104.8622006248</v>
      </c>
      <c r="BO35">
        <v>6016</v>
      </c>
      <c r="BP35">
        <v>548</v>
      </c>
      <c r="BQ35">
        <v>166.2051196809</v>
      </c>
      <c r="BR35">
        <v>149.99270072990001</v>
      </c>
      <c r="BS35">
        <v>2523</v>
      </c>
      <c r="BT35">
        <v>778</v>
      </c>
      <c r="BU35">
        <v>102.698771304</v>
      </c>
      <c r="BV35">
        <v>6224</v>
      </c>
      <c r="BW35">
        <v>509</v>
      </c>
      <c r="BX35">
        <v>167.32647814910001</v>
      </c>
      <c r="BY35">
        <v>149.5874263261</v>
      </c>
      <c r="CA35" t="s">
        <v>381</v>
      </c>
      <c r="CB35" t="s">
        <v>866</v>
      </c>
      <c r="CC35" t="s">
        <v>997</v>
      </c>
      <c r="CD35">
        <v>4612</v>
      </c>
      <c r="CE35">
        <v>1334</v>
      </c>
      <c r="CF35">
        <v>112.96118820469999</v>
      </c>
      <c r="CG35">
        <v>12485</v>
      </c>
      <c r="CH35">
        <v>977</v>
      </c>
      <c r="CI35">
        <v>198.23243892670001</v>
      </c>
      <c r="CJ35">
        <v>167.56806550670001</v>
      </c>
      <c r="CL35" t="s">
        <v>381</v>
      </c>
      <c r="CM35" t="s">
        <v>835</v>
      </c>
      <c r="CN35" t="s">
        <v>840</v>
      </c>
      <c r="CO35">
        <v>176</v>
      </c>
      <c r="CP35">
        <v>25</v>
      </c>
      <c r="CQ35">
        <v>70.914772727300004</v>
      </c>
      <c r="CR35">
        <v>1382</v>
      </c>
      <c r="CS35">
        <v>98</v>
      </c>
      <c r="CT35">
        <v>70.077424023199995</v>
      </c>
      <c r="CU35">
        <v>73.489795918400006</v>
      </c>
      <c r="CW35" t="s">
        <v>381</v>
      </c>
      <c r="CX35" t="s">
        <v>851</v>
      </c>
      <c r="CY35" t="s">
        <v>856</v>
      </c>
      <c r="CZ35">
        <v>82</v>
      </c>
      <c r="DA35">
        <v>7</v>
      </c>
      <c r="DB35">
        <v>58.3292682927</v>
      </c>
      <c r="DC35">
        <v>188</v>
      </c>
      <c r="DD35">
        <v>15</v>
      </c>
      <c r="DE35">
        <v>132.63297872339999</v>
      </c>
      <c r="DF35">
        <v>148.26666666669999</v>
      </c>
      <c r="DH35" t="s">
        <v>381</v>
      </c>
      <c r="DI35" t="s">
        <v>819</v>
      </c>
      <c r="DJ35" t="s">
        <v>824</v>
      </c>
      <c r="DK35">
        <v>30</v>
      </c>
      <c r="DL35">
        <v>5</v>
      </c>
      <c r="DM35">
        <v>76.633333333300001</v>
      </c>
      <c r="DN35">
        <v>111</v>
      </c>
      <c r="DO35">
        <v>6</v>
      </c>
      <c r="DP35">
        <v>159.07207207210001</v>
      </c>
      <c r="DQ35">
        <v>92.666666666699996</v>
      </c>
    </row>
    <row r="36" spans="2:121" x14ac:dyDescent="0.2">
      <c r="B36" t="s">
        <v>98</v>
      </c>
      <c r="C36">
        <v>515</v>
      </c>
      <c r="D36">
        <v>419</v>
      </c>
      <c r="F36" t="s">
        <v>50</v>
      </c>
      <c r="G36">
        <v>2292</v>
      </c>
      <c r="H36">
        <v>218.20506108199999</v>
      </c>
      <c r="I36">
        <v>2247</v>
      </c>
      <c r="J36">
        <v>555</v>
      </c>
      <c r="K36">
        <v>3536</v>
      </c>
      <c r="L36">
        <v>1843</v>
      </c>
      <c r="M36">
        <v>242</v>
      </c>
      <c r="N36">
        <v>223</v>
      </c>
      <c r="O36">
        <v>1075</v>
      </c>
      <c r="P36">
        <v>800</v>
      </c>
      <c r="Q36">
        <v>2</v>
      </c>
      <c r="R36">
        <v>17</v>
      </c>
      <c r="T36" t="s">
        <v>656</v>
      </c>
      <c r="U36" t="s">
        <v>315</v>
      </c>
      <c r="V36" t="s">
        <v>139</v>
      </c>
      <c r="W36" t="s">
        <v>222</v>
      </c>
      <c r="X36" t="s">
        <v>469</v>
      </c>
      <c r="Y36" t="s">
        <v>224</v>
      </c>
      <c r="Z36" t="s">
        <v>225</v>
      </c>
      <c r="AA36" t="s">
        <v>226</v>
      </c>
      <c r="AB36" t="s">
        <v>470</v>
      </c>
      <c r="AC36" t="s">
        <v>228</v>
      </c>
      <c r="AD36" t="s">
        <v>229</v>
      </c>
      <c r="AE36" t="s">
        <v>230</v>
      </c>
      <c r="AF36" t="s">
        <v>231</v>
      </c>
      <c r="AH36" t="s">
        <v>392</v>
      </c>
      <c r="AI36">
        <v>15929</v>
      </c>
      <c r="AJ36">
        <v>342.95511331530003</v>
      </c>
      <c r="AK36">
        <v>18767</v>
      </c>
      <c r="AL36">
        <v>6443</v>
      </c>
      <c r="AM36">
        <v>21644</v>
      </c>
      <c r="AN36">
        <v>13971</v>
      </c>
      <c r="AO36">
        <v>4178</v>
      </c>
      <c r="AP36">
        <v>3461</v>
      </c>
      <c r="AQ36">
        <v>8289</v>
      </c>
      <c r="AR36">
        <v>4330</v>
      </c>
      <c r="AS36">
        <v>775</v>
      </c>
      <c r="AT36">
        <v>40</v>
      </c>
      <c r="AV36" t="s">
        <v>393</v>
      </c>
      <c r="AW36">
        <v>753</v>
      </c>
      <c r="AX36">
        <v>93.808764940200007</v>
      </c>
      <c r="AY36">
        <v>626</v>
      </c>
      <c r="AZ36">
        <v>110</v>
      </c>
      <c r="BA36">
        <v>1197</v>
      </c>
      <c r="BB36">
        <v>363</v>
      </c>
      <c r="BC36">
        <v>15</v>
      </c>
      <c r="BD36">
        <v>15</v>
      </c>
      <c r="BE36">
        <v>324</v>
      </c>
      <c r="BF36">
        <v>42</v>
      </c>
      <c r="BG36">
        <v>116</v>
      </c>
      <c r="BH36">
        <v>226</v>
      </c>
      <c r="BJ36" t="s">
        <v>379</v>
      </c>
      <c r="BK36" t="s">
        <v>379</v>
      </c>
      <c r="BL36">
        <v>73906</v>
      </c>
      <c r="BM36">
        <v>24137</v>
      </c>
      <c r="BN36">
        <v>120.0422834411</v>
      </c>
      <c r="BO36">
        <v>213157</v>
      </c>
      <c r="BP36">
        <v>17239</v>
      </c>
      <c r="BQ36">
        <v>195.54546179580001</v>
      </c>
      <c r="BR36">
        <v>165.7315389524</v>
      </c>
      <c r="BS36">
        <v>73893</v>
      </c>
      <c r="BT36">
        <v>24494</v>
      </c>
      <c r="BU36">
        <v>119.3215730854</v>
      </c>
      <c r="BV36">
        <v>210601</v>
      </c>
      <c r="BW36">
        <v>17147</v>
      </c>
      <c r="BX36">
        <v>192.78298773509999</v>
      </c>
      <c r="BY36">
        <v>164.9630256021</v>
      </c>
      <c r="CA36" t="s">
        <v>425</v>
      </c>
      <c r="CB36" t="s">
        <v>866</v>
      </c>
      <c r="CC36" t="s">
        <v>998</v>
      </c>
      <c r="CD36">
        <v>1340</v>
      </c>
      <c r="CE36">
        <v>327</v>
      </c>
      <c r="CF36">
        <v>101.7156716418</v>
      </c>
      <c r="CG36">
        <v>3383</v>
      </c>
      <c r="CH36">
        <v>266</v>
      </c>
      <c r="CI36">
        <v>176.74164942359999</v>
      </c>
      <c r="CJ36">
        <v>154.72180451130001</v>
      </c>
      <c r="CL36" t="s">
        <v>425</v>
      </c>
      <c r="CM36" t="s">
        <v>835</v>
      </c>
      <c r="CN36" t="s">
        <v>841</v>
      </c>
      <c r="CO36">
        <v>57</v>
      </c>
      <c r="CP36">
        <v>4</v>
      </c>
      <c r="CQ36">
        <v>64.526315789500003</v>
      </c>
      <c r="CR36">
        <v>393</v>
      </c>
      <c r="CS36">
        <v>34</v>
      </c>
      <c r="CT36">
        <v>73.508905852400005</v>
      </c>
      <c r="CU36">
        <v>62.5</v>
      </c>
      <c r="CW36" t="s">
        <v>425</v>
      </c>
      <c r="CX36" t="s">
        <v>851</v>
      </c>
      <c r="CY36" t="s">
        <v>857</v>
      </c>
      <c r="CZ36">
        <v>18</v>
      </c>
      <c r="DA36">
        <v>1</v>
      </c>
      <c r="DB36">
        <v>73.333333333300004</v>
      </c>
      <c r="DC36">
        <v>54</v>
      </c>
      <c r="DD36">
        <v>4</v>
      </c>
      <c r="DE36">
        <v>123.75925925929999</v>
      </c>
      <c r="DF36">
        <v>189.75</v>
      </c>
      <c r="DH36" t="s">
        <v>425</v>
      </c>
      <c r="DI36" t="s">
        <v>819</v>
      </c>
      <c r="DJ36" t="s">
        <v>825</v>
      </c>
      <c r="DK36">
        <v>15</v>
      </c>
      <c r="DL36">
        <v>2</v>
      </c>
      <c r="DM36">
        <v>84.866666666699999</v>
      </c>
      <c r="DN36">
        <v>23</v>
      </c>
      <c r="DO36">
        <v>0</v>
      </c>
      <c r="DP36">
        <v>159.0434782609</v>
      </c>
      <c r="DQ36">
        <v>0</v>
      </c>
    </row>
    <row r="37" spans="2:121" x14ac:dyDescent="0.2">
      <c r="B37" t="s">
        <v>121</v>
      </c>
      <c r="C37">
        <v>3645</v>
      </c>
      <c r="D37">
        <v>744</v>
      </c>
      <c r="F37" t="s">
        <v>85</v>
      </c>
      <c r="G37">
        <v>849</v>
      </c>
      <c r="H37">
        <v>308.53356890459997</v>
      </c>
      <c r="I37">
        <v>845</v>
      </c>
      <c r="J37">
        <v>291</v>
      </c>
      <c r="K37">
        <v>929</v>
      </c>
      <c r="L37">
        <v>429</v>
      </c>
      <c r="M37">
        <v>10</v>
      </c>
      <c r="N37">
        <v>8</v>
      </c>
      <c r="O37">
        <v>352</v>
      </c>
      <c r="P37">
        <v>146</v>
      </c>
      <c r="Q37">
        <v>0</v>
      </c>
      <c r="R37">
        <v>0</v>
      </c>
      <c r="T37" t="s">
        <v>400</v>
      </c>
      <c r="U37">
        <v>3124</v>
      </c>
      <c r="V37">
        <v>59.539052496799997</v>
      </c>
      <c r="W37">
        <v>4572</v>
      </c>
      <c r="X37">
        <v>351</v>
      </c>
      <c r="Y37">
        <v>4947</v>
      </c>
      <c r="Z37">
        <v>503</v>
      </c>
      <c r="AA37">
        <v>58</v>
      </c>
      <c r="AB37">
        <v>57</v>
      </c>
      <c r="AC37">
        <v>305</v>
      </c>
      <c r="AD37">
        <v>84</v>
      </c>
      <c r="AE37">
        <v>3718</v>
      </c>
      <c r="AF37">
        <v>453</v>
      </c>
      <c r="AH37" t="s">
        <v>429</v>
      </c>
      <c r="AI37">
        <v>243</v>
      </c>
      <c r="AJ37">
        <v>221.06584362140001</v>
      </c>
      <c r="AK37">
        <v>686</v>
      </c>
      <c r="AL37">
        <v>161</v>
      </c>
      <c r="AM37">
        <v>771</v>
      </c>
      <c r="AN37">
        <v>152</v>
      </c>
      <c r="AO37">
        <v>74</v>
      </c>
      <c r="AP37">
        <v>44</v>
      </c>
      <c r="AQ37">
        <v>107</v>
      </c>
      <c r="AR37">
        <v>36</v>
      </c>
      <c r="AS37">
        <v>0</v>
      </c>
      <c r="AT37">
        <v>0</v>
      </c>
      <c r="AV37" t="s">
        <v>401</v>
      </c>
      <c r="AW37">
        <v>631</v>
      </c>
      <c r="AX37">
        <v>64.760697305899996</v>
      </c>
      <c r="AY37">
        <v>927</v>
      </c>
      <c r="AZ37">
        <v>85</v>
      </c>
      <c r="BA37">
        <v>1041</v>
      </c>
      <c r="BB37">
        <v>132</v>
      </c>
      <c r="BC37">
        <v>19</v>
      </c>
      <c r="BD37">
        <v>19</v>
      </c>
      <c r="BE37">
        <v>66</v>
      </c>
      <c r="BF37">
        <v>16</v>
      </c>
      <c r="BG37">
        <v>564</v>
      </c>
      <c r="BH37">
        <v>74</v>
      </c>
      <c r="BJ37" t="s">
        <v>536</v>
      </c>
      <c r="BK37" t="s">
        <v>379</v>
      </c>
      <c r="BL37">
        <v>7737</v>
      </c>
      <c r="BM37">
        <v>3198</v>
      </c>
      <c r="BN37">
        <v>141.64740855630001</v>
      </c>
      <c r="BO37">
        <v>24195</v>
      </c>
      <c r="BP37">
        <v>1571</v>
      </c>
      <c r="BQ37">
        <v>232.65306881590001</v>
      </c>
      <c r="BR37">
        <v>180.77721196690001</v>
      </c>
      <c r="BS37">
        <v>8120</v>
      </c>
      <c r="BT37">
        <v>3434</v>
      </c>
      <c r="BU37">
        <v>142.8522167488</v>
      </c>
      <c r="BV37">
        <v>24744</v>
      </c>
      <c r="BW37">
        <v>1673</v>
      </c>
      <c r="BX37">
        <v>231.0010103459</v>
      </c>
      <c r="BY37">
        <v>180.97429766889999</v>
      </c>
      <c r="CA37" t="s">
        <v>384</v>
      </c>
      <c r="CB37" t="s">
        <v>866</v>
      </c>
      <c r="CC37" t="s">
        <v>999</v>
      </c>
      <c r="CD37">
        <v>4385</v>
      </c>
      <c r="CE37">
        <v>1545</v>
      </c>
      <c r="CF37">
        <v>121.0982896237</v>
      </c>
      <c r="CG37">
        <v>11221</v>
      </c>
      <c r="CH37">
        <v>879</v>
      </c>
      <c r="CI37">
        <v>193.5493271544</v>
      </c>
      <c r="CJ37">
        <v>166.9317406143</v>
      </c>
      <c r="CL37" t="s">
        <v>384</v>
      </c>
      <c r="CM37" t="s">
        <v>835</v>
      </c>
      <c r="CN37" t="s">
        <v>842</v>
      </c>
      <c r="CO37">
        <v>222</v>
      </c>
      <c r="CP37">
        <v>42</v>
      </c>
      <c r="CQ37">
        <v>75.004504504500005</v>
      </c>
      <c r="CR37">
        <v>1742</v>
      </c>
      <c r="CS37">
        <v>131</v>
      </c>
      <c r="CT37">
        <v>78.330654420200005</v>
      </c>
      <c r="CU37">
        <v>72.519083969500002</v>
      </c>
      <c r="CW37" t="s">
        <v>384</v>
      </c>
      <c r="CX37" t="s">
        <v>851</v>
      </c>
      <c r="CY37" t="s">
        <v>858</v>
      </c>
      <c r="CZ37">
        <v>80</v>
      </c>
      <c r="DA37">
        <v>9</v>
      </c>
      <c r="DB37">
        <v>68.362499999999997</v>
      </c>
      <c r="DC37">
        <v>187</v>
      </c>
      <c r="DD37">
        <v>17</v>
      </c>
      <c r="DE37">
        <v>139.66310160430001</v>
      </c>
      <c r="DF37">
        <v>138.1764705882</v>
      </c>
      <c r="DH37" t="s">
        <v>384</v>
      </c>
      <c r="DI37" t="s">
        <v>819</v>
      </c>
      <c r="DJ37" t="s">
        <v>826</v>
      </c>
      <c r="DK37">
        <v>56</v>
      </c>
      <c r="DL37">
        <v>5</v>
      </c>
      <c r="DM37">
        <v>68.053571428599994</v>
      </c>
      <c r="DN37">
        <v>159</v>
      </c>
      <c r="DO37">
        <v>11</v>
      </c>
      <c r="DP37">
        <v>143.10062893080001</v>
      </c>
      <c r="DQ37">
        <v>108.0909090909</v>
      </c>
    </row>
    <row r="38" spans="2:121" x14ac:dyDescent="0.2">
      <c r="B38" t="s">
        <v>102</v>
      </c>
      <c r="C38">
        <v>15893</v>
      </c>
      <c r="D38">
        <v>2325</v>
      </c>
      <c r="F38" t="s">
        <v>52</v>
      </c>
      <c r="G38">
        <v>4533</v>
      </c>
      <c r="H38">
        <v>380.28590337520001</v>
      </c>
      <c r="I38">
        <v>4258</v>
      </c>
      <c r="J38">
        <v>2018</v>
      </c>
      <c r="K38">
        <v>6150</v>
      </c>
      <c r="L38">
        <v>4306</v>
      </c>
      <c r="M38">
        <v>1695</v>
      </c>
      <c r="N38">
        <v>1423</v>
      </c>
      <c r="O38">
        <v>2289</v>
      </c>
      <c r="P38">
        <v>1846</v>
      </c>
      <c r="Q38">
        <v>85</v>
      </c>
      <c r="R38">
        <v>170</v>
      </c>
      <c r="T38" t="s">
        <v>390</v>
      </c>
      <c r="U38">
        <v>6736</v>
      </c>
      <c r="V38">
        <v>90.365201900200006</v>
      </c>
      <c r="W38">
        <v>5715</v>
      </c>
      <c r="X38">
        <v>933</v>
      </c>
      <c r="Y38">
        <v>10535</v>
      </c>
      <c r="Z38">
        <v>2615</v>
      </c>
      <c r="AA38">
        <v>224</v>
      </c>
      <c r="AB38">
        <v>213</v>
      </c>
      <c r="AC38">
        <v>2106</v>
      </c>
      <c r="AD38">
        <v>338</v>
      </c>
      <c r="AE38">
        <v>1765</v>
      </c>
      <c r="AF38">
        <v>1402</v>
      </c>
      <c r="AH38" t="s">
        <v>401</v>
      </c>
      <c r="AI38">
        <v>10354</v>
      </c>
      <c r="AJ38">
        <v>500.04829051569999</v>
      </c>
      <c r="AK38">
        <v>8623</v>
      </c>
      <c r="AL38">
        <v>2554</v>
      </c>
      <c r="AM38">
        <v>13843</v>
      </c>
      <c r="AN38">
        <v>10585</v>
      </c>
      <c r="AO38">
        <v>1637</v>
      </c>
      <c r="AP38">
        <v>1566</v>
      </c>
      <c r="AQ38">
        <v>4874</v>
      </c>
      <c r="AR38">
        <v>3469</v>
      </c>
      <c r="AS38">
        <v>45</v>
      </c>
      <c r="AT38">
        <v>344</v>
      </c>
      <c r="AV38" t="s">
        <v>406</v>
      </c>
      <c r="AW38">
        <v>275</v>
      </c>
      <c r="AX38">
        <v>57.861818181799997</v>
      </c>
      <c r="AY38">
        <v>292</v>
      </c>
      <c r="AZ38">
        <v>23</v>
      </c>
      <c r="BA38">
        <v>402</v>
      </c>
      <c r="BB38">
        <v>35</v>
      </c>
      <c r="BC38">
        <v>6</v>
      </c>
      <c r="BD38">
        <v>6</v>
      </c>
      <c r="BE38">
        <v>13</v>
      </c>
      <c r="BF38">
        <v>3</v>
      </c>
      <c r="BG38">
        <v>344</v>
      </c>
      <c r="BH38">
        <v>27</v>
      </c>
      <c r="BJ38" t="s">
        <v>539</v>
      </c>
      <c r="BK38" t="s">
        <v>379</v>
      </c>
      <c r="BL38">
        <v>4804</v>
      </c>
      <c r="BM38">
        <v>1749</v>
      </c>
      <c r="BN38">
        <v>136.8605328893</v>
      </c>
      <c r="BO38">
        <v>11056</v>
      </c>
      <c r="BP38">
        <v>744</v>
      </c>
      <c r="BQ38">
        <v>211.5027134588</v>
      </c>
      <c r="BR38">
        <v>198.69623655909999</v>
      </c>
      <c r="BS38">
        <v>5075</v>
      </c>
      <c r="BT38">
        <v>1757</v>
      </c>
      <c r="BU38">
        <v>131.66640394090001</v>
      </c>
      <c r="BV38">
        <v>9624</v>
      </c>
      <c r="BW38">
        <v>693</v>
      </c>
      <c r="BX38">
        <v>207.23067331670001</v>
      </c>
      <c r="BY38">
        <v>188.37662337660001</v>
      </c>
      <c r="CA38" t="s">
        <v>63</v>
      </c>
      <c r="CB38" t="s">
        <v>866</v>
      </c>
      <c r="CC38" t="s">
        <v>528</v>
      </c>
      <c r="CD38">
        <v>9744</v>
      </c>
      <c r="CE38">
        <v>3123</v>
      </c>
      <c r="CF38">
        <v>118.338772578</v>
      </c>
      <c r="CG38">
        <v>26657</v>
      </c>
      <c r="CH38">
        <v>2217</v>
      </c>
      <c r="CI38">
        <v>201.02761000859999</v>
      </c>
      <c r="CJ38">
        <v>177.95128552099999</v>
      </c>
      <c r="CL38" t="s">
        <v>63</v>
      </c>
      <c r="CM38" t="s">
        <v>835</v>
      </c>
      <c r="CN38" t="s">
        <v>843</v>
      </c>
      <c r="CO38">
        <v>571</v>
      </c>
      <c r="CP38">
        <v>74</v>
      </c>
      <c r="CQ38">
        <v>71.206654991199997</v>
      </c>
      <c r="CR38">
        <v>4131</v>
      </c>
      <c r="CS38">
        <v>327</v>
      </c>
      <c r="CT38">
        <v>69.999031711499995</v>
      </c>
      <c r="CU38">
        <v>72.666666666699996</v>
      </c>
      <c r="CW38" t="s">
        <v>63</v>
      </c>
      <c r="CX38" t="s">
        <v>851</v>
      </c>
      <c r="CY38" t="s">
        <v>859</v>
      </c>
      <c r="CZ38">
        <v>196</v>
      </c>
      <c r="DA38">
        <v>25</v>
      </c>
      <c r="DB38">
        <v>67.688775510200003</v>
      </c>
      <c r="DC38">
        <v>470</v>
      </c>
      <c r="DD38">
        <v>51</v>
      </c>
      <c r="DE38">
        <v>136.25531914890001</v>
      </c>
      <c r="DF38">
        <v>123.8823529412</v>
      </c>
      <c r="DH38" t="s">
        <v>63</v>
      </c>
      <c r="DI38" t="s">
        <v>819</v>
      </c>
      <c r="DJ38" t="s">
        <v>827</v>
      </c>
      <c r="DK38">
        <v>128</v>
      </c>
      <c r="DL38">
        <v>16</v>
      </c>
      <c r="DM38">
        <v>76.3828125</v>
      </c>
      <c r="DN38">
        <v>376</v>
      </c>
      <c r="DO38">
        <v>24</v>
      </c>
      <c r="DP38">
        <v>150.52393617019999</v>
      </c>
      <c r="DQ38">
        <v>132.0833333333</v>
      </c>
    </row>
    <row r="39" spans="2:121" x14ac:dyDescent="0.2">
      <c r="B39" t="s">
        <v>130</v>
      </c>
      <c r="C39">
        <v>5020</v>
      </c>
      <c r="D39">
        <v>700</v>
      </c>
      <c r="F39" t="s">
        <v>55</v>
      </c>
      <c r="G39">
        <v>7741</v>
      </c>
      <c r="H39">
        <v>413.20617491280001</v>
      </c>
      <c r="I39">
        <v>10502</v>
      </c>
      <c r="J39">
        <v>4093</v>
      </c>
      <c r="K39">
        <v>9299</v>
      </c>
      <c r="L39">
        <v>6839</v>
      </c>
      <c r="M39">
        <v>1000</v>
      </c>
      <c r="N39">
        <v>900</v>
      </c>
      <c r="O39">
        <v>5382</v>
      </c>
      <c r="P39">
        <v>3781</v>
      </c>
      <c r="Q39">
        <v>2</v>
      </c>
      <c r="R39">
        <v>37</v>
      </c>
      <c r="T39" t="s">
        <v>379</v>
      </c>
      <c r="U39">
        <v>6137</v>
      </c>
      <c r="V39">
        <v>91.431318233699997</v>
      </c>
      <c r="W39">
        <v>6608</v>
      </c>
      <c r="X39">
        <v>1216</v>
      </c>
      <c r="Y39">
        <v>9784</v>
      </c>
      <c r="Z39">
        <v>2679</v>
      </c>
      <c r="AA39">
        <v>407</v>
      </c>
      <c r="AB39">
        <v>398</v>
      </c>
      <c r="AC39">
        <v>3246</v>
      </c>
      <c r="AD39">
        <v>472</v>
      </c>
      <c r="AE39">
        <v>875</v>
      </c>
      <c r="AF39">
        <v>1931</v>
      </c>
      <c r="AH39" t="s">
        <v>422</v>
      </c>
      <c r="AI39">
        <v>5005</v>
      </c>
      <c r="AJ39">
        <v>270.63436563440001</v>
      </c>
      <c r="AK39">
        <v>7414</v>
      </c>
      <c r="AL39">
        <v>1977</v>
      </c>
      <c r="AM39">
        <v>7774</v>
      </c>
      <c r="AN39">
        <v>3455</v>
      </c>
      <c r="AO39">
        <v>1149</v>
      </c>
      <c r="AP39">
        <v>587</v>
      </c>
      <c r="AQ39">
        <v>1133</v>
      </c>
      <c r="AR39">
        <v>451</v>
      </c>
      <c r="AS39">
        <v>8</v>
      </c>
      <c r="AT39">
        <v>65</v>
      </c>
      <c r="AV39" t="s">
        <v>424</v>
      </c>
      <c r="AW39">
        <v>28</v>
      </c>
      <c r="AX39">
        <v>78.785714285699996</v>
      </c>
      <c r="AY39">
        <v>32</v>
      </c>
      <c r="AZ39">
        <v>6</v>
      </c>
      <c r="BA39">
        <v>46</v>
      </c>
      <c r="BB39">
        <v>10</v>
      </c>
      <c r="BC39">
        <v>5</v>
      </c>
      <c r="BD39">
        <v>4</v>
      </c>
      <c r="BE39">
        <v>25</v>
      </c>
      <c r="BF39">
        <v>2</v>
      </c>
      <c r="BG39">
        <v>9</v>
      </c>
      <c r="BH39">
        <v>11</v>
      </c>
      <c r="BJ39" t="s">
        <v>524</v>
      </c>
      <c r="BK39" t="s">
        <v>379</v>
      </c>
      <c r="BL39">
        <v>2068</v>
      </c>
      <c r="BM39">
        <v>459</v>
      </c>
      <c r="BN39">
        <v>88.7553191489</v>
      </c>
      <c r="BO39">
        <v>19917</v>
      </c>
      <c r="BP39">
        <v>1535</v>
      </c>
      <c r="BQ39">
        <v>55.971582065600003</v>
      </c>
      <c r="BR39">
        <v>51.018241042299998</v>
      </c>
      <c r="BS39">
        <v>3967</v>
      </c>
      <c r="BT39">
        <v>1896</v>
      </c>
      <c r="BU39">
        <v>153.7305268465</v>
      </c>
      <c r="BV39">
        <v>24688</v>
      </c>
      <c r="BW39">
        <v>1951</v>
      </c>
      <c r="BX39">
        <v>85.591988010400001</v>
      </c>
      <c r="BY39">
        <v>95.491030240900002</v>
      </c>
      <c r="CA39" t="s">
        <v>392</v>
      </c>
      <c r="CB39" t="s">
        <v>866</v>
      </c>
      <c r="CC39" t="s">
        <v>1000</v>
      </c>
      <c r="CD39">
        <v>17724</v>
      </c>
      <c r="CE39">
        <v>6237</v>
      </c>
      <c r="CF39">
        <v>126.0459828481</v>
      </c>
      <c r="CG39">
        <v>48698</v>
      </c>
      <c r="CH39">
        <v>3917</v>
      </c>
      <c r="CI39">
        <v>198.9319479239</v>
      </c>
      <c r="CJ39">
        <v>172.29308143989999</v>
      </c>
      <c r="CL39" t="s">
        <v>392</v>
      </c>
      <c r="CM39" t="s">
        <v>835</v>
      </c>
      <c r="CN39" t="s">
        <v>844</v>
      </c>
      <c r="CO39">
        <v>627</v>
      </c>
      <c r="CP39">
        <v>104</v>
      </c>
      <c r="CQ39">
        <v>75.652312599699997</v>
      </c>
      <c r="CR39">
        <v>4438</v>
      </c>
      <c r="CS39">
        <v>336</v>
      </c>
      <c r="CT39">
        <v>76.613114015299999</v>
      </c>
      <c r="CU39">
        <v>67.815476190499993</v>
      </c>
      <c r="CW39" t="s">
        <v>392</v>
      </c>
      <c r="CX39" t="s">
        <v>851</v>
      </c>
      <c r="CY39" t="s">
        <v>860</v>
      </c>
      <c r="CZ39">
        <v>502</v>
      </c>
      <c r="DA39">
        <v>76</v>
      </c>
      <c r="DB39">
        <v>76.986055776900002</v>
      </c>
      <c r="DC39">
        <v>1089</v>
      </c>
      <c r="DD39">
        <v>80</v>
      </c>
      <c r="DE39">
        <v>141.83011937559999</v>
      </c>
      <c r="DF39">
        <v>133.13749999999999</v>
      </c>
      <c r="DH39" t="s">
        <v>392</v>
      </c>
      <c r="DI39" t="s">
        <v>819</v>
      </c>
      <c r="DJ39" t="s">
        <v>828</v>
      </c>
      <c r="DK39">
        <v>979</v>
      </c>
      <c r="DL39">
        <v>98</v>
      </c>
      <c r="DM39">
        <v>68.225740551599998</v>
      </c>
      <c r="DN39">
        <v>1465</v>
      </c>
      <c r="DO39">
        <v>135</v>
      </c>
      <c r="DP39">
        <v>128.6075085324</v>
      </c>
      <c r="DQ39">
        <v>137.4740740741</v>
      </c>
    </row>
    <row r="40" spans="2:121" x14ac:dyDescent="0.2">
      <c r="B40" t="s">
        <v>111</v>
      </c>
      <c r="C40">
        <v>6332</v>
      </c>
      <c r="D40">
        <v>4851</v>
      </c>
      <c r="F40" t="s">
        <v>63</v>
      </c>
      <c r="G40">
        <v>3536</v>
      </c>
      <c r="H40">
        <v>267.58908371040002</v>
      </c>
      <c r="I40">
        <v>4790</v>
      </c>
      <c r="J40">
        <v>1686</v>
      </c>
      <c r="K40">
        <v>5273</v>
      </c>
      <c r="L40">
        <v>2950</v>
      </c>
      <c r="M40">
        <v>1625</v>
      </c>
      <c r="N40">
        <v>1009</v>
      </c>
      <c r="O40">
        <v>288</v>
      </c>
      <c r="P40">
        <v>209</v>
      </c>
      <c r="Q40">
        <v>0</v>
      </c>
      <c r="R40">
        <v>11</v>
      </c>
      <c r="T40" t="s">
        <v>8</v>
      </c>
      <c r="U40">
        <v>211</v>
      </c>
      <c r="V40">
        <v>80.341232227500001</v>
      </c>
      <c r="W40">
        <v>174</v>
      </c>
      <c r="X40">
        <v>66</v>
      </c>
      <c r="Y40">
        <v>473</v>
      </c>
      <c r="Z40">
        <v>173</v>
      </c>
      <c r="AA40">
        <v>24</v>
      </c>
      <c r="AB40">
        <v>23</v>
      </c>
      <c r="AC40">
        <v>157</v>
      </c>
      <c r="AD40">
        <v>28</v>
      </c>
      <c r="AE40">
        <v>56</v>
      </c>
      <c r="AF40">
        <v>16</v>
      </c>
      <c r="AH40" t="s">
        <v>419</v>
      </c>
      <c r="AI40">
        <v>9833</v>
      </c>
      <c r="AJ40">
        <v>391.11247838909998</v>
      </c>
      <c r="AK40">
        <v>5637</v>
      </c>
      <c r="AL40">
        <v>2149</v>
      </c>
      <c r="AM40">
        <v>12708</v>
      </c>
      <c r="AN40">
        <v>8548</v>
      </c>
      <c r="AO40">
        <v>3552</v>
      </c>
      <c r="AP40">
        <v>3007</v>
      </c>
      <c r="AQ40">
        <v>1569</v>
      </c>
      <c r="AR40">
        <v>724</v>
      </c>
      <c r="AS40">
        <v>2</v>
      </c>
      <c r="AT40">
        <v>80</v>
      </c>
      <c r="AV40" t="s">
        <v>420</v>
      </c>
      <c r="AW40">
        <v>622</v>
      </c>
      <c r="AX40">
        <v>54.212218649500002</v>
      </c>
      <c r="AY40">
        <v>1455</v>
      </c>
      <c r="AZ40">
        <v>47</v>
      </c>
      <c r="BA40">
        <v>1183</v>
      </c>
      <c r="BB40">
        <v>102</v>
      </c>
      <c r="BC40">
        <v>10</v>
      </c>
      <c r="BD40">
        <v>9</v>
      </c>
      <c r="BE40">
        <v>55</v>
      </c>
      <c r="BF40">
        <v>30</v>
      </c>
      <c r="BG40">
        <v>863</v>
      </c>
      <c r="BH40">
        <v>274</v>
      </c>
      <c r="BJ40" t="s">
        <v>545</v>
      </c>
      <c r="BK40" t="s">
        <v>379</v>
      </c>
      <c r="BL40">
        <v>11389</v>
      </c>
      <c r="BM40">
        <v>3567</v>
      </c>
      <c r="BN40">
        <v>112.2020370533</v>
      </c>
      <c r="BO40">
        <v>31796</v>
      </c>
      <c r="BP40">
        <v>2689</v>
      </c>
      <c r="BQ40">
        <v>212.79434520070001</v>
      </c>
      <c r="BR40">
        <v>174.44589066570001</v>
      </c>
      <c r="BS40">
        <v>11837</v>
      </c>
      <c r="BT40">
        <v>3702</v>
      </c>
      <c r="BU40">
        <v>109.8537636225</v>
      </c>
      <c r="BV40">
        <v>30583</v>
      </c>
      <c r="BW40">
        <v>2791</v>
      </c>
      <c r="BX40">
        <v>201.5412157081</v>
      </c>
      <c r="BY40">
        <v>168.04801146540001</v>
      </c>
      <c r="CA40" t="s">
        <v>385</v>
      </c>
      <c r="CB40" t="s">
        <v>866</v>
      </c>
      <c r="CC40" t="s">
        <v>1001</v>
      </c>
      <c r="CD40">
        <v>9487</v>
      </c>
      <c r="CE40">
        <v>3331</v>
      </c>
      <c r="CF40">
        <v>127.91915252450001</v>
      </c>
      <c r="CG40">
        <v>27815</v>
      </c>
      <c r="CH40">
        <v>1893</v>
      </c>
      <c r="CI40">
        <v>214.3453891785</v>
      </c>
      <c r="CJ40">
        <v>172.68304278919999</v>
      </c>
      <c r="CL40" t="s">
        <v>385</v>
      </c>
      <c r="CM40" t="s">
        <v>835</v>
      </c>
      <c r="CN40" t="s">
        <v>845</v>
      </c>
      <c r="CO40">
        <v>646</v>
      </c>
      <c r="CP40">
        <v>81</v>
      </c>
      <c r="CQ40">
        <v>66.147058823500004</v>
      </c>
      <c r="CR40">
        <v>5014</v>
      </c>
      <c r="CS40">
        <v>363</v>
      </c>
      <c r="CT40">
        <v>68.4918228959</v>
      </c>
      <c r="CU40">
        <v>68.380165289299995</v>
      </c>
      <c r="CW40" t="s">
        <v>385</v>
      </c>
      <c r="CX40" t="s">
        <v>851</v>
      </c>
      <c r="CY40" t="s">
        <v>861</v>
      </c>
      <c r="CZ40">
        <v>172</v>
      </c>
      <c r="DA40">
        <v>24</v>
      </c>
      <c r="DB40">
        <v>70.494186046500005</v>
      </c>
      <c r="DC40">
        <v>421</v>
      </c>
      <c r="DD40">
        <v>27</v>
      </c>
      <c r="DE40">
        <v>132.7672209026</v>
      </c>
      <c r="DF40">
        <v>145.5185185185</v>
      </c>
      <c r="DH40" t="s">
        <v>385</v>
      </c>
      <c r="DI40" t="s">
        <v>819</v>
      </c>
      <c r="DJ40" t="s">
        <v>829</v>
      </c>
      <c r="DK40">
        <v>94</v>
      </c>
      <c r="DL40">
        <v>17</v>
      </c>
      <c r="DM40">
        <v>82.904255319100002</v>
      </c>
      <c r="DN40">
        <v>281</v>
      </c>
      <c r="DO40">
        <v>19</v>
      </c>
      <c r="DP40">
        <v>152.82206405689999</v>
      </c>
      <c r="DQ40">
        <v>157.47368421050001</v>
      </c>
    </row>
    <row r="41" spans="2:121" x14ac:dyDescent="0.2">
      <c r="B41" t="s">
        <v>119</v>
      </c>
      <c r="C41">
        <v>13185</v>
      </c>
      <c r="D41">
        <v>2268</v>
      </c>
      <c r="F41" t="s">
        <v>25</v>
      </c>
      <c r="G41">
        <v>13225</v>
      </c>
      <c r="H41">
        <v>348.53005671080001</v>
      </c>
      <c r="I41">
        <v>15136</v>
      </c>
      <c r="J41">
        <v>5400</v>
      </c>
      <c r="K41">
        <v>18179</v>
      </c>
      <c r="L41">
        <v>12295</v>
      </c>
      <c r="M41">
        <v>4453</v>
      </c>
      <c r="N41">
        <v>3895</v>
      </c>
      <c r="O41">
        <v>14063</v>
      </c>
      <c r="P41">
        <v>8937</v>
      </c>
      <c r="Q41">
        <v>61</v>
      </c>
      <c r="R41">
        <v>27</v>
      </c>
      <c r="T41" t="s">
        <v>395</v>
      </c>
      <c r="U41">
        <v>1779</v>
      </c>
      <c r="V41">
        <v>59.631815626799998</v>
      </c>
      <c r="W41">
        <v>2962</v>
      </c>
      <c r="X41">
        <v>136</v>
      </c>
      <c r="Y41">
        <v>3050</v>
      </c>
      <c r="Z41">
        <v>297</v>
      </c>
      <c r="AA41">
        <v>37</v>
      </c>
      <c r="AB41">
        <v>36</v>
      </c>
      <c r="AC41">
        <v>178</v>
      </c>
      <c r="AD41">
        <v>66</v>
      </c>
      <c r="AE41">
        <v>2286</v>
      </c>
      <c r="AF41">
        <v>488</v>
      </c>
      <c r="AH41" t="s">
        <v>8</v>
      </c>
      <c r="AI41">
        <v>8960</v>
      </c>
      <c r="AJ41">
        <v>413.94185267860001</v>
      </c>
      <c r="AK41">
        <v>4354</v>
      </c>
      <c r="AL41">
        <v>2043</v>
      </c>
      <c r="AM41">
        <v>10914</v>
      </c>
      <c r="AN41">
        <v>8221</v>
      </c>
      <c r="AO41">
        <v>1351</v>
      </c>
      <c r="AP41">
        <v>1152</v>
      </c>
      <c r="AQ41">
        <v>16161</v>
      </c>
      <c r="AR41">
        <v>10833</v>
      </c>
      <c r="AS41">
        <v>382</v>
      </c>
      <c r="AT41">
        <v>139</v>
      </c>
      <c r="AV41" t="s">
        <v>421</v>
      </c>
      <c r="AW41">
        <v>214</v>
      </c>
      <c r="AX41">
        <v>67.785046729000001</v>
      </c>
      <c r="AY41">
        <v>208</v>
      </c>
      <c r="AZ41">
        <v>19</v>
      </c>
      <c r="BA41">
        <v>330</v>
      </c>
      <c r="BB41">
        <v>46</v>
      </c>
      <c r="BC41">
        <v>13</v>
      </c>
      <c r="BD41">
        <v>13</v>
      </c>
      <c r="BE41">
        <v>24</v>
      </c>
      <c r="BF41">
        <v>6</v>
      </c>
      <c r="BG41">
        <v>270</v>
      </c>
      <c r="BH41">
        <v>21</v>
      </c>
      <c r="BJ41" t="s">
        <v>637</v>
      </c>
      <c r="BK41" t="s">
        <v>379</v>
      </c>
      <c r="BL41">
        <v>1429</v>
      </c>
      <c r="BM41">
        <v>209</v>
      </c>
      <c r="BN41">
        <v>82.086773967799999</v>
      </c>
      <c r="BO41">
        <v>3617</v>
      </c>
      <c r="BP41">
        <v>279</v>
      </c>
      <c r="BQ41">
        <v>130.06745922030001</v>
      </c>
      <c r="BR41">
        <v>151.97849462369999</v>
      </c>
      <c r="BS41">
        <v>5405</v>
      </c>
      <c r="BT41">
        <v>1746</v>
      </c>
      <c r="BU41">
        <v>131.27900092510001</v>
      </c>
      <c r="BV41">
        <v>16116</v>
      </c>
      <c r="BW41">
        <v>1321</v>
      </c>
      <c r="BX41">
        <v>213.9023951353</v>
      </c>
      <c r="BY41">
        <v>208.0666161998</v>
      </c>
      <c r="CA41" t="s">
        <v>382</v>
      </c>
      <c r="CB41" t="s">
        <v>866</v>
      </c>
      <c r="CC41" t="s">
        <v>1002</v>
      </c>
      <c r="CD41">
        <v>911</v>
      </c>
      <c r="CE41">
        <v>229</v>
      </c>
      <c r="CF41">
        <v>97.306256860600001</v>
      </c>
      <c r="CG41">
        <v>2560</v>
      </c>
      <c r="CH41">
        <v>192</v>
      </c>
      <c r="CI41">
        <v>115.64882812499999</v>
      </c>
      <c r="CJ41">
        <v>111.84375</v>
      </c>
      <c r="CL41" t="s">
        <v>382</v>
      </c>
      <c r="CM41" t="s">
        <v>835</v>
      </c>
      <c r="CN41" t="s">
        <v>846</v>
      </c>
      <c r="CO41">
        <v>46</v>
      </c>
      <c r="CP41">
        <v>1</v>
      </c>
      <c r="CQ41">
        <v>53.652173912999999</v>
      </c>
      <c r="CR41">
        <v>298</v>
      </c>
      <c r="CS41">
        <v>47</v>
      </c>
      <c r="CT41">
        <v>69.798657718100003</v>
      </c>
      <c r="CU41">
        <v>66.148936170200002</v>
      </c>
      <c r="CW41" t="s">
        <v>382</v>
      </c>
      <c r="CX41" t="s">
        <v>851</v>
      </c>
      <c r="CY41" t="s">
        <v>862</v>
      </c>
      <c r="CZ41">
        <v>7</v>
      </c>
      <c r="DA41">
        <v>1</v>
      </c>
      <c r="DB41">
        <v>46.714285714299997</v>
      </c>
      <c r="DC41">
        <v>28</v>
      </c>
      <c r="DD41">
        <v>0</v>
      </c>
      <c r="DE41">
        <v>100.3928571429</v>
      </c>
      <c r="DF41">
        <v>0</v>
      </c>
      <c r="DH41" t="s">
        <v>382</v>
      </c>
      <c r="DI41" t="s">
        <v>819</v>
      </c>
      <c r="DJ41" t="s">
        <v>830</v>
      </c>
      <c r="DK41">
        <v>3</v>
      </c>
      <c r="DL41">
        <v>0</v>
      </c>
      <c r="DM41">
        <v>50.333333333299997</v>
      </c>
      <c r="DN41">
        <v>13</v>
      </c>
      <c r="DO41">
        <v>0</v>
      </c>
      <c r="DP41">
        <v>145.92307692310001</v>
      </c>
      <c r="DQ41">
        <v>0</v>
      </c>
    </row>
    <row r="42" spans="2:121" x14ac:dyDescent="0.2">
      <c r="B42" t="s">
        <v>118</v>
      </c>
      <c r="C42">
        <v>5039</v>
      </c>
      <c r="D42">
        <v>289</v>
      </c>
      <c r="F42" t="s">
        <v>69</v>
      </c>
      <c r="G42">
        <v>8815</v>
      </c>
      <c r="H42">
        <v>399.42858763470002</v>
      </c>
      <c r="I42">
        <v>5510</v>
      </c>
      <c r="J42">
        <v>2091</v>
      </c>
      <c r="K42">
        <v>10953</v>
      </c>
      <c r="L42">
        <v>7445</v>
      </c>
      <c r="M42">
        <v>3759</v>
      </c>
      <c r="N42">
        <v>3216</v>
      </c>
      <c r="O42">
        <v>1356</v>
      </c>
      <c r="P42">
        <v>722</v>
      </c>
      <c r="Q42">
        <v>0</v>
      </c>
      <c r="R42">
        <v>76</v>
      </c>
      <c r="T42" t="s">
        <v>414</v>
      </c>
      <c r="U42">
        <v>1374</v>
      </c>
      <c r="V42">
        <v>46.9868995633</v>
      </c>
      <c r="W42">
        <v>3613</v>
      </c>
      <c r="X42">
        <v>135</v>
      </c>
      <c r="Y42">
        <v>2370</v>
      </c>
      <c r="Z42">
        <v>202</v>
      </c>
      <c r="AA42">
        <v>26</v>
      </c>
      <c r="AB42">
        <v>24</v>
      </c>
      <c r="AC42">
        <v>132</v>
      </c>
      <c r="AD42">
        <v>58</v>
      </c>
      <c r="AE42">
        <v>1932</v>
      </c>
      <c r="AF42">
        <v>651</v>
      </c>
      <c r="AH42" t="s">
        <v>385</v>
      </c>
      <c r="AI42">
        <v>8205</v>
      </c>
      <c r="AJ42">
        <v>393.54881170020002</v>
      </c>
      <c r="AK42">
        <v>9740</v>
      </c>
      <c r="AL42">
        <v>3391</v>
      </c>
      <c r="AM42">
        <v>11870</v>
      </c>
      <c r="AN42">
        <v>7799</v>
      </c>
      <c r="AO42">
        <v>984</v>
      </c>
      <c r="AP42">
        <v>672</v>
      </c>
      <c r="AQ42">
        <v>6144</v>
      </c>
      <c r="AR42">
        <v>3411</v>
      </c>
      <c r="AS42">
        <v>820</v>
      </c>
      <c r="AT42">
        <v>11</v>
      </c>
      <c r="AV42" t="s">
        <v>63</v>
      </c>
      <c r="AW42">
        <v>1037</v>
      </c>
      <c r="AX42">
        <v>89.122468659600003</v>
      </c>
      <c r="AY42">
        <v>1375</v>
      </c>
      <c r="AZ42">
        <v>242</v>
      </c>
      <c r="BA42">
        <v>1724</v>
      </c>
      <c r="BB42">
        <v>456</v>
      </c>
      <c r="BC42">
        <v>50</v>
      </c>
      <c r="BD42">
        <v>48</v>
      </c>
      <c r="BE42">
        <v>545</v>
      </c>
      <c r="BF42">
        <v>95</v>
      </c>
      <c r="BG42">
        <v>119</v>
      </c>
      <c r="BH42">
        <v>312</v>
      </c>
      <c r="BJ42" t="s">
        <v>639</v>
      </c>
      <c r="BK42" t="s">
        <v>379</v>
      </c>
      <c r="BL42">
        <v>426</v>
      </c>
      <c r="BM42">
        <v>125</v>
      </c>
      <c r="BN42">
        <v>107.1408450704</v>
      </c>
      <c r="BO42">
        <v>1258</v>
      </c>
      <c r="BP42">
        <v>73</v>
      </c>
      <c r="BQ42">
        <v>171.55564387920001</v>
      </c>
      <c r="BR42">
        <v>147.46575342470001</v>
      </c>
      <c r="BS42">
        <v>615</v>
      </c>
      <c r="BT42">
        <v>359</v>
      </c>
      <c r="BU42">
        <v>136.6796747967</v>
      </c>
      <c r="BV42">
        <v>1924</v>
      </c>
      <c r="BW42">
        <v>143</v>
      </c>
      <c r="BX42">
        <v>192.7666320166</v>
      </c>
      <c r="BY42">
        <v>173.6853146853</v>
      </c>
      <c r="CA42" t="s">
        <v>427</v>
      </c>
      <c r="CB42" t="s">
        <v>866</v>
      </c>
      <c r="CC42" t="s">
        <v>1003</v>
      </c>
      <c r="CD42">
        <v>451</v>
      </c>
      <c r="CE42">
        <v>118</v>
      </c>
      <c r="CF42">
        <v>99.066518846999998</v>
      </c>
      <c r="CG42">
        <v>1263</v>
      </c>
      <c r="CH42">
        <v>79</v>
      </c>
      <c r="CI42">
        <v>167.66508313540001</v>
      </c>
      <c r="CJ42">
        <v>154.88607594940001</v>
      </c>
      <c r="CL42" t="s">
        <v>427</v>
      </c>
      <c r="CM42" t="s">
        <v>835</v>
      </c>
      <c r="CN42" t="s">
        <v>847</v>
      </c>
      <c r="CO42">
        <v>13</v>
      </c>
      <c r="CP42">
        <v>2</v>
      </c>
      <c r="CQ42">
        <v>84.538461538500002</v>
      </c>
      <c r="CR42">
        <v>111</v>
      </c>
      <c r="CS42">
        <v>9</v>
      </c>
      <c r="CT42">
        <v>85.261261261300007</v>
      </c>
      <c r="CU42">
        <v>106.44444444440001</v>
      </c>
      <c r="CW42" t="s">
        <v>427</v>
      </c>
      <c r="CX42" t="s">
        <v>851</v>
      </c>
      <c r="CY42" t="s">
        <v>863</v>
      </c>
      <c r="CZ42">
        <v>1</v>
      </c>
      <c r="DA42">
        <v>0</v>
      </c>
      <c r="DB42">
        <v>15</v>
      </c>
      <c r="DC42">
        <v>22</v>
      </c>
      <c r="DD42">
        <v>2</v>
      </c>
      <c r="DE42">
        <v>134.9090909091</v>
      </c>
      <c r="DF42">
        <v>97.5</v>
      </c>
      <c r="DH42" t="s">
        <v>427</v>
      </c>
      <c r="DI42" t="s">
        <v>819</v>
      </c>
      <c r="DJ42" t="s">
        <v>831</v>
      </c>
      <c r="DK42">
        <v>2</v>
      </c>
      <c r="DL42">
        <v>0</v>
      </c>
      <c r="DM42">
        <v>73.5</v>
      </c>
      <c r="DN42">
        <v>16</v>
      </c>
      <c r="DO42">
        <v>2</v>
      </c>
      <c r="DP42">
        <v>154</v>
      </c>
      <c r="DQ42">
        <v>108</v>
      </c>
    </row>
    <row r="43" spans="2:121" x14ac:dyDescent="0.2">
      <c r="B43" t="s">
        <v>133</v>
      </c>
      <c r="C43">
        <v>58647</v>
      </c>
      <c r="D43">
        <v>47316</v>
      </c>
      <c r="F43" t="s">
        <v>78</v>
      </c>
      <c r="G43">
        <v>4747</v>
      </c>
      <c r="H43">
        <v>269.71771645249999</v>
      </c>
      <c r="I43">
        <v>4768</v>
      </c>
      <c r="J43">
        <v>1308</v>
      </c>
      <c r="K43">
        <v>7296</v>
      </c>
      <c r="L43">
        <v>4705</v>
      </c>
      <c r="M43">
        <v>2314</v>
      </c>
      <c r="N43">
        <v>2192</v>
      </c>
      <c r="O43">
        <v>5709</v>
      </c>
      <c r="P43">
        <v>4709</v>
      </c>
      <c r="Q43">
        <v>43</v>
      </c>
      <c r="R43">
        <v>115</v>
      </c>
      <c r="AH43" t="s">
        <v>437</v>
      </c>
      <c r="AI43">
        <v>2884</v>
      </c>
      <c r="AJ43">
        <v>299.13176144239998</v>
      </c>
      <c r="AK43">
        <v>2831</v>
      </c>
      <c r="AL43">
        <v>1024</v>
      </c>
      <c r="AM43">
        <v>4846</v>
      </c>
      <c r="AN43">
        <v>3216</v>
      </c>
      <c r="AO43">
        <v>712</v>
      </c>
      <c r="AP43">
        <v>620</v>
      </c>
      <c r="AQ43">
        <v>1986</v>
      </c>
      <c r="AR43">
        <v>1289</v>
      </c>
      <c r="AS43">
        <v>183</v>
      </c>
      <c r="AT43">
        <v>4</v>
      </c>
      <c r="AV43" t="s">
        <v>426</v>
      </c>
      <c r="AW43">
        <v>111</v>
      </c>
      <c r="AX43">
        <v>86.576576576600004</v>
      </c>
      <c r="AY43">
        <v>74</v>
      </c>
      <c r="AZ43">
        <v>14</v>
      </c>
      <c r="BA43">
        <v>173</v>
      </c>
      <c r="BB43">
        <v>50</v>
      </c>
      <c r="BC43">
        <v>6</v>
      </c>
      <c r="BD43">
        <v>6</v>
      </c>
      <c r="BE43">
        <v>49</v>
      </c>
      <c r="BF43">
        <v>6</v>
      </c>
      <c r="BG43">
        <v>12</v>
      </c>
      <c r="BH43">
        <v>27</v>
      </c>
      <c r="BJ43" t="s">
        <v>653</v>
      </c>
      <c r="BK43" t="s">
        <v>379</v>
      </c>
      <c r="BL43">
        <v>853</v>
      </c>
      <c r="BM43">
        <v>294</v>
      </c>
      <c r="BN43">
        <v>126.97420867530001</v>
      </c>
      <c r="BO43">
        <v>2240</v>
      </c>
      <c r="BP43">
        <v>150</v>
      </c>
      <c r="BQ43">
        <v>225.01607142859999</v>
      </c>
      <c r="BR43">
        <v>236.6533333333</v>
      </c>
      <c r="BS43">
        <v>695</v>
      </c>
      <c r="BT43">
        <v>200</v>
      </c>
      <c r="BU43">
        <v>117.03165467629999</v>
      </c>
      <c r="BV43">
        <v>1779</v>
      </c>
      <c r="BW43">
        <v>113</v>
      </c>
      <c r="BX43">
        <v>230.63631253509999</v>
      </c>
      <c r="BY43">
        <v>250.4513274336</v>
      </c>
      <c r="CA43" t="s">
        <v>388</v>
      </c>
      <c r="CB43" t="s">
        <v>866</v>
      </c>
      <c r="CC43" t="s">
        <v>1004</v>
      </c>
      <c r="CD43">
        <v>11832</v>
      </c>
      <c r="CE43">
        <v>3769</v>
      </c>
      <c r="CF43">
        <v>114.30983772819999</v>
      </c>
      <c r="CG43">
        <v>34146</v>
      </c>
      <c r="CH43">
        <v>2884</v>
      </c>
      <c r="CI43">
        <v>202.05877701630001</v>
      </c>
      <c r="CJ43">
        <v>165.02288488209999</v>
      </c>
      <c r="CL43" t="s">
        <v>388</v>
      </c>
      <c r="CM43" t="s">
        <v>835</v>
      </c>
      <c r="CN43" t="s">
        <v>848</v>
      </c>
      <c r="CO43">
        <v>402</v>
      </c>
      <c r="CP43">
        <v>71</v>
      </c>
      <c r="CQ43">
        <v>76.778606965199998</v>
      </c>
      <c r="CR43">
        <v>2757</v>
      </c>
      <c r="CS43">
        <v>210</v>
      </c>
      <c r="CT43">
        <v>81.961915125100006</v>
      </c>
      <c r="CU43">
        <v>79.990476190500004</v>
      </c>
      <c r="CW43" t="s">
        <v>388</v>
      </c>
      <c r="CX43" t="s">
        <v>851</v>
      </c>
      <c r="CY43" t="s">
        <v>864</v>
      </c>
      <c r="CZ43">
        <v>540</v>
      </c>
      <c r="DA43">
        <v>97</v>
      </c>
      <c r="DB43">
        <v>84.416666666699996</v>
      </c>
      <c r="DC43">
        <v>1263</v>
      </c>
      <c r="DD43">
        <v>96</v>
      </c>
      <c r="DE43">
        <v>149.41567695960001</v>
      </c>
      <c r="DF43">
        <v>146.15625</v>
      </c>
      <c r="DH43" t="s">
        <v>388</v>
      </c>
      <c r="DI43" t="s">
        <v>819</v>
      </c>
      <c r="DJ43" t="s">
        <v>832</v>
      </c>
      <c r="DK43">
        <v>759</v>
      </c>
      <c r="DL43">
        <v>104</v>
      </c>
      <c r="DM43">
        <v>76.094861660099994</v>
      </c>
      <c r="DN43">
        <v>1506</v>
      </c>
      <c r="DO43">
        <v>129</v>
      </c>
      <c r="DP43">
        <v>141.0172642762</v>
      </c>
      <c r="DQ43">
        <v>154.0465116279</v>
      </c>
    </row>
    <row r="44" spans="2:121" x14ac:dyDescent="0.2">
      <c r="B44" t="s">
        <v>132</v>
      </c>
      <c r="C44">
        <v>9312</v>
      </c>
      <c r="D44">
        <v>6167</v>
      </c>
      <c r="F44" t="s">
        <v>35</v>
      </c>
      <c r="G44">
        <v>2341</v>
      </c>
      <c r="H44">
        <v>495.8662964545</v>
      </c>
      <c r="I44">
        <v>941</v>
      </c>
      <c r="J44">
        <v>164</v>
      </c>
      <c r="K44">
        <v>2958</v>
      </c>
      <c r="L44">
        <v>2203</v>
      </c>
      <c r="M44">
        <v>1895</v>
      </c>
      <c r="N44">
        <v>1720</v>
      </c>
      <c r="O44">
        <v>120</v>
      </c>
      <c r="P44">
        <v>93</v>
      </c>
      <c r="Q44">
        <v>0</v>
      </c>
      <c r="R44">
        <v>2</v>
      </c>
      <c r="AH44" t="s">
        <v>382</v>
      </c>
      <c r="AI44">
        <v>469</v>
      </c>
      <c r="AJ44">
        <v>231.63113006399999</v>
      </c>
      <c r="AK44">
        <v>889</v>
      </c>
      <c r="AL44">
        <v>231</v>
      </c>
      <c r="AM44">
        <v>1151</v>
      </c>
      <c r="AN44">
        <v>445</v>
      </c>
      <c r="AO44">
        <v>350</v>
      </c>
      <c r="AP44">
        <v>135</v>
      </c>
      <c r="AQ44">
        <v>114</v>
      </c>
      <c r="AR44">
        <v>53</v>
      </c>
      <c r="AS44">
        <v>97</v>
      </c>
      <c r="AT44">
        <v>2</v>
      </c>
      <c r="AV44" t="s">
        <v>404</v>
      </c>
      <c r="AW44">
        <v>413</v>
      </c>
      <c r="AX44">
        <v>67.188861985499997</v>
      </c>
      <c r="AY44">
        <v>610</v>
      </c>
      <c r="AZ44">
        <v>52</v>
      </c>
      <c r="BA44">
        <v>622</v>
      </c>
      <c r="BB44">
        <v>78</v>
      </c>
      <c r="BC44">
        <v>8</v>
      </c>
      <c r="BD44">
        <v>7</v>
      </c>
      <c r="BE44">
        <v>65</v>
      </c>
      <c r="BF44">
        <v>20</v>
      </c>
      <c r="BG44">
        <v>545</v>
      </c>
      <c r="BH44">
        <v>54</v>
      </c>
      <c r="BJ44" t="s">
        <v>553</v>
      </c>
      <c r="BK44" t="s">
        <v>379</v>
      </c>
      <c r="BL44">
        <v>18018</v>
      </c>
      <c r="BM44">
        <v>6199</v>
      </c>
      <c r="BN44">
        <v>123.5614940615</v>
      </c>
      <c r="BO44">
        <v>46060</v>
      </c>
      <c r="BP44">
        <v>3771</v>
      </c>
      <c r="BQ44">
        <v>209.0622014763</v>
      </c>
      <c r="BR44">
        <v>178.2134712278</v>
      </c>
      <c r="BS44">
        <v>12521</v>
      </c>
      <c r="BT44">
        <v>3837</v>
      </c>
      <c r="BU44">
        <v>114.8921811357</v>
      </c>
      <c r="BV44">
        <v>33271</v>
      </c>
      <c r="BW44">
        <v>2497</v>
      </c>
      <c r="BX44">
        <v>215.51552402990001</v>
      </c>
      <c r="BY44">
        <v>175.7501001201</v>
      </c>
      <c r="CA44" t="s">
        <v>389</v>
      </c>
      <c r="CB44" t="s">
        <v>866</v>
      </c>
      <c r="CC44" t="s">
        <v>1005</v>
      </c>
      <c r="CD44">
        <v>2486</v>
      </c>
      <c r="CE44">
        <v>602</v>
      </c>
      <c r="CF44">
        <v>99.467417538199996</v>
      </c>
      <c r="CG44">
        <v>7847</v>
      </c>
      <c r="CH44">
        <v>843</v>
      </c>
      <c r="CI44">
        <v>149.9937555754</v>
      </c>
      <c r="CJ44">
        <v>137.6334519573</v>
      </c>
      <c r="CL44" t="s">
        <v>389</v>
      </c>
      <c r="CM44" t="s">
        <v>835</v>
      </c>
      <c r="CN44" t="s">
        <v>849</v>
      </c>
      <c r="CO44">
        <v>121</v>
      </c>
      <c r="CP44">
        <v>25</v>
      </c>
      <c r="CQ44">
        <v>81.983471074400001</v>
      </c>
      <c r="CR44">
        <v>789</v>
      </c>
      <c r="CS44">
        <v>69</v>
      </c>
      <c r="CT44">
        <v>77.935361216700002</v>
      </c>
      <c r="CU44">
        <v>58.144927536200001</v>
      </c>
      <c r="CW44" t="s">
        <v>389</v>
      </c>
      <c r="CX44" t="s">
        <v>851</v>
      </c>
      <c r="CY44" t="s">
        <v>865</v>
      </c>
      <c r="CZ44">
        <v>13</v>
      </c>
      <c r="DA44">
        <v>0</v>
      </c>
      <c r="DB44">
        <v>57.538461538500002</v>
      </c>
      <c r="DC44">
        <v>61</v>
      </c>
      <c r="DD44">
        <v>6</v>
      </c>
      <c r="DE44">
        <v>126.90163934429999</v>
      </c>
      <c r="DF44">
        <v>116.6666666667</v>
      </c>
      <c r="DH44" t="s">
        <v>389</v>
      </c>
      <c r="DI44" t="s">
        <v>819</v>
      </c>
      <c r="DJ44" t="s">
        <v>833</v>
      </c>
      <c r="DK44">
        <v>19</v>
      </c>
      <c r="DL44">
        <v>2</v>
      </c>
      <c r="DM44">
        <v>65.894736842100002</v>
      </c>
      <c r="DN44">
        <v>55</v>
      </c>
      <c r="DO44">
        <v>3</v>
      </c>
      <c r="DP44">
        <v>158.8545454545</v>
      </c>
      <c r="DQ44">
        <v>137.3333333333</v>
      </c>
    </row>
    <row r="45" spans="2:121" x14ac:dyDescent="0.2">
      <c r="B45" t="s">
        <v>106</v>
      </c>
      <c r="C45">
        <v>191</v>
      </c>
      <c r="D45">
        <v>190</v>
      </c>
      <c r="F45" t="s">
        <v>66</v>
      </c>
      <c r="G45">
        <v>5623</v>
      </c>
      <c r="H45">
        <v>419.87231015470002</v>
      </c>
      <c r="I45">
        <v>10230</v>
      </c>
      <c r="J45">
        <v>3726</v>
      </c>
      <c r="K45">
        <v>8479</v>
      </c>
      <c r="L45">
        <v>5581</v>
      </c>
      <c r="M45">
        <v>1627</v>
      </c>
      <c r="N45">
        <v>489</v>
      </c>
      <c r="O45">
        <v>7970</v>
      </c>
      <c r="P45">
        <v>4407</v>
      </c>
      <c r="Q45">
        <v>7576</v>
      </c>
      <c r="R45">
        <v>0</v>
      </c>
      <c r="AH45" t="s">
        <v>393</v>
      </c>
      <c r="AI45">
        <v>11415</v>
      </c>
      <c r="AJ45">
        <v>340.38983793249997</v>
      </c>
      <c r="AK45">
        <v>9888</v>
      </c>
      <c r="AL45">
        <v>3090</v>
      </c>
      <c r="AM45">
        <v>16266</v>
      </c>
      <c r="AN45">
        <v>11424</v>
      </c>
      <c r="AO45">
        <v>1648</v>
      </c>
      <c r="AP45">
        <v>1068</v>
      </c>
      <c r="AQ45">
        <v>2720</v>
      </c>
      <c r="AR45">
        <v>1651</v>
      </c>
      <c r="AS45">
        <v>382</v>
      </c>
      <c r="AT45">
        <v>61</v>
      </c>
      <c r="AV45" t="s">
        <v>431</v>
      </c>
      <c r="AW45">
        <v>14</v>
      </c>
      <c r="AX45">
        <v>52.571428571399998</v>
      </c>
      <c r="AY45">
        <v>37</v>
      </c>
      <c r="BA45">
        <v>30</v>
      </c>
      <c r="BB45">
        <v>6</v>
      </c>
      <c r="BC45">
        <v>0</v>
      </c>
      <c r="BE45">
        <v>0</v>
      </c>
      <c r="BG45">
        <v>33</v>
      </c>
      <c r="BH45">
        <v>2</v>
      </c>
      <c r="BJ45" t="s">
        <v>8</v>
      </c>
      <c r="BK45" t="s">
        <v>8</v>
      </c>
      <c r="BL45">
        <v>779</v>
      </c>
      <c r="BM45">
        <v>298</v>
      </c>
      <c r="BN45">
        <v>125.3748395379</v>
      </c>
      <c r="BO45">
        <v>758</v>
      </c>
      <c r="BP45">
        <v>113</v>
      </c>
      <c r="BQ45">
        <v>207.44063324539999</v>
      </c>
      <c r="BR45">
        <v>160.80530973450001</v>
      </c>
      <c r="BS45">
        <v>1614</v>
      </c>
      <c r="BT45">
        <v>346</v>
      </c>
      <c r="BU45">
        <v>97.032218091700003</v>
      </c>
      <c r="BV45">
        <v>5660</v>
      </c>
      <c r="BW45">
        <v>761</v>
      </c>
      <c r="BX45">
        <v>180.63427561840001</v>
      </c>
      <c r="BY45">
        <v>142.54533508540001</v>
      </c>
      <c r="CA45" t="s">
        <v>379</v>
      </c>
      <c r="CB45" t="s">
        <v>866</v>
      </c>
      <c r="CD45">
        <v>73434</v>
      </c>
      <c r="CE45">
        <v>23899</v>
      </c>
      <c r="CF45">
        <v>119.7078873546</v>
      </c>
      <c r="CG45">
        <v>206964</v>
      </c>
      <c r="CH45">
        <v>16783</v>
      </c>
      <c r="CI45">
        <v>199.20574592680001</v>
      </c>
      <c r="CJ45">
        <v>169.44777453379999</v>
      </c>
      <c r="CL45" t="s">
        <v>379</v>
      </c>
      <c r="CM45" t="s">
        <v>835</v>
      </c>
      <c r="CO45">
        <v>3311</v>
      </c>
      <c r="CP45">
        <v>488</v>
      </c>
      <c r="CQ45">
        <v>72.682271217199997</v>
      </c>
      <c r="CR45">
        <v>24246</v>
      </c>
      <c r="CS45">
        <v>1892</v>
      </c>
      <c r="CT45">
        <v>74.614121917000006</v>
      </c>
      <c r="CU45">
        <v>73.890591966200006</v>
      </c>
      <c r="CW45" t="s">
        <v>379</v>
      </c>
      <c r="CX45" t="s">
        <v>851</v>
      </c>
      <c r="CZ45">
        <v>1908</v>
      </c>
      <c r="DA45">
        <v>275</v>
      </c>
      <c r="DB45">
        <v>75.088574423500006</v>
      </c>
      <c r="DC45">
        <v>4511</v>
      </c>
      <c r="DD45">
        <v>348</v>
      </c>
      <c r="DE45">
        <v>141.102637996</v>
      </c>
      <c r="DF45">
        <v>136.433908046</v>
      </c>
      <c r="DH45" t="s">
        <v>379</v>
      </c>
      <c r="DI45" t="s">
        <v>819</v>
      </c>
      <c r="DK45">
        <v>2424</v>
      </c>
      <c r="DL45">
        <v>290</v>
      </c>
      <c r="DM45">
        <v>72.503300330000002</v>
      </c>
      <c r="DN45">
        <v>4687</v>
      </c>
      <c r="DO45">
        <v>376</v>
      </c>
      <c r="DP45">
        <v>139.79709835720001</v>
      </c>
      <c r="DQ45">
        <v>143.6542553191</v>
      </c>
    </row>
    <row r="46" spans="2:121" x14ac:dyDescent="0.2">
      <c r="B46" t="s">
        <v>114</v>
      </c>
      <c r="C46">
        <v>527</v>
      </c>
      <c r="D46">
        <v>485</v>
      </c>
      <c r="F46" t="s">
        <v>81</v>
      </c>
      <c r="G46">
        <v>1541</v>
      </c>
      <c r="H46">
        <v>219.02660609989999</v>
      </c>
      <c r="I46">
        <v>1267</v>
      </c>
      <c r="J46">
        <v>208</v>
      </c>
      <c r="K46">
        <v>2236</v>
      </c>
      <c r="L46">
        <v>1047</v>
      </c>
      <c r="M46">
        <v>943</v>
      </c>
      <c r="N46">
        <v>530</v>
      </c>
      <c r="O46">
        <v>943</v>
      </c>
      <c r="P46">
        <v>875</v>
      </c>
      <c r="Q46">
        <v>0</v>
      </c>
      <c r="R46">
        <v>0</v>
      </c>
      <c r="AH46" t="s">
        <v>430</v>
      </c>
      <c r="AI46">
        <v>877</v>
      </c>
      <c r="AJ46">
        <v>136.87001140250001</v>
      </c>
      <c r="AK46">
        <v>955</v>
      </c>
      <c r="AL46">
        <v>249</v>
      </c>
      <c r="AM46">
        <v>1323</v>
      </c>
      <c r="AN46">
        <v>301</v>
      </c>
      <c r="AO46">
        <v>661</v>
      </c>
      <c r="AP46">
        <v>114</v>
      </c>
      <c r="AQ46">
        <v>117</v>
      </c>
      <c r="AR46">
        <v>47</v>
      </c>
      <c r="AS46">
        <v>0</v>
      </c>
      <c r="AT46">
        <v>1</v>
      </c>
      <c r="AV46" t="s">
        <v>399</v>
      </c>
      <c r="AW46">
        <v>245</v>
      </c>
      <c r="AX46">
        <v>73.587755102000003</v>
      </c>
      <c r="AY46">
        <v>217</v>
      </c>
      <c r="AZ46">
        <v>21</v>
      </c>
      <c r="BA46">
        <v>353</v>
      </c>
      <c r="BB46">
        <v>41</v>
      </c>
      <c r="BC46">
        <v>5</v>
      </c>
      <c r="BD46">
        <v>5</v>
      </c>
      <c r="BE46">
        <v>34</v>
      </c>
      <c r="BF46">
        <v>6</v>
      </c>
      <c r="BG46">
        <v>229</v>
      </c>
      <c r="BH46">
        <v>25</v>
      </c>
      <c r="BJ46" t="s">
        <v>696</v>
      </c>
      <c r="BK46" t="s">
        <v>8</v>
      </c>
      <c r="BL46">
        <v>779</v>
      </c>
      <c r="BM46">
        <v>298</v>
      </c>
      <c r="BN46">
        <v>125.3748395379</v>
      </c>
      <c r="BO46">
        <v>758</v>
      </c>
      <c r="BP46">
        <v>113</v>
      </c>
      <c r="BQ46">
        <v>207.44063324539999</v>
      </c>
      <c r="BR46">
        <v>160.80530973450001</v>
      </c>
      <c r="BS46">
        <v>1614</v>
      </c>
      <c r="BT46">
        <v>346</v>
      </c>
      <c r="BU46">
        <v>97.032218091700003</v>
      </c>
      <c r="BV46">
        <v>5660</v>
      </c>
      <c r="BW46">
        <v>761</v>
      </c>
      <c r="BX46">
        <v>180.63427561840001</v>
      </c>
      <c r="BY46">
        <v>142.54533508540001</v>
      </c>
      <c r="CA46" t="s">
        <v>8</v>
      </c>
      <c r="CB46" t="s">
        <v>696</v>
      </c>
      <c r="CC46" t="s">
        <v>696</v>
      </c>
      <c r="CD46">
        <v>3965</v>
      </c>
      <c r="CE46">
        <v>1841</v>
      </c>
      <c r="CF46">
        <v>158.21538461540001</v>
      </c>
      <c r="CG46">
        <v>8634</v>
      </c>
      <c r="CH46">
        <v>729</v>
      </c>
      <c r="CI46">
        <v>208.10551308780001</v>
      </c>
      <c r="CJ46">
        <v>194.20301783260001</v>
      </c>
      <c r="CL46" t="s">
        <v>8</v>
      </c>
      <c r="CM46" t="s">
        <v>868</v>
      </c>
      <c r="CN46" t="s">
        <v>868</v>
      </c>
      <c r="CO46">
        <v>201</v>
      </c>
      <c r="CP46">
        <v>52</v>
      </c>
      <c r="CQ46">
        <v>102.66169154230001</v>
      </c>
      <c r="CR46">
        <v>894</v>
      </c>
      <c r="CS46">
        <v>72</v>
      </c>
      <c r="CT46">
        <v>96.881431767300001</v>
      </c>
      <c r="CU46">
        <v>100.30555555559999</v>
      </c>
      <c r="CW46" t="s">
        <v>8</v>
      </c>
      <c r="CX46" t="s">
        <v>869</v>
      </c>
      <c r="CY46" t="s">
        <v>869</v>
      </c>
      <c r="CZ46">
        <v>19</v>
      </c>
      <c r="DA46">
        <v>4</v>
      </c>
      <c r="DB46">
        <v>90.157894736800003</v>
      </c>
      <c r="DC46">
        <v>55</v>
      </c>
      <c r="DD46">
        <v>6</v>
      </c>
      <c r="DE46">
        <v>144.07272727270001</v>
      </c>
      <c r="DF46">
        <v>166.5</v>
      </c>
      <c r="DH46" t="s">
        <v>8</v>
      </c>
      <c r="DI46" t="s">
        <v>867</v>
      </c>
      <c r="DJ46" t="s">
        <v>867</v>
      </c>
      <c r="DK46">
        <v>55</v>
      </c>
      <c r="DL46">
        <v>7</v>
      </c>
      <c r="DM46">
        <v>73.400000000000006</v>
      </c>
      <c r="DN46">
        <v>169</v>
      </c>
      <c r="DO46">
        <v>11</v>
      </c>
      <c r="DP46">
        <v>148.88165680469999</v>
      </c>
      <c r="DQ46">
        <v>107.45454545450001</v>
      </c>
    </row>
    <row r="47" spans="2:121" x14ac:dyDescent="0.2">
      <c r="B47" t="s">
        <v>107</v>
      </c>
      <c r="C47">
        <v>16972</v>
      </c>
      <c r="D47">
        <v>12829</v>
      </c>
      <c r="F47" t="s">
        <v>84</v>
      </c>
      <c r="G47">
        <v>1753</v>
      </c>
      <c r="H47">
        <v>125.81802624069999</v>
      </c>
      <c r="I47">
        <v>2571</v>
      </c>
      <c r="J47">
        <v>689</v>
      </c>
      <c r="K47">
        <v>2684</v>
      </c>
      <c r="L47">
        <v>963</v>
      </c>
      <c r="M47">
        <v>249</v>
      </c>
      <c r="N47">
        <v>136</v>
      </c>
      <c r="O47">
        <v>149</v>
      </c>
      <c r="P47">
        <v>93</v>
      </c>
      <c r="Q47">
        <v>0</v>
      </c>
      <c r="R47">
        <v>10</v>
      </c>
      <c r="AH47" t="s">
        <v>394</v>
      </c>
      <c r="AI47">
        <v>7427</v>
      </c>
      <c r="AJ47">
        <v>268.9340245052</v>
      </c>
      <c r="AK47">
        <v>9906</v>
      </c>
      <c r="AL47">
        <v>2699</v>
      </c>
      <c r="AM47">
        <v>10373</v>
      </c>
      <c r="AN47">
        <v>5885</v>
      </c>
      <c r="AO47">
        <v>1269</v>
      </c>
      <c r="AP47">
        <v>1033</v>
      </c>
      <c r="AQ47">
        <v>1704</v>
      </c>
      <c r="AR47">
        <v>1007</v>
      </c>
      <c r="AS47">
        <v>37</v>
      </c>
      <c r="AT47">
        <v>220</v>
      </c>
      <c r="AV47" t="s">
        <v>433</v>
      </c>
      <c r="AW47">
        <v>53</v>
      </c>
      <c r="AX47">
        <v>84.603773584899997</v>
      </c>
      <c r="AY47">
        <v>59</v>
      </c>
      <c r="AZ47">
        <v>12</v>
      </c>
      <c r="BA47">
        <v>76</v>
      </c>
      <c r="BB47">
        <v>23</v>
      </c>
      <c r="BC47">
        <v>5</v>
      </c>
      <c r="BD47">
        <v>5</v>
      </c>
      <c r="BE47">
        <v>55</v>
      </c>
      <c r="BF47">
        <v>10</v>
      </c>
      <c r="BG47">
        <v>7</v>
      </c>
      <c r="BH47">
        <v>23</v>
      </c>
      <c r="BJ47" t="s">
        <v>596</v>
      </c>
      <c r="BK47" t="s">
        <v>414</v>
      </c>
      <c r="BL47">
        <v>3034</v>
      </c>
      <c r="BM47">
        <v>968</v>
      </c>
      <c r="BN47">
        <v>111.71951219509999</v>
      </c>
      <c r="BO47">
        <v>7208</v>
      </c>
      <c r="BP47">
        <v>665</v>
      </c>
      <c r="BQ47">
        <v>180.80854605990001</v>
      </c>
      <c r="BR47">
        <v>175.2932330827</v>
      </c>
      <c r="BS47">
        <v>2625</v>
      </c>
      <c r="BT47">
        <v>784</v>
      </c>
      <c r="BU47">
        <v>107.8742857143</v>
      </c>
      <c r="BV47">
        <v>7288</v>
      </c>
      <c r="BW47">
        <v>629</v>
      </c>
      <c r="BX47">
        <v>183.2657793633</v>
      </c>
      <c r="BY47">
        <v>176.18759936410001</v>
      </c>
      <c r="CA47" t="s">
        <v>8</v>
      </c>
      <c r="CB47" t="s">
        <v>696</v>
      </c>
      <c r="CC47" t="s">
        <v>696</v>
      </c>
      <c r="CD47">
        <v>3965</v>
      </c>
      <c r="CE47">
        <v>1841</v>
      </c>
      <c r="CF47">
        <v>158.21538461540001</v>
      </c>
      <c r="CG47">
        <v>8634</v>
      </c>
      <c r="CH47">
        <v>729</v>
      </c>
      <c r="CI47">
        <v>208.10551308780001</v>
      </c>
      <c r="CJ47">
        <v>194.20301783260001</v>
      </c>
      <c r="CL47" t="s">
        <v>8</v>
      </c>
      <c r="CM47" t="s">
        <v>868</v>
      </c>
      <c r="CN47" t="s">
        <v>868</v>
      </c>
      <c r="CO47">
        <v>201</v>
      </c>
      <c r="CP47">
        <v>52</v>
      </c>
      <c r="CQ47">
        <v>102.66169154230001</v>
      </c>
      <c r="CR47">
        <v>894</v>
      </c>
      <c r="CS47">
        <v>72</v>
      </c>
      <c r="CT47">
        <v>96.881431767300001</v>
      </c>
      <c r="CU47">
        <v>100.30555555559999</v>
      </c>
      <c r="CW47" t="s">
        <v>8</v>
      </c>
      <c r="CX47" t="s">
        <v>869</v>
      </c>
      <c r="CY47" t="s">
        <v>869</v>
      </c>
      <c r="CZ47">
        <v>19</v>
      </c>
      <c r="DA47">
        <v>4</v>
      </c>
      <c r="DB47">
        <v>90.157894736800003</v>
      </c>
      <c r="DC47">
        <v>55</v>
      </c>
      <c r="DD47">
        <v>6</v>
      </c>
      <c r="DE47">
        <v>144.07272727270001</v>
      </c>
      <c r="DF47">
        <v>166.5</v>
      </c>
      <c r="DH47" t="s">
        <v>8</v>
      </c>
      <c r="DI47" t="s">
        <v>867</v>
      </c>
      <c r="DJ47" t="s">
        <v>867</v>
      </c>
      <c r="DK47">
        <v>55</v>
      </c>
      <c r="DL47">
        <v>7</v>
      </c>
      <c r="DM47">
        <v>73.400000000000006</v>
      </c>
      <c r="DN47">
        <v>169</v>
      </c>
      <c r="DO47">
        <v>11</v>
      </c>
      <c r="DP47">
        <v>148.88165680469999</v>
      </c>
      <c r="DQ47">
        <v>107.45454545450001</v>
      </c>
    </row>
    <row r="48" spans="2:121" x14ac:dyDescent="0.2">
      <c r="B48" t="s">
        <v>123</v>
      </c>
      <c r="C48">
        <v>3877</v>
      </c>
      <c r="D48">
        <v>755</v>
      </c>
      <c r="F48" t="s">
        <v>45</v>
      </c>
      <c r="G48">
        <v>2902</v>
      </c>
      <c r="H48">
        <v>236.49862164020001</v>
      </c>
      <c r="I48">
        <v>7757</v>
      </c>
      <c r="J48">
        <v>2261</v>
      </c>
      <c r="K48">
        <v>5567</v>
      </c>
      <c r="L48">
        <v>2535</v>
      </c>
      <c r="M48">
        <v>846</v>
      </c>
      <c r="N48">
        <v>682</v>
      </c>
      <c r="O48">
        <v>798</v>
      </c>
      <c r="P48">
        <v>567</v>
      </c>
      <c r="Q48">
        <v>2</v>
      </c>
      <c r="R48">
        <v>206</v>
      </c>
      <c r="AH48" t="s">
        <v>420</v>
      </c>
      <c r="AI48">
        <v>33421</v>
      </c>
      <c r="AJ48">
        <v>329.78767840580002</v>
      </c>
      <c r="AK48">
        <v>38138</v>
      </c>
      <c r="AL48">
        <v>13035</v>
      </c>
      <c r="AM48">
        <v>46320</v>
      </c>
      <c r="AN48">
        <v>27164</v>
      </c>
      <c r="AO48">
        <v>4440</v>
      </c>
      <c r="AP48">
        <v>3421</v>
      </c>
      <c r="AQ48">
        <v>9560</v>
      </c>
      <c r="AR48">
        <v>5895</v>
      </c>
      <c r="AS48">
        <v>25</v>
      </c>
      <c r="AT48">
        <v>445</v>
      </c>
      <c r="AV48" t="s">
        <v>429</v>
      </c>
      <c r="AW48">
        <v>23</v>
      </c>
      <c r="AX48">
        <v>40.086956521700003</v>
      </c>
      <c r="AY48">
        <v>21</v>
      </c>
      <c r="BA48">
        <v>35</v>
      </c>
      <c r="BC48">
        <v>1</v>
      </c>
      <c r="BD48">
        <v>1</v>
      </c>
      <c r="BE48">
        <v>0</v>
      </c>
      <c r="BG48">
        <v>37</v>
      </c>
      <c r="BH48">
        <v>6</v>
      </c>
      <c r="BJ48" t="s">
        <v>655</v>
      </c>
      <c r="BK48" t="s">
        <v>414</v>
      </c>
      <c r="BL48">
        <v>1109</v>
      </c>
      <c r="BM48">
        <v>168</v>
      </c>
      <c r="BN48">
        <v>80.377817853899998</v>
      </c>
      <c r="BO48">
        <v>2715</v>
      </c>
      <c r="BP48">
        <v>141</v>
      </c>
      <c r="BQ48">
        <v>148.93664825050001</v>
      </c>
      <c r="BR48">
        <v>134.865248227</v>
      </c>
      <c r="BS48">
        <v>1265</v>
      </c>
      <c r="BT48">
        <v>251</v>
      </c>
      <c r="BU48">
        <v>89.3596837945</v>
      </c>
      <c r="BV48">
        <v>2697</v>
      </c>
      <c r="BW48">
        <v>149</v>
      </c>
      <c r="BX48">
        <v>150.68965517239999</v>
      </c>
      <c r="BY48">
        <v>142.64429530199999</v>
      </c>
      <c r="CA48" t="s">
        <v>8</v>
      </c>
      <c r="CB48" t="s">
        <v>696</v>
      </c>
      <c r="CC48" t="s">
        <v>696</v>
      </c>
      <c r="CD48">
        <v>3965</v>
      </c>
      <c r="CE48">
        <v>1841</v>
      </c>
      <c r="CF48">
        <v>158.21538461540001</v>
      </c>
      <c r="CG48">
        <v>8634</v>
      </c>
      <c r="CH48">
        <v>729</v>
      </c>
      <c r="CI48">
        <v>208.10551308780001</v>
      </c>
      <c r="CJ48">
        <v>194.20301783260001</v>
      </c>
      <c r="CL48" t="s">
        <v>8</v>
      </c>
      <c r="CM48" t="s">
        <v>868</v>
      </c>
      <c r="CN48" t="s">
        <v>868</v>
      </c>
      <c r="CO48">
        <v>201</v>
      </c>
      <c r="CP48">
        <v>52</v>
      </c>
      <c r="CQ48">
        <v>102.66169154230001</v>
      </c>
      <c r="CR48">
        <v>894</v>
      </c>
      <c r="CS48">
        <v>72</v>
      </c>
      <c r="CT48">
        <v>96.881431767300001</v>
      </c>
      <c r="CU48">
        <v>100.30555555559999</v>
      </c>
      <c r="CW48" t="s">
        <v>8</v>
      </c>
      <c r="CX48" t="s">
        <v>869</v>
      </c>
      <c r="CY48" t="s">
        <v>869</v>
      </c>
      <c r="CZ48">
        <v>19</v>
      </c>
      <c r="DA48">
        <v>4</v>
      </c>
      <c r="DB48">
        <v>90.157894736800003</v>
      </c>
      <c r="DC48">
        <v>55</v>
      </c>
      <c r="DD48">
        <v>6</v>
      </c>
      <c r="DE48">
        <v>144.07272727270001</v>
      </c>
      <c r="DF48">
        <v>166.5</v>
      </c>
      <c r="DH48" t="s">
        <v>8</v>
      </c>
      <c r="DI48" t="s">
        <v>867</v>
      </c>
      <c r="DJ48" t="s">
        <v>867</v>
      </c>
      <c r="DK48">
        <v>55</v>
      </c>
      <c r="DL48">
        <v>7</v>
      </c>
      <c r="DM48">
        <v>73.400000000000006</v>
      </c>
      <c r="DN48">
        <v>169</v>
      </c>
      <c r="DO48">
        <v>11</v>
      </c>
      <c r="DP48">
        <v>148.88165680469999</v>
      </c>
      <c r="DQ48">
        <v>107.45454545450001</v>
      </c>
    </row>
    <row r="49" spans="2:121" x14ac:dyDescent="0.2">
      <c r="B49" t="s">
        <v>21</v>
      </c>
      <c r="C49">
        <v>41015</v>
      </c>
      <c r="D49">
        <v>15963</v>
      </c>
      <c r="F49" t="s">
        <v>51</v>
      </c>
      <c r="G49">
        <v>9545</v>
      </c>
      <c r="H49">
        <v>537.84347826090004</v>
      </c>
      <c r="I49">
        <v>4797</v>
      </c>
      <c r="J49">
        <v>1571</v>
      </c>
      <c r="K49">
        <v>15487</v>
      </c>
      <c r="L49">
        <v>8934</v>
      </c>
      <c r="M49">
        <v>1053</v>
      </c>
      <c r="N49">
        <v>908</v>
      </c>
      <c r="O49">
        <v>1983</v>
      </c>
      <c r="P49">
        <v>1337</v>
      </c>
      <c r="Q49">
        <v>3</v>
      </c>
      <c r="R49">
        <v>207</v>
      </c>
      <c r="AH49" t="s">
        <v>416</v>
      </c>
      <c r="AI49">
        <v>2368</v>
      </c>
      <c r="AJ49">
        <v>323.953125</v>
      </c>
      <c r="AK49">
        <v>1985</v>
      </c>
      <c r="AL49">
        <v>544</v>
      </c>
      <c r="AM49">
        <v>3906</v>
      </c>
      <c r="AN49">
        <v>2017</v>
      </c>
      <c r="AO49">
        <v>615</v>
      </c>
      <c r="AP49">
        <v>451</v>
      </c>
      <c r="AQ49">
        <v>252</v>
      </c>
      <c r="AR49">
        <v>136</v>
      </c>
      <c r="AS49">
        <v>1</v>
      </c>
      <c r="AT49">
        <v>4</v>
      </c>
      <c r="AV49" t="s">
        <v>388</v>
      </c>
      <c r="AW49">
        <v>686</v>
      </c>
      <c r="AX49">
        <v>92.654518950400004</v>
      </c>
      <c r="AY49">
        <v>599</v>
      </c>
      <c r="AZ49">
        <v>121</v>
      </c>
      <c r="BA49">
        <v>1073</v>
      </c>
      <c r="BB49">
        <v>277</v>
      </c>
      <c r="BC49">
        <v>158</v>
      </c>
      <c r="BD49">
        <v>157</v>
      </c>
      <c r="BE49">
        <v>347</v>
      </c>
      <c r="BF49">
        <v>50</v>
      </c>
      <c r="BG49">
        <v>125</v>
      </c>
      <c r="BH49">
        <v>232</v>
      </c>
      <c r="BJ49" t="s">
        <v>611</v>
      </c>
      <c r="BK49" t="s">
        <v>414</v>
      </c>
      <c r="BL49">
        <v>1594</v>
      </c>
      <c r="BM49">
        <v>441</v>
      </c>
      <c r="BN49">
        <v>99.326850690100002</v>
      </c>
      <c r="BO49">
        <v>3946</v>
      </c>
      <c r="BP49">
        <v>304</v>
      </c>
      <c r="BQ49">
        <v>146.2014698429</v>
      </c>
      <c r="BR49">
        <v>144.8355263158</v>
      </c>
      <c r="BS49">
        <v>1910</v>
      </c>
      <c r="BT49">
        <v>713</v>
      </c>
      <c r="BU49">
        <v>123.0439790576</v>
      </c>
      <c r="BV49">
        <v>5307</v>
      </c>
      <c r="BW49">
        <v>434</v>
      </c>
      <c r="BX49">
        <v>164.43998492559999</v>
      </c>
      <c r="BY49">
        <v>175.97695852530001</v>
      </c>
      <c r="CA49" t="s">
        <v>8</v>
      </c>
      <c r="CB49" t="s">
        <v>696</v>
      </c>
      <c r="CD49">
        <v>3965</v>
      </c>
      <c r="CE49">
        <v>1841</v>
      </c>
      <c r="CF49">
        <v>158.21538461540001</v>
      </c>
      <c r="CG49">
        <v>8634</v>
      </c>
      <c r="CH49">
        <v>729</v>
      </c>
      <c r="CI49">
        <v>208.10551308780001</v>
      </c>
      <c r="CJ49">
        <v>194.20301783260001</v>
      </c>
      <c r="CL49" t="s">
        <v>8</v>
      </c>
      <c r="CM49" t="s">
        <v>868</v>
      </c>
      <c r="CO49">
        <v>201</v>
      </c>
      <c r="CP49">
        <v>52</v>
      </c>
      <c r="CQ49">
        <v>102.66169154230001</v>
      </c>
      <c r="CR49">
        <v>894</v>
      </c>
      <c r="CS49">
        <v>72</v>
      </c>
      <c r="CT49">
        <v>96.881431767300001</v>
      </c>
      <c r="CU49">
        <v>100.30555555559999</v>
      </c>
      <c r="CW49" t="s">
        <v>8</v>
      </c>
      <c r="CX49" t="s">
        <v>869</v>
      </c>
      <c r="CZ49">
        <v>19</v>
      </c>
      <c r="DA49">
        <v>4</v>
      </c>
      <c r="DB49">
        <v>90.157894736800003</v>
      </c>
      <c r="DC49">
        <v>55</v>
      </c>
      <c r="DD49">
        <v>6</v>
      </c>
      <c r="DE49">
        <v>144.07272727270001</v>
      </c>
      <c r="DF49">
        <v>166.5</v>
      </c>
      <c r="DH49" t="s">
        <v>8</v>
      </c>
      <c r="DI49" t="s">
        <v>867</v>
      </c>
      <c r="DK49">
        <v>55</v>
      </c>
      <c r="DL49">
        <v>7</v>
      </c>
      <c r="DM49">
        <v>73.400000000000006</v>
      </c>
      <c r="DN49">
        <v>169</v>
      </c>
      <c r="DO49">
        <v>11</v>
      </c>
      <c r="DP49">
        <v>148.88165680469999</v>
      </c>
      <c r="DQ49">
        <v>107.45454545450001</v>
      </c>
    </row>
    <row r="50" spans="2:121" x14ac:dyDescent="0.2">
      <c r="B50" t="s">
        <v>104</v>
      </c>
      <c r="C50">
        <v>220028</v>
      </c>
      <c r="D50">
        <v>165067</v>
      </c>
      <c r="F50" t="s">
        <v>43</v>
      </c>
      <c r="G50">
        <v>7388</v>
      </c>
      <c r="H50">
        <v>421.57106118029998</v>
      </c>
      <c r="I50">
        <v>7657</v>
      </c>
      <c r="J50">
        <v>3291</v>
      </c>
      <c r="K50">
        <v>9710</v>
      </c>
      <c r="L50">
        <v>6599</v>
      </c>
      <c r="M50">
        <v>2047</v>
      </c>
      <c r="N50">
        <v>1780</v>
      </c>
      <c r="O50">
        <v>5173</v>
      </c>
      <c r="P50">
        <v>3641</v>
      </c>
      <c r="Q50">
        <v>1</v>
      </c>
      <c r="R50">
        <v>57</v>
      </c>
      <c r="AH50" t="s">
        <v>427</v>
      </c>
      <c r="AI50">
        <v>544</v>
      </c>
      <c r="AJ50">
        <v>322.40625</v>
      </c>
      <c r="AK50">
        <v>453</v>
      </c>
      <c r="AL50">
        <v>121</v>
      </c>
      <c r="AM50">
        <v>902</v>
      </c>
      <c r="AN50">
        <v>485</v>
      </c>
      <c r="AO50">
        <v>168</v>
      </c>
      <c r="AP50">
        <v>101</v>
      </c>
      <c r="AQ50">
        <v>77</v>
      </c>
      <c r="AR50">
        <v>48</v>
      </c>
      <c r="AS50">
        <v>33</v>
      </c>
      <c r="AT50">
        <v>1</v>
      </c>
      <c r="AV50" t="s">
        <v>383</v>
      </c>
      <c r="AW50">
        <v>139</v>
      </c>
      <c r="AX50">
        <v>83.302158273399996</v>
      </c>
      <c r="AY50">
        <v>247</v>
      </c>
      <c r="AZ50">
        <v>40</v>
      </c>
      <c r="BA50">
        <v>216</v>
      </c>
      <c r="BB50">
        <v>56</v>
      </c>
      <c r="BC50">
        <v>7</v>
      </c>
      <c r="BD50">
        <v>7</v>
      </c>
      <c r="BE50">
        <v>104</v>
      </c>
      <c r="BF50">
        <v>12</v>
      </c>
      <c r="BG50">
        <v>19</v>
      </c>
      <c r="BH50">
        <v>67</v>
      </c>
      <c r="BJ50" t="s">
        <v>651</v>
      </c>
      <c r="BK50" t="s">
        <v>414</v>
      </c>
      <c r="BL50">
        <v>2557</v>
      </c>
      <c r="BM50">
        <v>841</v>
      </c>
      <c r="BN50">
        <v>115.22369964799999</v>
      </c>
      <c r="BO50">
        <v>7014</v>
      </c>
      <c r="BP50">
        <v>584</v>
      </c>
      <c r="BQ50">
        <v>197.34573709719999</v>
      </c>
      <c r="BR50">
        <v>163.1421232877</v>
      </c>
      <c r="BS50">
        <v>2199</v>
      </c>
      <c r="BT50">
        <v>681</v>
      </c>
      <c r="BU50">
        <v>105.125056844</v>
      </c>
      <c r="BV50">
        <v>5730</v>
      </c>
      <c r="BW50">
        <v>461</v>
      </c>
      <c r="BX50">
        <v>192.69650959859999</v>
      </c>
      <c r="BY50">
        <v>158.10629067249999</v>
      </c>
      <c r="CA50" t="s">
        <v>434</v>
      </c>
      <c r="CB50" t="s">
        <v>900</v>
      </c>
      <c r="CC50" t="s">
        <v>1027</v>
      </c>
      <c r="CD50">
        <v>1142</v>
      </c>
      <c r="CE50">
        <v>191</v>
      </c>
      <c r="CF50">
        <v>84.082311733799997</v>
      </c>
      <c r="CG50">
        <v>3528</v>
      </c>
      <c r="CH50">
        <v>204</v>
      </c>
      <c r="CI50">
        <v>130.8373015873</v>
      </c>
      <c r="CJ50">
        <v>118.4362745098</v>
      </c>
      <c r="CL50" t="s">
        <v>434</v>
      </c>
      <c r="CM50" t="s">
        <v>881</v>
      </c>
      <c r="CN50" t="s">
        <v>880</v>
      </c>
      <c r="CO50">
        <v>29</v>
      </c>
      <c r="CP50">
        <v>5</v>
      </c>
      <c r="CQ50">
        <v>71.896551724099993</v>
      </c>
      <c r="CR50">
        <v>180</v>
      </c>
      <c r="CS50">
        <v>13</v>
      </c>
      <c r="CT50">
        <v>58.594444444399997</v>
      </c>
      <c r="CU50">
        <v>64.846153846199996</v>
      </c>
      <c r="CW50" t="s">
        <v>434</v>
      </c>
      <c r="CX50" t="s">
        <v>891</v>
      </c>
      <c r="CY50" t="s">
        <v>890</v>
      </c>
      <c r="CZ50">
        <v>26</v>
      </c>
      <c r="DA50">
        <v>2</v>
      </c>
      <c r="DB50">
        <v>68</v>
      </c>
      <c r="DC50">
        <v>85</v>
      </c>
      <c r="DD50">
        <v>7</v>
      </c>
      <c r="DE50">
        <v>126.2235294118</v>
      </c>
      <c r="DF50">
        <v>150.8571428571</v>
      </c>
      <c r="DH50" t="s">
        <v>434</v>
      </c>
      <c r="DI50" t="s">
        <v>871</v>
      </c>
      <c r="DJ50" t="s">
        <v>870</v>
      </c>
      <c r="DK50">
        <v>43</v>
      </c>
      <c r="DL50">
        <v>4</v>
      </c>
      <c r="DM50">
        <v>67</v>
      </c>
      <c r="DN50">
        <v>106</v>
      </c>
      <c r="DO50">
        <v>13</v>
      </c>
      <c r="DP50">
        <v>175.58490566040001</v>
      </c>
      <c r="DQ50">
        <v>143.76923076919999</v>
      </c>
    </row>
    <row r="51" spans="2:121" x14ac:dyDescent="0.2">
      <c r="B51" t="s">
        <v>131</v>
      </c>
      <c r="C51">
        <v>19049</v>
      </c>
      <c r="D51">
        <v>2233</v>
      </c>
      <c r="F51" t="s">
        <v>440</v>
      </c>
      <c r="G51">
        <v>43808</v>
      </c>
      <c r="H51">
        <v>431.46916088389997</v>
      </c>
      <c r="I51">
        <v>973</v>
      </c>
      <c r="J51">
        <v>361</v>
      </c>
      <c r="K51">
        <v>44317</v>
      </c>
      <c r="L51">
        <v>41623</v>
      </c>
      <c r="M51">
        <v>116</v>
      </c>
      <c r="N51">
        <v>111</v>
      </c>
      <c r="O51">
        <v>1523</v>
      </c>
      <c r="P51">
        <v>1370</v>
      </c>
      <c r="Q51">
        <v>0</v>
      </c>
      <c r="R51">
        <v>1</v>
      </c>
      <c r="AH51" t="s">
        <v>388</v>
      </c>
      <c r="AI51">
        <v>16784</v>
      </c>
      <c r="AJ51">
        <v>408.76370352719999</v>
      </c>
      <c r="AK51">
        <v>12826</v>
      </c>
      <c r="AL51">
        <v>3838</v>
      </c>
      <c r="AM51">
        <v>21419</v>
      </c>
      <c r="AN51">
        <v>14276</v>
      </c>
      <c r="AO51">
        <v>2888</v>
      </c>
      <c r="AP51">
        <v>2358</v>
      </c>
      <c r="AQ51">
        <v>5626</v>
      </c>
      <c r="AR51">
        <v>4318</v>
      </c>
      <c r="AS51">
        <v>584</v>
      </c>
      <c r="AT51">
        <v>36</v>
      </c>
      <c r="AV51" t="s">
        <v>416</v>
      </c>
      <c r="AW51">
        <v>51</v>
      </c>
      <c r="AX51">
        <v>42.8431372549</v>
      </c>
      <c r="AY51">
        <v>152</v>
      </c>
      <c r="AZ51">
        <v>7</v>
      </c>
      <c r="BA51">
        <v>99</v>
      </c>
      <c r="BB51">
        <v>5</v>
      </c>
      <c r="BC51">
        <v>0</v>
      </c>
      <c r="BE51">
        <v>4</v>
      </c>
      <c r="BF51">
        <v>3</v>
      </c>
      <c r="BG51">
        <v>85</v>
      </c>
      <c r="BH51">
        <v>21</v>
      </c>
      <c r="BJ51" t="s">
        <v>603</v>
      </c>
      <c r="BK51" t="s">
        <v>414</v>
      </c>
      <c r="BL51">
        <v>10432</v>
      </c>
      <c r="BM51">
        <v>4059</v>
      </c>
      <c r="BN51">
        <v>127.4490989264</v>
      </c>
      <c r="BO51">
        <v>28056</v>
      </c>
      <c r="BP51">
        <v>2704</v>
      </c>
      <c r="BQ51">
        <v>223.97811519819999</v>
      </c>
      <c r="BR51">
        <v>175.4530325444</v>
      </c>
      <c r="BS51">
        <v>6690</v>
      </c>
      <c r="BT51">
        <v>2029</v>
      </c>
      <c r="BU51">
        <v>107.3130044843</v>
      </c>
      <c r="BV51">
        <v>18610</v>
      </c>
      <c r="BW51">
        <v>1635</v>
      </c>
      <c r="BX51">
        <v>229.8473938743</v>
      </c>
      <c r="BY51">
        <v>159.1021406728</v>
      </c>
      <c r="CA51" t="s">
        <v>436</v>
      </c>
      <c r="CB51" t="s">
        <v>900</v>
      </c>
      <c r="CC51" t="s">
        <v>1028</v>
      </c>
      <c r="CD51">
        <v>6198</v>
      </c>
      <c r="CE51">
        <v>1926</v>
      </c>
      <c r="CF51">
        <v>107.7649241691</v>
      </c>
      <c r="CG51">
        <v>19046</v>
      </c>
      <c r="CH51">
        <v>1508</v>
      </c>
      <c r="CI51">
        <v>169.44271763099999</v>
      </c>
      <c r="CJ51">
        <v>151.54177718829999</v>
      </c>
      <c r="CL51" t="s">
        <v>436</v>
      </c>
      <c r="CM51" t="s">
        <v>881</v>
      </c>
      <c r="CN51" t="s">
        <v>882</v>
      </c>
      <c r="CO51">
        <v>526</v>
      </c>
      <c r="CP51">
        <v>45</v>
      </c>
      <c r="CQ51">
        <v>61.338403041799999</v>
      </c>
      <c r="CR51">
        <v>3044</v>
      </c>
      <c r="CS51">
        <v>203</v>
      </c>
      <c r="CT51">
        <v>69.953679369300005</v>
      </c>
      <c r="CU51">
        <v>73.226600985199994</v>
      </c>
      <c r="CW51" t="s">
        <v>436</v>
      </c>
      <c r="CX51" t="s">
        <v>891</v>
      </c>
      <c r="CY51" t="s">
        <v>892</v>
      </c>
      <c r="CZ51">
        <v>188</v>
      </c>
      <c r="DA51">
        <v>37</v>
      </c>
      <c r="DB51">
        <v>80.180851063800006</v>
      </c>
      <c r="DC51">
        <v>439</v>
      </c>
      <c r="DD51">
        <v>34</v>
      </c>
      <c r="DE51">
        <v>141.27107061500001</v>
      </c>
      <c r="DF51">
        <v>150.1764705882</v>
      </c>
      <c r="DH51" t="s">
        <v>436</v>
      </c>
      <c r="DI51" t="s">
        <v>871</v>
      </c>
      <c r="DJ51" t="s">
        <v>872</v>
      </c>
      <c r="DK51">
        <v>112</v>
      </c>
      <c r="DL51">
        <v>12</v>
      </c>
      <c r="DM51">
        <v>74.321428571400006</v>
      </c>
      <c r="DN51">
        <v>388</v>
      </c>
      <c r="DO51">
        <v>29</v>
      </c>
      <c r="DP51">
        <v>175.6494845361</v>
      </c>
      <c r="DQ51">
        <v>138.4827586207</v>
      </c>
    </row>
    <row r="52" spans="2:121" x14ac:dyDescent="0.2">
      <c r="B52" t="s">
        <v>126</v>
      </c>
      <c r="C52">
        <v>560</v>
      </c>
      <c r="D52">
        <v>552</v>
      </c>
      <c r="F52" t="s">
        <v>79</v>
      </c>
      <c r="G52">
        <v>4700</v>
      </c>
      <c r="H52">
        <v>148.62659574470001</v>
      </c>
      <c r="I52">
        <v>10277</v>
      </c>
      <c r="J52">
        <v>2449</v>
      </c>
      <c r="K52">
        <v>11527</v>
      </c>
      <c r="L52">
        <v>2388</v>
      </c>
      <c r="M52">
        <v>504</v>
      </c>
      <c r="N52">
        <v>383</v>
      </c>
      <c r="O52">
        <v>1418</v>
      </c>
      <c r="P52">
        <v>555</v>
      </c>
      <c r="Q52">
        <v>15</v>
      </c>
      <c r="R52">
        <v>0</v>
      </c>
      <c r="AH52" t="s">
        <v>83</v>
      </c>
      <c r="AI52">
        <v>15572</v>
      </c>
      <c r="AJ52">
        <v>385.09594143330003</v>
      </c>
      <c r="AK52">
        <v>8048</v>
      </c>
      <c r="AL52">
        <v>2554</v>
      </c>
      <c r="AM52">
        <v>21354</v>
      </c>
      <c r="AN52">
        <v>14540</v>
      </c>
      <c r="AO52">
        <v>3663</v>
      </c>
      <c r="AP52">
        <v>3283</v>
      </c>
      <c r="AQ52">
        <v>5997</v>
      </c>
      <c r="AR52">
        <v>4841</v>
      </c>
      <c r="AS52">
        <v>7</v>
      </c>
      <c r="AT52">
        <v>145</v>
      </c>
      <c r="AV52" t="s">
        <v>402</v>
      </c>
      <c r="AW52">
        <v>318</v>
      </c>
      <c r="AX52">
        <v>63.748427673000002</v>
      </c>
      <c r="AY52">
        <v>470</v>
      </c>
      <c r="AZ52">
        <v>39</v>
      </c>
      <c r="BA52">
        <v>533</v>
      </c>
      <c r="BB52">
        <v>63</v>
      </c>
      <c r="BC52">
        <v>4</v>
      </c>
      <c r="BD52">
        <v>4</v>
      </c>
      <c r="BE52">
        <v>43</v>
      </c>
      <c r="BF52">
        <v>14</v>
      </c>
      <c r="BG52">
        <v>358</v>
      </c>
      <c r="BH52">
        <v>42</v>
      </c>
      <c r="BJ52" t="s">
        <v>625</v>
      </c>
      <c r="BK52" t="s">
        <v>414</v>
      </c>
      <c r="BL52">
        <v>1041</v>
      </c>
      <c r="BM52">
        <v>411</v>
      </c>
      <c r="BN52">
        <v>129.1421709894</v>
      </c>
      <c r="BO52">
        <v>3243</v>
      </c>
      <c r="BP52">
        <v>288</v>
      </c>
      <c r="BQ52">
        <v>167.5547332717</v>
      </c>
      <c r="BR52">
        <v>166.21875</v>
      </c>
      <c r="BS52">
        <v>1902</v>
      </c>
      <c r="BT52">
        <v>950</v>
      </c>
      <c r="BU52">
        <v>167.56992639329999</v>
      </c>
      <c r="BV52">
        <v>6184</v>
      </c>
      <c r="BW52">
        <v>533</v>
      </c>
      <c r="BX52">
        <v>213.824385511</v>
      </c>
      <c r="BY52">
        <v>200.18761726080001</v>
      </c>
      <c r="CA52" t="s">
        <v>417</v>
      </c>
      <c r="CB52" t="s">
        <v>900</v>
      </c>
      <c r="CC52" t="s">
        <v>1029</v>
      </c>
      <c r="CD52">
        <v>31804</v>
      </c>
      <c r="CE52">
        <v>10457</v>
      </c>
      <c r="CF52">
        <v>117.9269274305</v>
      </c>
      <c r="CG52">
        <v>88046</v>
      </c>
      <c r="CH52">
        <v>7897</v>
      </c>
      <c r="CI52">
        <v>199.6720123572</v>
      </c>
      <c r="CJ52">
        <v>167.31214385210001</v>
      </c>
      <c r="CL52" t="s">
        <v>417</v>
      </c>
      <c r="CM52" t="s">
        <v>881</v>
      </c>
      <c r="CN52" t="s">
        <v>883</v>
      </c>
      <c r="CO52">
        <v>2117</v>
      </c>
      <c r="CP52">
        <v>135</v>
      </c>
      <c r="CQ52">
        <v>55.992442135099999</v>
      </c>
      <c r="CR52">
        <v>12090</v>
      </c>
      <c r="CS52">
        <v>916</v>
      </c>
      <c r="CT52">
        <v>63.219272125700002</v>
      </c>
      <c r="CU52">
        <v>63.195414847199999</v>
      </c>
      <c r="CW52" t="s">
        <v>417</v>
      </c>
      <c r="CX52" t="s">
        <v>891</v>
      </c>
      <c r="CY52" t="s">
        <v>893</v>
      </c>
      <c r="CZ52">
        <v>1158</v>
      </c>
      <c r="DA52">
        <v>128</v>
      </c>
      <c r="DB52">
        <v>65.007772020700003</v>
      </c>
      <c r="DC52">
        <v>3318</v>
      </c>
      <c r="DD52">
        <v>246</v>
      </c>
      <c r="DE52">
        <v>117.9189270645</v>
      </c>
      <c r="DF52">
        <v>103.45934959349999</v>
      </c>
      <c r="DH52" t="s">
        <v>417</v>
      </c>
      <c r="DI52" t="s">
        <v>871</v>
      </c>
      <c r="DJ52" t="s">
        <v>873</v>
      </c>
      <c r="DK52">
        <v>560</v>
      </c>
      <c r="DL52">
        <v>74</v>
      </c>
      <c r="DM52">
        <v>68.125</v>
      </c>
      <c r="DN52">
        <v>1654</v>
      </c>
      <c r="DO52">
        <v>101</v>
      </c>
      <c r="DP52">
        <v>165.7430471584</v>
      </c>
      <c r="DQ52">
        <v>149.99009900990001</v>
      </c>
    </row>
    <row r="53" spans="2:121" x14ac:dyDescent="0.2">
      <c r="B53" t="s">
        <v>109</v>
      </c>
      <c r="C53">
        <v>1452</v>
      </c>
      <c r="D53">
        <v>358</v>
      </c>
      <c r="F53" t="s">
        <v>56</v>
      </c>
      <c r="G53">
        <v>10310</v>
      </c>
      <c r="H53">
        <v>446.0416100873</v>
      </c>
      <c r="I53">
        <v>6649</v>
      </c>
      <c r="J53">
        <v>3456</v>
      </c>
      <c r="K53">
        <v>14267</v>
      </c>
      <c r="L53">
        <v>9567</v>
      </c>
      <c r="M53">
        <v>2542</v>
      </c>
      <c r="N53">
        <v>2175</v>
      </c>
      <c r="O53">
        <v>1029</v>
      </c>
      <c r="P53">
        <v>681</v>
      </c>
      <c r="Q53">
        <v>76</v>
      </c>
      <c r="R53">
        <v>247</v>
      </c>
      <c r="AH53" t="s">
        <v>389</v>
      </c>
      <c r="AI53">
        <v>2383</v>
      </c>
      <c r="AJ53">
        <v>243.984892992</v>
      </c>
      <c r="AK53">
        <v>2425</v>
      </c>
      <c r="AL53">
        <v>632</v>
      </c>
      <c r="AM53">
        <v>3628</v>
      </c>
      <c r="AN53">
        <v>1955</v>
      </c>
      <c r="AO53">
        <v>308</v>
      </c>
      <c r="AP53">
        <v>254</v>
      </c>
      <c r="AQ53">
        <v>1102</v>
      </c>
      <c r="AR53">
        <v>747</v>
      </c>
      <c r="AS53">
        <v>248</v>
      </c>
      <c r="AT53">
        <v>18</v>
      </c>
      <c r="AV53" t="s">
        <v>411</v>
      </c>
      <c r="AW53">
        <v>131</v>
      </c>
      <c r="AX53">
        <v>36.610687022900002</v>
      </c>
      <c r="AY53">
        <v>303</v>
      </c>
      <c r="AZ53">
        <v>14</v>
      </c>
      <c r="BA53">
        <v>207</v>
      </c>
      <c r="BB53">
        <v>1</v>
      </c>
      <c r="BC53">
        <v>3</v>
      </c>
      <c r="BD53">
        <v>3</v>
      </c>
      <c r="BE53">
        <v>7</v>
      </c>
      <c r="BF53">
        <v>2</v>
      </c>
      <c r="BG53">
        <v>416</v>
      </c>
      <c r="BH53">
        <v>41</v>
      </c>
      <c r="BJ53" t="s">
        <v>601</v>
      </c>
      <c r="BK53" t="s">
        <v>414</v>
      </c>
      <c r="BL53">
        <v>11976</v>
      </c>
      <c r="BM53">
        <v>4350</v>
      </c>
      <c r="BN53">
        <v>128.62266199059999</v>
      </c>
      <c r="BO53">
        <v>30991</v>
      </c>
      <c r="BP53">
        <v>2992</v>
      </c>
      <c r="BQ53">
        <v>229.98780291049999</v>
      </c>
      <c r="BR53">
        <v>191.38101604280001</v>
      </c>
      <c r="BS53">
        <v>6709</v>
      </c>
      <c r="BT53">
        <v>2015</v>
      </c>
      <c r="BU53">
        <v>111.8591444329</v>
      </c>
      <c r="BV53">
        <v>18459</v>
      </c>
      <c r="BW53">
        <v>1520</v>
      </c>
      <c r="BX53">
        <v>238.13527276670001</v>
      </c>
      <c r="BY53">
        <v>179.1822368421</v>
      </c>
      <c r="CA53" t="s">
        <v>438</v>
      </c>
      <c r="CB53" t="s">
        <v>900</v>
      </c>
      <c r="CC53" t="s">
        <v>1030</v>
      </c>
      <c r="CD53">
        <v>2046</v>
      </c>
      <c r="CE53">
        <v>625</v>
      </c>
      <c r="CF53">
        <v>111.0337243402</v>
      </c>
      <c r="CG53">
        <v>6673</v>
      </c>
      <c r="CH53">
        <v>554</v>
      </c>
      <c r="CI53">
        <v>168.17113741950001</v>
      </c>
      <c r="CJ53">
        <v>143.19133574009999</v>
      </c>
      <c r="CL53" t="s">
        <v>438</v>
      </c>
      <c r="CM53" t="s">
        <v>881</v>
      </c>
      <c r="CN53" t="s">
        <v>884</v>
      </c>
      <c r="CO53">
        <v>61</v>
      </c>
      <c r="CP53">
        <v>5</v>
      </c>
      <c r="CQ53">
        <v>61.819672131099999</v>
      </c>
      <c r="CR53">
        <v>314</v>
      </c>
      <c r="CS53">
        <v>15</v>
      </c>
      <c r="CT53">
        <v>66.640127388500005</v>
      </c>
      <c r="CU53">
        <v>95.4</v>
      </c>
      <c r="CW53" t="s">
        <v>438</v>
      </c>
      <c r="CX53" t="s">
        <v>891</v>
      </c>
      <c r="CY53" t="s">
        <v>894</v>
      </c>
      <c r="CZ53">
        <v>28</v>
      </c>
      <c r="DA53">
        <v>3</v>
      </c>
      <c r="DB53">
        <v>63.892857142899999</v>
      </c>
      <c r="DC53">
        <v>98</v>
      </c>
      <c r="DD53">
        <v>10</v>
      </c>
      <c r="DE53">
        <v>127.62244897959999</v>
      </c>
      <c r="DF53">
        <v>137.69999999999999</v>
      </c>
      <c r="DH53" t="s">
        <v>438</v>
      </c>
      <c r="DI53" t="s">
        <v>871</v>
      </c>
      <c r="DJ53" t="s">
        <v>874</v>
      </c>
      <c r="DK53">
        <v>68</v>
      </c>
      <c r="DL53">
        <v>8</v>
      </c>
      <c r="DM53">
        <v>69.5</v>
      </c>
      <c r="DN53">
        <v>225</v>
      </c>
      <c r="DO53">
        <v>20</v>
      </c>
      <c r="DP53">
        <v>164.32</v>
      </c>
      <c r="DQ53">
        <v>142.80000000000001</v>
      </c>
    </row>
    <row r="54" spans="2:121" x14ac:dyDescent="0.2">
      <c r="F54" t="s">
        <v>75</v>
      </c>
      <c r="G54">
        <v>2159</v>
      </c>
      <c r="H54">
        <v>264.90226956919997</v>
      </c>
      <c r="I54">
        <v>2789</v>
      </c>
      <c r="J54">
        <v>1025</v>
      </c>
      <c r="K54">
        <v>3682</v>
      </c>
      <c r="L54">
        <v>2585</v>
      </c>
      <c r="M54">
        <v>670</v>
      </c>
      <c r="N54">
        <v>627</v>
      </c>
      <c r="O54">
        <v>1731</v>
      </c>
      <c r="P54">
        <v>1231</v>
      </c>
      <c r="Q54">
        <v>0</v>
      </c>
      <c r="R54">
        <v>5</v>
      </c>
      <c r="AH54" t="s">
        <v>406</v>
      </c>
      <c r="AI54">
        <v>5437</v>
      </c>
      <c r="AJ54">
        <v>225.9628471584</v>
      </c>
      <c r="AK54">
        <v>4086</v>
      </c>
      <c r="AL54">
        <v>1180</v>
      </c>
      <c r="AM54">
        <v>7328</v>
      </c>
      <c r="AN54">
        <v>3883</v>
      </c>
      <c r="AO54">
        <v>323</v>
      </c>
      <c r="AP54">
        <v>262</v>
      </c>
      <c r="AQ54">
        <v>694</v>
      </c>
      <c r="AR54">
        <v>311</v>
      </c>
      <c r="AS54">
        <v>9</v>
      </c>
      <c r="AT54">
        <v>8</v>
      </c>
      <c r="AV54" t="s">
        <v>434</v>
      </c>
      <c r="AW54">
        <v>6</v>
      </c>
      <c r="AX54">
        <v>53.666666666700003</v>
      </c>
      <c r="AY54">
        <v>11</v>
      </c>
      <c r="BA54">
        <v>19</v>
      </c>
      <c r="BB54">
        <v>3</v>
      </c>
      <c r="BC54">
        <v>0</v>
      </c>
      <c r="BE54">
        <v>1</v>
      </c>
      <c r="BF54">
        <v>1</v>
      </c>
      <c r="BG54">
        <v>19</v>
      </c>
      <c r="BH54">
        <v>8</v>
      </c>
      <c r="BJ54" t="s">
        <v>414</v>
      </c>
      <c r="BK54" t="s">
        <v>414</v>
      </c>
      <c r="BL54">
        <v>65632</v>
      </c>
      <c r="BM54">
        <v>21113</v>
      </c>
      <c r="BN54">
        <v>115.7465413213</v>
      </c>
      <c r="BO54">
        <v>209645</v>
      </c>
      <c r="BP54">
        <v>17820</v>
      </c>
      <c r="BQ54">
        <v>179.5617019247</v>
      </c>
      <c r="BR54">
        <v>152.1222783389</v>
      </c>
      <c r="BS54">
        <v>58592</v>
      </c>
      <c r="BT54">
        <v>18018</v>
      </c>
      <c r="BU54">
        <v>111.8897631076</v>
      </c>
      <c r="BV54">
        <v>193395</v>
      </c>
      <c r="BW54">
        <v>15945</v>
      </c>
      <c r="BX54">
        <v>177.22010910309999</v>
      </c>
      <c r="BY54">
        <v>148.83066792100001</v>
      </c>
      <c r="CA54" t="s">
        <v>418</v>
      </c>
      <c r="CB54" t="s">
        <v>900</v>
      </c>
      <c r="CC54" t="s">
        <v>1031</v>
      </c>
      <c r="CD54">
        <v>1699</v>
      </c>
      <c r="CE54">
        <v>493</v>
      </c>
      <c r="CF54">
        <v>104.04002354329999</v>
      </c>
      <c r="CG54">
        <v>4348</v>
      </c>
      <c r="CH54">
        <v>338</v>
      </c>
      <c r="CI54">
        <v>146.9038638454</v>
      </c>
      <c r="CJ54">
        <v>150.54142011830001</v>
      </c>
      <c r="CL54" t="s">
        <v>418</v>
      </c>
      <c r="CM54" t="s">
        <v>881</v>
      </c>
      <c r="CN54" t="s">
        <v>885</v>
      </c>
      <c r="CO54">
        <v>129</v>
      </c>
      <c r="CP54">
        <v>12</v>
      </c>
      <c r="CQ54">
        <v>61.922480620199998</v>
      </c>
      <c r="CR54">
        <v>701</v>
      </c>
      <c r="CS54">
        <v>48</v>
      </c>
      <c r="CT54">
        <v>58.279600570600003</v>
      </c>
      <c r="CU54">
        <v>49.083333333299997</v>
      </c>
      <c r="CW54" t="s">
        <v>418</v>
      </c>
      <c r="CX54" t="s">
        <v>891</v>
      </c>
      <c r="CY54" t="s">
        <v>895</v>
      </c>
      <c r="CZ54">
        <v>29</v>
      </c>
      <c r="DA54">
        <v>5</v>
      </c>
      <c r="DB54">
        <v>75.965517241399994</v>
      </c>
      <c r="DC54">
        <v>106</v>
      </c>
      <c r="DD54">
        <v>6</v>
      </c>
      <c r="DE54">
        <v>129.31132075470001</v>
      </c>
      <c r="DF54">
        <v>128.8333333333</v>
      </c>
      <c r="DH54" t="s">
        <v>418</v>
      </c>
      <c r="DI54" t="s">
        <v>871</v>
      </c>
      <c r="DJ54" t="s">
        <v>875</v>
      </c>
      <c r="DK54">
        <v>37</v>
      </c>
      <c r="DL54">
        <v>3</v>
      </c>
      <c r="DM54">
        <v>57.351351351399998</v>
      </c>
      <c r="DN54">
        <v>58</v>
      </c>
      <c r="DO54">
        <v>5</v>
      </c>
      <c r="DP54">
        <v>174.12068965520001</v>
      </c>
      <c r="DQ54">
        <v>239.4</v>
      </c>
    </row>
    <row r="55" spans="2:121" x14ac:dyDescent="0.2">
      <c r="F55" t="s">
        <v>53</v>
      </c>
      <c r="G55">
        <v>2534</v>
      </c>
      <c r="H55">
        <v>131.0631412786</v>
      </c>
      <c r="I55">
        <v>1982</v>
      </c>
      <c r="J55">
        <v>379</v>
      </c>
      <c r="K55">
        <v>4936</v>
      </c>
      <c r="L55">
        <v>1072</v>
      </c>
      <c r="M55">
        <v>601</v>
      </c>
      <c r="N55">
        <v>486</v>
      </c>
      <c r="O55">
        <v>308</v>
      </c>
      <c r="P55">
        <v>206</v>
      </c>
      <c r="Q55">
        <v>0</v>
      </c>
      <c r="R55">
        <v>16</v>
      </c>
      <c r="AH55" t="s">
        <v>431</v>
      </c>
      <c r="AI55">
        <v>794</v>
      </c>
      <c r="AJ55">
        <v>256.55289672539999</v>
      </c>
      <c r="AK55">
        <v>951</v>
      </c>
      <c r="AL55">
        <v>243</v>
      </c>
      <c r="AM55">
        <v>1168</v>
      </c>
      <c r="AN55">
        <v>538</v>
      </c>
      <c r="AO55">
        <v>244</v>
      </c>
      <c r="AP55">
        <v>184</v>
      </c>
      <c r="AQ55">
        <v>166</v>
      </c>
      <c r="AR55">
        <v>90</v>
      </c>
      <c r="AS55">
        <v>26</v>
      </c>
      <c r="AT55">
        <v>7</v>
      </c>
      <c r="AV55" t="s">
        <v>389</v>
      </c>
      <c r="AW55">
        <v>235</v>
      </c>
      <c r="AX55">
        <v>99.582978723400004</v>
      </c>
      <c r="AY55">
        <v>185</v>
      </c>
      <c r="AZ55">
        <v>35</v>
      </c>
      <c r="BA55">
        <v>341</v>
      </c>
      <c r="BB55">
        <v>101</v>
      </c>
      <c r="BC55">
        <v>9</v>
      </c>
      <c r="BD55">
        <v>9</v>
      </c>
      <c r="BE55">
        <v>115</v>
      </c>
      <c r="BF55">
        <v>15</v>
      </c>
      <c r="BG55">
        <v>40</v>
      </c>
      <c r="BH55">
        <v>62</v>
      </c>
      <c r="BJ55" t="s">
        <v>605</v>
      </c>
      <c r="BK55" t="s">
        <v>414</v>
      </c>
      <c r="BL55">
        <v>5447</v>
      </c>
      <c r="BM55">
        <v>1647</v>
      </c>
      <c r="BN55">
        <v>104.6493482651</v>
      </c>
      <c r="BO55">
        <v>16654</v>
      </c>
      <c r="BP55">
        <v>1270</v>
      </c>
      <c r="BQ55">
        <v>173.60507986069999</v>
      </c>
      <c r="BR55">
        <v>159.2244094488</v>
      </c>
      <c r="BS55">
        <v>8074</v>
      </c>
      <c r="BT55">
        <v>2926</v>
      </c>
      <c r="BU55">
        <v>118.0154817934</v>
      </c>
      <c r="BV55">
        <v>23788</v>
      </c>
      <c r="BW55">
        <v>2090</v>
      </c>
      <c r="BX55">
        <v>189.0098789306</v>
      </c>
      <c r="BY55">
        <v>178.32392344499999</v>
      </c>
      <c r="CA55" t="s">
        <v>423</v>
      </c>
      <c r="CB55" t="s">
        <v>900</v>
      </c>
      <c r="CC55" t="s">
        <v>1032</v>
      </c>
      <c r="CD55">
        <v>4105</v>
      </c>
      <c r="CE55">
        <v>1468</v>
      </c>
      <c r="CF55">
        <v>131.30718635810001</v>
      </c>
      <c r="CG55">
        <v>10817</v>
      </c>
      <c r="CH55">
        <v>972</v>
      </c>
      <c r="CI55">
        <v>232.30895812150001</v>
      </c>
      <c r="CJ55">
        <v>192.00617283950001</v>
      </c>
      <c r="CL55" t="s">
        <v>423</v>
      </c>
      <c r="CM55" t="s">
        <v>881</v>
      </c>
      <c r="CN55" t="s">
        <v>886</v>
      </c>
      <c r="CO55">
        <v>221</v>
      </c>
      <c r="CP55">
        <v>11</v>
      </c>
      <c r="CQ55">
        <v>55.733031674199999</v>
      </c>
      <c r="CR55">
        <v>1373</v>
      </c>
      <c r="CS55">
        <v>101</v>
      </c>
      <c r="CT55">
        <v>72.399126001499994</v>
      </c>
      <c r="CU55">
        <v>69.960396039599999</v>
      </c>
      <c r="CW55" t="s">
        <v>423</v>
      </c>
      <c r="CX55" t="s">
        <v>891</v>
      </c>
      <c r="CY55" t="s">
        <v>896</v>
      </c>
      <c r="CZ55">
        <v>69</v>
      </c>
      <c r="DA55">
        <v>10</v>
      </c>
      <c r="DB55">
        <v>73.420289855099995</v>
      </c>
      <c r="DC55">
        <v>240</v>
      </c>
      <c r="DD55">
        <v>16</v>
      </c>
      <c r="DE55">
        <v>122.47499999999999</v>
      </c>
      <c r="DF55">
        <v>119.375</v>
      </c>
      <c r="DH55" t="s">
        <v>423</v>
      </c>
      <c r="DI55" t="s">
        <v>871</v>
      </c>
      <c r="DJ55" t="s">
        <v>876</v>
      </c>
      <c r="DK55">
        <v>68</v>
      </c>
      <c r="DL55">
        <v>12</v>
      </c>
      <c r="DM55">
        <v>79.191176470599999</v>
      </c>
      <c r="DN55">
        <v>261</v>
      </c>
      <c r="DO55">
        <v>16</v>
      </c>
      <c r="DP55">
        <v>168.67432950189999</v>
      </c>
      <c r="DQ55">
        <v>135.3125</v>
      </c>
    </row>
    <row r="56" spans="2:121" x14ac:dyDescent="0.2">
      <c r="F56" t="s">
        <v>65</v>
      </c>
      <c r="G56">
        <v>11398</v>
      </c>
      <c r="H56">
        <v>402.27031058080001</v>
      </c>
      <c r="I56">
        <v>11600</v>
      </c>
      <c r="J56">
        <v>4147</v>
      </c>
      <c r="K56">
        <v>15010</v>
      </c>
      <c r="L56">
        <v>11146</v>
      </c>
      <c r="M56">
        <v>4300</v>
      </c>
      <c r="N56">
        <v>3237</v>
      </c>
      <c r="O56">
        <v>3860</v>
      </c>
      <c r="P56">
        <v>3171</v>
      </c>
      <c r="Q56">
        <v>0</v>
      </c>
      <c r="R56">
        <v>42</v>
      </c>
      <c r="BJ56" t="s">
        <v>613</v>
      </c>
      <c r="BK56" t="s">
        <v>414</v>
      </c>
      <c r="BL56">
        <v>5751</v>
      </c>
      <c r="BM56">
        <v>2115</v>
      </c>
      <c r="BN56">
        <v>125.683185533</v>
      </c>
      <c r="BO56">
        <v>14667</v>
      </c>
      <c r="BP56">
        <v>1266</v>
      </c>
      <c r="BQ56">
        <v>192.89670689299999</v>
      </c>
      <c r="BR56">
        <v>151.49447077409999</v>
      </c>
      <c r="BS56">
        <v>4871</v>
      </c>
      <c r="BT56">
        <v>1966</v>
      </c>
      <c r="BU56">
        <v>128.87846438099999</v>
      </c>
      <c r="BV56">
        <v>14531</v>
      </c>
      <c r="BW56">
        <v>1174</v>
      </c>
      <c r="BX56">
        <v>193.66595554329999</v>
      </c>
      <c r="BY56">
        <v>154.86797274279999</v>
      </c>
      <c r="CA56" t="s">
        <v>415</v>
      </c>
      <c r="CB56" t="s">
        <v>900</v>
      </c>
      <c r="CC56" t="s">
        <v>1033</v>
      </c>
      <c r="CD56">
        <v>3093</v>
      </c>
      <c r="CE56">
        <v>1009</v>
      </c>
      <c r="CF56">
        <v>114.4817329454</v>
      </c>
      <c r="CG56">
        <v>7749</v>
      </c>
      <c r="CH56">
        <v>715</v>
      </c>
      <c r="CI56">
        <v>176.442250613</v>
      </c>
      <c r="CJ56">
        <v>171.82657342659999</v>
      </c>
      <c r="CL56" t="s">
        <v>415</v>
      </c>
      <c r="CM56" t="s">
        <v>881</v>
      </c>
      <c r="CN56" t="s">
        <v>887</v>
      </c>
      <c r="CO56">
        <v>202</v>
      </c>
      <c r="CP56">
        <v>19</v>
      </c>
      <c r="CQ56">
        <v>66.653465346499999</v>
      </c>
      <c r="CR56">
        <v>1101</v>
      </c>
      <c r="CS56">
        <v>90</v>
      </c>
      <c r="CT56">
        <v>59.230699364199999</v>
      </c>
      <c r="CU56">
        <v>58.211111111100003</v>
      </c>
      <c r="CW56" t="s">
        <v>415</v>
      </c>
      <c r="CX56" t="s">
        <v>891</v>
      </c>
      <c r="CY56" t="s">
        <v>897</v>
      </c>
      <c r="CZ56">
        <v>62</v>
      </c>
      <c r="DA56">
        <v>16</v>
      </c>
      <c r="DB56">
        <v>91.725806451599993</v>
      </c>
      <c r="DC56">
        <v>127</v>
      </c>
      <c r="DD56">
        <v>12</v>
      </c>
      <c r="DE56">
        <v>126.07874015749999</v>
      </c>
      <c r="DF56">
        <v>102.3333333333</v>
      </c>
      <c r="DH56" t="s">
        <v>415</v>
      </c>
      <c r="DI56" t="s">
        <v>871</v>
      </c>
      <c r="DJ56" t="s">
        <v>877</v>
      </c>
      <c r="DK56">
        <v>54</v>
      </c>
      <c r="DL56">
        <v>4</v>
      </c>
      <c r="DM56">
        <v>71.648148148100006</v>
      </c>
      <c r="DN56">
        <v>134</v>
      </c>
      <c r="DO56">
        <v>11</v>
      </c>
      <c r="DP56">
        <v>171.1865671642</v>
      </c>
      <c r="DQ56">
        <v>134.8181818182</v>
      </c>
    </row>
    <row r="57" spans="2:121" x14ac:dyDescent="0.2">
      <c r="F57" t="s">
        <v>67</v>
      </c>
      <c r="G57">
        <v>6173</v>
      </c>
      <c r="H57">
        <v>273.3772881905</v>
      </c>
      <c r="I57">
        <v>5317</v>
      </c>
      <c r="J57">
        <v>1618</v>
      </c>
      <c r="K57">
        <v>7350</v>
      </c>
      <c r="L57">
        <v>4270</v>
      </c>
      <c r="M57">
        <v>251</v>
      </c>
      <c r="N57">
        <v>202</v>
      </c>
      <c r="O57">
        <v>2995</v>
      </c>
      <c r="P57">
        <v>2418</v>
      </c>
      <c r="Q57">
        <v>0</v>
      </c>
      <c r="R57">
        <v>65</v>
      </c>
      <c r="BJ57" t="s">
        <v>621</v>
      </c>
      <c r="BK57" t="s">
        <v>414</v>
      </c>
      <c r="BL57">
        <v>3954</v>
      </c>
      <c r="BM57">
        <v>1456</v>
      </c>
      <c r="BN57">
        <v>133.9896307537</v>
      </c>
      <c r="BO57">
        <v>10156</v>
      </c>
      <c r="BP57">
        <v>954</v>
      </c>
      <c r="BQ57">
        <v>243.17290271760001</v>
      </c>
      <c r="BR57">
        <v>201.1394129979</v>
      </c>
      <c r="BS57">
        <v>2137</v>
      </c>
      <c r="BT57">
        <v>605</v>
      </c>
      <c r="BU57">
        <v>117.7000467946</v>
      </c>
      <c r="BV57">
        <v>5057</v>
      </c>
      <c r="BW57">
        <v>491</v>
      </c>
      <c r="BX57">
        <v>273.7405576429</v>
      </c>
      <c r="BY57">
        <v>209.51527494909999</v>
      </c>
      <c r="CA57" t="s">
        <v>419</v>
      </c>
      <c r="CB57" t="s">
        <v>900</v>
      </c>
      <c r="CC57" t="s">
        <v>1034</v>
      </c>
      <c r="CD57">
        <v>5652</v>
      </c>
      <c r="CE57">
        <v>2140</v>
      </c>
      <c r="CF57">
        <v>127.32236376500001</v>
      </c>
      <c r="CG57">
        <v>15211</v>
      </c>
      <c r="CH57">
        <v>1303</v>
      </c>
      <c r="CI57">
        <v>191.14081914400001</v>
      </c>
      <c r="CJ57">
        <v>153.16653875669999</v>
      </c>
      <c r="CL57" t="s">
        <v>419</v>
      </c>
      <c r="CM57" t="s">
        <v>881</v>
      </c>
      <c r="CN57" t="s">
        <v>888</v>
      </c>
      <c r="CO57">
        <v>301</v>
      </c>
      <c r="CP57">
        <v>22</v>
      </c>
      <c r="CQ57">
        <v>62.943521594700002</v>
      </c>
      <c r="CR57">
        <v>1931</v>
      </c>
      <c r="CS57">
        <v>137</v>
      </c>
      <c r="CT57">
        <v>65.502848265099999</v>
      </c>
      <c r="CU57">
        <v>69.868613138699999</v>
      </c>
      <c r="CW57" t="s">
        <v>419</v>
      </c>
      <c r="CX57" t="s">
        <v>891</v>
      </c>
      <c r="CY57" t="s">
        <v>898</v>
      </c>
      <c r="CZ57">
        <v>101</v>
      </c>
      <c r="DA57">
        <v>7</v>
      </c>
      <c r="DB57">
        <v>56.613861386099998</v>
      </c>
      <c r="DC57">
        <v>198</v>
      </c>
      <c r="DD57">
        <v>24</v>
      </c>
      <c r="DE57">
        <v>120.7323232323</v>
      </c>
      <c r="DF57">
        <v>110.9166666667</v>
      </c>
      <c r="DH57" t="s">
        <v>419</v>
      </c>
      <c r="DI57" t="s">
        <v>871</v>
      </c>
      <c r="DJ57" t="s">
        <v>878</v>
      </c>
      <c r="DK57">
        <v>33</v>
      </c>
      <c r="DL57">
        <v>4</v>
      </c>
      <c r="DM57">
        <v>74.696969697</v>
      </c>
      <c r="DN57">
        <v>137</v>
      </c>
      <c r="DO57">
        <v>5</v>
      </c>
      <c r="DP57">
        <v>160.18978102189999</v>
      </c>
      <c r="DQ57">
        <v>135.19999999999999</v>
      </c>
    </row>
    <row r="58" spans="2:121" x14ac:dyDescent="0.2">
      <c r="F58" t="s">
        <v>57</v>
      </c>
      <c r="G58">
        <v>1945</v>
      </c>
      <c r="H58">
        <v>360.37172236499998</v>
      </c>
      <c r="I58">
        <v>1195</v>
      </c>
      <c r="J58">
        <v>291</v>
      </c>
      <c r="K58">
        <v>2386</v>
      </c>
      <c r="L58">
        <v>1624</v>
      </c>
      <c r="M58">
        <v>589</v>
      </c>
      <c r="N58">
        <v>576</v>
      </c>
      <c r="O58">
        <v>107</v>
      </c>
      <c r="P58">
        <v>83</v>
      </c>
      <c r="Q58">
        <v>0</v>
      </c>
      <c r="R58">
        <v>1</v>
      </c>
      <c r="BJ58" t="s">
        <v>634</v>
      </c>
      <c r="BK58" t="s">
        <v>414</v>
      </c>
      <c r="BL58">
        <v>10042</v>
      </c>
      <c r="BM58">
        <v>2214</v>
      </c>
      <c r="BN58">
        <v>92.239892451700001</v>
      </c>
      <c r="BO58">
        <v>26818</v>
      </c>
      <c r="BP58">
        <v>2187</v>
      </c>
      <c r="BQ58">
        <v>157.30602580359999</v>
      </c>
      <c r="BR58">
        <v>139.00182898950001</v>
      </c>
      <c r="BS58">
        <v>12359</v>
      </c>
      <c r="BT58">
        <v>3317</v>
      </c>
      <c r="BU58">
        <v>107.620114896</v>
      </c>
      <c r="BV58">
        <v>33051</v>
      </c>
      <c r="BW58">
        <v>2659</v>
      </c>
      <c r="BX58">
        <v>174.09261444430001</v>
      </c>
      <c r="BY58">
        <v>162.42196314399999</v>
      </c>
      <c r="CA58" t="s">
        <v>83</v>
      </c>
      <c r="CB58" t="s">
        <v>900</v>
      </c>
      <c r="CC58" t="s">
        <v>1035</v>
      </c>
      <c r="CD58">
        <v>7491</v>
      </c>
      <c r="CE58">
        <v>2479</v>
      </c>
      <c r="CF58">
        <v>124.5088773195</v>
      </c>
      <c r="CG58">
        <v>26659</v>
      </c>
      <c r="CH58">
        <v>2368</v>
      </c>
      <c r="CI58">
        <v>228.55789789560001</v>
      </c>
      <c r="CJ58">
        <v>167.5126689189</v>
      </c>
      <c r="CL58" t="s">
        <v>83</v>
      </c>
      <c r="CM58" t="s">
        <v>881</v>
      </c>
      <c r="CN58" t="s">
        <v>889</v>
      </c>
      <c r="CO58">
        <v>541</v>
      </c>
      <c r="CP58">
        <v>49</v>
      </c>
      <c r="CQ58">
        <v>60.5933456562</v>
      </c>
      <c r="CR58">
        <v>3029</v>
      </c>
      <c r="CS58">
        <v>223</v>
      </c>
      <c r="CT58">
        <v>68.889072301100001</v>
      </c>
      <c r="CU58">
        <v>59.224215246599996</v>
      </c>
      <c r="CW58" t="s">
        <v>83</v>
      </c>
      <c r="CX58" t="s">
        <v>891</v>
      </c>
      <c r="CY58" t="s">
        <v>899</v>
      </c>
      <c r="CZ58">
        <v>213</v>
      </c>
      <c r="DA58">
        <v>26</v>
      </c>
      <c r="DB58">
        <v>67.140845070400005</v>
      </c>
      <c r="DC58">
        <v>775</v>
      </c>
      <c r="DD58">
        <v>56</v>
      </c>
      <c r="DE58">
        <v>125.63096774189999</v>
      </c>
      <c r="DF58">
        <v>109</v>
      </c>
      <c r="DH58" t="s">
        <v>83</v>
      </c>
      <c r="DI58" t="s">
        <v>871</v>
      </c>
      <c r="DJ58" t="s">
        <v>879</v>
      </c>
      <c r="DK58">
        <v>437</v>
      </c>
      <c r="DL58">
        <v>42</v>
      </c>
      <c r="DM58">
        <v>71.151029748300004</v>
      </c>
      <c r="DN58">
        <v>1089</v>
      </c>
      <c r="DO58">
        <v>82</v>
      </c>
      <c r="DP58">
        <v>166.2231404959</v>
      </c>
      <c r="DQ58">
        <v>127.6829268293</v>
      </c>
    </row>
    <row r="59" spans="2:121" x14ac:dyDescent="0.2">
      <c r="F59" t="s">
        <v>141</v>
      </c>
      <c r="G59">
        <v>488</v>
      </c>
      <c r="H59">
        <v>326.5963114754</v>
      </c>
      <c r="I59">
        <v>421</v>
      </c>
      <c r="J59">
        <v>125</v>
      </c>
      <c r="K59">
        <v>716</v>
      </c>
      <c r="L59">
        <v>458</v>
      </c>
      <c r="M59">
        <v>79</v>
      </c>
      <c r="N59">
        <v>69</v>
      </c>
      <c r="O59">
        <v>85</v>
      </c>
      <c r="P59">
        <v>66</v>
      </c>
      <c r="Q59">
        <v>0</v>
      </c>
      <c r="R59">
        <v>1</v>
      </c>
      <c r="BJ59" t="s">
        <v>607</v>
      </c>
      <c r="BK59" t="s">
        <v>414</v>
      </c>
      <c r="BL59">
        <v>8695</v>
      </c>
      <c r="BM59">
        <v>2443</v>
      </c>
      <c r="BN59">
        <v>110.6795859689</v>
      </c>
      <c r="BO59">
        <v>58177</v>
      </c>
      <c r="BP59">
        <v>4465</v>
      </c>
      <c r="BQ59">
        <v>130.8402633343</v>
      </c>
      <c r="BR59">
        <v>101.0367301232</v>
      </c>
      <c r="BS59">
        <v>7851</v>
      </c>
      <c r="BT59">
        <v>1781</v>
      </c>
      <c r="BU59">
        <v>94.780282766499994</v>
      </c>
      <c r="BV59">
        <v>52693</v>
      </c>
      <c r="BW59">
        <v>4170</v>
      </c>
      <c r="BX59">
        <v>115.9649479058</v>
      </c>
      <c r="BY59">
        <v>87.125899280599995</v>
      </c>
      <c r="CA59" t="s">
        <v>414</v>
      </c>
      <c r="CB59" t="s">
        <v>900</v>
      </c>
      <c r="CD59">
        <v>63230</v>
      </c>
      <c r="CE59">
        <v>20788</v>
      </c>
      <c r="CF59">
        <v>118.04311244660001</v>
      </c>
      <c r="CG59">
        <v>182077</v>
      </c>
      <c r="CH59">
        <v>15859</v>
      </c>
      <c r="CI59">
        <v>197.2284857505</v>
      </c>
      <c r="CJ59">
        <v>164.56857305</v>
      </c>
      <c r="CL59" t="s">
        <v>414</v>
      </c>
      <c r="CM59" t="s">
        <v>881</v>
      </c>
      <c r="CO59">
        <v>4127</v>
      </c>
      <c r="CP59">
        <v>303</v>
      </c>
      <c r="CQ59">
        <v>58.675066634399997</v>
      </c>
      <c r="CR59">
        <v>23763</v>
      </c>
      <c r="CS59">
        <v>1746</v>
      </c>
      <c r="CT59">
        <v>65.200269326300003</v>
      </c>
      <c r="CU59">
        <v>64.413516609400006</v>
      </c>
      <c r="CW59" t="s">
        <v>414</v>
      </c>
      <c r="CX59" t="s">
        <v>891</v>
      </c>
      <c r="CZ59">
        <v>1874</v>
      </c>
      <c r="DA59">
        <v>234</v>
      </c>
      <c r="DB59">
        <v>67.708110992499996</v>
      </c>
      <c r="DC59">
        <v>5386</v>
      </c>
      <c r="DD59">
        <v>411</v>
      </c>
      <c r="DE59">
        <v>121.96268102489999</v>
      </c>
      <c r="DF59">
        <v>111.1119221411</v>
      </c>
      <c r="DH59" t="s">
        <v>414</v>
      </c>
      <c r="DI59" t="s">
        <v>871</v>
      </c>
      <c r="DK59">
        <v>1412</v>
      </c>
      <c r="DL59">
        <v>163</v>
      </c>
      <c r="DM59">
        <v>70.123937677100002</v>
      </c>
      <c r="DN59">
        <v>4052</v>
      </c>
      <c r="DO59">
        <v>282</v>
      </c>
      <c r="DP59">
        <v>167.30009871670001</v>
      </c>
      <c r="DQ59">
        <v>141.42198581560001</v>
      </c>
    </row>
    <row r="60" spans="2:121" x14ac:dyDescent="0.2">
      <c r="F60" t="s">
        <v>49</v>
      </c>
      <c r="G60">
        <v>12805</v>
      </c>
      <c r="H60">
        <v>343.55540804370003</v>
      </c>
      <c r="I60">
        <v>17127</v>
      </c>
      <c r="J60">
        <v>6392</v>
      </c>
      <c r="K60">
        <v>17210</v>
      </c>
      <c r="L60">
        <v>11497</v>
      </c>
      <c r="M60">
        <v>1790</v>
      </c>
      <c r="N60">
        <v>1445</v>
      </c>
      <c r="O60">
        <v>4932</v>
      </c>
      <c r="P60">
        <v>3990</v>
      </c>
      <c r="Q60">
        <v>1</v>
      </c>
      <c r="R60">
        <v>235</v>
      </c>
      <c r="BJ60" t="s">
        <v>549</v>
      </c>
      <c r="BK60" t="s">
        <v>390</v>
      </c>
      <c r="BL60">
        <v>15177</v>
      </c>
      <c r="BM60">
        <v>5475</v>
      </c>
      <c r="BN60">
        <v>122.7539039336</v>
      </c>
      <c r="BO60">
        <v>45631</v>
      </c>
      <c r="BP60">
        <v>3673</v>
      </c>
      <c r="BQ60">
        <v>198.32626942210001</v>
      </c>
      <c r="BR60">
        <v>158.35529539890001</v>
      </c>
      <c r="BS60">
        <v>13060</v>
      </c>
      <c r="BT60">
        <v>3780</v>
      </c>
      <c r="BU60">
        <v>112.5111026034</v>
      </c>
      <c r="BV60">
        <v>38635</v>
      </c>
      <c r="BW60">
        <v>2882</v>
      </c>
      <c r="BX60">
        <v>192.5407532031</v>
      </c>
      <c r="BY60">
        <v>153.3712699514</v>
      </c>
      <c r="CA60" t="s">
        <v>398</v>
      </c>
      <c r="CB60" t="s">
        <v>925</v>
      </c>
      <c r="CC60" t="s">
        <v>1036</v>
      </c>
      <c r="CD60">
        <v>8205</v>
      </c>
      <c r="CE60">
        <v>2833</v>
      </c>
      <c r="CF60">
        <v>116.74698354660001</v>
      </c>
      <c r="CG60">
        <v>22105</v>
      </c>
      <c r="CH60">
        <v>1702</v>
      </c>
      <c r="CI60">
        <v>197.41248586290001</v>
      </c>
      <c r="CJ60">
        <v>182.5658049354</v>
      </c>
      <c r="CL60" t="s">
        <v>398</v>
      </c>
      <c r="CM60" t="s">
        <v>910</v>
      </c>
      <c r="CN60" t="s">
        <v>909</v>
      </c>
      <c r="CO60">
        <v>485</v>
      </c>
      <c r="CP60">
        <v>45</v>
      </c>
      <c r="CQ60">
        <v>59.567010309300002</v>
      </c>
      <c r="CR60">
        <v>3835</v>
      </c>
      <c r="CS60">
        <v>255</v>
      </c>
      <c r="CT60">
        <v>49.632855280299999</v>
      </c>
      <c r="CU60">
        <v>55.478431372499998</v>
      </c>
      <c r="CW60" t="s">
        <v>398</v>
      </c>
      <c r="CX60" t="s">
        <v>918</v>
      </c>
      <c r="CY60" t="s">
        <v>917</v>
      </c>
      <c r="CZ60">
        <v>148</v>
      </c>
      <c r="DA60">
        <v>27</v>
      </c>
      <c r="DB60">
        <v>78.824324324299994</v>
      </c>
      <c r="DC60">
        <v>323</v>
      </c>
      <c r="DD60">
        <v>20</v>
      </c>
      <c r="DE60">
        <v>141.4551083591</v>
      </c>
      <c r="DF60">
        <v>128.69999999999999</v>
      </c>
      <c r="DH60" t="s">
        <v>398</v>
      </c>
      <c r="DI60" t="s">
        <v>902</v>
      </c>
      <c r="DJ60" t="s">
        <v>901</v>
      </c>
      <c r="DK60">
        <v>135</v>
      </c>
      <c r="DL60">
        <v>21</v>
      </c>
      <c r="DM60">
        <v>77.659259259300001</v>
      </c>
      <c r="DN60">
        <v>338</v>
      </c>
      <c r="DO60">
        <v>24</v>
      </c>
      <c r="DP60">
        <v>144.30769230769999</v>
      </c>
      <c r="DQ60">
        <v>138.0833333333</v>
      </c>
    </row>
    <row r="61" spans="2:121" x14ac:dyDescent="0.2">
      <c r="F61" t="s">
        <v>59</v>
      </c>
      <c r="G61">
        <v>6681</v>
      </c>
      <c r="H61">
        <v>182.11959287529999</v>
      </c>
      <c r="I61">
        <v>5733</v>
      </c>
      <c r="J61">
        <v>1407</v>
      </c>
      <c r="K61">
        <v>9043</v>
      </c>
      <c r="L61">
        <v>3771</v>
      </c>
      <c r="M61">
        <v>297</v>
      </c>
      <c r="N61">
        <v>224</v>
      </c>
      <c r="O61">
        <v>372</v>
      </c>
      <c r="P61">
        <v>167</v>
      </c>
      <c r="Q61">
        <v>99</v>
      </c>
      <c r="R61">
        <v>0</v>
      </c>
      <c r="BJ61" t="s">
        <v>557</v>
      </c>
      <c r="BK61" t="s">
        <v>390</v>
      </c>
      <c r="BL61">
        <v>9326</v>
      </c>
      <c r="BM61">
        <v>2888</v>
      </c>
      <c r="BN61">
        <v>111.0334548574</v>
      </c>
      <c r="BO61">
        <v>27049</v>
      </c>
      <c r="BP61">
        <v>2290</v>
      </c>
      <c r="BQ61">
        <v>197.4879662834</v>
      </c>
      <c r="BR61">
        <v>153.47030567690001</v>
      </c>
      <c r="BS61">
        <v>9244</v>
      </c>
      <c r="BT61">
        <v>3195</v>
      </c>
      <c r="BU61">
        <v>116.6866075292</v>
      </c>
      <c r="BV61">
        <v>25578</v>
      </c>
      <c r="BW61">
        <v>2298</v>
      </c>
      <c r="BX61">
        <v>193.261943858</v>
      </c>
      <c r="BY61">
        <v>153.28938207140001</v>
      </c>
      <c r="CA61" t="s">
        <v>435</v>
      </c>
      <c r="CB61" t="s">
        <v>925</v>
      </c>
      <c r="CC61" t="s">
        <v>1037</v>
      </c>
      <c r="CD61">
        <v>25717</v>
      </c>
      <c r="CE61">
        <v>10040</v>
      </c>
      <c r="CF61">
        <v>135.15969980950001</v>
      </c>
      <c r="CG61">
        <v>70410</v>
      </c>
      <c r="CH61">
        <v>4640</v>
      </c>
      <c r="CI61">
        <v>208.3058940491</v>
      </c>
      <c r="CJ61">
        <v>184.36810344829999</v>
      </c>
      <c r="CL61" t="s">
        <v>435</v>
      </c>
      <c r="CM61" t="s">
        <v>910</v>
      </c>
      <c r="CN61" t="s">
        <v>911</v>
      </c>
      <c r="CO61">
        <v>1197</v>
      </c>
      <c r="CP61">
        <v>167</v>
      </c>
      <c r="CQ61">
        <v>69.060985797800001</v>
      </c>
      <c r="CR61">
        <v>9537</v>
      </c>
      <c r="CS61">
        <v>741</v>
      </c>
      <c r="CT61">
        <v>74.229002831100004</v>
      </c>
      <c r="CU61">
        <v>77.163292847500003</v>
      </c>
      <c r="CW61" t="s">
        <v>435</v>
      </c>
      <c r="CX61" t="s">
        <v>918</v>
      </c>
      <c r="CY61" t="s">
        <v>919</v>
      </c>
      <c r="CZ61">
        <v>708</v>
      </c>
      <c r="DA61">
        <v>143</v>
      </c>
      <c r="DB61">
        <v>84.011299434999998</v>
      </c>
      <c r="DC61">
        <v>1657</v>
      </c>
      <c r="DD61">
        <v>127</v>
      </c>
      <c r="DE61">
        <v>142.0277610139</v>
      </c>
      <c r="DF61">
        <v>140.5196850394</v>
      </c>
      <c r="DH61" t="s">
        <v>435</v>
      </c>
      <c r="DI61" t="s">
        <v>902</v>
      </c>
      <c r="DJ61" t="s">
        <v>903</v>
      </c>
      <c r="DK61">
        <v>789</v>
      </c>
      <c r="DL61">
        <v>124</v>
      </c>
      <c r="DM61">
        <v>77.711026615999998</v>
      </c>
      <c r="DN61">
        <v>1773</v>
      </c>
      <c r="DO61">
        <v>128</v>
      </c>
      <c r="DP61">
        <v>141.84376762549999</v>
      </c>
      <c r="DQ61">
        <v>143.8984375</v>
      </c>
    </row>
    <row r="62" spans="2:121" x14ac:dyDescent="0.2">
      <c r="BJ62" t="s">
        <v>573</v>
      </c>
      <c r="BK62" t="s">
        <v>390</v>
      </c>
      <c r="BL62">
        <v>6964</v>
      </c>
      <c r="BM62">
        <v>3371</v>
      </c>
      <c r="BN62">
        <v>173.2034750144</v>
      </c>
      <c r="BO62">
        <v>16964</v>
      </c>
      <c r="BP62">
        <v>1235</v>
      </c>
      <c r="BQ62">
        <v>226.95897194060001</v>
      </c>
      <c r="BR62">
        <v>208.01052631580001</v>
      </c>
      <c r="BS62">
        <v>7377</v>
      </c>
      <c r="BT62">
        <v>3600</v>
      </c>
      <c r="BU62">
        <v>168.65704215810001</v>
      </c>
      <c r="BV62">
        <v>17629</v>
      </c>
      <c r="BW62">
        <v>1268</v>
      </c>
      <c r="BX62">
        <v>228.1633104544</v>
      </c>
      <c r="BY62">
        <v>206.10094637220001</v>
      </c>
      <c r="CA62" t="s">
        <v>391</v>
      </c>
      <c r="CB62" t="s">
        <v>925</v>
      </c>
      <c r="CC62" t="s">
        <v>1038</v>
      </c>
      <c r="CD62">
        <v>16176</v>
      </c>
      <c r="CE62">
        <v>5688</v>
      </c>
      <c r="CF62">
        <v>121.7150717112</v>
      </c>
      <c r="CG62">
        <v>50627</v>
      </c>
      <c r="CH62">
        <v>4027</v>
      </c>
      <c r="CI62">
        <v>190.2390819128</v>
      </c>
      <c r="CJ62">
        <v>152.78544822449999</v>
      </c>
      <c r="CL62" t="s">
        <v>391</v>
      </c>
      <c r="CM62" t="s">
        <v>910</v>
      </c>
      <c r="CN62" t="s">
        <v>912</v>
      </c>
      <c r="CO62">
        <v>597</v>
      </c>
      <c r="CP62">
        <v>107</v>
      </c>
      <c r="CQ62">
        <v>83.867671691799998</v>
      </c>
      <c r="CR62">
        <v>4526</v>
      </c>
      <c r="CS62">
        <v>354</v>
      </c>
      <c r="CT62">
        <v>74.513919575800003</v>
      </c>
      <c r="CU62">
        <v>86.799435028199994</v>
      </c>
      <c r="CW62" t="s">
        <v>391</v>
      </c>
      <c r="CX62" t="s">
        <v>918</v>
      </c>
      <c r="CY62" t="s">
        <v>920</v>
      </c>
      <c r="CZ62">
        <v>412</v>
      </c>
      <c r="DA62">
        <v>72</v>
      </c>
      <c r="DB62">
        <v>81.810679611699996</v>
      </c>
      <c r="DC62">
        <v>904</v>
      </c>
      <c r="DD62">
        <v>57</v>
      </c>
      <c r="DE62">
        <v>154.52765486729999</v>
      </c>
      <c r="DF62">
        <v>142.77192982459999</v>
      </c>
      <c r="DH62" t="s">
        <v>391</v>
      </c>
      <c r="DI62" t="s">
        <v>902</v>
      </c>
      <c r="DJ62" t="s">
        <v>904</v>
      </c>
      <c r="DK62">
        <v>396</v>
      </c>
      <c r="DL62">
        <v>60</v>
      </c>
      <c r="DM62">
        <v>80.181818181799997</v>
      </c>
      <c r="DN62">
        <v>928</v>
      </c>
      <c r="DO62">
        <v>80</v>
      </c>
      <c r="DP62">
        <v>150.9288793103</v>
      </c>
      <c r="DQ62">
        <v>140.58750000000001</v>
      </c>
    </row>
    <row r="63" spans="2:121" x14ac:dyDescent="0.2">
      <c r="BJ63" t="s">
        <v>563</v>
      </c>
      <c r="BK63" t="s">
        <v>390</v>
      </c>
      <c r="BL63">
        <v>7821</v>
      </c>
      <c r="BM63">
        <v>2674</v>
      </c>
      <c r="BN63">
        <v>115.54519882370001</v>
      </c>
      <c r="BO63">
        <v>20338</v>
      </c>
      <c r="BP63">
        <v>1585</v>
      </c>
      <c r="BQ63">
        <v>205.19584029890001</v>
      </c>
      <c r="BR63">
        <v>192.17854889590001</v>
      </c>
      <c r="BS63">
        <v>7446</v>
      </c>
      <c r="BT63">
        <v>2172</v>
      </c>
      <c r="BU63">
        <v>108.8193661026</v>
      </c>
      <c r="BV63">
        <v>20166</v>
      </c>
      <c r="BW63">
        <v>1417</v>
      </c>
      <c r="BX63">
        <v>207.13116136069999</v>
      </c>
      <c r="BY63">
        <v>193.87085391670001</v>
      </c>
      <c r="CA63" t="s">
        <v>403</v>
      </c>
      <c r="CB63" t="s">
        <v>925</v>
      </c>
      <c r="CC63" t="s">
        <v>1039</v>
      </c>
      <c r="CD63">
        <v>4655</v>
      </c>
      <c r="CE63">
        <v>1509</v>
      </c>
      <c r="CF63">
        <v>126.72266380240001</v>
      </c>
      <c r="CG63">
        <v>13450</v>
      </c>
      <c r="CH63">
        <v>989</v>
      </c>
      <c r="CI63">
        <v>171.51472118960001</v>
      </c>
      <c r="CJ63">
        <v>155.8584428716</v>
      </c>
      <c r="CL63" t="s">
        <v>403</v>
      </c>
      <c r="CM63" t="s">
        <v>910</v>
      </c>
      <c r="CN63" t="s">
        <v>913</v>
      </c>
      <c r="CO63">
        <v>267</v>
      </c>
      <c r="CP63">
        <v>31</v>
      </c>
      <c r="CQ63">
        <v>61.962546816500002</v>
      </c>
      <c r="CR63">
        <v>1914</v>
      </c>
      <c r="CS63">
        <v>121</v>
      </c>
      <c r="CT63">
        <v>56.515151515200003</v>
      </c>
      <c r="CU63">
        <v>56.735537190099997</v>
      </c>
      <c r="CW63" t="s">
        <v>403</v>
      </c>
      <c r="CX63" t="s">
        <v>918</v>
      </c>
      <c r="CY63" t="s">
        <v>921</v>
      </c>
      <c r="CZ63">
        <v>91</v>
      </c>
      <c r="DA63">
        <v>16</v>
      </c>
      <c r="DB63">
        <v>78.725274725299997</v>
      </c>
      <c r="DC63">
        <v>224</v>
      </c>
      <c r="DD63">
        <v>19</v>
      </c>
      <c r="DE63">
        <v>138.12053571429999</v>
      </c>
      <c r="DF63">
        <v>134.36842105260001</v>
      </c>
      <c r="DH63" t="s">
        <v>403</v>
      </c>
      <c r="DI63" t="s">
        <v>902</v>
      </c>
      <c r="DJ63" t="s">
        <v>905</v>
      </c>
      <c r="DK63">
        <v>113</v>
      </c>
      <c r="DL63">
        <v>16</v>
      </c>
      <c r="DM63">
        <v>78.5309734513</v>
      </c>
      <c r="DN63">
        <v>271</v>
      </c>
      <c r="DO63">
        <v>16</v>
      </c>
      <c r="DP63">
        <v>130.31734317339999</v>
      </c>
      <c r="DQ63">
        <v>131.4375</v>
      </c>
    </row>
    <row r="64" spans="2:121" x14ac:dyDescent="0.2">
      <c r="BJ64" t="s">
        <v>559</v>
      </c>
      <c r="BK64" t="s">
        <v>390</v>
      </c>
      <c r="BL64">
        <v>9795</v>
      </c>
      <c r="BM64">
        <v>2470</v>
      </c>
      <c r="BN64">
        <v>100.30066360390001</v>
      </c>
      <c r="BO64">
        <v>25119</v>
      </c>
      <c r="BP64">
        <v>2127</v>
      </c>
      <c r="BQ64">
        <v>155.692941598</v>
      </c>
      <c r="BR64">
        <v>136.2618711801</v>
      </c>
      <c r="BS64">
        <v>10421</v>
      </c>
      <c r="BT64">
        <v>3312</v>
      </c>
      <c r="BU64">
        <v>120.7479128682</v>
      </c>
      <c r="BV64">
        <v>28870</v>
      </c>
      <c r="BW64">
        <v>2333</v>
      </c>
      <c r="BX64">
        <v>170.52739868379999</v>
      </c>
      <c r="BY64">
        <v>163.27989712819999</v>
      </c>
      <c r="CA64" t="s">
        <v>437</v>
      </c>
      <c r="CB64" t="s">
        <v>925</v>
      </c>
      <c r="CC64" t="s">
        <v>1040</v>
      </c>
      <c r="CD64">
        <v>2805</v>
      </c>
      <c r="CE64">
        <v>1004</v>
      </c>
      <c r="CF64">
        <v>113.6705882353</v>
      </c>
      <c r="CG64">
        <v>8009</v>
      </c>
      <c r="CH64">
        <v>619</v>
      </c>
      <c r="CI64">
        <v>161.39730303409999</v>
      </c>
      <c r="CJ64">
        <v>125.662358643</v>
      </c>
      <c r="CL64" t="s">
        <v>437</v>
      </c>
      <c r="CM64" t="s">
        <v>910</v>
      </c>
      <c r="CN64" t="s">
        <v>914</v>
      </c>
      <c r="CO64">
        <v>219</v>
      </c>
      <c r="CP64">
        <v>34</v>
      </c>
      <c r="CQ64">
        <v>74.255707762599997</v>
      </c>
      <c r="CR64">
        <v>2092</v>
      </c>
      <c r="CS64">
        <v>145</v>
      </c>
      <c r="CT64">
        <v>80.669216061200004</v>
      </c>
      <c r="CU64">
        <v>79.241379310300005</v>
      </c>
      <c r="CW64" t="s">
        <v>437</v>
      </c>
      <c r="CX64" t="s">
        <v>918</v>
      </c>
      <c r="CY64" t="s">
        <v>922</v>
      </c>
      <c r="CZ64">
        <v>10</v>
      </c>
      <c r="DA64">
        <v>2</v>
      </c>
      <c r="DB64">
        <v>96.6</v>
      </c>
      <c r="DC64">
        <v>23</v>
      </c>
      <c r="DD64">
        <v>1</v>
      </c>
      <c r="DE64">
        <v>116.4347826087</v>
      </c>
      <c r="DF64">
        <v>126</v>
      </c>
      <c r="DH64" t="s">
        <v>437</v>
      </c>
      <c r="DI64" t="s">
        <v>902</v>
      </c>
      <c r="DJ64" t="s">
        <v>906</v>
      </c>
      <c r="DK64">
        <v>8</v>
      </c>
      <c r="DL64">
        <v>1</v>
      </c>
      <c r="DM64">
        <v>80.5</v>
      </c>
      <c r="DN64">
        <v>38</v>
      </c>
      <c r="DO64">
        <v>1</v>
      </c>
      <c r="DP64">
        <v>155.63157894739999</v>
      </c>
      <c r="DQ64">
        <v>3</v>
      </c>
    </row>
    <row r="65" spans="62:121" x14ac:dyDescent="0.2">
      <c r="BJ65" t="s">
        <v>623</v>
      </c>
      <c r="BK65" t="s">
        <v>390</v>
      </c>
      <c r="BL65">
        <v>2839</v>
      </c>
      <c r="BM65">
        <v>1029</v>
      </c>
      <c r="BN65">
        <v>112.8182458612</v>
      </c>
      <c r="BO65">
        <v>7805</v>
      </c>
      <c r="BP65">
        <v>602</v>
      </c>
      <c r="BQ65">
        <v>162.57155669439999</v>
      </c>
      <c r="BR65">
        <v>126.89368770759999</v>
      </c>
      <c r="BS65">
        <v>3366</v>
      </c>
      <c r="BT65">
        <v>1549</v>
      </c>
      <c r="BU65">
        <v>134.98484848480001</v>
      </c>
      <c r="BV65">
        <v>9775</v>
      </c>
      <c r="BW65">
        <v>742</v>
      </c>
      <c r="BX65">
        <v>171.34833759590001</v>
      </c>
      <c r="BY65">
        <v>150.57412398919999</v>
      </c>
      <c r="CA65" t="s">
        <v>393</v>
      </c>
      <c r="CB65" t="s">
        <v>925</v>
      </c>
      <c r="CC65" t="s">
        <v>1041</v>
      </c>
      <c r="CD65">
        <v>9560</v>
      </c>
      <c r="CE65">
        <v>3005</v>
      </c>
      <c r="CF65">
        <v>113.0292887029</v>
      </c>
      <c r="CG65">
        <v>28571</v>
      </c>
      <c r="CH65">
        <v>2402</v>
      </c>
      <c r="CI65">
        <v>193.3925658885</v>
      </c>
      <c r="CJ65">
        <v>151.81390507910001</v>
      </c>
      <c r="CL65" t="s">
        <v>393</v>
      </c>
      <c r="CM65" t="s">
        <v>910</v>
      </c>
      <c r="CN65" t="s">
        <v>915</v>
      </c>
      <c r="CO65">
        <v>351</v>
      </c>
      <c r="CP65">
        <v>56</v>
      </c>
      <c r="CQ65">
        <v>76.421652421700003</v>
      </c>
      <c r="CR65">
        <v>2874</v>
      </c>
      <c r="CS65">
        <v>211</v>
      </c>
      <c r="CT65">
        <v>72.075852470399994</v>
      </c>
      <c r="CU65">
        <v>65.511848341199993</v>
      </c>
      <c r="CW65" t="s">
        <v>393</v>
      </c>
      <c r="CX65" t="s">
        <v>918</v>
      </c>
      <c r="CY65" t="s">
        <v>923</v>
      </c>
      <c r="CZ65">
        <v>208</v>
      </c>
      <c r="DA65">
        <v>33</v>
      </c>
      <c r="DB65">
        <v>72.451923076900002</v>
      </c>
      <c r="DC65">
        <v>568</v>
      </c>
      <c r="DD65">
        <v>28</v>
      </c>
      <c r="DE65">
        <v>152.9788732394</v>
      </c>
      <c r="DF65">
        <v>149.82142857139999</v>
      </c>
      <c r="DH65" t="s">
        <v>393</v>
      </c>
      <c r="DI65" t="s">
        <v>902</v>
      </c>
      <c r="DJ65" t="s">
        <v>907</v>
      </c>
      <c r="DK65">
        <v>199</v>
      </c>
      <c r="DL65">
        <v>32</v>
      </c>
      <c r="DM65">
        <v>84.0251256281</v>
      </c>
      <c r="DN65">
        <v>443</v>
      </c>
      <c r="DO65">
        <v>40</v>
      </c>
      <c r="DP65">
        <v>140.6027088036</v>
      </c>
      <c r="DQ65">
        <v>146.69999999999999</v>
      </c>
    </row>
    <row r="66" spans="62:121" x14ac:dyDescent="0.2">
      <c r="BJ66" t="s">
        <v>390</v>
      </c>
      <c r="BK66" t="s">
        <v>390</v>
      </c>
      <c r="BL66">
        <v>76449</v>
      </c>
      <c r="BM66">
        <v>27425</v>
      </c>
      <c r="BN66">
        <v>125.80738793179999</v>
      </c>
      <c r="BO66">
        <v>209067</v>
      </c>
      <c r="BP66">
        <v>15748</v>
      </c>
      <c r="BQ66">
        <v>199.72965126010001</v>
      </c>
      <c r="BR66">
        <v>169.41306832609999</v>
      </c>
      <c r="BS66">
        <v>71802</v>
      </c>
      <c r="BT66">
        <v>24276</v>
      </c>
      <c r="BU66">
        <v>123.286064455</v>
      </c>
      <c r="BV66">
        <v>193989</v>
      </c>
      <c r="BW66">
        <v>13850</v>
      </c>
      <c r="BX66">
        <v>198.4014763724</v>
      </c>
      <c r="BY66">
        <v>168.44014440430001</v>
      </c>
      <c r="CA66" t="s">
        <v>394</v>
      </c>
      <c r="CB66" t="s">
        <v>925</v>
      </c>
      <c r="CC66" t="s">
        <v>1042</v>
      </c>
      <c r="CD66">
        <v>9860</v>
      </c>
      <c r="CE66">
        <v>2582</v>
      </c>
      <c r="CF66">
        <v>103.0485801217</v>
      </c>
      <c r="CG66">
        <v>26988</v>
      </c>
      <c r="CH66">
        <v>2223</v>
      </c>
      <c r="CI66">
        <v>151.96665184529999</v>
      </c>
      <c r="CJ66">
        <v>132.94961763379999</v>
      </c>
      <c r="CL66" t="s">
        <v>394</v>
      </c>
      <c r="CM66" t="s">
        <v>910</v>
      </c>
      <c r="CN66" t="s">
        <v>916</v>
      </c>
      <c r="CO66">
        <v>522</v>
      </c>
      <c r="CP66">
        <v>46</v>
      </c>
      <c r="CQ66">
        <v>54.496168582400003</v>
      </c>
      <c r="CR66">
        <v>3705</v>
      </c>
      <c r="CS66">
        <v>244</v>
      </c>
      <c r="CT66">
        <v>51.275033738200001</v>
      </c>
      <c r="CU66">
        <v>44.397540983600003</v>
      </c>
      <c r="CW66" t="s">
        <v>394</v>
      </c>
      <c r="CX66" t="s">
        <v>918</v>
      </c>
      <c r="CY66" t="s">
        <v>924</v>
      </c>
      <c r="CZ66">
        <v>202</v>
      </c>
      <c r="DA66">
        <v>31</v>
      </c>
      <c r="DB66">
        <v>78.6930693069</v>
      </c>
      <c r="DC66">
        <v>428</v>
      </c>
      <c r="DD66">
        <v>28</v>
      </c>
      <c r="DE66">
        <v>151.15654205609999</v>
      </c>
      <c r="DF66">
        <v>134.3928571429</v>
      </c>
      <c r="DH66" t="s">
        <v>394</v>
      </c>
      <c r="DI66" t="s">
        <v>902</v>
      </c>
      <c r="DJ66" t="s">
        <v>908</v>
      </c>
      <c r="DK66">
        <v>311</v>
      </c>
      <c r="DL66">
        <v>42</v>
      </c>
      <c r="DM66">
        <v>75.874598070700003</v>
      </c>
      <c r="DN66">
        <v>627</v>
      </c>
      <c r="DO66">
        <v>47</v>
      </c>
      <c r="DP66">
        <v>133.1594896332</v>
      </c>
      <c r="DQ66">
        <v>136.7021276596</v>
      </c>
    </row>
    <row r="67" spans="62:121" x14ac:dyDescent="0.2">
      <c r="BJ67" t="s">
        <v>551</v>
      </c>
      <c r="BK67" t="s">
        <v>390</v>
      </c>
      <c r="BL67">
        <v>24527</v>
      </c>
      <c r="BM67">
        <v>9518</v>
      </c>
      <c r="BN67">
        <v>134.81921963549999</v>
      </c>
      <c r="BO67">
        <v>66161</v>
      </c>
      <c r="BP67">
        <v>4236</v>
      </c>
      <c r="BQ67">
        <v>214.0547150134</v>
      </c>
      <c r="BR67">
        <v>190.53729933899999</v>
      </c>
      <c r="BS67">
        <v>20888</v>
      </c>
      <c r="BT67">
        <v>6668</v>
      </c>
      <c r="BU67">
        <v>121.4580141708</v>
      </c>
      <c r="BV67">
        <v>53336</v>
      </c>
      <c r="BW67">
        <v>2910</v>
      </c>
      <c r="BX67">
        <v>212.01972401379999</v>
      </c>
      <c r="BY67">
        <v>175.22749140889999</v>
      </c>
      <c r="CA67" t="s">
        <v>390</v>
      </c>
      <c r="CB67" t="s">
        <v>925</v>
      </c>
      <c r="CD67">
        <v>76978</v>
      </c>
      <c r="CE67">
        <v>26661</v>
      </c>
      <c r="CF67">
        <v>122.21716594350001</v>
      </c>
      <c r="CG67">
        <v>220160</v>
      </c>
      <c r="CH67">
        <v>16602</v>
      </c>
      <c r="CI67">
        <v>190.26187318309999</v>
      </c>
      <c r="CJ67">
        <v>161.04053728470001</v>
      </c>
      <c r="CL67" t="s">
        <v>390</v>
      </c>
      <c r="CM67" t="s">
        <v>910</v>
      </c>
      <c r="CO67">
        <v>3638</v>
      </c>
      <c r="CP67">
        <v>486</v>
      </c>
      <c r="CQ67">
        <v>68.637163276500004</v>
      </c>
      <c r="CR67">
        <v>28483</v>
      </c>
      <c r="CS67">
        <v>2071</v>
      </c>
      <c r="CT67">
        <v>67.042235719600001</v>
      </c>
      <c r="CU67">
        <v>70.044905842600002</v>
      </c>
      <c r="CW67" t="s">
        <v>390</v>
      </c>
      <c r="CX67" t="s">
        <v>918</v>
      </c>
      <c r="CZ67">
        <v>1779</v>
      </c>
      <c r="DA67">
        <v>324</v>
      </c>
      <c r="DB67">
        <v>80.915120854400001</v>
      </c>
      <c r="DC67">
        <v>4127</v>
      </c>
      <c r="DD67">
        <v>280</v>
      </c>
      <c r="DE67">
        <v>146.82020838380001</v>
      </c>
      <c r="DF67">
        <v>139.9821428571</v>
      </c>
      <c r="DH67" t="s">
        <v>390</v>
      </c>
      <c r="DI67" t="s">
        <v>902</v>
      </c>
      <c r="DK67">
        <v>1951</v>
      </c>
      <c r="DL67">
        <v>296</v>
      </c>
      <c r="DM67">
        <v>78.619169656599993</v>
      </c>
      <c r="DN67">
        <v>4418</v>
      </c>
      <c r="DO67">
        <v>336</v>
      </c>
      <c r="DP67">
        <v>141.995246718</v>
      </c>
      <c r="DQ67">
        <v>141.00892857139999</v>
      </c>
    </row>
    <row r="68" spans="62:121" x14ac:dyDescent="0.2">
      <c r="BJ68" t="s">
        <v>317</v>
      </c>
      <c r="BK68" t="s">
        <v>705</v>
      </c>
      <c r="BL68">
        <v>1590</v>
      </c>
      <c r="BM68">
        <v>189</v>
      </c>
      <c r="BN68">
        <v>71.979874213800002</v>
      </c>
      <c r="BO68">
        <v>2006</v>
      </c>
      <c r="BP68">
        <v>217</v>
      </c>
      <c r="BQ68">
        <v>146.30159521440001</v>
      </c>
      <c r="BR68">
        <v>127.331797235</v>
      </c>
      <c r="BS68">
        <v>688</v>
      </c>
      <c r="BT68">
        <v>104</v>
      </c>
      <c r="BU68">
        <v>79.377906976700004</v>
      </c>
      <c r="BV68">
        <v>1707</v>
      </c>
      <c r="BW68">
        <v>132</v>
      </c>
      <c r="BX68">
        <v>148.4780316344</v>
      </c>
      <c r="BY68">
        <v>119.5833333333</v>
      </c>
      <c r="CA68" t="s">
        <v>708</v>
      </c>
      <c r="CD68">
        <v>375040</v>
      </c>
      <c r="CE68">
        <v>115365</v>
      </c>
      <c r="CF68">
        <v>114.3365321032</v>
      </c>
      <c r="CG68">
        <v>1130909</v>
      </c>
      <c r="CH68">
        <v>90351</v>
      </c>
      <c r="CI68">
        <v>174.36673861470001</v>
      </c>
      <c r="CJ68">
        <v>152.65131542540001</v>
      </c>
      <c r="CL68" t="s">
        <v>708</v>
      </c>
      <c r="CO68">
        <v>375040</v>
      </c>
      <c r="CP68">
        <v>115365</v>
      </c>
      <c r="CQ68">
        <v>114.3365321032</v>
      </c>
      <c r="CR68">
        <v>1130909</v>
      </c>
      <c r="CS68">
        <v>90351</v>
      </c>
      <c r="CT68">
        <v>174.36673861470001</v>
      </c>
      <c r="CU68">
        <v>152.65131542540001</v>
      </c>
      <c r="CW68" t="s">
        <v>708</v>
      </c>
      <c r="CZ68">
        <v>375040</v>
      </c>
      <c r="DA68">
        <v>115365</v>
      </c>
      <c r="DB68">
        <v>114.3365321032</v>
      </c>
      <c r="DC68">
        <v>1130909</v>
      </c>
      <c r="DD68">
        <v>90351</v>
      </c>
      <c r="DE68">
        <v>174.36673861470001</v>
      </c>
      <c r="DF68">
        <v>152.65131542540001</v>
      </c>
      <c r="DH68" t="s">
        <v>708</v>
      </c>
      <c r="DK68">
        <v>375040</v>
      </c>
      <c r="DL68">
        <v>115365</v>
      </c>
      <c r="DM68">
        <v>114.3365321032</v>
      </c>
      <c r="DN68">
        <v>1130909</v>
      </c>
      <c r="DO68">
        <v>90351</v>
      </c>
      <c r="DP68">
        <v>174.36673861470001</v>
      </c>
      <c r="DQ68">
        <v>152.65131542540001</v>
      </c>
    </row>
    <row r="69" spans="62:121" x14ac:dyDescent="0.2">
      <c r="BJ69" t="s">
        <v>219</v>
      </c>
      <c r="BK69" t="s">
        <v>705</v>
      </c>
      <c r="BL69">
        <v>3131</v>
      </c>
      <c r="BM69">
        <v>372</v>
      </c>
      <c r="BN69">
        <v>74.919514532099996</v>
      </c>
      <c r="BO69">
        <v>10991</v>
      </c>
      <c r="BP69">
        <v>721</v>
      </c>
      <c r="BQ69">
        <v>171.5628241288</v>
      </c>
      <c r="BR69">
        <v>138.0859916782</v>
      </c>
      <c r="BS69">
        <v>3135</v>
      </c>
      <c r="BT69">
        <v>377</v>
      </c>
      <c r="BU69">
        <v>74.449122806999995</v>
      </c>
      <c r="BV69">
        <v>11006</v>
      </c>
      <c r="BW69">
        <v>724</v>
      </c>
      <c r="BX69">
        <v>171.57959294930001</v>
      </c>
      <c r="BY69">
        <v>138.47790055249999</v>
      </c>
    </row>
    <row r="70" spans="62:121" x14ac:dyDescent="0.2">
      <c r="BJ70" t="s">
        <v>705</v>
      </c>
      <c r="BK70" t="s">
        <v>705</v>
      </c>
      <c r="BL70">
        <v>8428</v>
      </c>
      <c r="BM70">
        <v>1084</v>
      </c>
      <c r="BN70">
        <v>74.608448030399998</v>
      </c>
      <c r="BO70">
        <v>21090</v>
      </c>
      <c r="BP70">
        <v>1577</v>
      </c>
      <c r="BQ70">
        <v>153.1345187293</v>
      </c>
      <c r="BR70">
        <v>139.32213062779999</v>
      </c>
      <c r="BS70">
        <v>8428</v>
      </c>
      <c r="BT70">
        <v>1084</v>
      </c>
      <c r="BU70">
        <v>74.608448030399998</v>
      </c>
      <c r="BV70">
        <v>21090</v>
      </c>
      <c r="BW70">
        <v>1577</v>
      </c>
      <c r="BX70">
        <v>153.1345187293</v>
      </c>
      <c r="BY70">
        <v>139.32213062779999</v>
      </c>
    </row>
    <row r="71" spans="62:121" x14ac:dyDescent="0.2">
      <c r="BJ71" t="s">
        <v>221</v>
      </c>
      <c r="BK71" t="s">
        <v>705</v>
      </c>
      <c r="BL71">
        <v>3707</v>
      </c>
      <c r="BM71">
        <v>523</v>
      </c>
      <c r="BN71">
        <v>75.473158888599997</v>
      </c>
      <c r="BO71">
        <v>8093</v>
      </c>
      <c r="BP71">
        <v>639</v>
      </c>
      <c r="BQ71">
        <v>129.80093908320001</v>
      </c>
      <c r="BR71">
        <v>144.7887323944</v>
      </c>
      <c r="BS71">
        <v>4605</v>
      </c>
      <c r="BT71">
        <v>603</v>
      </c>
      <c r="BU71">
        <v>74.004343105299995</v>
      </c>
      <c r="BV71">
        <v>8377</v>
      </c>
      <c r="BW71">
        <v>721</v>
      </c>
      <c r="BX71">
        <v>129.8495881581</v>
      </c>
      <c r="BY71">
        <v>143.78363384190001</v>
      </c>
    </row>
    <row r="72" spans="62:121" x14ac:dyDescent="0.2">
      <c r="BJ72" t="s">
        <v>217</v>
      </c>
      <c r="BK72" t="s">
        <v>706</v>
      </c>
      <c r="BL72">
        <v>4658</v>
      </c>
      <c r="BM72">
        <v>445</v>
      </c>
      <c r="BN72">
        <v>57.159939888399997</v>
      </c>
      <c r="BO72">
        <v>35139</v>
      </c>
      <c r="BP72">
        <v>2353</v>
      </c>
      <c r="BQ72">
        <v>54.844560175300003</v>
      </c>
      <c r="BR72">
        <v>52.285592860199998</v>
      </c>
      <c r="BS72">
        <v>4669</v>
      </c>
      <c r="BT72">
        <v>449</v>
      </c>
      <c r="BU72">
        <v>57.373099164700001</v>
      </c>
      <c r="BV72">
        <v>35221</v>
      </c>
      <c r="BW72">
        <v>2362</v>
      </c>
      <c r="BX72">
        <v>55.165355895600001</v>
      </c>
      <c r="BY72">
        <v>52.766723116000001</v>
      </c>
    </row>
    <row r="73" spans="62:121" x14ac:dyDescent="0.2">
      <c r="BJ73" t="s">
        <v>232</v>
      </c>
      <c r="BK73" t="s">
        <v>706</v>
      </c>
      <c r="BL73">
        <v>499</v>
      </c>
      <c r="BM73">
        <v>246</v>
      </c>
      <c r="BN73">
        <v>168.34669338680001</v>
      </c>
      <c r="BO73">
        <v>4687</v>
      </c>
      <c r="BP73">
        <v>358</v>
      </c>
      <c r="BQ73">
        <v>68.2257307446</v>
      </c>
      <c r="BR73">
        <v>78.723463687199995</v>
      </c>
      <c r="BS73">
        <v>447</v>
      </c>
      <c r="BT73">
        <v>230</v>
      </c>
      <c r="BU73">
        <v>174.0514541387</v>
      </c>
      <c r="BV73">
        <v>4393</v>
      </c>
      <c r="BW73">
        <v>306</v>
      </c>
      <c r="BX73">
        <v>60.530161620800001</v>
      </c>
      <c r="BY73">
        <v>68.918300653599999</v>
      </c>
    </row>
    <row r="74" spans="62:121" x14ac:dyDescent="0.2">
      <c r="BJ74" t="s">
        <v>218</v>
      </c>
      <c r="BK74" t="s">
        <v>706</v>
      </c>
      <c r="BL74">
        <v>5478</v>
      </c>
      <c r="BM74">
        <v>719</v>
      </c>
      <c r="BN74">
        <v>68.467323840800006</v>
      </c>
      <c r="BO74">
        <v>39860</v>
      </c>
      <c r="BP74">
        <v>3135</v>
      </c>
      <c r="BQ74">
        <v>72.320898143500003</v>
      </c>
      <c r="BR74">
        <v>70.995853269500003</v>
      </c>
      <c r="BS74">
        <v>5502</v>
      </c>
      <c r="BT74">
        <v>729</v>
      </c>
      <c r="BU74">
        <v>68.729552889900006</v>
      </c>
      <c r="BV74">
        <v>39951</v>
      </c>
      <c r="BW74">
        <v>3157</v>
      </c>
      <c r="BX74">
        <v>72.610522890499993</v>
      </c>
      <c r="BY74">
        <v>71.491922711399994</v>
      </c>
    </row>
    <row r="75" spans="62:121" x14ac:dyDescent="0.2">
      <c r="BJ75" t="s">
        <v>220</v>
      </c>
      <c r="BK75" t="s">
        <v>706</v>
      </c>
      <c r="BL75">
        <v>7903</v>
      </c>
      <c r="BM75">
        <v>536</v>
      </c>
      <c r="BN75">
        <v>56.991522206799999</v>
      </c>
      <c r="BO75">
        <v>45180</v>
      </c>
      <c r="BP75">
        <v>3318</v>
      </c>
      <c r="BQ75">
        <v>64.616046923400006</v>
      </c>
      <c r="BR75">
        <v>66.341169379099995</v>
      </c>
      <c r="BS75">
        <v>7920</v>
      </c>
      <c r="BT75">
        <v>538</v>
      </c>
      <c r="BU75">
        <v>57.057828282800003</v>
      </c>
      <c r="BV75">
        <v>45302</v>
      </c>
      <c r="BW75">
        <v>3339</v>
      </c>
      <c r="BX75">
        <v>64.891196856700006</v>
      </c>
      <c r="BY75">
        <v>66.630428271900001</v>
      </c>
    </row>
    <row r="76" spans="62:121" x14ac:dyDescent="0.2">
      <c r="BJ76" t="s">
        <v>706</v>
      </c>
      <c r="BK76" t="s">
        <v>706</v>
      </c>
      <c r="BL76">
        <v>18538</v>
      </c>
      <c r="BM76">
        <v>1946</v>
      </c>
      <c r="BN76">
        <v>63.4223756608</v>
      </c>
      <c r="BO76">
        <v>124866</v>
      </c>
      <c r="BP76">
        <v>9164</v>
      </c>
      <c r="BQ76">
        <v>64.461270482000003</v>
      </c>
      <c r="BR76">
        <v>64.808271497199996</v>
      </c>
      <c r="BS76">
        <v>18538</v>
      </c>
      <c r="BT76">
        <v>1946</v>
      </c>
      <c r="BU76">
        <v>63.4223756608</v>
      </c>
      <c r="BV76">
        <v>124867</v>
      </c>
      <c r="BW76">
        <v>9164</v>
      </c>
      <c r="BX76">
        <v>64.464205915099996</v>
      </c>
      <c r="BY76">
        <v>64.808271497199996</v>
      </c>
    </row>
    <row r="77" spans="62:121" x14ac:dyDescent="0.2">
      <c r="BJ77" t="s">
        <v>316</v>
      </c>
      <c r="BK77" t="s">
        <v>707</v>
      </c>
      <c r="BL77">
        <v>2592</v>
      </c>
      <c r="BM77">
        <v>253</v>
      </c>
      <c r="BN77">
        <v>66.894290123499999</v>
      </c>
      <c r="BO77">
        <v>3030</v>
      </c>
      <c r="BP77">
        <v>349</v>
      </c>
      <c r="BQ77">
        <v>125.3336633663</v>
      </c>
      <c r="BR77">
        <v>115.4240687679</v>
      </c>
      <c r="BS77">
        <v>485</v>
      </c>
      <c r="BT77">
        <v>51</v>
      </c>
      <c r="BU77">
        <v>58.587628866000003</v>
      </c>
      <c r="BV77">
        <v>562</v>
      </c>
      <c r="BW77">
        <v>32</v>
      </c>
      <c r="BX77">
        <v>193.97686832740001</v>
      </c>
      <c r="BY77">
        <v>121.40625</v>
      </c>
    </row>
    <row r="78" spans="62:121" x14ac:dyDescent="0.2">
      <c r="BJ78" t="s">
        <v>968</v>
      </c>
      <c r="BK78" t="s">
        <v>707</v>
      </c>
      <c r="BL78">
        <v>2648</v>
      </c>
      <c r="BM78">
        <v>367</v>
      </c>
      <c r="BN78">
        <v>68.100830815699993</v>
      </c>
      <c r="BO78">
        <v>8837</v>
      </c>
      <c r="BP78">
        <v>669</v>
      </c>
      <c r="BQ78">
        <v>119.8661310399</v>
      </c>
      <c r="BR78">
        <v>110.0343796712</v>
      </c>
      <c r="BS78">
        <v>3574</v>
      </c>
      <c r="BT78">
        <v>441</v>
      </c>
      <c r="BU78">
        <v>66.877448237300001</v>
      </c>
      <c r="BV78">
        <v>10912</v>
      </c>
      <c r="BW78">
        <v>880</v>
      </c>
      <c r="BX78">
        <v>117.0010997067</v>
      </c>
      <c r="BY78">
        <v>108.5215909091</v>
      </c>
    </row>
    <row r="79" spans="62:121" x14ac:dyDescent="0.2">
      <c r="BJ79" t="s">
        <v>707</v>
      </c>
      <c r="BK79" t="s">
        <v>707</v>
      </c>
      <c r="BL79">
        <v>8129</v>
      </c>
      <c r="BM79">
        <v>1220</v>
      </c>
      <c r="BN79">
        <v>73.851642268399999</v>
      </c>
      <c r="BO79">
        <v>21009</v>
      </c>
      <c r="BP79">
        <v>1611</v>
      </c>
      <c r="BQ79">
        <v>134.488838117</v>
      </c>
      <c r="BR79">
        <v>125.3538175047</v>
      </c>
      <c r="BS79">
        <v>8129</v>
      </c>
      <c r="BT79">
        <v>1220</v>
      </c>
      <c r="BU79">
        <v>73.851642268399999</v>
      </c>
      <c r="BV79">
        <v>21009</v>
      </c>
      <c r="BW79">
        <v>1611</v>
      </c>
      <c r="BX79">
        <v>134.488838117</v>
      </c>
      <c r="BY79">
        <v>125.3538175047</v>
      </c>
    </row>
    <row r="80" spans="62:121" x14ac:dyDescent="0.2">
      <c r="BJ80" t="s">
        <v>969</v>
      </c>
      <c r="BK80" t="s">
        <v>707</v>
      </c>
      <c r="BL80">
        <v>2889</v>
      </c>
      <c r="BM80">
        <v>600</v>
      </c>
      <c r="BN80">
        <v>85.364832121800006</v>
      </c>
      <c r="BO80">
        <v>9142</v>
      </c>
      <c r="BP80">
        <v>593</v>
      </c>
      <c r="BQ80">
        <v>151.6580616933</v>
      </c>
      <c r="BR80">
        <v>148.48060708259999</v>
      </c>
      <c r="BS80">
        <v>4070</v>
      </c>
      <c r="BT80">
        <v>728</v>
      </c>
      <c r="BU80">
        <v>81.794840294799997</v>
      </c>
      <c r="BV80">
        <v>9535</v>
      </c>
      <c r="BW80">
        <v>699</v>
      </c>
      <c r="BX80">
        <v>150.99580492920001</v>
      </c>
      <c r="BY80">
        <v>146.7253218884</v>
      </c>
    </row>
    <row r="81" spans="62:77" x14ac:dyDescent="0.2">
      <c r="BJ81" t="s">
        <v>708</v>
      </c>
      <c r="BL81">
        <v>375040</v>
      </c>
      <c r="BM81">
        <v>115365</v>
      </c>
      <c r="BN81" s="154">
        <v>114.3365321032</v>
      </c>
      <c r="BO81">
        <v>1130909</v>
      </c>
      <c r="BP81">
        <v>90351</v>
      </c>
      <c r="BQ81">
        <v>174.36673861470001</v>
      </c>
      <c r="BR81">
        <v>152.65131542540001</v>
      </c>
      <c r="BS81">
        <v>375040</v>
      </c>
      <c r="BT81">
        <v>115365</v>
      </c>
      <c r="BU81">
        <v>114.3365321032</v>
      </c>
      <c r="BV81">
        <v>1130909</v>
      </c>
      <c r="BW81">
        <v>90351</v>
      </c>
      <c r="BX81">
        <v>174.36673861470001</v>
      </c>
      <c r="BY81">
        <v>152.65131542540001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0</CP_Inventory>
    <Fiscal_Year xmlns="c9744be7-b815-40bc-84fa-afc9c406d9bc">2015</Fiscal_Year>
    <CP_Backlog xmlns="c9744be7-b815-40bc-84fa-afc9c406d9bc">0</CP_Backlog>
    <Creation_date xmlns="c9744be7-b815-40bc-84fa-afc9c406d9bc">2015-08-03T00:00:00-04:00</Creation_date>
    <Data_date xmlns="c9744be7-b815-40bc-84fa-afc9c406d9bc">2015-08-01T00:00:00-04:00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elements/1.1/"/>
    <ds:schemaRef ds:uri="http://purl.org/dc/terms/"/>
    <ds:schemaRef ds:uri="http://schemas.microsoft.com/office/2006/documentManagement/types"/>
    <ds:schemaRef ds:uri="http://schemas.openxmlformats.org/package/2006/metadata/core-properties"/>
    <ds:schemaRef ds:uri="c9744be7-b815-40bc-84fa-afc9c406d9bc"/>
    <ds:schemaRef ds:uri="http://www.w3.org/XML/1998/namespace"/>
    <ds:schemaRef ds:uri="http://purl.org/dc/dcmitype/"/>
    <ds:schemaRef ds:uri="http://schemas.microsoft.com/office/infopath/2007/PartnerControls"/>
    <ds:schemaRef ds:uri="fef9c9dc-374b-4157-9e06-089f148416e5"/>
    <ds:schemaRef ds:uri="http://schemas.microsoft.com/office/2006/metadata/propertie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XXXXX, XXXX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2015-08-06T13:18:12Z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